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Default Extension="gif" ContentType="image/gif"/>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embeddings/oleObject1.bin" ContentType="application/vnd.openxmlformats-officedocument.oleObject"/>
  <Override PartName="/xl/comments2.xml" ContentType="application/vnd.openxmlformats-officedocument.spreadsheetml.comments+xml"/>
  <Override PartName="/xl/drawings/drawing7.xml" ContentType="application/vnd.openxmlformats-officedocument.drawing+xml"/>
  <Override PartName="/xl/comments3.xml" ContentType="application/vnd.openxmlformats-officedocument.spreadsheetml.comments+xml"/>
  <Override PartName="/xl/drawings/drawing8.xml" ContentType="application/vnd.openxmlformats-officedocument.drawing+xml"/>
  <Override PartName="/xl/comments4.xml" ContentType="application/vnd.openxmlformats-officedocument.spreadsheetml.comments+xml"/>
  <Override PartName="/xl/drawings/drawing9.xml" ContentType="application/vnd.openxmlformats-officedocument.drawing+xml"/>
  <Override PartName="/xl/comments5.xml" ContentType="application/vnd.openxmlformats-officedocument.spreadsheetml.comments+xml"/>
  <Override PartName="/xl/drawings/drawing10.xml" ContentType="application/vnd.openxmlformats-officedocument.drawing+xml"/>
  <Override PartName="/xl/comments6.xml" ContentType="application/vnd.openxmlformats-officedocument.spreadsheetml.comments+xml"/>
  <Override PartName="/xl/drawings/drawing11.xml" ContentType="application/vnd.openxmlformats-officedocument.drawing+xml"/>
  <Override PartName="/xl/comments7.xml" ContentType="application/vnd.openxmlformats-officedocument.spreadsheetml.comments+xml"/>
  <Override PartName="/xl/drawings/drawing12.xml" ContentType="application/vnd.openxmlformats-officedocument.drawing+xml"/>
  <Override PartName="/xl/comments8.xml" ContentType="application/vnd.openxmlformats-officedocument.spreadsheetml.comments+xml"/>
  <Override PartName="/xl/drawings/drawing13.xml" ContentType="application/vnd.openxmlformats-officedocument.drawing+xml"/>
  <Override PartName="/xl/comments9.xml" ContentType="application/vnd.openxmlformats-officedocument.spreadsheetml.comments+xml"/>
  <Override PartName="/xl/drawings/drawing14.xml" ContentType="application/vnd.openxmlformats-officedocument.drawing+xml"/>
  <Override PartName="/xl/comments10.xml" ContentType="application/vnd.openxmlformats-officedocument.spreadsheetml.comments+xml"/>
  <Override PartName="/xl/drawings/drawing15.xml" ContentType="application/vnd.openxmlformats-officedocument.drawing+xml"/>
  <Override PartName="/xl/drawings/drawing16.xml" ContentType="application/vnd.openxmlformats-officedocument.drawing+xml"/>
  <Override PartName="/xl/embeddings/oleObject2.bin" ContentType="application/vnd.openxmlformats-officedocument.oleObject"/>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comments11.xml" ContentType="application/vnd.openxmlformats-officedocument.spreadsheetml.comments+xml"/>
  <Override PartName="/xl/drawings/drawing20.xml" ContentType="application/vnd.openxmlformats-officedocument.drawing+xml"/>
  <Override PartName="/xl/comments12.xml" ContentType="application/vnd.openxmlformats-officedocument.spreadsheetml.comments+xml"/>
  <Override PartName="/xl/drawings/drawing21.xml" ContentType="application/vnd.openxmlformats-officedocument.drawing+xml"/>
  <Override PartName="/xl/comments13.xml" ContentType="application/vnd.openxmlformats-officedocument.spreadsheetml.comments+xml"/>
  <Override PartName="/xl/drawings/drawing22.xml" ContentType="application/vnd.openxmlformats-officedocument.drawing+xml"/>
  <Override PartName="/xl/comments14.xml" ContentType="application/vnd.openxmlformats-officedocument.spreadsheetml.comments+xml"/>
  <Override PartName="/xl/drawings/drawing23.xml" ContentType="application/vnd.openxmlformats-officedocument.drawing+xml"/>
  <Override PartName="/xl/comments15.xml" ContentType="application/vnd.openxmlformats-officedocument.spreadsheetml.comments+xml"/>
  <Override PartName="/xl/drawings/drawing24.xml" ContentType="application/vnd.openxmlformats-officedocument.drawing+xml"/>
  <Override PartName="/xl/comments16.xml" ContentType="application/vnd.openxmlformats-officedocument.spreadsheetml.comments+xml"/>
  <Override PartName="/xl/drawings/drawing25.xml" ContentType="application/vnd.openxmlformats-officedocument.drawing+xml"/>
  <Override PartName="/xl/drawings/drawing26.xml" ContentType="application/vnd.openxmlformats-officedocument.drawing+xml"/>
  <Override PartName="/xl/comments17.xml" ContentType="application/vnd.openxmlformats-officedocument.spreadsheetml.comments+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comments18.xml" ContentType="application/vnd.openxmlformats-officedocument.spreadsheetml.comments+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embeddings/oleObject3.bin" ContentType="application/vnd.openxmlformats-officedocument.oleObject"/>
  <Override PartName="/xl/drawings/drawing34.xml" ContentType="application/vnd.openxmlformats-officedocument.drawing+xml"/>
  <Override PartName="/xl/drawings/drawing35.xml" ContentType="application/vnd.openxmlformats-officedocument.drawing+xml"/>
  <Override PartName="/xl/charts/chart1.xml" ContentType="application/vnd.openxmlformats-officedocument.drawingml.chart+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codeName="ThisWorkbook" defaultThemeVersion="124226"/>
  <bookViews>
    <workbookView xWindow="-2205" yWindow="885" windowWidth="12750" windowHeight="8700" tabRatio="849" activeTab="7"/>
  </bookViews>
  <sheets>
    <sheet name="VISITA DE INSP." sheetId="2" r:id="rId1"/>
    <sheet name="F-3" sheetId="15" state="hidden" r:id="rId2"/>
    <sheet name="F-4" sheetId="3" state="hidden" r:id="rId3"/>
    <sheet name="F-5" sheetId="17" state="hidden" r:id="rId4"/>
    <sheet name="F-6" sheetId="18" state="hidden" r:id="rId5"/>
    <sheet name="DIPLOMA" sheetId="7" state="hidden" r:id="rId6"/>
    <sheet name="Guía de diagnóstico" sheetId="26" state="hidden" r:id="rId7"/>
    <sheet name="GUIA DE VIS. DTOR" sheetId="20" r:id="rId8"/>
    <sheet name="GUIA DE VIS. DTOR final" sheetId="21" r:id="rId9"/>
    <sheet name="LIB. MTRO" sheetId="12" state="hidden" r:id="rId10"/>
    <sheet name="LIB. DTOR" sheetId="11" state="hidden" r:id="rId11"/>
    <sheet name="GUIA DE VIS. GPO." sheetId="8" state="hidden" r:id="rId12"/>
    <sheet name="Guia de 1° a 6°" sheetId="36" state="hidden" r:id="rId13"/>
    <sheet name="ESCALAFON" sheetId="10" state="hidden" r:id="rId14"/>
    <sheet name="POSTAL" sheetId="5" state="hidden" r:id="rId15"/>
    <sheet name="ACUSE 2" sheetId="13" state="hidden" r:id="rId16"/>
    <sheet name="TARJETAS" sheetId="6" state="hidden" r:id="rId17"/>
    <sheet name="REL-APF-CONS." sheetId="16" state="hidden" r:id="rId18"/>
    <sheet name="PERS" sheetId="14" state="hidden" r:id="rId19"/>
    <sheet name="E GENERAL" sheetId="29" state="hidden" r:id="rId20"/>
    <sheet name="OP" sheetId="25" state="hidden" r:id="rId21"/>
    <sheet name="E OFICIALES" sheetId="30" state="hidden" r:id="rId22"/>
    <sheet name="E PARTICULARES" sheetId="31" state="hidden" r:id="rId23"/>
    <sheet name="Estadisticas" sheetId="24" state="hidden" r:id="rId24"/>
    <sheet name="Z.E.042" sheetId="32" state="hidden" r:id="rId25"/>
    <sheet name="Tienda " sheetId="33" state="hidden" r:id="rId26"/>
    <sheet name="ACUSE 1" sheetId="37" state="hidden" r:id="rId27"/>
    <sheet name="A-B" sheetId="22" state="hidden" r:id="rId28"/>
    <sheet name="Plantillas" sheetId="23" state="hidden" r:id="rId29"/>
    <sheet name="LISTAS 1" sheetId="9" state="hidden" r:id="rId30"/>
    <sheet name="LISTAS 2" sheetId="41" state="hidden" r:id="rId31"/>
    <sheet name="C.E.P.S." sheetId="34" state="hidden" r:id="rId32"/>
    <sheet name="ETIQUETA" sheetId="4" state="hidden" r:id="rId33"/>
    <sheet name="EXAM." sheetId="35" state="hidden" r:id="rId34"/>
    <sheet name="R-R" sheetId="39" state="hidden" r:id="rId35"/>
    <sheet name="C-ESC." sheetId="43" state="hidden" r:id="rId36"/>
    <sheet name="Graficas" sheetId="44" state="hidden" r:id="rId37"/>
  </sheets>
  <externalReferences>
    <externalReference r:id="rId38"/>
    <externalReference r:id="rId39"/>
    <externalReference r:id="rId40"/>
    <externalReference r:id="rId41"/>
    <externalReference r:id="rId42"/>
    <externalReference r:id="rId43"/>
    <externalReference r:id="rId44"/>
    <externalReference r:id="rId45"/>
  </externalReferences>
  <definedNames>
    <definedName name="_xlnm.Print_Area" localSheetId="27">'A-B'!$A$1:$U$47</definedName>
    <definedName name="_xlnm.Print_Area" localSheetId="26">'ACUSE 1'!$A$1:$H$36</definedName>
    <definedName name="_xlnm.Print_Area" localSheetId="15">'ACUSE 2'!$A$1:$AH$27</definedName>
    <definedName name="_xlnm.Print_Area" localSheetId="5">DIPLOMA!$A$1:$AN$41</definedName>
    <definedName name="_xlnm.Print_Area" localSheetId="19">'E GENERAL'!$A$1:$X$42</definedName>
    <definedName name="_xlnm.Print_Area" localSheetId="13">ESCALAFON!$A$1:$T$67</definedName>
    <definedName name="_xlnm.Print_Area" localSheetId="23">Estadisticas!$A$1:$Y$45</definedName>
    <definedName name="_xlnm.Print_Area" localSheetId="32">ETIQUETA!$A$1:$Q$22</definedName>
    <definedName name="_xlnm.Print_Area" localSheetId="33">EXAM.!$A$1:$AC$21</definedName>
    <definedName name="_xlnm.Print_Area" localSheetId="1">'F-3'!$A$1:$BI$72</definedName>
    <definedName name="_xlnm.Print_Area" localSheetId="2">'F-4'!$A$3:$AJ$59</definedName>
    <definedName name="_xlnm.Print_Area" localSheetId="4">'F-6'!$A$1:$AD$58</definedName>
    <definedName name="_xlnm.Print_Area" localSheetId="12">'Guia de 1° a 6°'!$A$1:$U$137</definedName>
    <definedName name="_xlnm.Print_Area" localSheetId="6">'Guía de diagnóstico'!$A$1:$U$231</definedName>
    <definedName name="_xlnm.Print_Area" localSheetId="7">'GUIA DE VIS. DTOR'!$B$1:$U$156</definedName>
    <definedName name="_xlnm.Print_Area" localSheetId="8">'GUIA DE VIS. DTOR final'!$A$1:$U$156</definedName>
    <definedName name="_xlnm.Print_Area" localSheetId="11">'GUIA DE VIS. GPO.'!$A$1:$U$109</definedName>
    <definedName name="_xlnm.Print_Area" localSheetId="10">'LIB. DTOR'!$A$1:$Y$54</definedName>
    <definedName name="_xlnm.Print_Area" localSheetId="9">'LIB. MTRO'!$A$1:$Y$47</definedName>
    <definedName name="_xlnm.Print_Area" localSheetId="29">'LISTAS 1'!$A$1:$R$41</definedName>
    <definedName name="_xlnm.Print_Area" localSheetId="30">'LISTAS 2'!$A$1:$AB$48</definedName>
    <definedName name="_xlnm.Print_Area" localSheetId="28">Plantillas!$A$1:$AB$827</definedName>
    <definedName name="_xlnm.Print_Area" localSheetId="14">POSTAL!$S$1:$AP$19</definedName>
    <definedName name="_xlnm.Print_Area" localSheetId="17">'REL-APF-CONS.'!$A$1:$U$26</definedName>
    <definedName name="_xlnm.Print_Area" localSheetId="16">TARJETAS!$A$1:$AG$68</definedName>
    <definedName name="_xlnm.Print_Area" localSheetId="25">'Tienda '!$A$1:$T$37</definedName>
    <definedName name="_xlnm.Print_Area" localSheetId="0">'VISITA DE INSP.'!$A$1:$AW$42</definedName>
    <definedName name="_xlnm.Print_Area" localSheetId="24">Z.E.042!$A$1:$T$37</definedName>
  </definedNames>
  <calcPr calcId="145621"/>
</workbook>
</file>

<file path=xl/calcChain.xml><?xml version="1.0" encoding="utf-8"?>
<calcChain xmlns="http://schemas.openxmlformats.org/spreadsheetml/2006/main">
  <c r="AS9" i="2" l="1"/>
  <c r="C50" i="25" l="1"/>
  <c r="AA49" i="24"/>
  <c r="AA282" i="23" l="1"/>
  <c r="AA281" i="23"/>
  <c r="AA280" i="23"/>
  <c r="AA279" i="23"/>
  <c r="AA277" i="23"/>
  <c r="AA426" i="23"/>
  <c r="AA584" i="23" l="1"/>
  <c r="D10" i="22" l="1"/>
  <c r="AK410" i="23"/>
  <c r="AF10" i="13" l="1"/>
  <c r="J11" i="2" l="1"/>
  <c r="AS517" i="23" l="1"/>
  <c r="AR517" i="23" s="1"/>
  <c r="B208" i="25" l="1"/>
  <c r="B210" i="25"/>
  <c r="B212" i="25"/>
  <c r="B214" i="25"/>
  <c r="B216" i="25"/>
  <c r="B218" i="25"/>
  <c r="B220" i="25"/>
  <c r="B222" i="25"/>
  <c r="B224" i="25"/>
  <c r="B226" i="25"/>
  <c r="B228" i="25"/>
  <c r="B230" i="25"/>
  <c r="B232" i="25"/>
  <c r="B234" i="25"/>
  <c r="B236" i="25"/>
  <c r="B238" i="25"/>
  <c r="B240" i="25"/>
  <c r="B242" i="25"/>
  <c r="B244" i="25"/>
  <c r="B246" i="25"/>
  <c r="B303" i="25"/>
  <c r="B305" i="25"/>
  <c r="B307" i="25"/>
  <c r="B309" i="25"/>
  <c r="B311" i="25"/>
  <c r="B313" i="25"/>
  <c r="B315" i="25"/>
  <c r="B317" i="25"/>
  <c r="B319" i="25"/>
  <c r="B321" i="25"/>
  <c r="B323" i="25"/>
  <c r="B325" i="25"/>
  <c r="B327" i="25"/>
  <c r="B329" i="25"/>
  <c r="B331" i="25"/>
  <c r="B333" i="25"/>
  <c r="B335" i="25"/>
  <c r="B337" i="25"/>
  <c r="B339" i="25"/>
  <c r="B341" i="25"/>
  <c r="B398" i="25"/>
  <c r="B400" i="25"/>
  <c r="B402" i="25"/>
  <c r="B404" i="25"/>
  <c r="B406" i="25"/>
  <c r="B408" i="25"/>
  <c r="B410" i="25"/>
  <c r="B412" i="25"/>
  <c r="B414" i="25"/>
  <c r="B416" i="25"/>
  <c r="B418" i="25"/>
  <c r="B420" i="25"/>
  <c r="B422" i="25"/>
  <c r="B424" i="25"/>
  <c r="B426" i="25"/>
  <c r="B428" i="25"/>
  <c r="B430" i="25"/>
  <c r="B432" i="25"/>
  <c r="B434" i="25"/>
  <c r="B436" i="25"/>
  <c r="B495" i="25"/>
  <c r="B497" i="25"/>
  <c r="B499" i="25"/>
  <c r="B501" i="25"/>
  <c r="B503" i="25"/>
  <c r="B505" i="25"/>
  <c r="B507" i="25"/>
  <c r="B509" i="25"/>
  <c r="B511" i="25"/>
  <c r="B513" i="25"/>
  <c r="B515" i="25"/>
  <c r="B517" i="25"/>
  <c r="B519" i="25"/>
  <c r="B521" i="25"/>
  <c r="B523" i="25"/>
  <c r="B525" i="25"/>
  <c r="B527" i="25"/>
  <c r="B529" i="25"/>
  <c r="B531" i="25"/>
  <c r="B533" i="25"/>
  <c r="B493" i="25"/>
  <c r="B396" i="25"/>
  <c r="B301" i="25"/>
  <c r="B206" i="25"/>
  <c r="B113" i="25"/>
  <c r="B115" i="25"/>
  <c r="B117" i="25"/>
  <c r="B119" i="25"/>
  <c r="B121" i="25"/>
  <c r="B123" i="25"/>
  <c r="B125" i="25"/>
  <c r="B127" i="25"/>
  <c r="B129" i="25"/>
  <c r="B131" i="25"/>
  <c r="B133" i="25"/>
  <c r="B135" i="25"/>
  <c r="B137" i="25"/>
  <c r="B139" i="25"/>
  <c r="B141" i="25"/>
  <c r="B143" i="25"/>
  <c r="B145" i="25"/>
  <c r="B147" i="25"/>
  <c r="B149" i="25"/>
  <c r="B151" i="25"/>
  <c r="B111" i="25"/>
  <c r="AD503" i="23"/>
  <c r="AC503" i="23"/>
  <c r="AA320" i="23"/>
  <c r="AQ744" i="23" l="1"/>
  <c r="AQ743" i="23" s="1"/>
  <c r="AP744" i="23"/>
  <c r="AO744" i="23"/>
  <c r="AO743" i="23" s="1"/>
  <c r="AN744" i="23"/>
  <c r="AM744" i="23"/>
  <c r="AM743" i="23" s="1"/>
  <c r="AR743" i="23" s="1"/>
  <c r="AL744" i="23"/>
  <c r="AL743" i="23" s="1"/>
  <c r="AP743" i="23"/>
  <c r="AN743" i="23"/>
  <c r="AJ743" i="23"/>
  <c r="AI743" i="23"/>
  <c r="AH743" i="23"/>
  <c r="AG743" i="23"/>
  <c r="AF743" i="23"/>
  <c r="AE743" i="23"/>
  <c r="AD743" i="23"/>
  <c r="AC743" i="23"/>
  <c r="AR742" i="23"/>
  <c r="AK742" i="23"/>
  <c r="AR741" i="23"/>
  <c r="AK741" i="23"/>
  <c r="AR740" i="23"/>
  <c r="AK740" i="23"/>
  <c r="AR739" i="23"/>
  <c r="AK739" i="23"/>
  <c r="AR738" i="23"/>
  <c r="AK738" i="23"/>
  <c r="AR737" i="23"/>
  <c r="AK737" i="23"/>
  <c r="AR736" i="23"/>
  <c r="AK736" i="23"/>
  <c r="AR735" i="23"/>
  <c r="AK735" i="23"/>
  <c r="AR734" i="23"/>
  <c r="AK734" i="23"/>
  <c r="AR733" i="23"/>
  <c r="AK733" i="23"/>
  <c r="AR732" i="23"/>
  <c r="AK732" i="23"/>
  <c r="AR731" i="23"/>
  <c r="AK731" i="23"/>
  <c r="AR730" i="23"/>
  <c r="AK730" i="23"/>
  <c r="AR729" i="23"/>
  <c r="AK729" i="23"/>
  <c r="AR728" i="23"/>
  <c r="AK728" i="23"/>
  <c r="AR727" i="23"/>
  <c r="AK727" i="23"/>
  <c r="AR726" i="23"/>
  <c r="AK726" i="23"/>
  <c r="AR725" i="23"/>
  <c r="AK725" i="23"/>
  <c r="AR724" i="23"/>
  <c r="AK724" i="23"/>
  <c r="AR723" i="23"/>
  <c r="AK723" i="23"/>
  <c r="AR722" i="23"/>
  <c r="AK722" i="23"/>
  <c r="AR721" i="23"/>
  <c r="AK721" i="23"/>
  <c r="AR720" i="23"/>
  <c r="AK720" i="23"/>
  <c r="AR719" i="23"/>
  <c r="AK719" i="23"/>
  <c r="AR718" i="23"/>
  <c r="AK718" i="23"/>
  <c r="AR717" i="23"/>
  <c r="AK717" i="23"/>
  <c r="AI713" i="23"/>
  <c r="AC713" i="23"/>
  <c r="AQ784" i="23"/>
  <c r="AQ783" i="23" s="1"/>
  <c r="AP784" i="23"/>
  <c r="AO784" i="23"/>
  <c r="AO783" i="23" s="1"/>
  <c r="AN784" i="23"/>
  <c r="AN783" i="23" s="1"/>
  <c r="AM784" i="23"/>
  <c r="AL784" i="23"/>
  <c r="AP783" i="23"/>
  <c r="AM783" i="23"/>
  <c r="AR783" i="23" s="1"/>
  <c r="AL783" i="23"/>
  <c r="AJ783" i="23"/>
  <c r="AI783" i="23"/>
  <c r="AH783" i="23"/>
  <c r="AG783" i="23"/>
  <c r="AF783" i="23"/>
  <c r="AE783" i="23"/>
  <c r="AE784" i="23" s="1"/>
  <c r="AD783" i="23"/>
  <c r="AC783" i="23"/>
  <c r="AR782" i="23"/>
  <c r="AK782" i="23"/>
  <c r="AR781" i="23"/>
  <c r="AK781" i="23"/>
  <c r="AR780" i="23"/>
  <c r="AK780" i="23"/>
  <c r="AR779" i="23"/>
  <c r="AK779" i="23"/>
  <c r="AR778" i="23"/>
  <c r="AK778" i="23"/>
  <c r="AR777" i="23"/>
  <c r="AK777" i="23"/>
  <c r="AR776" i="23"/>
  <c r="AK776" i="23"/>
  <c r="AR775" i="23"/>
  <c r="AK775" i="23"/>
  <c r="AR774" i="23"/>
  <c r="AK774" i="23"/>
  <c r="AR773" i="23"/>
  <c r="AK773" i="23"/>
  <c r="AR772" i="23"/>
  <c r="AK772" i="23"/>
  <c r="AR771" i="23"/>
  <c r="AK771" i="23"/>
  <c r="AR770" i="23"/>
  <c r="AK770" i="23"/>
  <c r="AR769" i="23"/>
  <c r="AK769" i="23"/>
  <c r="AR768" i="23"/>
  <c r="AK768" i="23"/>
  <c r="AR767" i="23"/>
  <c r="AK767" i="23"/>
  <c r="AR766" i="23"/>
  <c r="AK766" i="23"/>
  <c r="AR765" i="23"/>
  <c r="AK765" i="23"/>
  <c r="AR764" i="23"/>
  <c r="AK764" i="23"/>
  <c r="AR763" i="23"/>
  <c r="AK763" i="23"/>
  <c r="AR762" i="23"/>
  <c r="AK762" i="23"/>
  <c r="AR761" i="23"/>
  <c r="AK761" i="23"/>
  <c r="AR760" i="23"/>
  <c r="AK760" i="23"/>
  <c r="AR759" i="23"/>
  <c r="AK759" i="23"/>
  <c r="AR758" i="23"/>
  <c r="AK758" i="23"/>
  <c r="AR757" i="23"/>
  <c r="AK757" i="23"/>
  <c r="AI753" i="23"/>
  <c r="AC753" i="23"/>
  <c r="AQ824" i="23"/>
  <c r="AQ823" i="23" s="1"/>
  <c r="AP824" i="23"/>
  <c r="AO824" i="23"/>
  <c r="AN824" i="23"/>
  <c r="AN823" i="23" s="1"/>
  <c r="AM824" i="23"/>
  <c r="AM823" i="23" s="1"/>
  <c r="AR823" i="23" s="1"/>
  <c r="AL824" i="23"/>
  <c r="AP823" i="23"/>
  <c r="AO823" i="23"/>
  <c r="AL823" i="23"/>
  <c r="AJ823" i="23"/>
  <c r="AI823" i="23"/>
  <c r="AH823" i="23"/>
  <c r="AG823" i="23"/>
  <c r="AG824" i="23" s="1"/>
  <c r="AF823" i="23"/>
  <c r="AE823" i="23"/>
  <c r="AD823" i="23"/>
  <c r="AC823" i="23"/>
  <c r="AC824" i="23" s="1"/>
  <c r="AR822" i="23"/>
  <c r="AK822" i="23"/>
  <c r="AR821" i="23"/>
  <c r="AK821" i="23"/>
  <c r="AR820" i="23"/>
  <c r="AK820" i="23"/>
  <c r="AR819" i="23"/>
  <c r="AK819" i="23"/>
  <c r="AR818" i="23"/>
  <c r="AK818" i="23"/>
  <c r="AR817" i="23"/>
  <c r="AK817" i="23"/>
  <c r="AR816" i="23"/>
  <c r="AK816" i="23"/>
  <c r="AR815" i="23"/>
  <c r="AK815" i="23"/>
  <c r="AR814" i="23"/>
  <c r="AK814" i="23"/>
  <c r="AR813" i="23"/>
  <c r="AK813" i="23"/>
  <c r="AR812" i="23"/>
  <c r="AK812" i="23"/>
  <c r="AR811" i="23"/>
  <c r="AK811" i="23"/>
  <c r="AR810" i="23"/>
  <c r="AK810" i="23"/>
  <c r="AR809" i="23"/>
  <c r="AK809" i="23"/>
  <c r="AR808" i="23"/>
  <c r="AK808" i="23"/>
  <c r="AR807" i="23"/>
  <c r="AK807" i="23"/>
  <c r="AR806" i="23"/>
  <c r="AK806" i="23"/>
  <c r="AR805" i="23"/>
  <c r="AK805" i="23"/>
  <c r="AR804" i="23"/>
  <c r="AK804" i="23"/>
  <c r="AR803" i="23"/>
  <c r="AK803" i="23"/>
  <c r="AR802" i="23"/>
  <c r="AK802" i="23"/>
  <c r="AR801" i="23"/>
  <c r="AK801" i="23"/>
  <c r="AR800" i="23"/>
  <c r="AK800" i="23"/>
  <c r="AR799" i="23"/>
  <c r="AK799" i="23"/>
  <c r="AR798" i="23"/>
  <c r="AK798" i="23"/>
  <c r="AR797" i="23"/>
  <c r="AK797" i="23"/>
  <c r="AI793" i="23"/>
  <c r="AC793" i="23"/>
  <c r="AQ704" i="23"/>
  <c r="AQ703" i="23" s="1"/>
  <c r="AP704" i="23"/>
  <c r="AP703" i="23" s="1"/>
  <c r="AO704" i="23"/>
  <c r="AN704" i="23"/>
  <c r="AM704" i="23"/>
  <c r="AM703" i="23" s="1"/>
  <c r="AR703" i="23" s="1"/>
  <c r="AL704" i="23"/>
  <c r="AL703" i="23" s="1"/>
  <c r="AO703" i="23"/>
  <c r="AN703" i="23"/>
  <c r="AJ703" i="23"/>
  <c r="AI703" i="23"/>
  <c r="AH703" i="23"/>
  <c r="AG703" i="23"/>
  <c r="AG704" i="23" s="1"/>
  <c r="AF703" i="23"/>
  <c r="AE703" i="23"/>
  <c r="AE704" i="23" s="1"/>
  <c r="AD703" i="23"/>
  <c r="AC703" i="23"/>
  <c r="AC704" i="23" s="1"/>
  <c r="AR702" i="23"/>
  <c r="AK702" i="23"/>
  <c r="AR701" i="23"/>
  <c r="AK701" i="23"/>
  <c r="AR700" i="23"/>
  <c r="AK700" i="23"/>
  <c r="AR699" i="23"/>
  <c r="AK699" i="23"/>
  <c r="AR698" i="23"/>
  <c r="AK698" i="23"/>
  <c r="AR697" i="23"/>
  <c r="AK697" i="23"/>
  <c r="AR696" i="23"/>
  <c r="AK696" i="23"/>
  <c r="AR695" i="23"/>
  <c r="AK695" i="23"/>
  <c r="AR694" i="23"/>
  <c r="AK694" i="23"/>
  <c r="AR693" i="23"/>
  <c r="AK693" i="23"/>
  <c r="AR692" i="23"/>
  <c r="AK692" i="23"/>
  <c r="AR691" i="23"/>
  <c r="AK691" i="23"/>
  <c r="AR690" i="23"/>
  <c r="AK690" i="23"/>
  <c r="AR689" i="23"/>
  <c r="AK689" i="23"/>
  <c r="AR688" i="23"/>
  <c r="AK688" i="23"/>
  <c r="AR687" i="23"/>
  <c r="AK687" i="23"/>
  <c r="AR686" i="23"/>
  <c r="AK686" i="23"/>
  <c r="AR685" i="23"/>
  <c r="AK685" i="23"/>
  <c r="AR684" i="23"/>
  <c r="AK684" i="23"/>
  <c r="AR683" i="23"/>
  <c r="AK683" i="23"/>
  <c r="AR682" i="23"/>
  <c r="AK682" i="23"/>
  <c r="AR681" i="23"/>
  <c r="AK681" i="23"/>
  <c r="AR680" i="23"/>
  <c r="AK680" i="23"/>
  <c r="AR679" i="23"/>
  <c r="AK679" i="23"/>
  <c r="AR678" i="23"/>
  <c r="AK678" i="23"/>
  <c r="AR677" i="23"/>
  <c r="AK677" i="23"/>
  <c r="AI673" i="23"/>
  <c r="AC673" i="23"/>
  <c r="AQ664" i="23"/>
  <c r="AP664" i="23"/>
  <c r="AO664" i="23"/>
  <c r="AN664" i="23"/>
  <c r="AN663" i="23" s="1"/>
  <c r="AM664" i="23"/>
  <c r="AL664" i="23"/>
  <c r="AP663" i="23"/>
  <c r="AO663" i="23"/>
  <c r="AM663" i="23"/>
  <c r="AR663" i="23" s="1"/>
  <c r="AJ663" i="23"/>
  <c r="AI663" i="23"/>
  <c r="AH663" i="23"/>
  <c r="AG663" i="23"/>
  <c r="AF663" i="23"/>
  <c r="AE663" i="23"/>
  <c r="AD663" i="23"/>
  <c r="AC663" i="23"/>
  <c r="AR662" i="23"/>
  <c r="AK662" i="23"/>
  <c r="AR661" i="23"/>
  <c r="AK661" i="23"/>
  <c r="AR660" i="23"/>
  <c r="AK660" i="23"/>
  <c r="AR659" i="23"/>
  <c r="AK659" i="23"/>
  <c r="AR658" i="23"/>
  <c r="AK658" i="23"/>
  <c r="AR657" i="23"/>
  <c r="AK657" i="23"/>
  <c r="AR656" i="23"/>
  <c r="AK656" i="23"/>
  <c r="AR655" i="23"/>
  <c r="AK655" i="23"/>
  <c r="AR654" i="23"/>
  <c r="AK654" i="23"/>
  <c r="AR653" i="23"/>
  <c r="AK653" i="23"/>
  <c r="AR652" i="23"/>
  <c r="AK652" i="23"/>
  <c r="AR651" i="23"/>
  <c r="AK651" i="23"/>
  <c r="AR650" i="23"/>
  <c r="AK650" i="23"/>
  <c r="AR649" i="23"/>
  <c r="AK649" i="23"/>
  <c r="AR648" i="23"/>
  <c r="AK648" i="23"/>
  <c r="AR647" i="23"/>
  <c r="AK647" i="23"/>
  <c r="AR646" i="23"/>
  <c r="AK646" i="23"/>
  <c r="AR645" i="23"/>
  <c r="AK645" i="23"/>
  <c r="AR644" i="23"/>
  <c r="AK644" i="23"/>
  <c r="AR643" i="23"/>
  <c r="AK643" i="23"/>
  <c r="AR642" i="23"/>
  <c r="AK642" i="23"/>
  <c r="AR641" i="23"/>
  <c r="AK641" i="23"/>
  <c r="AR640" i="23"/>
  <c r="AK640" i="23"/>
  <c r="AR639" i="23"/>
  <c r="AK639" i="23"/>
  <c r="AR638" i="23"/>
  <c r="AK638" i="23"/>
  <c r="AR637" i="23"/>
  <c r="AK637" i="23"/>
  <c r="AI633" i="23"/>
  <c r="AC633" i="23"/>
  <c r="AA38" i="23"/>
  <c r="AK38" i="23"/>
  <c r="AK37" i="23"/>
  <c r="AJ17" i="44"/>
  <c r="AJ18" i="44"/>
  <c r="AC784" i="23" l="1"/>
  <c r="AK784" i="23" s="1"/>
  <c r="AG784" i="23"/>
  <c r="AK663" i="23"/>
  <c r="AC664" i="23"/>
  <c r="AK704" i="23"/>
  <c r="AE744" i="23"/>
  <c r="AE824" i="23"/>
  <c r="AK824" i="23" s="1"/>
  <c r="AC744" i="23"/>
  <c r="AK744" i="23" s="1"/>
  <c r="AG744" i="23"/>
  <c r="AK743" i="23"/>
  <c r="AK783" i="23"/>
  <c r="AK823" i="23"/>
  <c r="AK703" i="23"/>
  <c r="AK24" i="44"/>
  <c r="AJ24" i="44"/>
  <c r="AI23" i="44"/>
  <c r="AI22" i="44"/>
  <c r="AH21" i="44"/>
  <c r="AG21" i="44"/>
  <c r="AH20" i="44"/>
  <c r="AG20" i="44"/>
  <c r="AF19" i="44"/>
  <c r="AK23" i="44"/>
  <c r="AJ23" i="44"/>
  <c r="AI21" i="44"/>
  <c r="AH19" i="44"/>
  <c r="AG19" i="44"/>
  <c r="AF18" i="44"/>
  <c r="AK22" i="44"/>
  <c r="AJ22" i="44"/>
  <c r="AI20" i="44"/>
  <c r="AH18" i="44"/>
  <c r="AG18" i="44"/>
  <c r="AF17" i="44"/>
  <c r="AK21" i="44"/>
  <c r="AJ21" i="44"/>
  <c r="AI19" i="44"/>
  <c r="AH17" i="44"/>
  <c r="AG17" i="44"/>
  <c r="AF16" i="44"/>
  <c r="AK20" i="44"/>
  <c r="AJ20" i="44"/>
  <c r="AI18" i="44"/>
  <c r="AI17" i="44"/>
  <c r="AH16" i="44"/>
  <c r="AK19" i="44"/>
  <c r="AK18" i="44"/>
  <c r="AJ19" i="44"/>
  <c r="AI16" i="44"/>
  <c r="AI15" i="44"/>
  <c r="AH15" i="44"/>
  <c r="AH14" i="44"/>
  <c r="AG15" i="44"/>
  <c r="AG14" i="44"/>
  <c r="AK17" i="44"/>
  <c r="AI14" i="44"/>
  <c r="AK16" i="44"/>
  <c r="AJ16" i="44"/>
  <c r="AJ15" i="44"/>
  <c r="AI13" i="44"/>
  <c r="AH13" i="44"/>
  <c r="AG13" i="44"/>
  <c r="AF13" i="44"/>
  <c r="AJ14" i="44"/>
  <c r="AJ13" i="44"/>
  <c r="AK15" i="44"/>
  <c r="AK14" i="44"/>
  <c r="AK13" i="44"/>
  <c r="AI12" i="44"/>
  <c r="AI11" i="44"/>
  <c r="AH12" i="44"/>
  <c r="AH11" i="44"/>
  <c r="AG12" i="44"/>
  <c r="AG11" i="44"/>
  <c r="AK12" i="44"/>
  <c r="AK11" i="44"/>
  <c r="AJ12" i="44"/>
  <c r="AJ11" i="44"/>
  <c r="AJ10" i="44"/>
  <c r="AI10" i="44"/>
  <c r="AH10" i="44"/>
  <c r="AG10" i="44"/>
  <c r="AK10" i="44"/>
  <c r="AK9" i="44"/>
  <c r="AK8" i="44"/>
  <c r="AK7" i="44"/>
  <c r="AJ7" i="44"/>
  <c r="AJ6" i="44"/>
  <c r="AI7" i="44"/>
  <c r="AI6" i="44"/>
  <c r="AH7" i="44"/>
  <c r="AG7" i="44"/>
  <c r="AG6" i="44"/>
  <c r="AK6" i="44"/>
  <c r="AK5" i="44"/>
  <c r="AK4" i="44"/>
  <c r="AJ5" i="44"/>
  <c r="AJ4" i="44"/>
  <c r="AI5" i="44"/>
  <c r="AI4" i="44"/>
  <c r="AH6" i="44"/>
  <c r="AH5" i="44"/>
  <c r="AH4" i="44"/>
  <c r="AG5" i="44"/>
  <c r="AG4" i="44"/>
  <c r="AJ3" i="44"/>
  <c r="AJ2" i="44"/>
  <c r="AI3" i="44"/>
  <c r="AI2" i="44"/>
  <c r="AH3" i="44"/>
  <c r="AH2" i="44"/>
  <c r="AG3" i="44"/>
  <c r="AG2" i="44"/>
  <c r="AJ9" i="44"/>
  <c r="AJ8" i="44"/>
  <c r="AI9" i="44"/>
  <c r="AI8" i="44"/>
  <c r="AH9" i="44"/>
  <c r="AH8" i="44"/>
  <c r="AG9" i="44"/>
  <c r="AG8" i="44"/>
  <c r="AC1" i="44"/>
  <c r="AK3" i="44"/>
  <c r="AK2" i="44"/>
  <c r="AC21" i="44" l="1"/>
  <c r="AD1" i="44"/>
  <c r="AD25" i="44" s="1"/>
  <c r="AC24" i="44"/>
  <c r="AC23" i="44"/>
  <c r="AC26" i="44"/>
  <c r="AC22" i="44"/>
  <c r="AC25" i="44"/>
  <c r="AD24" i="44" l="1"/>
  <c r="AD22" i="44"/>
  <c r="AD26" i="44"/>
  <c r="AG16" i="44" l="1"/>
  <c r="AF20" i="44"/>
  <c r="AC20" i="44" s="1"/>
  <c r="T28" i="44" s="1"/>
  <c r="AC19" i="44"/>
  <c r="AC18" i="44"/>
  <c r="AC17" i="44"/>
  <c r="AC16" i="44"/>
  <c r="AF15" i="44"/>
  <c r="AC15" i="44" s="1"/>
  <c r="AF14" i="44"/>
  <c r="AC14" i="44" s="1"/>
  <c r="AC13" i="44"/>
  <c r="AF12" i="44"/>
  <c r="AC12" i="44" s="1"/>
  <c r="AF11" i="44"/>
  <c r="AC11" i="44" s="1"/>
  <c r="AF10" i="44"/>
  <c r="AC10" i="44" s="1"/>
  <c r="AF9" i="44"/>
  <c r="AC9" i="44" s="1"/>
  <c r="AF8" i="44"/>
  <c r="AF7" i="44"/>
  <c r="AF6" i="44"/>
  <c r="AC6" i="44" s="1"/>
  <c r="AF5" i="44"/>
  <c r="AC5" i="44" s="1"/>
  <c r="AF4" i="44"/>
  <c r="AC4" i="44" s="1"/>
  <c r="AF3" i="44"/>
  <c r="AC3" i="44" s="1"/>
  <c r="AF2" i="44"/>
  <c r="AC2" i="44" s="1"/>
  <c r="Z28" i="44"/>
  <c r="Y28" i="44"/>
  <c r="X28" i="44"/>
  <c r="W28" i="44"/>
  <c r="V28" i="44"/>
  <c r="U28" i="44"/>
  <c r="J19" i="5"/>
  <c r="I19" i="5"/>
  <c r="H19" i="5"/>
  <c r="T25" i="16"/>
  <c r="AC7" i="44" l="1"/>
  <c r="G28" i="44" s="1"/>
  <c r="AC8" i="44"/>
  <c r="H28" i="44" s="1"/>
  <c r="R28" i="44"/>
  <c r="S28" i="44"/>
  <c r="Q28" i="44"/>
  <c r="P28" i="44"/>
  <c r="O28" i="44"/>
  <c r="N28" i="44"/>
  <c r="M28" i="44"/>
  <c r="L28" i="44"/>
  <c r="K28" i="44"/>
  <c r="J28" i="44"/>
  <c r="I28" i="44"/>
  <c r="F28" i="44"/>
  <c r="E28" i="44"/>
  <c r="D28" i="44"/>
  <c r="AS439" i="23"/>
  <c r="AR439" i="23" s="1"/>
  <c r="AM17" i="44" s="1"/>
  <c r="C28" i="44"/>
  <c r="B28" i="44"/>
  <c r="AF9" i="13" l="1"/>
  <c r="AT1" i="13"/>
  <c r="AR1" i="13"/>
  <c r="AP1" i="13"/>
  <c r="AK484" i="23" l="1"/>
  <c r="AK483" i="23"/>
  <c r="AS397" i="23"/>
  <c r="AR397" i="23" s="1"/>
  <c r="M7" i="10" l="1"/>
  <c r="B551" i="25" l="1"/>
  <c r="J40" i="22" l="1"/>
  <c r="AY42" i="2" l="1"/>
  <c r="AZ42" i="2"/>
  <c r="BA42" i="2"/>
  <c r="BB42" i="2"/>
  <c r="BC42" i="2"/>
  <c r="BD42" i="2"/>
  <c r="BE42" i="2"/>
  <c r="BF42" i="2"/>
  <c r="BG42" i="2"/>
  <c r="BH42" i="2"/>
  <c r="BI42" i="2"/>
  <c r="BJ42" i="2"/>
  <c r="BK42" i="2"/>
  <c r="BL42" i="2"/>
  <c r="BM42" i="2"/>
  <c r="BN42" i="2"/>
  <c r="BO42" i="2"/>
  <c r="BP42" i="2"/>
  <c r="BQ42" i="2"/>
  <c r="BR42" i="2"/>
  <c r="BS42" i="2"/>
  <c r="BT42" i="2"/>
  <c r="BU42" i="2"/>
  <c r="BV42" i="2"/>
  <c r="BW42" i="2"/>
  <c r="BX42" i="2"/>
  <c r="BY42" i="2"/>
  <c r="BZ42" i="2"/>
  <c r="CA42" i="2"/>
  <c r="CB42" i="2"/>
  <c r="CC42" i="2"/>
  <c r="CD42" i="2"/>
  <c r="CE42" i="2"/>
  <c r="CF42" i="2"/>
  <c r="CG42" i="2"/>
  <c r="CH42" i="2"/>
  <c r="CI42" i="2"/>
  <c r="CJ42" i="2"/>
  <c r="CK42" i="2"/>
  <c r="CL42" i="2"/>
  <c r="CM42" i="2"/>
  <c r="CN42" i="2"/>
  <c r="CO42" i="2"/>
  <c r="CP42" i="2"/>
  <c r="CQ42" i="2"/>
  <c r="CR42" i="2"/>
  <c r="CS42" i="2"/>
  <c r="CT42" i="2"/>
  <c r="CU42" i="2"/>
  <c r="CV42" i="2"/>
  <c r="CW42" i="2"/>
  <c r="CX42" i="2"/>
  <c r="CY42" i="2"/>
  <c r="CZ42" i="2"/>
  <c r="DA42" i="2"/>
  <c r="DB42" i="2"/>
  <c r="DC42" i="2"/>
  <c r="DD42" i="2"/>
  <c r="DE42" i="2"/>
  <c r="DF42" i="2"/>
  <c r="DG42" i="2"/>
  <c r="DH42" i="2"/>
  <c r="DS42" i="2"/>
  <c r="DT42" i="2"/>
  <c r="DU42" i="2"/>
  <c r="DV42" i="2"/>
  <c r="DW42" i="2"/>
  <c r="DX42" i="2"/>
  <c r="DY42" i="2"/>
  <c r="DZ42" i="2"/>
  <c r="EA42" i="2"/>
  <c r="EB42" i="2"/>
  <c r="EC42" i="2"/>
  <c r="ED42" i="2"/>
  <c r="EE42" i="2"/>
  <c r="EF42" i="2"/>
  <c r="EG42" i="2"/>
  <c r="EH42" i="2"/>
  <c r="EI42" i="2"/>
  <c r="EJ42" i="2"/>
  <c r="EK42" i="2"/>
  <c r="EL42" i="2"/>
  <c r="EN42" i="2"/>
  <c r="EO42" i="2"/>
  <c r="EP42" i="2"/>
  <c r="EQ42" i="2"/>
  <c r="ER42" i="2"/>
  <c r="ES42" i="2"/>
  <c r="ET42" i="2"/>
  <c r="EU42" i="2"/>
  <c r="EV42" i="2"/>
  <c r="EW42" i="2"/>
  <c r="EX42" i="2"/>
  <c r="EY42" i="2"/>
  <c r="EZ42" i="2"/>
  <c r="FA42" i="2"/>
  <c r="FB42" i="2"/>
  <c r="FC42" i="2"/>
  <c r="FD42" i="2"/>
  <c r="FE42" i="2"/>
  <c r="FF42" i="2"/>
  <c r="FG42" i="2"/>
  <c r="FI42" i="2"/>
  <c r="FJ42" i="2"/>
  <c r="FK42" i="2"/>
  <c r="FL42" i="2"/>
  <c r="FM42" i="2"/>
  <c r="FN42" i="2"/>
  <c r="FO42" i="2"/>
  <c r="FP42" i="2"/>
  <c r="FQ42" i="2"/>
  <c r="FR42" i="2"/>
  <c r="FS42" i="2"/>
  <c r="FT42" i="2"/>
  <c r="FU42" i="2"/>
  <c r="FV42" i="2"/>
  <c r="FW42" i="2"/>
  <c r="FX42" i="2"/>
  <c r="FY42" i="2"/>
  <c r="FZ42" i="2"/>
  <c r="GA42" i="2"/>
  <c r="GB42" i="2"/>
  <c r="GM42" i="2"/>
  <c r="GN42" i="2"/>
  <c r="GO42" i="2"/>
  <c r="GP42" i="2"/>
  <c r="GQ42" i="2"/>
  <c r="GR42" i="2"/>
  <c r="GS42" i="2"/>
  <c r="GT42" i="2"/>
  <c r="GU42" i="2"/>
  <c r="GV42" i="2"/>
  <c r="GW42" i="2"/>
  <c r="GX42" i="2"/>
  <c r="GY42" i="2"/>
  <c r="GZ42" i="2"/>
  <c r="HA42" i="2"/>
  <c r="HB42" i="2"/>
  <c r="HC42" i="2"/>
  <c r="HD42" i="2"/>
  <c r="HE42" i="2"/>
  <c r="HF42" i="2"/>
  <c r="KB42" i="2"/>
  <c r="KC42" i="2"/>
  <c r="KD42" i="2"/>
  <c r="KE42" i="2"/>
  <c r="KF42" i="2"/>
  <c r="KG42" i="2"/>
  <c r="KB43" i="2"/>
  <c r="KC43" i="2"/>
  <c r="KD43" i="2"/>
  <c r="KE43" i="2"/>
  <c r="KF43" i="2"/>
  <c r="KG43" i="2"/>
  <c r="LB43" i="2"/>
  <c r="AY44" i="2"/>
  <c r="AZ44" i="2"/>
  <c r="BA44" i="2"/>
  <c r="BB44" i="2"/>
  <c r="BC44" i="2"/>
  <c r="BD44" i="2"/>
  <c r="BE44" i="2"/>
  <c r="BF44" i="2"/>
  <c r="BG44" i="2"/>
  <c r="BH44" i="2"/>
  <c r="BI44" i="2"/>
  <c r="BJ44" i="2"/>
  <c r="BK44" i="2"/>
  <c r="BL44" i="2"/>
  <c r="BM44" i="2"/>
  <c r="BN44" i="2"/>
  <c r="BO44" i="2"/>
  <c r="BP44" i="2"/>
  <c r="BQ44" i="2"/>
  <c r="BR44" i="2"/>
  <c r="BT44" i="2"/>
  <c r="BU44" i="2"/>
  <c r="BV44" i="2"/>
  <c r="BW44" i="2"/>
  <c r="BX44" i="2"/>
  <c r="BY44" i="2"/>
  <c r="BZ44" i="2"/>
  <c r="CA44" i="2"/>
  <c r="CB44" i="2"/>
  <c r="CC44" i="2"/>
  <c r="CD44" i="2"/>
  <c r="CE44" i="2"/>
  <c r="CF44" i="2"/>
  <c r="CG44" i="2"/>
  <c r="CH44" i="2"/>
  <c r="CI44" i="2"/>
  <c r="CJ44" i="2"/>
  <c r="CK44" i="2"/>
  <c r="CL44" i="2"/>
  <c r="CM44" i="2"/>
  <c r="CO44" i="2"/>
  <c r="CP44" i="2"/>
  <c r="CQ44" i="2"/>
  <c r="CR44" i="2"/>
  <c r="CS44" i="2"/>
  <c r="CT44" i="2"/>
  <c r="CU44" i="2"/>
  <c r="CV44" i="2"/>
  <c r="CW44" i="2"/>
  <c r="CX44" i="2"/>
  <c r="CY44" i="2"/>
  <c r="CZ44" i="2"/>
  <c r="DA44" i="2"/>
  <c r="DB44" i="2"/>
  <c r="DC44" i="2"/>
  <c r="DD44" i="2"/>
  <c r="DE44" i="2"/>
  <c r="DF44" i="2"/>
  <c r="DG44" i="2"/>
  <c r="DH44" i="2"/>
  <c r="DJ44" i="2"/>
  <c r="DK44" i="2"/>
  <c r="DL44" i="2"/>
  <c r="DM44" i="2"/>
  <c r="DN44" i="2"/>
  <c r="DO44" i="2"/>
  <c r="DP44" i="2"/>
  <c r="DQ44" i="2"/>
  <c r="DR44" i="2"/>
  <c r="DS44" i="2"/>
  <c r="DT44" i="2"/>
  <c r="DU44" i="2"/>
  <c r="DV44" i="2"/>
  <c r="DW44" i="2"/>
  <c r="DX44" i="2"/>
  <c r="DY44" i="2"/>
  <c r="DZ44" i="2"/>
  <c r="EA44" i="2"/>
  <c r="EB44" i="2"/>
  <c r="EC44" i="2"/>
  <c r="EE44" i="2"/>
  <c r="EF44" i="2"/>
  <c r="EG44" i="2"/>
  <c r="EH44" i="2"/>
  <c r="EI44" i="2"/>
  <c r="EJ44" i="2"/>
  <c r="EK44" i="2"/>
  <c r="EL44" i="2"/>
  <c r="EM44" i="2"/>
  <c r="EN44" i="2"/>
  <c r="EO44" i="2"/>
  <c r="EP44" i="2"/>
  <c r="EQ44" i="2"/>
  <c r="ER44" i="2"/>
  <c r="ES44" i="2"/>
  <c r="ET44" i="2"/>
  <c r="EU44" i="2"/>
  <c r="EV44" i="2"/>
  <c r="EW44" i="2"/>
  <c r="EX44" i="2"/>
  <c r="EZ44" i="2"/>
  <c r="FA44" i="2"/>
  <c r="FB44" i="2"/>
  <c r="FC44" i="2"/>
  <c r="FD44" i="2"/>
  <c r="FE44" i="2"/>
  <c r="FF44" i="2"/>
  <c r="FG44" i="2"/>
  <c r="FH44" i="2"/>
  <c r="FI44" i="2"/>
  <c r="FJ44" i="2"/>
  <c r="FK44" i="2"/>
  <c r="FL44" i="2"/>
  <c r="FM44" i="2"/>
  <c r="FN44" i="2"/>
  <c r="FO44" i="2"/>
  <c r="FP44" i="2"/>
  <c r="FQ44" i="2"/>
  <c r="FR44" i="2"/>
  <c r="FS44" i="2"/>
  <c r="AY45" i="2"/>
  <c r="AZ45" i="2"/>
  <c r="BA45" i="2"/>
  <c r="BB45" i="2"/>
  <c r="BC45" i="2"/>
  <c r="BD45" i="2"/>
  <c r="BE45" i="2"/>
  <c r="BF45" i="2"/>
  <c r="BG45" i="2"/>
  <c r="BH45" i="2"/>
  <c r="BI45" i="2"/>
  <c r="BJ45" i="2"/>
  <c r="BK45" i="2"/>
  <c r="BL45" i="2"/>
  <c r="BM45" i="2"/>
  <c r="BN45" i="2"/>
  <c r="BO45" i="2"/>
  <c r="BP45" i="2"/>
  <c r="BQ45" i="2"/>
  <c r="BR45" i="2"/>
  <c r="BT45" i="2"/>
  <c r="BU45" i="2"/>
  <c r="BV45" i="2"/>
  <c r="BW45" i="2"/>
  <c r="BX45" i="2"/>
  <c r="BY45" i="2"/>
  <c r="BZ45" i="2"/>
  <c r="CA45" i="2"/>
  <c r="CB45" i="2"/>
  <c r="CC45" i="2"/>
  <c r="CD45" i="2"/>
  <c r="CE45" i="2"/>
  <c r="CF45" i="2"/>
  <c r="CG45" i="2"/>
  <c r="CH45" i="2"/>
  <c r="CI45" i="2"/>
  <c r="CJ45" i="2"/>
  <c r="CK45" i="2"/>
  <c r="CL45" i="2"/>
  <c r="CM45" i="2"/>
  <c r="CO45" i="2"/>
  <c r="CP45" i="2"/>
  <c r="CQ45" i="2"/>
  <c r="CR45" i="2"/>
  <c r="CS45" i="2"/>
  <c r="CT45" i="2"/>
  <c r="CU45" i="2"/>
  <c r="CV45" i="2"/>
  <c r="CW45" i="2"/>
  <c r="CX45" i="2"/>
  <c r="CY45" i="2"/>
  <c r="CZ45" i="2"/>
  <c r="DA45" i="2"/>
  <c r="DB45" i="2"/>
  <c r="DC45" i="2"/>
  <c r="DD45" i="2"/>
  <c r="DE45" i="2"/>
  <c r="DF45" i="2"/>
  <c r="DG45" i="2"/>
  <c r="DH45" i="2"/>
  <c r="DJ45" i="2"/>
  <c r="DK45" i="2"/>
  <c r="DL45" i="2"/>
  <c r="DM45" i="2"/>
  <c r="DN45" i="2"/>
  <c r="DO45" i="2"/>
  <c r="DP45" i="2"/>
  <c r="DQ45" i="2"/>
  <c r="DR45" i="2"/>
  <c r="DS45" i="2"/>
  <c r="DT45" i="2"/>
  <c r="DU45" i="2"/>
  <c r="DV45" i="2"/>
  <c r="DW45" i="2"/>
  <c r="DX45" i="2"/>
  <c r="DY45" i="2"/>
  <c r="DZ45" i="2"/>
  <c r="EA45" i="2"/>
  <c r="EB45" i="2"/>
  <c r="EC45" i="2"/>
  <c r="EE45" i="2"/>
  <c r="EF45" i="2"/>
  <c r="EG45" i="2"/>
  <c r="EH45" i="2"/>
  <c r="EI45" i="2"/>
  <c r="EJ45" i="2"/>
  <c r="EK45" i="2"/>
  <c r="EL45" i="2"/>
  <c r="EM45" i="2"/>
  <c r="EN45" i="2"/>
  <c r="EO45" i="2"/>
  <c r="EP45" i="2"/>
  <c r="EQ45" i="2"/>
  <c r="ER45" i="2"/>
  <c r="ES45" i="2"/>
  <c r="ET45" i="2"/>
  <c r="EU45" i="2"/>
  <c r="EV45" i="2"/>
  <c r="EW45" i="2"/>
  <c r="EX45" i="2"/>
  <c r="EZ45" i="2"/>
  <c r="FA45" i="2"/>
  <c r="FB45" i="2"/>
  <c r="FC45" i="2"/>
  <c r="FD45" i="2"/>
  <c r="FE45" i="2"/>
  <c r="FF45" i="2"/>
  <c r="FG45" i="2"/>
  <c r="FH45" i="2"/>
  <c r="FI45" i="2"/>
  <c r="FJ45" i="2"/>
  <c r="FK45" i="2"/>
  <c r="FL45" i="2"/>
  <c r="FM45" i="2"/>
  <c r="FN45" i="2"/>
  <c r="FO45" i="2"/>
  <c r="FP45" i="2"/>
  <c r="FQ45" i="2"/>
  <c r="FR45" i="2"/>
  <c r="FS45" i="2"/>
  <c r="AY46" i="2"/>
  <c r="AZ46" i="2"/>
  <c r="BA46" i="2"/>
  <c r="BB46" i="2"/>
  <c r="BC46" i="2"/>
  <c r="BD46" i="2"/>
  <c r="BE46" i="2"/>
  <c r="BF46" i="2"/>
  <c r="BG46" i="2"/>
  <c r="BH46" i="2"/>
  <c r="BI46" i="2"/>
  <c r="BJ46" i="2"/>
  <c r="BK46" i="2"/>
  <c r="BL46" i="2"/>
  <c r="BM46" i="2"/>
  <c r="BN46" i="2"/>
  <c r="BO46" i="2"/>
  <c r="BP46" i="2"/>
  <c r="BQ46" i="2"/>
  <c r="BR46" i="2"/>
  <c r="BT46" i="2"/>
  <c r="BU46" i="2"/>
  <c r="BV46" i="2"/>
  <c r="BW46" i="2"/>
  <c r="BX46" i="2"/>
  <c r="BY46" i="2"/>
  <c r="BZ46" i="2"/>
  <c r="CA46" i="2"/>
  <c r="CB46" i="2"/>
  <c r="CC46" i="2"/>
  <c r="CD46" i="2"/>
  <c r="CE46" i="2"/>
  <c r="CF46" i="2"/>
  <c r="CG46" i="2"/>
  <c r="CH46" i="2"/>
  <c r="CI46" i="2"/>
  <c r="CJ46" i="2"/>
  <c r="CK46" i="2"/>
  <c r="CL46" i="2"/>
  <c r="CM46" i="2"/>
  <c r="CO46" i="2"/>
  <c r="CP46" i="2"/>
  <c r="CQ46" i="2"/>
  <c r="CR46" i="2"/>
  <c r="CS46" i="2"/>
  <c r="CT46" i="2"/>
  <c r="CU46" i="2"/>
  <c r="CV46" i="2"/>
  <c r="CW46" i="2"/>
  <c r="CX46" i="2"/>
  <c r="CY46" i="2"/>
  <c r="CZ46" i="2"/>
  <c r="DA46" i="2"/>
  <c r="DB46" i="2"/>
  <c r="DC46" i="2"/>
  <c r="DD46" i="2"/>
  <c r="DE46" i="2"/>
  <c r="DF46" i="2"/>
  <c r="DG46" i="2"/>
  <c r="DH46" i="2"/>
  <c r="DJ46" i="2"/>
  <c r="DK46" i="2"/>
  <c r="DL46" i="2"/>
  <c r="DM46" i="2"/>
  <c r="DN46" i="2"/>
  <c r="DO46" i="2"/>
  <c r="DP46" i="2"/>
  <c r="DQ46" i="2"/>
  <c r="DR46" i="2"/>
  <c r="DS46" i="2"/>
  <c r="DT46" i="2"/>
  <c r="DU46" i="2"/>
  <c r="DV46" i="2"/>
  <c r="DW46" i="2"/>
  <c r="DX46" i="2"/>
  <c r="DY46" i="2"/>
  <c r="DZ46" i="2"/>
  <c r="EA46" i="2"/>
  <c r="EB46" i="2"/>
  <c r="EC46" i="2"/>
  <c r="EE46" i="2"/>
  <c r="EF46" i="2"/>
  <c r="EG46" i="2"/>
  <c r="EH46" i="2"/>
  <c r="EI46" i="2"/>
  <c r="EJ46" i="2"/>
  <c r="EK46" i="2"/>
  <c r="EL46" i="2"/>
  <c r="EM46" i="2"/>
  <c r="EN46" i="2"/>
  <c r="EO46" i="2"/>
  <c r="EP46" i="2"/>
  <c r="EQ46" i="2"/>
  <c r="ER46" i="2"/>
  <c r="ES46" i="2"/>
  <c r="ET46" i="2"/>
  <c r="EU46" i="2"/>
  <c r="EV46" i="2"/>
  <c r="EW46" i="2"/>
  <c r="EX46" i="2"/>
  <c r="EZ46" i="2"/>
  <c r="FA46" i="2"/>
  <c r="FB46" i="2"/>
  <c r="FC46" i="2"/>
  <c r="FD46" i="2"/>
  <c r="FE46" i="2"/>
  <c r="FF46" i="2"/>
  <c r="FG46" i="2"/>
  <c r="FH46" i="2"/>
  <c r="FI46" i="2"/>
  <c r="FJ46" i="2"/>
  <c r="FK46" i="2"/>
  <c r="FL46" i="2"/>
  <c r="FM46" i="2"/>
  <c r="FN46" i="2"/>
  <c r="FO46" i="2"/>
  <c r="FP46" i="2"/>
  <c r="FQ46" i="2"/>
  <c r="FR46" i="2"/>
  <c r="FS46" i="2"/>
  <c r="AY47" i="2"/>
  <c r="AZ47" i="2"/>
  <c r="BA47" i="2"/>
  <c r="BB47" i="2"/>
  <c r="BC47" i="2"/>
  <c r="BD47" i="2"/>
  <c r="BE47" i="2"/>
  <c r="BF47" i="2"/>
  <c r="BG47" i="2"/>
  <c r="BH47" i="2"/>
  <c r="BI47" i="2"/>
  <c r="BJ47" i="2"/>
  <c r="BK47" i="2"/>
  <c r="BL47" i="2"/>
  <c r="BM47" i="2"/>
  <c r="BN47" i="2"/>
  <c r="BO47" i="2"/>
  <c r="BP47" i="2"/>
  <c r="BQ47" i="2"/>
  <c r="BR47" i="2"/>
  <c r="BT47" i="2"/>
  <c r="BU47" i="2"/>
  <c r="BV47" i="2"/>
  <c r="BW47" i="2"/>
  <c r="BX47" i="2"/>
  <c r="BY47" i="2"/>
  <c r="BZ47" i="2"/>
  <c r="CA47" i="2"/>
  <c r="CB47" i="2"/>
  <c r="CC47" i="2"/>
  <c r="CD47" i="2"/>
  <c r="CE47" i="2"/>
  <c r="CF47" i="2"/>
  <c r="CG47" i="2"/>
  <c r="CH47" i="2"/>
  <c r="CI47" i="2"/>
  <c r="CJ47" i="2"/>
  <c r="CK47" i="2"/>
  <c r="CL47" i="2"/>
  <c r="CM47" i="2"/>
  <c r="CO47" i="2"/>
  <c r="CP47" i="2"/>
  <c r="CQ47" i="2"/>
  <c r="CR47" i="2"/>
  <c r="CS47" i="2"/>
  <c r="CT47" i="2"/>
  <c r="CU47" i="2"/>
  <c r="CV47" i="2"/>
  <c r="CW47" i="2"/>
  <c r="CX47" i="2"/>
  <c r="CY47" i="2"/>
  <c r="CZ47" i="2"/>
  <c r="DA47" i="2"/>
  <c r="DB47" i="2"/>
  <c r="DC47" i="2"/>
  <c r="DD47" i="2"/>
  <c r="DE47" i="2"/>
  <c r="DF47" i="2"/>
  <c r="DG47" i="2"/>
  <c r="DH47" i="2"/>
  <c r="DJ47" i="2"/>
  <c r="DK47" i="2"/>
  <c r="DL47" i="2"/>
  <c r="DM47" i="2"/>
  <c r="DN47" i="2"/>
  <c r="DO47" i="2"/>
  <c r="DP47" i="2"/>
  <c r="DQ47" i="2"/>
  <c r="DR47" i="2"/>
  <c r="DS47" i="2"/>
  <c r="DT47" i="2"/>
  <c r="DU47" i="2"/>
  <c r="DV47" i="2"/>
  <c r="DW47" i="2"/>
  <c r="DX47" i="2"/>
  <c r="DY47" i="2"/>
  <c r="DZ47" i="2"/>
  <c r="EA47" i="2"/>
  <c r="EB47" i="2"/>
  <c r="EC47" i="2"/>
  <c r="EE47" i="2"/>
  <c r="EF47" i="2"/>
  <c r="EG47" i="2"/>
  <c r="EH47" i="2"/>
  <c r="EI47" i="2"/>
  <c r="EJ47" i="2"/>
  <c r="EK47" i="2"/>
  <c r="EL47" i="2"/>
  <c r="EM47" i="2"/>
  <c r="EN47" i="2"/>
  <c r="EO47" i="2"/>
  <c r="EP47" i="2"/>
  <c r="EQ47" i="2"/>
  <c r="ER47" i="2"/>
  <c r="ES47" i="2"/>
  <c r="ET47" i="2"/>
  <c r="EU47" i="2"/>
  <c r="EV47" i="2"/>
  <c r="EW47" i="2"/>
  <c r="EX47" i="2"/>
  <c r="EZ47" i="2"/>
  <c r="FA47" i="2"/>
  <c r="FB47" i="2"/>
  <c r="FC47" i="2"/>
  <c r="FD47" i="2"/>
  <c r="FE47" i="2"/>
  <c r="FF47" i="2"/>
  <c r="FG47" i="2"/>
  <c r="FH47" i="2"/>
  <c r="FI47" i="2"/>
  <c r="FJ47" i="2"/>
  <c r="FK47" i="2"/>
  <c r="FL47" i="2"/>
  <c r="FM47" i="2"/>
  <c r="FN47" i="2"/>
  <c r="FO47" i="2"/>
  <c r="FP47" i="2"/>
  <c r="FQ47" i="2"/>
  <c r="FR47" i="2"/>
  <c r="FS47" i="2"/>
  <c r="AY48" i="2"/>
  <c r="AZ48" i="2"/>
  <c r="BA48" i="2"/>
  <c r="BB48" i="2"/>
  <c r="BC48" i="2"/>
  <c r="BD48" i="2"/>
  <c r="BE48" i="2"/>
  <c r="BF48" i="2"/>
  <c r="BG48" i="2"/>
  <c r="BH48" i="2"/>
  <c r="BI48" i="2"/>
  <c r="BJ48" i="2"/>
  <c r="BK48" i="2"/>
  <c r="BL48" i="2"/>
  <c r="BM48" i="2"/>
  <c r="BN48" i="2"/>
  <c r="BO48" i="2"/>
  <c r="BP48" i="2"/>
  <c r="BQ48" i="2"/>
  <c r="BR48" i="2"/>
  <c r="BT48" i="2"/>
  <c r="BU48" i="2"/>
  <c r="BV48" i="2"/>
  <c r="BW48" i="2"/>
  <c r="BX48" i="2"/>
  <c r="BY48" i="2"/>
  <c r="BZ48" i="2"/>
  <c r="CA48" i="2"/>
  <c r="CB48" i="2"/>
  <c r="CC48" i="2"/>
  <c r="CD48" i="2"/>
  <c r="CE48" i="2"/>
  <c r="CF48" i="2"/>
  <c r="CG48" i="2"/>
  <c r="CH48" i="2"/>
  <c r="CI48" i="2"/>
  <c r="CJ48" i="2"/>
  <c r="CK48" i="2"/>
  <c r="CL48" i="2"/>
  <c r="CM48" i="2"/>
  <c r="CO48" i="2"/>
  <c r="CP48" i="2"/>
  <c r="CQ48" i="2"/>
  <c r="CR48" i="2"/>
  <c r="CS48" i="2"/>
  <c r="CT48" i="2"/>
  <c r="CU48" i="2"/>
  <c r="CV48" i="2"/>
  <c r="CW48" i="2"/>
  <c r="CX48" i="2"/>
  <c r="CY48" i="2"/>
  <c r="CZ48" i="2"/>
  <c r="DA48" i="2"/>
  <c r="DB48" i="2"/>
  <c r="DC48" i="2"/>
  <c r="DD48" i="2"/>
  <c r="DE48" i="2"/>
  <c r="DF48" i="2"/>
  <c r="DG48" i="2"/>
  <c r="DH48" i="2"/>
  <c r="DJ48" i="2"/>
  <c r="DK48" i="2"/>
  <c r="DL48" i="2"/>
  <c r="DM48" i="2"/>
  <c r="DN48" i="2"/>
  <c r="DO48" i="2"/>
  <c r="DP48" i="2"/>
  <c r="DQ48" i="2"/>
  <c r="DR48" i="2"/>
  <c r="DS48" i="2"/>
  <c r="DT48" i="2"/>
  <c r="DU48" i="2"/>
  <c r="DV48" i="2"/>
  <c r="DW48" i="2"/>
  <c r="DX48" i="2"/>
  <c r="DY48" i="2"/>
  <c r="DZ48" i="2"/>
  <c r="EA48" i="2"/>
  <c r="EB48" i="2"/>
  <c r="EC48" i="2"/>
  <c r="EE48" i="2"/>
  <c r="EF48" i="2"/>
  <c r="EG48" i="2"/>
  <c r="EH48" i="2"/>
  <c r="EI48" i="2"/>
  <c r="EJ48" i="2"/>
  <c r="EK48" i="2"/>
  <c r="EL48" i="2"/>
  <c r="EM48" i="2"/>
  <c r="EN48" i="2"/>
  <c r="EO48" i="2"/>
  <c r="EP48" i="2"/>
  <c r="EQ48" i="2"/>
  <c r="ER48" i="2"/>
  <c r="ES48" i="2"/>
  <c r="ET48" i="2"/>
  <c r="EU48" i="2"/>
  <c r="EV48" i="2"/>
  <c r="EW48" i="2"/>
  <c r="EX48" i="2"/>
  <c r="EZ48" i="2"/>
  <c r="FA48" i="2"/>
  <c r="FB48" i="2"/>
  <c r="FC48" i="2"/>
  <c r="FD48" i="2"/>
  <c r="FE48" i="2"/>
  <c r="FF48" i="2"/>
  <c r="FG48" i="2"/>
  <c r="FH48" i="2"/>
  <c r="FI48" i="2"/>
  <c r="FJ48" i="2"/>
  <c r="FK48" i="2"/>
  <c r="FL48" i="2"/>
  <c r="FM48" i="2"/>
  <c r="FN48" i="2"/>
  <c r="FO48" i="2"/>
  <c r="FP48" i="2"/>
  <c r="FQ48" i="2"/>
  <c r="FR48" i="2"/>
  <c r="FS48" i="2"/>
  <c r="AY49" i="2"/>
  <c r="AZ49" i="2"/>
  <c r="BA49" i="2"/>
  <c r="BB49" i="2"/>
  <c r="BC49" i="2"/>
  <c r="BD49" i="2"/>
  <c r="BE49" i="2"/>
  <c r="BF49" i="2"/>
  <c r="BG49" i="2"/>
  <c r="BH49" i="2"/>
  <c r="BI49" i="2"/>
  <c r="BJ49" i="2"/>
  <c r="BK49" i="2"/>
  <c r="BL49" i="2"/>
  <c r="BM49" i="2"/>
  <c r="BN49" i="2"/>
  <c r="BO49" i="2"/>
  <c r="BP49" i="2"/>
  <c r="BQ49" i="2"/>
  <c r="BR49" i="2"/>
  <c r="BT49" i="2"/>
  <c r="BU49" i="2"/>
  <c r="BV49" i="2"/>
  <c r="BW49" i="2"/>
  <c r="BX49" i="2"/>
  <c r="BY49" i="2"/>
  <c r="BZ49" i="2"/>
  <c r="CA49" i="2"/>
  <c r="CB49" i="2"/>
  <c r="CC49" i="2"/>
  <c r="CD49" i="2"/>
  <c r="CE49" i="2"/>
  <c r="CF49" i="2"/>
  <c r="CG49" i="2"/>
  <c r="CH49" i="2"/>
  <c r="CI49" i="2"/>
  <c r="CJ49" i="2"/>
  <c r="CK49" i="2"/>
  <c r="CL49" i="2"/>
  <c r="CM49" i="2"/>
  <c r="CO49" i="2"/>
  <c r="CP49" i="2"/>
  <c r="CQ49" i="2"/>
  <c r="CR49" i="2"/>
  <c r="CS49" i="2"/>
  <c r="CT49" i="2"/>
  <c r="CU49" i="2"/>
  <c r="CV49" i="2"/>
  <c r="CW49" i="2"/>
  <c r="CX49" i="2"/>
  <c r="CY49" i="2"/>
  <c r="CZ49" i="2"/>
  <c r="DA49" i="2"/>
  <c r="DB49" i="2"/>
  <c r="DC49" i="2"/>
  <c r="DD49" i="2"/>
  <c r="DE49" i="2"/>
  <c r="DF49" i="2"/>
  <c r="DG49" i="2"/>
  <c r="DH49" i="2"/>
  <c r="DJ49" i="2"/>
  <c r="DK49" i="2"/>
  <c r="DL49" i="2"/>
  <c r="DM49" i="2"/>
  <c r="DN49" i="2"/>
  <c r="DO49" i="2"/>
  <c r="DP49" i="2"/>
  <c r="DQ49" i="2"/>
  <c r="DR49" i="2"/>
  <c r="DS49" i="2"/>
  <c r="DT49" i="2"/>
  <c r="DU49" i="2"/>
  <c r="DV49" i="2"/>
  <c r="DW49" i="2"/>
  <c r="DX49" i="2"/>
  <c r="DY49" i="2"/>
  <c r="DZ49" i="2"/>
  <c r="EA49" i="2"/>
  <c r="EB49" i="2"/>
  <c r="EC49" i="2"/>
  <c r="EE49" i="2"/>
  <c r="EF49" i="2"/>
  <c r="EG49" i="2"/>
  <c r="EH49" i="2"/>
  <c r="EI49" i="2"/>
  <c r="EJ49" i="2"/>
  <c r="EK49" i="2"/>
  <c r="EL49" i="2"/>
  <c r="EM49" i="2"/>
  <c r="EN49" i="2"/>
  <c r="EO49" i="2"/>
  <c r="EP49" i="2"/>
  <c r="EQ49" i="2"/>
  <c r="ER49" i="2"/>
  <c r="ES49" i="2"/>
  <c r="ET49" i="2"/>
  <c r="EU49" i="2"/>
  <c r="EV49" i="2"/>
  <c r="EW49" i="2"/>
  <c r="EX49" i="2"/>
  <c r="EZ49" i="2"/>
  <c r="FA49" i="2"/>
  <c r="FB49" i="2"/>
  <c r="FC49" i="2"/>
  <c r="FD49" i="2"/>
  <c r="FE49" i="2"/>
  <c r="FF49" i="2"/>
  <c r="FG49" i="2"/>
  <c r="FH49" i="2"/>
  <c r="FI49" i="2"/>
  <c r="FJ49" i="2"/>
  <c r="FK49" i="2"/>
  <c r="FL49" i="2"/>
  <c r="FM49" i="2"/>
  <c r="FN49" i="2"/>
  <c r="FO49" i="2"/>
  <c r="FP49" i="2"/>
  <c r="FQ49" i="2"/>
  <c r="FR49" i="2"/>
  <c r="FS49" i="2"/>
  <c r="AY50" i="2"/>
  <c r="AZ50" i="2"/>
  <c r="BA50" i="2"/>
  <c r="BB50" i="2"/>
  <c r="BC50" i="2"/>
  <c r="BD50" i="2"/>
  <c r="BE50" i="2"/>
  <c r="BF50" i="2"/>
  <c r="BG50" i="2"/>
  <c r="BH50" i="2"/>
  <c r="BI50" i="2"/>
  <c r="BJ50" i="2"/>
  <c r="BK50" i="2"/>
  <c r="BL50" i="2"/>
  <c r="BM50" i="2"/>
  <c r="BN50" i="2"/>
  <c r="BO50" i="2"/>
  <c r="BP50" i="2"/>
  <c r="BQ50" i="2"/>
  <c r="BR50" i="2"/>
  <c r="BT50" i="2"/>
  <c r="BU50" i="2"/>
  <c r="BV50" i="2"/>
  <c r="BW50" i="2"/>
  <c r="BX50" i="2"/>
  <c r="BY50" i="2"/>
  <c r="BZ50" i="2"/>
  <c r="CA50" i="2"/>
  <c r="CB50" i="2"/>
  <c r="CC50" i="2"/>
  <c r="CD50" i="2"/>
  <c r="CE50" i="2"/>
  <c r="CF50" i="2"/>
  <c r="CG50" i="2"/>
  <c r="CH50" i="2"/>
  <c r="CI50" i="2"/>
  <c r="CJ50" i="2"/>
  <c r="CK50" i="2"/>
  <c r="CL50" i="2"/>
  <c r="CM50" i="2"/>
  <c r="CO50" i="2"/>
  <c r="CP50" i="2"/>
  <c r="CQ50" i="2"/>
  <c r="CR50" i="2"/>
  <c r="CS50" i="2"/>
  <c r="CT50" i="2"/>
  <c r="CU50" i="2"/>
  <c r="CV50" i="2"/>
  <c r="CW50" i="2"/>
  <c r="CX50" i="2"/>
  <c r="CY50" i="2"/>
  <c r="CZ50" i="2"/>
  <c r="DA50" i="2"/>
  <c r="DB50" i="2"/>
  <c r="DC50" i="2"/>
  <c r="DD50" i="2"/>
  <c r="DE50" i="2"/>
  <c r="DF50" i="2"/>
  <c r="DG50" i="2"/>
  <c r="DH50" i="2"/>
  <c r="DJ50" i="2"/>
  <c r="DK50" i="2"/>
  <c r="DL50" i="2"/>
  <c r="DM50" i="2"/>
  <c r="DN50" i="2"/>
  <c r="DO50" i="2"/>
  <c r="DP50" i="2"/>
  <c r="DQ50" i="2"/>
  <c r="DR50" i="2"/>
  <c r="DS50" i="2"/>
  <c r="DT50" i="2"/>
  <c r="DU50" i="2"/>
  <c r="DV50" i="2"/>
  <c r="DW50" i="2"/>
  <c r="DX50" i="2"/>
  <c r="DY50" i="2"/>
  <c r="DZ50" i="2"/>
  <c r="EA50" i="2"/>
  <c r="EB50" i="2"/>
  <c r="EC50" i="2"/>
  <c r="EE50" i="2"/>
  <c r="EF50" i="2"/>
  <c r="EG50" i="2"/>
  <c r="EH50" i="2"/>
  <c r="EI50" i="2"/>
  <c r="EJ50" i="2"/>
  <c r="EK50" i="2"/>
  <c r="EL50" i="2"/>
  <c r="EM50" i="2"/>
  <c r="EN50" i="2"/>
  <c r="EO50" i="2"/>
  <c r="EP50" i="2"/>
  <c r="EQ50" i="2"/>
  <c r="ER50" i="2"/>
  <c r="ES50" i="2"/>
  <c r="ET50" i="2"/>
  <c r="EU50" i="2"/>
  <c r="EV50" i="2"/>
  <c r="EW50" i="2"/>
  <c r="EX50" i="2"/>
  <c r="EZ50" i="2"/>
  <c r="FA50" i="2"/>
  <c r="FB50" i="2"/>
  <c r="FC50" i="2"/>
  <c r="FD50" i="2"/>
  <c r="FE50" i="2"/>
  <c r="FF50" i="2"/>
  <c r="FG50" i="2"/>
  <c r="FH50" i="2"/>
  <c r="FI50" i="2"/>
  <c r="FJ50" i="2"/>
  <c r="FK50" i="2"/>
  <c r="FL50" i="2"/>
  <c r="FM50" i="2"/>
  <c r="FN50" i="2"/>
  <c r="FO50" i="2"/>
  <c r="FP50" i="2"/>
  <c r="FQ50" i="2"/>
  <c r="FR50" i="2"/>
  <c r="FS50" i="2"/>
  <c r="AY51" i="2"/>
  <c r="AZ51" i="2"/>
  <c r="BA51" i="2"/>
  <c r="BB51" i="2"/>
  <c r="BC51" i="2"/>
  <c r="BD51" i="2"/>
  <c r="BE51" i="2"/>
  <c r="BF51" i="2"/>
  <c r="BG51" i="2"/>
  <c r="BH51" i="2"/>
  <c r="BI51" i="2"/>
  <c r="BJ51" i="2"/>
  <c r="BK51" i="2"/>
  <c r="BL51" i="2"/>
  <c r="BM51" i="2"/>
  <c r="BN51" i="2"/>
  <c r="BO51" i="2"/>
  <c r="BP51" i="2"/>
  <c r="BQ51" i="2"/>
  <c r="BR51" i="2"/>
  <c r="BT51" i="2"/>
  <c r="BU51" i="2"/>
  <c r="BV51" i="2"/>
  <c r="BW51" i="2"/>
  <c r="BX51" i="2"/>
  <c r="BY51" i="2"/>
  <c r="BZ51" i="2"/>
  <c r="CA51" i="2"/>
  <c r="CB51" i="2"/>
  <c r="CC51" i="2"/>
  <c r="CD51" i="2"/>
  <c r="CE51" i="2"/>
  <c r="CF51" i="2"/>
  <c r="CG51" i="2"/>
  <c r="CH51" i="2"/>
  <c r="CI51" i="2"/>
  <c r="CJ51" i="2"/>
  <c r="CK51" i="2"/>
  <c r="CL51" i="2"/>
  <c r="CM51" i="2"/>
  <c r="CO51" i="2"/>
  <c r="CP51" i="2"/>
  <c r="CQ51" i="2"/>
  <c r="CR51" i="2"/>
  <c r="CS51" i="2"/>
  <c r="CT51" i="2"/>
  <c r="CU51" i="2"/>
  <c r="CV51" i="2"/>
  <c r="CW51" i="2"/>
  <c r="CX51" i="2"/>
  <c r="CY51" i="2"/>
  <c r="CZ51" i="2"/>
  <c r="DA51" i="2"/>
  <c r="DB51" i="2"/>
  <c r="DC51" i="2"/>
  <c r="DD51" i="2"/>
  <c r="DE51" i="2"/>
  <c r="DF51" i="2"/>
  <c r="DG51" i="2"/>
  <c r="DH51" i="2"/>
  <c r="DJ51" i="2"/>
  <c r="DK51" i="2"/>
  <c r="DL51" i="2"/>
  <c r="DM51" i="2"/>
  <c r="DN51" i="2"/>
  <c r="DO51" i="2"/>
  <c r="DP51" i="2"/>
  <c r="DQ51" i="2"/>
  <c r="DR51" i="2"/>
  <c r="DS51" i="2"/>
  <c r="DT51" i="2"/>
  <c r="DU51" i="2"/>
  <c r="DV51" i="2"/>
  <c r="DW51" i="2"/>
  <c r="DX51" i="2"/>
  <c r="DY51" i="2"/>
  <c r="DZ51" i="2"/>
  <c r="EA51" i="2"/>
  <c r="EB51" i="2"/>
  <c r="EC51" i="2"/>
  <c r="EE51" i="2"/>
  <c r="EF51" i="2"/>
  <c r="EG51" i="2"/>
  <c r="EH51" i="2"/>
  <c r="EI51" i="2"/>
  <c r="EJ51" i="2"/>
  <c r="EK51" i="2"/>
  <c r="EL51" i="2"/>
  <c r="EM51" i="2"/>
  <c r="EN51" i="2"/>
  <c r="EO51" i="2"/>
  <c r="EP51" i="2"/>
  <c r="EQ51" i="2"/>
  <c r="ER51" i="2"/>
  <c r="ES51" i="2"/>
  <c r="ET51" i="2"/>
  <c r="EU51" i="2"/>
  <c r="EV51" i="2"/>
  <c r="EW51" i="2"/>
  <c r="EX51" i="2"/>
  <c r="EZ51" i="2"/>
  <c r="FA51" i="2"/>
  <c r="FB51" i="2"/>
  <c r="FC51" i="2"/>
  <c r="FD51" i="2"/>
  <c r="FE51" i="2"/>
  <c r="FF51" i="2"/>
  <c r="FG51" i="2"/>
  <c r="FH51" i="2"/>
  <c r="FI51" i="2"/>
  <c r="FJ51" i="2"/>
  <c r="FK51" i="2"/>
  <c r="FL51" i="2"/>
  <c r="FM51" i="2"/>
  <c r="FN51" i="2"/>
  <c r="FO51" i="2"/>
  <c r="FP51" i="2"/>
  <c r="FQ51" i="2"/>
  <c r="FR51" i="2"/>
  <c r="FS51" i="2"/>
  <c r="AY52" i="2"/>
  <c r="AZ52" i="2"/>
  <c r="BA52" i="2"/>
  <c r="BB52" i="2"/>
  <c r="BC52" i="2"/>
  <c r="BD52" i="2"/>
  <c r="BE52" i="2"/>
  <c r="BF52" i="2"/>
  <c r="BG52" i="2"/>
  <c r="BH52" i="2"/>
  <c r="BI52" i="2"/>
  <c r="BJ52" i="2"/>
  <c r="BK52" i="2"/>
  <c r="BL52" i="2"/>
  <c r="BM52" i="2"/>
  <c r="BN52" i="2"/>
  <c r="BO52" i="2"/>
  <c r="BP52" i="2"/>
  <c r="BQ52" i="2"/>
  <c r="BR52" i="2"/>
  <c r="BT52" i="2"/>
  <c r="BU52" i="2"/>
  <c r="BV52" i="2"/>
  <c r="BW52" i="2"/>
  <c r="BX52" i="2"/>
  <c r="BY52" i="2"/>
  <c r="BZ52" i="2"/>
  <c r="CA52" i="2"/>
  <c r="CB52" i="2"/>
  <c r="CC52" i="2"/>
  <c r="CD52" i="2"/>
  <c r="CE52" i="2"/>
  <c r="CF52" i="2"/>
  <c r="CG52" i="2"/>
  <c r="CH52" i="2"/>
  <c r="CI52" i="2"/>
  <c r="CJ52" i="2"/>
  <c r="CK52" i="2"/>
  <c r="CL52" i="2"/>
  <c r="CM52" i="2"/>
  <c r="CO52" i="2"/>
  <c r="CP52" i="2"/>
  <c r="CQ52" i="2"/>
  <c r="CR52" i="2"/>
  <c r="CS52" i="2"/>
  <c r="CT52" i="2"/>
  <c r="CU52" i="2"/>
  <c r="CV52" i="2"/>
  <c r="CW52" i="2"/>
  <c r="CX52" i="2"/>
  <c r="CY52" i="2"/>
  <c r="CZ52" i="2"/>
  <c r="DA52" i="2"/>
  <c r="DB52" i="2"/>
  <c r="DC52" i="2"/>
  <c r="DD52" i="2"/>
  <c r="DE52" i="2"/>
  <c r="DF52" i="2"/>
  <c r="DG52" i="2"/>
  <c r="DH52" i="2"/>
  <c r="DJ52" i="2"/>
  <c r="DK52" i="2"/>
  <c r="DL52" i="2"/>
  <c r="DM52" i="2"/>
  <c r="DN52" i="2"/>
  <c r="DO52" i="2"/>
  <c r="DP52" i="2"/>
  <c r="DQ52" i="2"/>
  <c r="DR52" i="2"/>
  <c r="DS52" i="2"/>
  <c r="DT52" i="2"/>
  <c r="DU52" i="2"/>
  <c r="DV52" i="2"/>
  <c r="DW52" i="2"/>
  <c r="DX52" i="2"/>
  <c r="DY52" i="2"/>
  <c r="DZ52" i="2"/>
  <c r="EA52" i="2"/>
  <c r="EB52" i="2"/>
  <c r="EC52" i="2"/>
  <c r="EE52" i="2"/>
  <c r="EF52" i="2"/>
  <c r="EG52" i="2"/>
  <c r="EH52" i="2"/>
  <c r="EI52" i="2"/>
  <c r="EJ52" i="2"/>
  <c r="EK52" i="2"/>
  <c r="EL52" i="2"/>
  <c r="EM52" i="2"/>
  <c r="EN52" i="2"/>
  <c r="EO52" i="2"/>
  <c r="EP52" i="2"/>
  <c r="EQ52" i="2"/>
  <c r="ER52" i="2"/>
  <c r="ES52" i="2"/>
  <c r="ET52" i="2"/>
  <c r="EU52" i="2"/>
  <c r="EV52" i="2"/>
  <c r="EW52" i="2"/>
  <c r="EX52" i="2"/>
  <c r="EZ52" i="2"/>
  <c r="FA52" i="2"/>
  <c r="FB52" i="2"/>
  <c r="FC52" i="2"/>
  <c r="FD52" i="2"/>
  <c r="FE52" i="2"/>
  <c r="FF52" i="2"/>
  <c r="FG52" i="2"/>
  <c r="FH52" i="2"/>
  <c r="FI52" i="2"/>
  <c r="FJ52" i="2"/>
  <c r="FK52" i="2"/>
  <c r="FL52" i="2"/>
  <c r="FM52" i="2"/>
  <c r="FN52" i="2"/>
  <c r="FO52" i="2"/>
  <c r="FP52" i="2"/>
  <c r="FQ52" i="2"/>
  <c r="FR52" i="2"/>
  <c r="FS52" i="2"/>
  <c r="AY53" i="2"/>
  <c r="AZ53" i="2"/>
  <c r="BA53" i="2"/>
  <c r="BB53" i="2"/>
  <c r="BC53" i="2"/>
  <c r="BD53" i="2"/>
  <c r="BE53" i="2"/>
  <c r="BF53" i="2"/>
  <c r="BG53" i="2"/>
  <c r="BH53" i="2"/>
  <c r="BI53" i="2"/>
  <c r="BJ53" i="2"/>
  <c r="BK53" i="2"/>
  <c r="BL53" i="2"/>
  <c r="BM53" i="2"/>
  <c r="BN53" i="2"/>
  <c r="BO53" i="2"/>
  <c r="BP53" i="2"/>
  <c r="BQ53" i="2"/>
  <c r="BR53" i="2"/>
  <c r="BT53" i="2"/>
  <c r="BU53" i="2"/>
  <c r="BV53" i="2"/>
  <c r="BW53" i="2"/>
  <c r="BX53" i="2"/>
  <c r="BY53" i="2"/>
  <c r="BZ53" i="2"/>
  <c r="CA53" i="2"/>
  <c r="CB53" i="2"/>
  <c r="CC53" i="2"/>
  <c r="CD53" i="2"/>
  <c r="CE53" i="2"/>
  <c r="CF53" i="2"/>
  <c r="CG53" i="2"/>
  <c r="CH53" i="2"/>
  <c r="CI53" i="2"/>
  <c r="CJ53" i="2"/>
  <c r="CK53" i="2"/>
  <c r="CL53" i="2"/>
  <c r="CM53" i="2"/>
  <c r="CO53" i="2"/>
  <c r="CP53" i="2"/>
  <c r="CQ53" i="2"/>
  <c r="CR53" i="2"/>
  <c r="CS53" i="2"/>
  <c r="CT53" i="2"/>
  <c r="CU53" i="2"/>
  <c r="CV53" i="2"/>
  <c r="CW53" i="2"/>
  <c r="CX53" i="2"/>
  <c r="CY53" i="2"/>
  <c r="CZ53" i="2"/>
  <c r="DA53" i="2"/>
  <c r="DB53" i="2"/>
  <c r="DC53" i="2"/>
  <c r="DD53" i="2"/>
  <c r="DE53" i="2"/>
  <c r="DF53" i="2"/>
  <c r="DG53" i="2"/>
  <c r="DH53" i="2"/>
  <c r="DJ53" i="2"/>
  <c r="DK53" i="2"/>
  <c r="DL53" i="2"/>
  <c r="DM53" i="2"/>
  <c r="DN53" i="2"/>
  <c r="DO53" i="2"/>
  <c r="DP53" i="2"/>
  <c r="DQ53" i="2"/>
  <c r="DR53" i="2"/>
  <c r="DS53" i="2"/>
  <c r="DT53" i="2"/>
  <c r="DU53" i="2"/>
  <c r="DV53" i="2"/>
  <c r="DW53" i="2"/>
  <c r="DX53" i="2"/>
  <c r="DY53" i="2"/>
  <c r="DZ53" i="2"/>
  <c r="EA53" i="2"/>
  <c r="EB53" i="2"/>
  <c r="EC53" i="2"/>
  <c r="EE53" i="2"/>
  <c r="EF53" i="2"/>
  <c r="EG53" i="2"/>
  <c r="EH53" i="2"/>
  <c r="EI53" i="2"/>
  <c r="EJ53" i="2"/>
  <c r="EK53" i="2"/>
  <c r="EL53" i="2"/>
  <c r="EM53" i="2"/>
  <c r="EN53" i="2"/>
  <c r="EO53" i="2"/>
  <c r="EP53" i="2"/>
  <c r="EQ53" i="2"/>
  <c r="ER53" i="2"/>
  <c r="ES53" i="2"/>
  <c r="ET53" i="2"/>
  <c r="EU53" i="2"/>
  <c r="EV53" i="2"/>
  <c r="EW53" i="2"/>
  <c r="EX53" i="2"/>
  <c r="EZ53" i="2"/>
  <c r="FA53" i="2"/>
  <c r="FB53" i="2"/>
  <c r="FC53" i="2"/>
  <c r="FD53" i="2"/>
  <c r="FE53" i="2"/>
  <c r="FF53" i="2"/>
  <c r="FG53" i="2"/>
  <c r="FH53" i="2"/>
  <c r="FI53" i="2"/>
  <c r="FJ53" i="2"/>
  <c r="FK53" i="2"/>
  <c r="FL53" i="2"/>
  <c r="FM53" i="2"/>
  <c r="FN53" i="2"/>
  <c r="FO53" i="2"/>
  <c r="FP53" i="2"/>
  <c r="FQ53" i="2"/>
  <c r="FR53" i="2"/>
  <c r="FS53" i="2"/>
  <c r="AY54" i="2"/>
  <c r="AZ54" i="2"/>
  <c r="BA54" i="2"/>
  <c r="BB54" i="2"/>
  <c r="BC54" i="2"/>
  <c r="BD54" i="2"/>
  <c r="BF54" i="2"/>
  <c r="BG54" i="2"/>
  <c r="BH54" i="2"/>
  <c r="BI54" i="2"/>
  <c r="BJ54" i="2"/>
  <c r="BK54" i="2"/>
  <c r="BL54" i="2"/>
  <c r="BM54" i="2"/>
  <c r="BN54" i="2"/>
  <c r="BO54" i="2"/>
  <c r="BP54" i="2"/>
  <c r="BQ54" i="2"/>
  <c r="BR54" i="2"/>
  <c r="BT54" i="2"/>
  <c r="BU54" i="2"/>
  <c r="BV54" i="2"/>
  <c r="BW54" i="2"/>
  <c r="BX54" i="2"/>
  <c r="BY54" i="2"/>
  <c r="BZ54" i="2"/>
  <c r="CA54" i="2"/>
  <c r="CB54" i="2"/>
  <c r="CC54" i="2"/>
  <c r="CD54" i="2"/>
  <c r="CE54" i="2"/>
  <c r="CF54" i="2"/>
  <c r="CG54" i="2"/>
  <c r="CH54" i="2"/>
  <c r="CI54" i="2"/>
  <c r="CJ54" i="2"/>
  <c r="CK54" i="2"/>
  <c r="CL54" i="2"/>
  <c r="CM54" i="2"/>
  <c r="CO54" i="2"/>
  <c r="CP54" i="2"/>
  <c r="CQ54" i="2"/>
  <c r="CR54" i="2"/>
  <c r="CS54" i="2"/>
  <c r="CT54" i="2"/>
  <c r="CU54" i="2"/>
  <c r="CV54" i="2"/>
  <c r="CW54" i="2"/>
  <c r="CX54" i="2"/>
  <c r="CY54" i="2"/>
  <c r="CZ54" i="2"/>
  <c r="DA54" i="2"/>
  <c r="DB54" i="2"/>
  <c r="DC54" i="2"/>
  <c r="DD54" i="2"/>
  <c r="DE54" i="2"/>
  <c r="DF54" i="2"/>
  <c r="DG54" i="2"/>
  <c r="DH54" i="2"/>
  <c r="DJ54" i="2"/>
  <c r="DK54" i="2"/>
  <c r="DL54" i="2"/>
  <c r="DM54" i="2"/>
  <c r="DN54" i="2"/>
  <c r="DO54" i="2"/>
  <c r="DP54" i="2"/>
  <c r="DQ54" i="2"/>
  <c r="DR54" i="2"/>
  <c r="DS54" i="2"/>
  <c r="DT54" i="2"/>
  <c r="DU54" i="2"/>
  <c r="DV54" i="2"/>
  <c r="DW54" i="2"/>
  <c r="DX54" i="2"/>
  <c r="DY54" i="2"/>
  <c r="DZ54" i="2"/>
  <c r="EA54" i="2"/>
  <c r="EB54" i="2"/>
  <c r="EC54" i="2"/>
  <c r="EE54" i="2"/>
  <c r="EF54" i="2"/>
  <c r="EG54" i="2"/>
  <c r="EH54" i="2"/>
  <c r="EI54" i="2"/>
  <c r="EJ54" i="2"/>
  <c r="EK54" i="2"/>
  <c r="EL54" i="2"/>
  <c r="EM54" i="2"/>
  <c r="EN54" i="2"/>
  <c r="EO54" i="2"/>
  <c r="EP54" i="2"/>
  <c r="EQ54" i="2"/>
  <c r="ER54" i="2"/>
  <c r="ES54" i="2"/>
  <c r="ET54" i="2"/>
  <c r="EU54" i="2"/>
  <c r="EV54" i="2"/>
  <c r="EW54" i="2"/>
  <c r="EX54" i="2"/>
  <c r="EZ54" i="2"/>
  <c r="FA54" i="2"/>
  <c r="FB54" i="2"/>
  <c r="FC54" i="2"/>
  <c r="FD54" i="2"/>
  <c r="FE54" i="2"/>
  <c r="FF54" i="2"/>
  <c r="FG54" i="2"/>
  <c r="FH54" i="2"/>
  <c r="FI54" i="2"/>
  <c r="FJ54" i="2"/>
  <c r="FK54" i="2"/>
  <c r="FL54" i="2"/>
  <c r="FM54" i="2"/>
  <c r="FN54" i="2"/>
  <c r="FO54" i="2"/>
  <c r="FP54" i="2"/>
  <c r="FQ54" i="2"/>
  <c r="FR54" i="2"/>
  <c r="FS54" i="2"/>
  <c r="AY55" i="2"/>
  <c r="AZ55" i="2"/>
  <c r="BA55" i="2"/>
  <c r="BB55" i="2"/>
  <c r="BC55" i="2"/>
  <c r="BD55" i="2"/>
  <c r="BE55" i="2"/>
  <c r="BF55" i="2"/>
  <c r="BG55" i="2"/>
  <c r="BH55" i="2"/>
  <c r="BI55" i="2"/>
  <c r="BJ55" i="2"/>
  <c r="BK55" i="2"/>
  <c r="BL55" i="2"/>
  <c r="BM55" i="2"/>
  <c r="BN55" i="2"/>
  <c r="BO55" i="2"/>
  <c r="BP55" i="2"/>
  <c r="BQ55" i="2"/>
  <c r="BR55" i="2"/>
  <c r="BT55" i="2"/>
  <c r="BU55" i="2"/>
  <c r="BV55" i="2"/>
  <c r="BW55" i="2"/>
  <c r="BX55" i="2"/>
  <c r="BY55" i="2"/>
  <c r="BZ55" i="2"/>
  <c r="CA55" i="2"/>
  <c r="CB55" i="2"/>
  <c r="CC55" i="2"/>
  <c r="CD55" i="2"/>
  <c r="CE55" i="2"/>
  <c r="CF55" i="2"/>
  <c r="CG55" i="2"/>
  <c r="CH55" i="2"/>
  <c r="CI55" i="2"/>
  <c r="CJ55" i="2"/>
  <c r="CK55" i="2"/>
  <c r="CL55" i="2"/>
  <c r="CM55" i="2"/>
  <c r="CO55" i="2"/>
  <c r="CP55" i="2"/>
  <c r="CQ55" i="2"/>
  <c r="CR55" i="2"/>
  <c r="CS55" i="2"/>
  <c r="CT55" i="2"/>
  <c r="CU55" i="2"/>
  <c r="CV55" i="2"/>
  <c r="CW55" i="2"/>
  <c r="CX55" i="2"/>
  <c r="CY55" i="2"/>
  <c r="CZ55" i="2"/>
  <c r="DA55" i="2"/>
  <c r="DB55" i="2"/>
  <c r="DC55" i="2"/>
  <c r="DD55" i="2"/>
  <c r="DE55" i="2"/>
  <c r="DF55" i="2"/>
  <c r="DG55" i="2"/>
  <c r="DH55" i="2"/>
  <c r="DJ55" i="2"/>
  <c r="DK55" i="2"/>
  <c r="DL55" i="2"/>
  <c r="DM55" i="2"/>
  <c r="DN55" i="2"/>
  <c r="DO55" i="2"/>
  <c r="DP55" i="2"/>
  <c r="DQ55" i="2"/>
  <c r="DR55" i="2"/>
  <c r="DS55" i="2"/>
  <c r="DT55" i="2"/>
  <c r="DU55" i="2"/>
  <c r="DV55" i="2"/>
  <c r="DW55" i="2"/>
  <c r="DX55" i="2"/>
  <c r="DY55" i="2"/>
  <c r="DZ55" i="2"/>
  <c r="EA55" i="2"/>
  <c r="EB55" i="2"/>
  <c r="EC55" i="2"/>
  <c r="EE55" i="2"/>
  <c r="EF55" i="2"/>
  <c r="EG55" i="2"/>
  <c r="EH55" i="2"/>
  <c r="EI55" i="2"/>
  <c r="EJ55" i="2"/>
  <c r="EK55" i="2"/>
  <c r="EL55" i="2"/>
  <c r="EM55" i="2"/>
  <c r="EN55" i="2"/>
  <c r="EO55" i="2"/>
  <c r="EP55" i="2"/>
  <c r="EQ55" i="2"/>
  <c r="ER55" i="2"/>
  <c r="ES55" i="2"/>
  <c r="ET55" i="2"/>
  <c r="EU55" i="2"/>
  <c r="EV55" i="2"/>
  <c r="EW55" i="2"/>
  <c r="EX55" i="2"/>
  <c r="EZ55" i="2"/>
  <c r="FA55" i="2"/>
  <c r="FB55" i="2"/>
  <c r="FC55" i="2"/>
  <c r="FD55" i="2"/>
  <c r="FE55" i="2"/>
  <c r="FF55" i="2"/>
  <c r="FG55" i="2"/>
  <c r="FH55" i="2"/>
  <c r="FI55" i="2"/>
  <c r="FJ55" i="2"/>
  <c r="FK55" i="2"/>
  <c r="FL55" i="2"/>
  <c r="FM55" i="2"/>
  <c r="FN55" i="2"/>
  <c r="FO55" i="2"/>
  <c r="FP55" i="2"/>
  <c r="FQ55" i="2"/>
  <c r="FR55" i="2"/>
  <c r="FS55" i="2"/>
  <c r="AY56" i="2"/>
  <c r="AZ56" i="2"/>
  <c r="BA56" i="2"/>
  <c r="BB56" i="2"/>
  <c r="BC56" i="2"/>
  <c r="BD56" i="2"/>
  <c r="BE56" i="2"/>
  <c r="BF56" i="2"/>
  <c r="BG56" i="2"/>
  <c r="BH56" i="2"/>
  <c r="BI56" i="2"/>
  <c r="BJ56" i="2"/>
  <c r="BK56" i="2"/>
  <c r="BL56" i="2"/>
  <c r="BM56" i="2"/>
  <c r="BN56" i="2"/>
  <c r="BO56" i="2"/>
  <c r="BP56" i="2"/>
  <c r="BQ56" i="2"/>
  <c r="BR56" i="2"/>
  <c r="BT56" i="2"/>
  <c r="BU56" i="2"/>
  <c r="BV56" i="2"/>
  <c r="BW56" i="2"/>
  <c r="BX56" i="2"/>
  <c r="BY56" i="2"/>
  <c r="BZ56" i="2"/>
  <c r="CA56" i="2"/>
  <c r="CB56" i="2"/>
  <c r="CC56" i="2"/>
  <c r="CD56" i="2"/>
  <c r="CE56" i="2"/>
  <c r="CF56" i="2"/>
  <c r="CG56" i="2"/>
  <c r="CH56" i="2"/>
  <c r="CI56" i="2"/>
  <c r="CJ56" i="2"/>
  <c r="CK56" i="2"/>
  <c r="CL56" i="2"/>
  <c r="CM56" i="2"/>
  <c r="CO56" i="2"/>
  <c r="CP56" i="2"/>
  <c r="CQ56" i="2"/>
  <c r="CR56" i="2"/>
  <c r="CS56" i="2"/>
  <c r="CT56" i="2"/>
  <c r="CU56" i="2"/>
  <c r="CV56" i="2"/>
  <c r="CW56" i="2"/>
  <c r="CX56" i="2"/>
  <c r="CY56" i="2"/>
  <c r="CZ56" i="2"/>
  <c r="DA56" i="2"/>
  <c r="DB56" i="2"/>
  <c r="DC56" i="2"/>
  <c r="DD56" i="2"/>
  <c r="DE56" i="2"/>
  <c r="DF56" i="2"/>
  <c r="DG56" i="2"/>
  <c r="DH56" i="2"/>
  <c r="DJ56" i="2"/>
  <c r="DK56" i="2"/>
  <c r="DL56" i="2"/>
  <c r="DM56" i="2"/>
  <c r="DN56" i="2"/>
  <c r="DO56" i="2"/>
  <c r="DP56" i="2"/>
  <c r="DQ56" i="2"/>
  <c r="DR56" i="2"/>
  <c r="DS56" i="2"/>
  <c r="DT56" i="2"/>
  <c r="DU56" i="2"/>
  <c r="DV56" i="2"/>
  <c r="DW56" i="2"/>
  <c r="DX56" i="2"/>
  <c r="DY56" i="2"/>
  <c r="DZ56" i="2"/>
  <c r="EA56" i="2"/>
  <c r="EB56" i="2"/>
  <c r="EC56" i="2"/>
  <c r="EE56" i="2"/>
  <c r="EF56" i="2"/>
  <c r="EG56" i="2"/>
  <c r="EH56" i="2"/>
  <c r="EI56" i="2"/>
  <c r="EJ56" i="2"/>
  <c r="EK56" i="2"/>
  <c r="EL56" i="2"/>
  <c r="EM56" i="2"/>
  <c r="EN56" i="2"/>
  <c r="EO56" i="2"/>
  <c r="EP56" i="2"/>
  <c r="EQ56" i="2"/>
  <c r="ER56" i="2"/>
  <c r="ES56" i="2"/>
  <c r="ET56" i="2"/>
  <c r="EU56" i="2"/>
  <c r="EV56" i="2"/>
  <c r="EW56" i="2"/>
  <c r="EX56" i="2"/>
  <c r="EZ56" i="2"/>
  <c r="FA56" i="2"/>
  <c r="FB56" i="2"/>
  <c r="FC56" i="2"/>
  <c r="FD56" i="2"/>
  <c r="FE56" i="2"/>
  <c r="FF56" i="2"/>
  <c r="FG56" i="2"/>
  <c r="FH56" i="2"/>
  <c r="FI56" i="2"/>
  <c r="FJ56" i="2"/>
  <c r="FK56" i="2"/>
  <c r="FL56" i="2"/>
  <c r="FM56" i="2"/>
  <c r="FN56" i="2"/>
  <c r="FO56" i="2"/>
  <c r="FP56" i="2"/>
  <c r="FQ56" i="2"/>
  <c r="FR56" i="2"/>
  <c r="FS56" i="2"/>
  <c r="BR58" i="2"/>
  <c r="BQ58" i="2"/>
  <c r="BP58" i="2"/>
  <c r="BO58" i="2"/>
  <c r="BN58" i="2"/>
  <c r="BM58" i="2"/>
  <c r="BL58" i="2"/>
  <c r="BK58" i="2"/>
  <c r="BJ58" i="2"/>
  <c r="BI58" i="2"/>
  <c r="BH58" i="2"/>
  <c r="BG58" i="2"/>
  <c r="BF58" i="2"/>
  <c r="BE58" i="2"/>
  <c r="BD58" i="2"/>
  <c r="BC58" i="2"/>
  <c r="BB58" i="2"/>
  <c r="CM58" i="2"/>
  <c r="CL58" i="2"/>
  <c r="CK58" i="2"/>
  <c r="CJ58" i="2"/>
  <c r="CI58" i="2"/>
  <c r="CH58" i="2"/>
  <c r="CG58" i="2"/>
  <c r="CF58" i="2"/>
  <c r="CE58" i="2"/>
  <c r="CD58" i="2"/>
  <c r="CC58" i="2"/>
  <c r="CB58" i="2"/>
  <c r="CA58" i="2"/>
  <c r="BZ58" i="2"/>
  <c r="BY58" i="2"/>
  <c r="BX58" i="2"/>
  <c r="BW58" i="2"/>
  <c r="DH58" i="2"/>
  <c r="DG58" i="2"/>
  <c r="DF58" i="2"/>
  <c r="DE58" i="2"/>
  <c r="DD58" i="2"/>
  <c r="DC58" i="2"/>
  <c r="DB58" i="2"/>
  <c r="EC58" i="2"/>
  <c r="EB58" i="2"/>
  <c r="EA58" i="2"/>
  <c r="DZ58" i="2"/>
  <c r="DY58" i="2"/>
  <c r="DX58" i="2"/>
  <c r="EW58" i="2"/>
  <c r="EV58" i="2"/>
  <c r="EU58" i="2"/>
  <c r="EX58" i="2"/>
  <c r="ET58" i="2"/>
  <c r="ES58" i="2"/>
  <c r="ER58" i="2"/>
  <c r="EQ58" i="2"/>
  <c r="EP58" i="2"/>
  <c r="EO58" i="2"/>
  <c r="EN58" i="2"/>
  <c r="FS58" i="2"/>
  <c r="FR58" i="2"/>
  <c r="FQ58" i="2"/>
  <c r="FP58" i="2"/>
  <c r="FO58" i="2"/>
  <c r="FN58" i="2"/>
  <c r="FM58" i="2"/>
  <c r="FL58" i="2"/>
  <c r="FK58" i="2"/>
  <c r="FJ58" i="2"/>
  <c r="FI58" i="2"/>
  <c r="FH58" i="2"/>
  <c r="FG58" i="2"/>
  <c r="FF58" i="2"/>
  <c r="FE58" i="2"/>
  <c r="FD58" i="2"/>
  <c r="FC58" i="2"/>
  <c r="EM58" i="2"/>
  <c r="EL58" i="2"/>
  <c r="EK58" i="2"/>
  <c r="EJ58" i="2"/>
  <c r="EI58" i="2"/>
  <c r="EH58" i="2"/>
  <c r="DW58" i="2"/>
  <c r="DV58" i="2"/>
  <c r="DU58" i="2"/>
  <c r="DT58" i="2"/>
  <c r="DS58" i="2"/>
  <c r="DR58" i="2"/>
  <c r="DQ58" i="2"/>
  <c r="DP58" i="2"/>
  <c r="DO58" i="2"/>
  <c r="DN58" i="2"/>
  <c r="DM58" i="2"/>
  <c r="CU58" i="2"/>
  <c r="DA58" i="2"/>
  <c r="CZ58" i="2"/>
  <c r="CY58" i="2"/>
  <c r="CX58" i="2"/>
  <c r="CW58" i="2"/>
  <c r="CV58" i="2"/>
  <c r="CT58" i="2"/>
  <c r="CS58" i="2"/>
  <c r="CR58" i="2"/>
  <c r="AQ624" i="23"/>
  <c r="AP624" i="23"/>
  <c r="AP623" i="23" s="1"/>
  <c r="AO624" i="23"/>
  <c r="AO623" i="23" s="1"/>
  <c r="AN624" i="23"/>
  <c r="AN623" i="23" s="1"/>
  <c r="AM624" i="23"/>
  <c r="AM623" i="23" s="1"/>
  <c r="AL624" i="23"/>
  <c r="AS622" i="23"/>
  <c r="AR622" i="23" s="1"/>
  <c r="AS621" i="23"/>
  <c r="AR621" i="23" s="1"/>
  <c r="AS620" i="23"/>
  <c r="AR620" i="23" s="1"/>
  <c r="AS619" i="23"/>
  <c r="AR619" i="23" s="1"/>
  <c r="AS618" i="23"/>
  <c r="AR618" i="23" s="1"/>
  <c r="AS617" i="23"/>
  <c r="AR617" i="23" s="1"/>
  <c r="AS616" i="23"/>
  <c r="AR616" i="23" s="1"/>
  <c r="AS615" i="23"/>
  <c r="AR615" i="23" s="1"/>
  <c r="AS614" i="23"/>
  <c r="AR614" i="23" s="1"/>
  <c r="AS613" i="23"/>
  <c r="AR613" i="23" s="1"/>
  <c r="AS612" i="23"/>
  <c r="AR612" i="23" s="1"/>
  <c r="AS611" i="23"/>
  <c r="AR611" i="23" s="1"/>
  <c r="AS610" i="23"/>
  <c r="AR610" i="23" s="1"/>
  <c r="AS609" i="23"/>
  <c r="AR609" i="23" s="1"/>
  <c r="AS608" i="23"/>
  <c r="AR608" i="23" s="1"/>
  <c r="AS607" i="23"/>
  <c r="AR607" i="23" s="1"/>
  <c r="AS606" i="23"/>
  <c r="AR606" i="23" s="1"/>
  <c r="AS605" i="23"/>
  <c r="AR605" i="23" s="1"/>
  <c r="AS604" i="23"/>
  <c r="AR604" i="23" s="1"/>
  <c r="AS603" i="23"/>
  <c r="AR603" i="23" s="1"/>
  <c r="AO23" i="44" s="1"/>
  <c r="AS602" i="23"/>
  <c r="AR602" i="23" s="1"/>
  <c r="AO22" i="44" s="1"/>
  <c r="AS601" i="23"/>
  <c r="AR601" i="23" s="1"/>
  <c r="AN21" i="44" s="1"/>
  <c r="AS600" i="23"/>
  <c r="AR600" i="23" s="1"/>
  <c r="AM21" i="44" s="1"/>
  <c r="AD21" i="44" s="1"/>
  <c r="AS599" i="23"/>
  <c r="AR599" i="23" s="1"/>
  <c r="AL20" i="44" s="1"/>
  <c r="AS598" i="23"/>
  <c r="AR598" i="23" s="1"/>
  <c r="AQ24" i="44" s="1"/>
  <c r="AS597" i="23"/>
  <c r="AR597" i="23" s="1"/>
  <c r="AP24" i="44" s="1"/>
  <c r="AQ584" i="23"/>
  <c r="AQ583" i="23" s="1"/>
  <c r="AP584" i="23"/>
  <c r="AP583" i="23" s="1"/>
  <c r="AO584" i="23"/>
  <c r="AO583" i="23" s="1"/>
  <c r="AN584" i="23"/>
  <c r="AN583" i="23" s="1"/>
  <c r="AM584" i="23"/>
  <c r="AM583" i="23" s="1"/>
  <c r="AL584" i="23"/>
  <c r="AL583" i="23" s="1"/>
  <c r="AS582" i="23"/>
  <c r="AR582" i="23" s="1"/>
  <c r="AS581" i="23"/>
  <c r="AR581" i="23" s="1"/>
  <c r="AS580" i="23"/>
  <c r="AR580" i="23" s="1"/>
  <c r="AS579" i="23"/>
  <c r="AR579" i="23" s="1"/>
  <c r="AS578" i="23"/>
  <c r="AR578" i="23" s="1"/>
  <c r="AS577" i="23"/>
  <c r="AR577" i="23" s="1"/>
  <c r="AS576" i="23"/>
  <c r="AR576" i="23" s="1"/>
  <c r="AS575" i="23"/>
  <c r="AR575" i="23" s="1"/>
  <c r="AS574" i="23"/>
  <c r="AR574" i="23" s="1"/>
  <c r="AS573" i="23"/>
  <c r="AR573" i="23" s="1"/>
  <c r="AS572" i="23"/>
  <c r="AR572" i="23"/>
  <c r="AS571" i="23"/>
  <c r="AR571" i="23" s="1"/>
  <c r="AS570" i="23"/>
  <c r="AR570" i="23" s="1"/>
  <c r="AS569" i="23"/>
  <c r="AR569" i="23" s="1"/>
  <c r="AS568" i="23"/>
  <c r="AR568" i="23" s="1"/>
  <c r="AS567" i="23"/>
  <c r="AR567" i="23" s="1"/>
  <c r="AS566" i="23"/>
  <c r="AR566" i="23" s="1"/>
  <c r="AS565" i="23"/>
  <c r="AR565" i="23" s="1"/>
  <c r="AS564" i="23"/>
  <c r="AR564" i="23" s="1"/>
  <c r="AS563" i="23"/>
  <c r="AR563" i="23" s="1"/>
  <c r="AS562" i="23"/>
  <c r="AR562" i="23" s="1"/>
  <c r="AS561" i="23"/>
  <c r="AR561" i="23" s="1"/>
  <c r="AS560" i="23"/>
  <c r="AR560" i="23" s="1"/>
  <c r="AS559" i="23"/>
  <c r="AR559" i="23" s="1"/>
  <c r="AN20" i="44" s="1"/>
  <c r="AS558" i="23"/>
  <c r="AR558" i="23" s="1"/>
  <c r="AM20" i="44" s="1"/>
  <c r="AS557" i="23"/>
  <c r="AR557" i="23" s="1"/>
  <c r="AL19" i="44" s="1"/>
  <c r="AQ544" i="23"/>
  <c r="AQ543" i="23" s="1"/>
  <c r="AP544" i="23"/>
  <c r="AP543" i="23" s="1"/>
  <c r="AO544" i="23"/>
  <c r="AN544" i="23"/>
  <c r="AN543" i="23" s="1"/>
  <c r="AM544" i="23"/>
  <c r="AM543" i="23" s="1"/>
  <c r="AL544" i="23"/>
  <c r="AL543" i="23" s="1"/>
  <c r="AO543" i="23"/>
  <c r="AS542" i="23"/>
  <c r="AR542" i="23" s="1"/>
  <c r="AS541" i="23"/>
  <c r="AR541" i="23" s="1"/>
  <c r="AS540" i="23"/>
  <c r="AR540" i="23" s="1"/>
  <c r="AS539" i="23"/>
  <c r="AR539" i="23"/>
  <c r="AS538" i="23"/>
  <c r="AR538" i="23" s="1"/>
  <c r="AS537" i="23"/>
  <c r="AR537" i="23" s="1"/>
  <c r="AS536" i="23"/>
  <c r="AR536" i="23" s="1"/>
  <c r="AS535" i="23"/>
  <c r="AR535" i="23" s="1"/>
  <c r="AS534" i="23"/>
  <c r="AR534" i="23" s="1"/>
  <c r="AS533" i="23"/>
  <c r="AR533" i="23" s="1"/>
  <c r="AS532" i="23"/>
  <c r="AR532" i="23" s="1"/>
  <c r="AS531" i="23"/>
  <c r="AR531" i="23" s="1"/>
  <c r="AS530" i="23"/>
  <c r="AR530" i="23" s="1"/>
  <c r="AS529" i="23"/>
  <c r="AR529" i="23" s="1"/>
  <c r="AS528" i="23"/>
  <c r="AR528" i="23" s="1"/>
  <c r="AS527" i="23"/>
  <c r="AR527" i="23" s="1"/>
  <c r="AS526" i="23"/>
  <c r="AR526" i="23" s="1"/>
  <c r="AS525" i="23"/>
  <c r="AR525" i="23" s="1"/>
  <c r="AS524" i="23"/>
  <c r="AR524" i="23" s="1"/>
  <c r="AS523" i="23"/>
  <c r="AR523" i="23" s="1"/>
  <c r="AQ23" i="44" s="1"/>
  <c r="AS522" i="23"/>
  <c r="AR522" i="23" s="1"/>
  <c r="AP23" i="44" s="1"/>
  <c r="AD23" i="44" s="1"/>
  <c r="AS521" i="23"/>
  <c r="AR521" i="23" s="1"/>
  <c r="AO21" i="44" s="1"/>
  <c r="AS520" i="23"/>
  <c r="AR520" i="23" s="1"/>
  <c r="AN19" i="44" s="1"/>
  <c r="AS519" i="23"/>
  <c r="AR519" i="23" s="1"/>
  <c r="AM19" i="44" s="1"/>
  <c r="AS518" i="23"/>
  <c r="AR518" i="23" s="1"/>
  <c r="AL18" i="44" s="1"/>
  <c r="AQ504" i="23"/>
  <c r="AQ503" i="23" s="1"/>
  <c r="AP504" i="23"/>
  <c r="AP503" i="23" s="1"/>
  <c r="AO504" i="23"/>
  <c r="AN504" i="23"/>
  <c r="AN503" i="23" s="1"/>
  <c r="AM504" i="23"/>
  <c r="AM503" i="23" s="1"/>
  <c r="AL504" i="23"/>
  <c r="AL503" i="23" s="1"/>
  <c r="AO503" i="23"/>
  <c r="AS502" i="23"/>
  <c r="AR502" i="23" s="1"/>
  <c r="AS501" i="23"/>
  <c r="AR501" i="23" s="1"/>
  <c r="AS500" i="23"/>
  <c r="AR500" i="23" s="1"/>
  <c r="AS499" i="23"/>
  <c r="AR499" i="23" s="1"/>
  <c r="AS498" i="23"/>
  <c r="AR498" i="23" s="1"/>
  <c r="AS497" i="23"/>
  <c r="AR497" i="23" s="1"/>
  <c r="AS496" i="23"/>
  <c r="AR496" i="23" s="1"/>
  <c r="AS495" i="23"/>
  <c r="AR495" i="23" s="1"/>
  <c r="AS494" i="23"/>
  <c r="AR494" i="23" s="1"/>
  <c r="AS493" i="23"/>
  <c r="AR493" i="23" s="1"/>
  <c r="AS492" i="23"/>
  <c r="AR492" i="23" s="1"/>
  <c r="AS491" i="23"/>
  <c r="AR491" i="23" s="1"/>
  <c r="AS490" i="23"/>
  <c r="AR490" i="23" s="1"/>
  <c r="AS489" i="23"/>
  <c r="AR489" i="23" s="1"/>
  <c r="AS488" i="23"/>
  <c r="AR488" i="23" s="1"/>
  <c r="AS487" i="23"/>
  <c r="AR487" i="23" s="1"/>
  <c r="AS486" i="23"/>
  <c r="AR486" i="23" s="1"/>
  <c r="AS485" i="23"/>
  <c r="AR485" i="23" s="1"/>
  <c r="AS484" i="23"/>
  <c r="AR484" i="23" s="1"/>
  <c r="AS483" i="23"/>
  <c r="AR483" i="23" s="1"/>
  <c r="AS482" i="23"/>
  <c r="AR482" i="23" s="1"/>
  <c r="AQ22" i="44" s="1"/>
  <c r="AS481" i="23"/>
  <c r="AR481" i="23" s="1"/>
  <c r="AP22" i="44" s="1"/>
  <c r="AS480" i="23"/>
  <c r="AR480" i="23" s="1"/>
  <c r="AO20" i="44" s="1"/>
  <c r="AS479" i="23"/>
  <c r="AR479" i="23" s="1"/>
  <c r="AM18" i="44" s="1"/>
  <c r="AS478" i="23"/>
  <c r="AR478" i="23" s="1"/>
  <c r="AL17" i="44" s="1"/>
  <c r="AS477" i="23"/>
  <c r="AR477" i="23" s="1"/>
  <c r="AN18" i="44" s="1"/>
  <c r="AQ464" i="23"/>
  <c r="AQ463" i="23" s="1"/>
  <c r="AP464" i="23"/>
  <c r="AP463" i="23" s="1"/>
  <c r="AO464" i="23"/>
  <c r="AN464" i="23"/>
  <c r="AN463" i="23" s="1"/>
  <c r="AM464" i="23"/>
  <c r="AM463" i="23" s="1"/>
  <c r="AL464" i="23"/>
  <c r="AL463" i="23" s="1"/>
  <c r="AO463" i="23"/>
  <c r="AS462" i="23"/>
  <c r="AR462" i="23" s="1"/>
  <c r="AS461" i="23"/>
  <c r="AR461" i="23" s="1"/>
  <c r="AS460" i="23"/>
  <c r="AR460" i="23" s="1"/>
  <c r="AS459" i="23"/>
  <c r="AR459" i="23" s="1"/>
  <c r="AS458" i="23"/>
  <c r="AR458" i="23" s="1"/>
  <c r="AS457" i="23"/>
  <c r="AR457" i="23" s="1"/>
  <c r="AS456" i="23"/>
  <c r="AR456" i="23" s="1"/>
  <c r="AS455" i="23"/>
  <c r="AR455" i="23" s="1"/>
  <c r="AS454" i="23"/>
  <c r="AR454" i="23" s="1"/>
  <c r="AS453" i="23"/>
  <c r="AR453" i="23" s="1"/>
  <c r="AS452" i="23"/>
  <c r="AR452" i="23" s="1"/>
  <c r="AS451" i="23"/>
  <c r="AR451" i="23" s="1"/>
  <c r="AS450" i="23"/>
  <c r="AR450" i="23"/>
  <c r="AS449" i="23"/>
  <c r="AR449" i="23" s="1"/>
  <c r="AS448" i="23"/>
  <c r="AR448" i="23" s="1"/>
  <c r="AS447" i="23"/>
  <c r="AR447" i="23"/>
  <c r="AS446" i="23"/>
  <c r="AR446" i="23" s="1"/>
  <c r="AS445" i="23"/>
  <c r="AR445" i="23" s="1"/>
  <c r="AS444" i="23"/>
  <c r="AR444" i="23" s="1"/>
  <c r="AS443" i="23"/>
  <c r="AR443" i="23" s="1"/>
  <c r="AS442" i="23"/>
  <c r="AR442" i="23" s="1"/>
  <c r="AP21" i="44" s="1"/>
  <c r="AS441" i="23"/>
  <c r="AR441" i="23" s="1"/>
  <c r="AO19" i="44" s="1"/>
  <c r="AS440" i="23"/>
  <c r="AR440" i="23" s="1"/>
  <c r="AN17" i="44" s="1"/>
  <c r="AS438" i="23"/>
  <c r="AR438" i="23" s="1"/>
  <c r="AL16" i="44" s="1"/>
  <c r="AS437" i="23"/>
  <c r="AR437" i="23" s="1"/>
  <c r="AQ21" i="44" s="1"/>
  <c r="AQ424" i="23"/>
  <c r="AQ423" i="23" s="1"/>
  <c r="AP424" i="23"/>
  <c r="AP423" i="23" s="1"/>
  <c r="AO424" i="23"/>
  <c r="AN424" i="23"/>
  <c r="AM424" i="23"/>
  <c r="AM423" i="23" s="1"/>
  <c r="AL424" i="23"/>
  <c r="AL423" i="23" s="1"/>
  <c r="AO423" i="23"/>
  <c r="AN423" i="23"/>
  <c r="AS422" i="23"/>
  <c r="AR422" i="23" s="1"/>
  <c r="AS421" i="23"/>
  <c r="AR421" i="23" s="1"/>
  <c r="AS420" i="23"/>
  <c r="AR420" i="23" s="1"/>
  <c r="AS419" i="23"/>
  <c r="AR419" i="23" s="1"/>
  <c r="AS418" i="23"/>
  <c r="AR418" i="23" s="1"/>
  <c r="AS417" i="23"/>
  <c r="AR417" i="23" s="1"/>
  <c r="AS416" i="23"/>
  <c r="AR416" i="23" s="1"/>
  <c r="AS415" i="23"/>
  <c r="AR415" i="23" s="1"/>
  <c r="AS414" i="23"/>
  <c r="AR414" i="23" s="1"/>
  <c r="AS413" i="23"/>
  <c r="AR413" i="23" s="1"/>
  <c r="AS412" i="23"/>
  <c r="AR412" i="23" s="1"/>
  <c r="AS411" i="23"/>
  <c r="AR411" i="23" s="1"/>
  <c r="AS410" i="23"/>
  <c r="AR410" i="23" s="1"/>
  <c r="AS409" i="23"/>
  <c r="AR409" i="23" s="1"/>
  <c r="AS408" i="23"/>
  <c r="AR408" i="23" s="1"/>
  <c r="AS407" i="23"/>
  <c r="AR407" i="23" s="1"/>
  <c r="AS406" i="23"/>
  <c r="AR406" i="23" s="1"/>
  <c r="AS405" i="23"/>
  <c r="AR405" i="23" s="1"/>
  <c r="AS404" i="23"/>
  <c r="AR404" i="23" s="1"/>
  <c r="AQ20" i="44" s="1"/>
  <c r="AS403" i="23"/>
  <c r="AR403" i="23" s="1"/>
  <c r="AS402" i="23"/>
  <c r="AR402" i="23" s="1"/>
  <c r="AO18" i="44" s="1"/>
  <c r="AS401" i="23"/>
  <c r="AR401" i="23" s="1"/>
  <c r="AS400" i="23"/>
  <c r="AR400" i="23" s="1"/>
  <c r="AN16" i="44" s="1"/>
  <c r="AS399" i="23"/>
  <c r="AR399" i="23" s="1"/>
  <c r="AM16" i="44" s="1"/>
  <c r="AS398" i="23"/>
  <c r="AR398" i="23" s="1"/>
  <c r="AL15" i="44" s="1"/>
  <c r="AQ384" i="23"/>
  <c r="AQ383" i="23" s="1"/>
  <c r="AP384" i="23"/>
  <c r="AP383" i="23" s="1"/>
  <c r="AO384" i="23"/>
  <c r="AO383" i="23" s="1"/>
  <c r="AN384" i="23"/>
  <c r="AN383" i="23" s="1"/>
  <c r="AM384" i="23"/>
  <c r="AM383" i="23" s="1"/>
  <c r="AL384" i="23"/>
  <c r="AL383" i="23" s="1"/>
  <c r="AS382" i="23"/>
  <c r="AR382" i="23" s="1"/>
  <c r="AS381" i="23"/>
  <c r="AR381" i="23" s="1"/>
  <c r="AS380" i="23"/>
  <c r="AR380" i="23" s="1"/>
  <c r="AS379" i="23"/>
  <c r="AR379" i="23" s="1"/>
  <c r="AS378" i="23"/>
  <c r="AR378" i="23" s="1"/>
  <c r="AS377" i="23"/>
  <c r="AR377" i="23" s="1"/>
  <c r="AS376" i="23"/>
  <c r="AR376" i="23" s="1"/>
  <c r="AS375" i="23"/>
  <c r="AR375" i="23" s="1"/>
  <c r="AS374" i="23"/>
  <c r="AR374" i="23" s="1"/>
  <c r="AS373" i="23"/>
  <c r="AR373" i="23" s="1"/>
  <c r="AS372" i="23"/>
  <c r="AR372" i="23" s="1"/>
  <c r="AS371" i="23"/>
  <c r="AR371" i="23" s="1"/>
  <c r="AS370" i="23"/>
  <c r="AR370" i="23" s="1"/>
  <c r="AS369" i="23"/>
  <c r="AR369" i="23" s="1"/>
  <c r="AS368" i="23"/>
  <c r="AR368" i="23" s="1"/>
  <c r="AQ17" i="44" s="1"/>
  <c r="AS367" i="23"/>
  <c r="AR367" i="23" s="1"/>
  <c r="AP18" i="44" s="1"/>
  <c r="AS366" i="23"/>
  <c r="AR366" i="23" s="1"/>
  <c r="AP17" i="44" s="1"/>
  <c r="AS365" i="23"/>
  <c r="AR365" i="23" s="1"/>
  <c r="AO15" i="44" s="1"/>
  <c r="AS364" i="23"/>
  <c r="AR364" i="23" s="1"/>
  <c r="AO14" i="44" s="1"/>
  <c r="AS363" i="23"/>
  <c r="AR363" i="23" s="1"/>
  <c r="AN15" i="44" s="1"/>
  <c r="AS362" i="23"/>
  <c r="AR362" i="23" s="1"/>
  <c r="AN14" i="44" s="1"/>
  <c r="AS361" i="23"/>
  <c r="AR361" i="23" s="1"/>
  <c r="AM15" i="44" s="1"/>
  <c r="AS360" i="23"/>
  <c r="AR360" i="23" s="1"/>
  <c r="AM14" i="44" s="1"/>
  <c r="AS359" i="23"/>
  <c r="AR359" i="23" s="1"/>
  <c r="AL14" i="44" s="1"/>
  <c r="AS358" i="23"/>
  <c r="AR358" i="23" s="1"/>
  <c r="AL13" i="44" s="1"/>
  <c r="AS357" i="23"/>
  <c r="AR357" i="23" s="1"/>
  <c r="AQ344" i="23"/>
  <c r="AP344" i="23"/>
  <c r="AP343" i="23" s="1"/>
  <c r="AO344" i="23"/>
  <c r="AO343" i="23" s="1"/>
  <c r="AN344" i="23"/>
  <c r="AN343" i="23" s="1"/>
  <c r="AM344" i="23"/>
  <c r="AL344" i="23"/>
  <c r="AL343" i="23" s="1"/>
  <c r="AQ343" i="23"/>
  <c r="AM343" i="23"/>
  <c r="AS342" i="23"/>
  <c r="AR342" i="23" s="1"/>
  <c r="AS341" i="23"/>
  <c r="AR341" i="23" s="1"/>
  <c r="AS340" i="23"/>
  <c r="AR340" i="23" s="1"/>
  <c r="AS339" i="23"/>
  <c r="AR339" i="23" s="1"/>
  <c r="AS338" i="23"/>
  <c r="AR338" i="23" s="1"/>
  <c r="AS337" i="23"/>
  <c r="AR337" i="23" s="1"/>
  <c r="AS336" i="23"/>
  <c r="AR336" i="23" s="1"/>
  <c r="AS335" i="23"/>
  <c r="AR335" i="23" s="1"/>
  <c r="AS334" i="23"/>
  <c r="AR334" i="23" s="1"/>
  <c r="AS333" i="23"/>
  <c r="AR333" i="23" s="1"/>
  <c r="AS332" i="23"/>
  <c r="AR332" i="23" s="1"/>
  <c r="AS331" i="23"/>
  <c r="AR331" i="23" s="1"/>
  <c r="AS330" i="23"/>
  <c r="AR330" i="23" s="1"/>
  <c r="AS329" i="23"/>
  <c r="AR329" i="23" s="1"/>
  <c r="AS328" i="23"/>
  <c r="AR328" i="23" s="1"/>
  <c r="AS327" i="23"/>
  <c r="AR327" i="23" s="1"/>
  <c r="AS326" i="23"/>
  <c r="AR326" i="23" s="1"/>
  <c r="AS325" i="23"/>
  <c r="AR325" i="23" s="1"/>
  <c r="AS324" i="23"/>
  <c r="AR324" i="23" s="1"/>
  <c r="AS323" i="23"/>
  <c r="AR323" i="23" s="1"/>
  <c r="AS322" i="23"/>
  <c r="AR322" i="23" s="1"/>
  <c r="AS321" i="23"/>
  <c r="AR321" i="23" s="1"/>
  <c r="AS320" i="23"/>
  <c r="AR320" i="23" s="1"/>
  <c r="AS319" i="23"/>
  <c r="AR319" i="23" s="1"/>
  <c r="AS318" i="23"/>
  <c r="AR318" i="23" s="1"/>
  <c r="AS317" i="23"/>
  <c r="AR317" i="23" s="1"/>
  <c r="AQ304" i="23"/>
  <c r="AQ303" i="23" s="1"/>
  <c r="AP304" i="23"/>
  <c r="AP303" i="23" s="1"/>
  <c r="AO304" i="23"/>
  <c r="AN304" i="23"/>
  <c r="AN303" i="23" s="1"/>
  <c r="AM304" i="23"/>
  <c r="AM303" i="23" s="1"/>
  <c r="AL304" i="23"/>
  <c r="AL303" i="23" s="1"/>
  <c r="AO303" i="23"/>
  <c r="AS302" i="23"/>
  <c r="AR302" i="23" s="1"/>
  <c r="AS301" i="23"/>
  <c r="AR301" i="23" s="1"/>
  <c r="AS300" i="23"/>
  <c r="AR300" i="23" s="1"/>
  <c r="AS299" i="23"/>
  <c r="AR299" i="23" s="1"/>
  <c r="AS298" i="23"/>
  <c r="AR298" i="23" s="1"/>
  <c r="AS297" i="23"/>
  <c r="AR297" i="23" s="1"/>
  <c r="AS296" i="23"/>
  <c r="AR296" i="23" s="1"/>
  <c r="AS295" i="23"/>
  <c r="AR295" i="23" s="1"/>
  <c r="AS294" i="23"/>
  <c r="AR294" i="23" s="1"/>
  <c r="AS293" i="23"/>
  <c r="AR293" i="23" s="1"/>
  <c r="AS292" i="23"/>
  <c r="AR292" i="23" s="1"/>
  <c r="AS291" i="23"/>
  <c r="AR291" i="23" s="1"/>
  <c r="AS290" i="23"/>
  <c r="AR290" i="23" s="1"/>
  <c r="AS289" i="23"/>
  <c r="AR289" i="23" s="1"/>
  <c r="AS288" i="23"/>
  <c r="AR288" i="23" s="1"/>
  <c r="AS287" i="23"/>
  <c r="AR287" i="23" s="1"/>
  <c r="AS286" i="23"/>
  <c r="AR286" i="23" s="1"/>
  <c r="AS285" i="23"/>
  <c r="AR285" i="23" s="1"/>
  <c r="AS284" i="23"/>
  <c r="AR284" i="23" s="1"/>
  <c r="AS283" i="23"/>
  <c r="AR283" i="23" s="1"/>
  <c r="AQ16" i="44" s="1"/>
  <c r="AS282" i="23"/>
  <c r="AR282" i="23" s="1"/>
  <c r="AP16" i="44" s="1"/>
  <c r="AS281" i="23"/>
  <c r="AR281" i="23" s="1"/>
  <c r="AP15" i="44" s="1"/>
  <c r="AS280" i="23"/>
  <c r="AR280" i="23" s="1"/>
  <c r="AO13" i="44" s="1"/>
  <c r="AS279" i="23"/>
  <c r="AR279" i="23" s="1"/>
  <c r="AN13" i="44" s="1"/>
  <c r="AS278" i="23"/>
  <c r="AR278" i="23" s="1"/>
  <c r="AM13" i="44" s="1"/>
  <c r="AS277" i="23"/>
  <c r="AR277" i="23" s="1"/>
  <c r="AQ264" i="23"/>
  <c r="AQ263" i="23" s="1"/>
  <c r="AP264" i="23"/>
  <c r="AP263" i="23" s="1"/>
  <c r="AO264" i="23"/>
  <c r="AO263" i="23" s="1"/>
  <c r="AN264" i="23"/>
  <c r="AN263" i="23" s="1"/>
  <c r="AM264" i="23"/>
  <c r="AM263" i="23" s="1"/>
  <c r="AL264" i="23"/>
  <c r="AL263" i="23" s="1"/>
  <c r="AS262" i="23"/>
  <c r="AR262" i="23" s="1"/>
  <c r="AS261" i="23"/>
  <c r="AR261" i="23" s="1"/>
  <c r="AS260" i="23"/>
  <c r="AR260" i="23" s="1"/>
  <c r="AS259" i="23"/>
  <c r="AR259" i="23" s="1"/>
  <c r="AS258" i="23"/>
  <c r="AR258" i="23" s="1"/>
  <c r="AS257" i="23"/>
  <c r="AR257" i="23" s="1"/>
  <c r="AS256" i="23"/>
  <c r="AR256" i="23" s="1"/>
  <c r="AS255" i="23"/>
  <c r="AR255" i="23" s="1"/>
  <c r="AS254" i="23"/>
  <c r="AR254" i="23" s="1"/>
  <c r="AS253" i="23"/>
  <c r="AR253" i="23" s="1"/>
  <c r="AS252" i="23"/>
  <c r="AR252" i="23" s="1"/>
  <c r="AS251" i="23"/>
  <c r="AR251" i="23" s="1"/>
  <c r="AS250" i="23"/>
  <c r="AR250" i="23" s="1"/>
  <c r="AQ15" i="44" s="1"/>
  <c r="AS249" i="23"/>
  <c r="AR249" i="23" s="1"/>
  <c r="AQ14" i="44" s="1"/>
  <c r="AS248" i="23"/>
  <c r="AR248" i="23" s="1"/>
  <c r="AQ13" i="44" s="1"/>
  <c r="AS247" i="23"/>
  <c r="AR247" i="23" s="1"/>
  <c r="AP14" i="44" s="1"/>
  <c r="AS246" i="23"/>
  <c r="AR246" i="23" s="1"/>
  <c r="AP13" i="44" s="1"/>
  <c r="AS245" i="23"/>
  <c r="AR245" i="23" s="1"/>
  <c r="AO12" i="44" s="1"/>
  <c r="AS244" i="23"/>
  <c r="AR244" i="23" s="1"/>
  <c r="AO11" i="44" s="1"/>
  <c r="AS243" i="23"/>
  <c r="AR243" i="23" s="1"/>
  <c r="AN12" i="44" s="1"/>
  <c r="AS242" i="23"/>
  <c r="AR242" i="23" s="1"/>
  <c r="AN11" i="44" s="1"/>
  <c r="AS241" i="23"/>
  <c r="AR241" i="23" s="1"/>
  <c r="AM12" i="44" s="1"/>
  <c r="AS240" i="23"/>
  <c r="AR240" i="23" s="1"/>
  <c r="AM11" i="44" s="1"/>
  <c r="AS239" i="23"/>
  <c r="AR239" i="23" s="1"/>
  <c r="AL12" i="44" s="1"/>
  <c r="AS238" i="23"/>
  <c r="AR238" i="23" s="1"/>
  <c r="AL11" i="44" s="1"/>
  <c r="AS237" i="23"/>
  <c r="AR237" i="23" s="1"/>
  <c r="AQ224" i="23"/>
  <c r="AQ223" i="23" s="1"/>
  <c r="AP224" i="23"/>
  <c r="AP223" i="23" s="1"/>
  <c r="AO224" i="23"/>
  <c r="AO223" i="23" s="1"/>
  <c r="AN224" i="23"/>
  <c r="AN223" i="23" s="1"/>
  <c r="AM224" i="23"/>
  <c r="AM223" i="23" s="1"/>
  <c r="AL224" i="23"/>
  <c r="AL223" i="23" s="1"/>
  <c r="AS222" i="23"/>
  <c r="AR222" i="23" s="1"/>
  <c r="AS221" i="23"/>
  <c r="AR221" i="23" s="1"/>
  <c r="AS220" i="23"/>
  <c r="AR220" i="23" s="1"/>
  <c r="AS219" i="23"/>
  <c r="AR219" i="23" s="1"/>
  <c r="AS218" i="23"/>
  <c r="AR218" i="23" s="1"/>
  <c r="AS217" i="23"/>
  <c r="AR217" i="23" s="1"/>
  <c r="AS216" i="23"/>
  <c r="AR216" i="23" s="1"/>
  <c r="AS215" i="23"/>
  <c r="AR215" i="23" s="1"/>
  <c r="AS214" i="23"/>
  <c r="AR214" i="23" s="1"/>
  <c r="AS213" i="23"/>
  <c r="AR213" i="23" s="1"/>
  <c r="AS212" i="23"/>
  <c r="AR212" i="23" s="1"/>
  <c r="AS211" i="23"/>
  <c r="AR211" i="23" s="1"/>
  <c r="AS210" i="23"/>
  <c r="AR210" i="23" s="1"/>
  <c r="AS209" i="23"/>
  <c r="AR209" i="23" s="1"/>
  <c r="AS208" i="23"/>
  <c r="AR208" i="23" s="1"/>
  <c r="AS207" i="23"/>
  <c r="AR207" i="23" s="1"/>
  <c r="AS206" i="23"/>
  <c r="AR206" i="23" s="1"/>
  <c r="AQ12" i="44" s="1"/>
  <c r="AS205" i="23"/>
  <c r="AR205" i="23" s="1"/>
  <c r="AQ11" i="44" s="1"/>
  <c r="AS204" i="23"/>
  <c r="AR204" i="23" s="1"/>
  <c r="AP12" i="44" s="1"/>
  <c r="AS203" i="23"/>
  <c r="AR203" i="23" s="1"/>
  <c r="AP11" i="44" s="1"/>
  <c r="AS202" i="23"/>
  <c r="AR202" i="23" s="1"/>
  <c r="AP10" i="44" s="1"/>
  <c r="AS201" i="23"/>
  <c r="AR201" i="23" s="1"/>
  <c r="AO10" i="44" s="1"/>
  <c r="AS200" i="23"/>
  <c r="AR200" i="23" s="1"/>
  <c r="AN10" i="44" s="1"/>
  <c r="AS199" i="23"/>
  <c r="AR199" i="23" s="1"/>
  <c r="AM10" i="44" s="1"/>
  <c r="AS198" i="23"/>
  <c r="AR198" i="23" s="1"/>
  <c r="AL10" i="44" s="1"/>
  <c r="AD10" i="44" s="1"/>
  <c r="AS197" i="23"/>
  <c r="AR197" i="23" s="1"/>
  <c r="AQ184" i="23"/>
  <c r="AQ183" i="23" s="1"/>
  <c r="AP184" i="23"/>
  <c r="AP183" i="23" s="1"/>
  <c r="AO184" i="23"/>
  <c r="AO183" i="23" s="1"/>
  <c r="AN184" i="23"/>
  <c r="AN183" i="23" s="1"/>
  <c r="AM184" i="23"/>
  <c r="AM183" i="23" s="1"/>
  <c r="AL184" i="23"/>
  <c r="AL183" i="23" s="1"/>
  <c r="AS182" i="23"/>
  <c r="AR182" i="23" s="1"/>
  <c r="AS181" i="23"/>
  <c r="AR181" i="23" s="1"/>
  <c r="AS180" i="23"/>
  <c r="AR180" i="23" s="1"/>
  <c r="AS179" i="23"/>
  <c r="AR179" i="23" s="1"/>
  <c r="AS178" i="23"/>
  <c r="AR178" i="23" s="1"/>
  <c r="AS177" i="23"/>
  <c r="AR177" i="23" s="1"/>
  <c r="AS176" i="23"/>
  <c r="AR176" i="23" s="1"/>
  <c r="AS175" i="23"/>
  <c r="AR175" i="23" s="1"/>
  <c r="AS174" i="23"/>
  <c r="AR174" i="23" s="1"/>
  <c r="AS173" i="23"/>
  <c r="AR173" i="23"/>
  <c r="AS172" i="23"/>
  <c r="AR172" i="23" s="1"/>
  <c r="AS171" i="23"/>
  <c r="AR171" i="23" s="1"/>
  <c r="AS170" i="23"/>
  <c r="AR170" i="23" s="1"/>
  <c r="AS169" i="23"/>
  <c r="AR169" i="23" s="1"/>
  <c r="AQ10" i="44" s="1"/>
  <c r="AS168" i="23"/>
  <c r="AR168" i="23" s="1"/>
  <c r="AQ9" i="44" s="1"/>
  <c r="AS167" i="23"/>
  <c r="AR167" i="23" s="1"/>
  <c r="AP9" i="44" s="1"/>
  <c r="AS166" i="23"/>
  <c r="AR166" i="23" s="1"/>
  <c r="AP8" i="44" s="1"/>
  <c r="AS165" i="23"/>
  <c r="AR165" i="23" s="1"/>
  <c r="AO9" i="44" s="1"/>
  <c r="AS164" i="23"/>
  <c r="AR164" i="23" s="1"/>
  <c r="AO8" i="44" s="1"/>
  <c r="AS163" i="23"/>
  <c r="AR163" i="23" s="1"/>
  <c r="AN9" i="44" s="1"/>
  <c r="AS162" i="23"/>
  <c r="AR162" i="23" s="1"/>
  <c r="AN8" i="44" s="1"/>
  <c r="AS161" i="23"/>
  <c r="AR161" i="23" s="1"/>
  <c r="AM9" i="44" s="1"/>
  <c r="AS160" i="23"/>
  <c r="AR160" i="23" s="1"/>
  <c r="AM8" i="44" s="1"/>
  <c r="AS159" i="23"/>
  <c r="AR159" i="23" s="1"/>
  <c r="AL9" i="44" s="1"/>
  <c r="AS158" i="23"/>
  <c r="AR158" i="23" s="1"/>
  <c r="AL8" i="44" s="1"/>
  <c r="AS157" i="23"/>
  <c r="AR157" i="23" s="1"/>
  <c r="AQ144" i="23"/>
  <c r="AQ143" i="23" s="1"/>
  <c r="AP144" i="23"/>
  <c r="AP143" i="23" s="1"/>
  <c r="AO144" i="23"/>
  <c r="AO143" i="23" s="1"/>
  <c r="AN144" i="23"/>
  <c r="AN143" i="23" s="1"/>
  <c r="AM144" i="23"/>
  <c r="AM143" i="23" s="1"/>
  <c r="AL144" i="23"/>
  <c r="AL143" i="23" s="1"/>
  <c r="AS142" i="23"/>
  <c r="AR142" i="23" s="1"/>
  <c r="AS141" i="23"/>
  <c r="AR141" i="23" s="1"/>
  <c r="AS140" i="23"/>
  <c r="AR140" i="23" s="1"/>
  <c r="AS139" i="23"/>
  <c r="AR139" i="23" s="1"/>
  <c r="AS138" i="23"/>
  <c r="AR138" i="23" s="1"/>
  <c r="AS137" i="23"/>
  <c r="AR137" i="23" s="1"/>
  <c r="AS136" i="23"/>
  <c r="AR136" i="23" s="1"/>
  <c r="AS135" i="23"/>
  <c r="AR135" i="23" s="1"/>
  <c r="AS134" i="23"/>
  <c r="AR134" i="23" s="1"/>
  <c r="AS133" i="23"/>
  <c r="AR133" i="23" s="1"/>
  <c r="AS132" i="23"/>
  <c r="AR132" i="23" s="1"/>
  <c r="AS131" i="23"/>
  <c r="AR131" i="23" s="1"/>
  <c r="AS130" i="23"/>
  <c r="AR130" i="23" s="1"/>
  <c r="AS129" i="23"/>
  <c r="AR129" i="23" s="1"/>
  <c r="AS128" i="23"/>
  <c r="AR128" i="23" s="1"/>
  <c r="AQ8" i="44" s="1"/>
  <c r="AS127" i="23"/>
  <c r="AR127" i="23" s="1"/>
  <c r="AQ7" i="44" s="1"/>
  <c r="AS126" i="23"/>
  <c r="AR126" i="23" s="1"/>
  <c r="AP7" i="44" s="1"/>
  <c r="AS125" i="23"/>
  <c r="AR125" i="23" s="1"/>
  <c r="AP6" i="44" s="1"/>
  <c r="AS124" i="23"/>
  <c r="AR124" i="23" s="1"/>
  <c r="AO7" i="44" s="1"/>
  <c r="AS123" i="23"/>
  <c r="AR123" i="23" s="1"/>
  <c r="AO6" i="44" s="1"/>
  <c r="AS122" i="23"/>
  <c r="AR122" i="23" s="1"/>
  <c r="AN7" i="44" s="1"/>
  <c r="AS121" i="23"/>
  <c r="AR121" i="23" s="1"/>
  <c r="AM7" i="44" s="1"/>
  <c r="AS120" i="23"/>
  <c r="AR120" i="23" s="1"/>
  <c r="AM6" i="44" s="1"/>
  <c r="AS119" i="23"/>
  <c r="AR119" i="23" s="1"/>
  <c r="AL7" i="44" s="1"/>
  <c r="AS118" i="23"/>
  <c r="AR118" i="23" s="1"/>
  <c r="AL6" i="44" s="1"/>
  <c r="AD6" i="44" s="1"/>
  <c r="AS117" i="23"/>
  <c r="AR117" i="23" s="1"/>
  <c r="AQ104" i="23"/>
  <c r="AQ103" i="23" s="1"/>
  <c r="AP104" i="23"/>
  <c r="AP103" i="23" s="1"/>
  <c r="AO104" i="23"/>
  <c r="AO103" i="23" s="1"/>
  <c r="AN104" i="23"/>
  <c r="AN103" i="23" s="1"/>
  <c r="AM104" i="23"/>
  <c r="AM103" i="23" s="1"/>
  <c r="AL104" i="23"/>
  <c r="AL103" i="23" s="1"/>
  <c r="AS102" i="23"/>
  <c r="AR102" i="23" s="1"/>
  <c r="AS101" i="23"/>
  <c r="AR101" i="23" s="1"/>
  <c r="AS100" i="23"/>
  <c r="AR100" i="23" s="1"/>
  <c r="AS99" i="23"/>
  <c r="AR99" i="23" s="1"/>
  <c r="AS98" i="23"/>
  <c r="AR98" i="23" s="1"/>
  <c r="AS97" i="23"/>
  <c r="AR97" i="23" s="1"/>
  <c r="AS96" i="23"/>
  <c r="AR96" i="23" s="1"/>
  <c r="AS95" i="23"/>
  <c r="AR95" i="23" s="1"/>
  <c r="AS94" i="23"/>
  <c r="AR94" i="23" s="1"/>
  <c r="AS93" i="23"/>
  <c r="AR93" i="23" s="1"/>
  <c r="AS92" i="23"/>
  <c r="AR92" i="23" s="1"/>
  <c r="AS91" i="23"/>
  <c r="AR91" i="23" s="1"/>
  <c r="AQ6" i="44" s="1"/>
  <c r="AS90" i="23"/>
  <c r="AR90" i="23" s="1"/>
  <c r="AQ5" i="44" s="1"/>
  <c r="AS89" i="23"/>
  <c r="AR89" i="23" s="1"/>
  <c r="AQ4" i="44" s="1"/>
  <c r="AS88" i="23"/>
  <c r="AR88" i="23" s="1"/>
  <c r="AP5" i="44" s="1"/>
  <c r="AS87" i="23"/>
  <c r="AR87" i="23" s="1"/>
  <c r="AP4" i="44" s="1"/>
  <c r="AS86" i="23"/>
  <c r="AR86" i="23" s="1"/>
  <c r="AO5" i="44" s="1"/>
  <c r="AS85" i="23"/>
  <c r="AR85" i="23" s="1"/>
  <c r="AO4" i="44" s="1"/>
  <c r="AS84" i="23"/>
  <c r="AR84" i="23" s="1"/>
  <c r="AN6" i="44" s="1"/>
  <c r="AS83" i="23"/>
  <c r="AR83" i="23" s="1"/>
  <c r="AN5" i="44" s="1"/>
  <c r="AS82" i="23"/>
  <c r="AR82" i="23" s="1"/>
  <c r="AN4" i="44" s="1"/>
  <c r="AS81" i="23"/>
  <c r="AR81" i="23" s="1"/>
  <c r="AM5" i="44" s="1"/>
  <c r="AS80" i="23"/>
  <c r="AR80" i="23" s="1"/>
  <c r="AM4" i="44" s="1"/>
  <c r="AS79" i="23"/>
  <c r="AR79" i="23" s="1"/>
  <c r="AL5" i="44" s="1"/>
  <c r="AS78" i="23"/>
  <c r="AR78" i="23" s="1"/>
  <c r="AL4" i="44" s="1"/>
  <c r="AD4" i="44" s="1"/>
  <c r="AS77" i="23"/>
  <c r="AR77" i="23" s="1"/>
  <c r="AS38" i="23"/>
  <c r="AR38" i="23" s="1"/>
  <c r="AL2" i="44" s="1"/>
  <c r="AS39" i="23"/>
  <c r="AR39" i="23" s="1"/>
  <c r="AL3" i="44" s="1"/>
  <c r="AS40" i="23"/>
  <c r="AR40" i="23" s="1"/>
  <c r="AM2" i="44" s="1"/>
  <c r="AS41" i="23"/>
  <c r="AR41" i="23" s="1"/>
  <c r="AM3" i="44" s="1"/>
  <c r="AS42" i="23"/>
  <c r="AR42" i="23" s="1"/>
  <c r="AN2" i="44" s="1"/>
  <c r="AS43" i="23"/>
  <c r="AR43" i="23" s="1"/>
  <c r="AN3" i="44" s="1"/>
  <c r="AS44" i="23"/>
  <c r="AR44" i="23" s="1"/>
  <c r="AO2" i="44" s="1"/>
  <c r="AS45" i="23"/>
  <c r="AR45" i="23" s="1"/>
  <c r="AO3" i="44" s="1"/>
  <c r="AS46" i="23"/>
  <c r="AR46" i="23" s="1"/>
  <c r="AP2" i="44" s="1"/>
  <c r="AS47" i="23"/>
  <c r="AR47" i="23" s="1"/>
  <c r="AP3" i="44" s="1"/>
  <c r="AS48" i="23"/>
  <c r="AR48" i="23" s="1"/>
  <c r="AQ2" i="44" s="1"/>
  <c r="AS49" i="23"/>
  <c r="AR49" i="23" s="1"/>
  <c r="AQ3" i="44" s="1"/>
  <c r="AS50" i="23"/>
  <c r="AR50" i="23" s="1"/>
  <c r="AS51" i="23"/>
  <c r="AR51" i="23" s="1"/>
  <c r="AS52" i="23"/>
  <c r="AR52" i="23" s="1"/>
  <c r="AS53" i="23"/>
  <c r="AR53" i="23" s="1"/>
  <c r="AS54" i="23"/>
  <c r="AR54" i="23" s="1"/>
  <c r="AS55" i="23"/>
  <c r="AR55" i="23" s="1"/>
  <c r="AS56" i="23"/>
  <c r="AR56" i="23" s="1"/>
  <c r="AS57" i="23"/>
  <c r="AR57" i="23" s="1"/>
  <c r="AS58" i="23"/>
  <c r="AR58" i="23" s="1"/>
  <c r="AS59" i="23"/>
  <c r="AR59" i="23" s="1"/>
  <c r="AS60" i="23"/>
  <c r="AR60" i="23" s="1"/>
  <c r="AS61" i="23"/>
  <c r="AR61" i="23" s="1"/>
  <c r="AS62" i="23"/>
  <c r="AR62" i="23" s="1"/>
  <c r="AS37" i="23"/>
  <c r="AR37" i="23" s="1"/>
  <c r="AM64" i="23"/>
  <c r="AM63" i="23" s="1"/>
  <c r="AN64" i="23"/>
  <c r="AN63" i="23" s="1"/>
  <c r="AO64" i="23"/>
  <c r="AO63" i="23" s="1"/>
  <c r="AP64" i="23"/>
  <c r="AP63" i="23" s="1"/>
  <c r="AQ64" i="23"/>
  <c r="AQ63" i="23" s="1"/>
  <c r="AL64" i="23"/>
  <c r="AL63" i="23" s="1"/>
  <c r="AD2" i="44" l="1"/>
  <c r="AD5" i="44"/>
  <c r="AD9" i="44"/>
  <c r="J18" i="2"/>
  <c r="AD17" i="44"/>
  <c r="AD13" i="44"/>
  <c r="AD12" i="44"/>
  <c r="AD11" i="44"/>
  <c r="AD16" i="44"/>
  <c r="AD3" i="44"/>
  <c r="AD14" i="44"/>
  <c r="AD15" i="44"/>
  <c r="AL623" i="23"/>
  <c r="AL663" i="23"/>
  <c r="AD20" i="44"/>
  <c r="AQ623" i="23"/>
  <c r="AQ663" i="23"/>
  <c r="AO17" i="44"/>
  <c r="AO16" i="44"/>
  <c r="AQ19" i="44"/>
  <c r="AD19" i="44" s="1"/>
  <c r="AQ18" i="44"/>
  <c r="AD18" i="44" s="1"/>
  <c r="AD7" i="44"/>
  <c r="AD8" i="44"/>
  <c r="AP19" i="44"/>
  <c r="AP20" i="44"/>
  <c r="AS343" i="23"/>
  <c r="AR343" i="23" s="1"/>
  <c r="AS223" i="23"/>
  <c r="AR223" i="23" s="1"/>
  <c r="AS183" i="23"/>
  <c r="AR183" i="23" s="1"/>
  <c r="AS143" i="23"/>
  <c r="AR143" i="23" s="1"/>
  <c r="AS623" i="23"/>
  <c r="AR623" i="23" s="1"/>
  <c r="AS583" i="23"/>
  <c r="AR583" i="23" s="1"/>
  <c r="AS503" i="23"/>
  <c r="AR503" i="23" s="1"/>
  <c r="AS463" i="23"/>
  <c r="AR463" i="23" s="1"/>
  <c r="AS423" i="23"/>
  <c r="AR423" i="23" s="1"/>
  <c r="AS383" i="23"/>
  <c r="AR383" i="23" s="1"/>
  <c r="AS303" i="23"/>
  <c r="AR303" i="23" s="1"/>
  <c r="AS263" i="23"/>
  <c r="AR263" i="23" s="1"/>
  <c r="AS103" i="23"/>
  <c r="AR103" i="23" s="1"/>
  <c r="AS543" i="23"/>
  <c r="AR543" i="23" s="1"/>
  <c r="AS63" i="23"/>
  <c r="AR63" i="23" s="1"/>
  <c r="EC57" i="2"/>
  <c r="EB57" i="2"/>
  <c r="EA57" i="2"/>
  <c r="DZ57" i="2"/>
  <c r="DY57" i="2"/>
  <c r="DX57" i="2"/>
  <c r="DW57" i="2"/>
  <c r="DV57" i="2"/>
  <c r="DU57" i="2"/>
  <c r="DT57" i="2"/>
  <c r="DS57" i="2"/>
  <c r="DR57" i="2"/>
  <c r="DQ57" i="2"/>
  <c r="DP57" i="2"/>
  <c r="DO57" i="2"/>
  <c r="DN57" i="2"/>
  <c r="DM57" i="2"/>
  <c r="DL58" i="2"/>
  <c r="DL57" i="2"/>
  <c r="DK58" i="2"/>
  <c r="DK57" i="2"/>
  <c r="DJ58" i="2"/>
  <c r="DJ57" i="2"/>
  <c r="DH57" i="2"/>
  <c r="DG57" i="2"/>
  <c r="DF57" i="2"/>
  <c r="DE57" i="2"/>
  <c r="DD57" i="2"/>
  <c r="DC57" i="2"/>
  <c r="DB57" i="2"/>
  <c r="DA57" i="2"/>
  <c r="CZ57" i="2"/>
  <c r="CY57" i="2"/>
  <c r="CX57" i="2"/>
  <c r="CW57" i="2"/>
  <c r="CV57" i="2"/>
  <c r="CU57" i="2"/>
  <c r="CT57" i="2"/>
  <c r="CS57" i="2"/>
  <c r="CR57" i="2"/>
  <c r="CQ58" i="2"/>
  <c r="CQ57" i="2"/>
  <c r="CP58" i="2"/>
  <c r="CP57" i="2"/>
  <c r="CO58" i="2"/>
  <c r="CO57" i="2"/>
  <c r="CM57" i="2"/>
  <c r="CL57" i="2"/>
  <c r="CK57" i="2"/>
  <c r="CJ57" i="2"/>
  <c r="CI57" i="2"/>
  <c r="CH57" i="2"/>
  <c r="CG57" i="2"/>
  <c r="CF57" i="2"/>
  <c r="CE57" i="2"/>
  <c r="CD57" i="2"/>
  <c r="CC57" i="2"/>
  <c r="CB57" i="2"/>
  <c r="CA57" i="2"/>
  <c r="BZ57" i="2"/>
  <c r="BY57" i="2"/>
  <c r="BX57" i="2"/>
  <c r="BW57" i="2"/>
  <c r="BV58" i="2"/>
  <c r="BV57" i="2"/>
  <c r="BU58" i="2"/>
  <c r="BU57" i="2"/>
  <c r="BT58" i="2"/>
  <c r="BT57" i="2"/>
  <c r="EX57" i="2"/>
  <c r="EW57" i="2"/>
  <c r="EV57" i="2"/>
  <c r="EU57" i="2"/>
  <c r="ET57" i="2"/>
  <c r="ES57" i="2"/>
  <c r="ER57" i="2"/>
  <c r="EQ57" i="2"/>
  <c r="EP57" i="2"/>
  <c r="EO57" i="2"/>
  <c r="EN57" i="2"/>
  <c r="EM57" i="2"/>
  <c r="EL57" i="2"/>
  <c r="EK57" i="2"/>
  <c r="EJ57" i="2"/>
  <c r="EI57" i="2"/>
  <c r="EH57" i="2"/>
  <c r="EG58" i="2"/>
  <c r="EG57" i="2"/>
  <c r="EF58" i="2"/>
  <c r="EF57" i="2"/>
  <c r="EE58" i="2"/>
  <c r="EE57" i="2"/>
  <c r="FS57" i="2"/>
  <c r="FR57" i="2"/>
  <c r="FQ57" i="2"/>
  <c r="FP57" i="2"/>
  <c r="FO57" i="2"/>
  <c r="FN57" i="2"/>
  <c r="FM57" i="2"/>
  <c r="FL57" i="2"/>
  <c r="FK57" i="2"/>
  <c r="FJ57" i="2"/>
  <c r="FI57" i="2"/>
  <c r="FH57" i="2"/>
  <c r="FG57" i="2"/>
  <c r="FF57" i="2"/>
  <c r="FE57" i="2"/>
  <c r="FD57" i="2"/>
  <c r="FC57" i="2"/>
  <c r="FB58" i="2"/>
  <c r="FB57" i="2"/>
  <c r="FA58" i="2"/>
  <c r="FA57" i="2"/>
  <c r="EZ58" i="2"/>
  <c r="EZ57" i="2"/>
  <c r="BR57" i="2" l="1"/>
  <c r="BQ57" i="2"/>
  <c r="BP57" i="2"/>
  <c r="BO57" i="2"/>
  <c r="BN57" i="2"/>
  <c r="BM57" i="2"/>
  <c r="BL57" i="2"/>
  <c r="BK57" i="2"/>
  <c r="BJ57" i="2"/>
  <c r="BI57" i="2"/>
  <c r="BH57" i="2"/>
  <c r="BG57" i="2"/>
  <c r="BF57" i="2"/>
  <c r="BE57" i="2"/>
  <c r="BD57" i="2"/>
  <c r="BC57" i="2"/>
  <c r="BB57" i="2"/>
  <c r="BA57" i="2"/>
  <c r="AZ57" i="2"/>
  <c r="AY57" i="2"/>
  <c r="BA58" i="2"/>
  <c r="AZ58" i="2"/>
  <c r="AY58" i="2"/>
  <c r="T36" i="2" l="1"/>
  <c r="T35" i="2"/>
  <c r="T34" i="2"/>
  <c r="T33" i="2"/>
  <c r="T32" i="2"/>
  <c r="T31" i="2"/>
  <c r="T30" i="2"/>
  <c r="T29" i="2"/>
  <c r="T28" i="2"/>
  <c r="T27" i="2"/>
  <c r="T26" i="2"/>
  <c r="T25" i="2"/>
  <c r="T24" i="2"/>
  <c r="T23" i="2"/>
  <c r="T22" i="2"/>
  <c r="T21" i="2"/>
  <c r="T20" i="2"/>
  <c r="T19" i="2"/>
  <c r="T18" i="2"/>
  <c r="R36" i="2"/>
  <c r="R35" i="2"/>
  <c r="R34" i="2"/>
  <c r="R33" i="2"/>
  <c r="R32" i="2"/>
  <c r="R31" i="2"/>
  <c r="R30" i="2"/>
  <c r="R29" i="2"/>
  <c r="R28" i="2"/>
  <c r="R27" i="2"/>
  <c r="R26" i="2"/>
  <c r="R25" i="2"/>
  <c r="R24" i="2"/>
  <c r="R23" i="2"/>
  <c r="R22" i="2"/>
  <c r="R21" i="2"/>
  <c r="R20" i="2"/>
  <c r="R19" i="2"/>
  <c r="P36" i="2"/>
  <c r="P35" i="2"/>
  <c r="P34" i="2"/>
  <c r="P33" i="2"/>
  <c r="P32" i="2"/>
  <c r="P31" i="2"/>
  <c r="P30" i="2"/>
  <c r="P29" i="2"/>
  <c r="P28" i="2"/>
  <c r="P27" i="2"/>
  <c r="P26" i="2"/>
  <c r="P25" i="2"/>
  <c r="P24" i="2"/>
  <c r="P23" i="2"/>
  <c r="P22" i="2"/>
  <c r="P21" i="2"/>
  <c r="P20" i="2"/>
  <c r="P19" i="2"/>
  <c r="N36" i="2"/>
  <c r="N35" i="2"/>
  <c r="N34" i="2"/>
  <c r="N33" i="2"/>
  <c r="N32" i="2"/>
  <c r="N31" i="2"/>
  <c r="N30" i="2"/>
  <c r="N29" i="2"/>
  <c r="N28" i="2"/>
  <c r="N27" i="2"/>
  <c r="N26" i="2"/>
  <c r="N25" i="2"/>
  <c r="N24" i="2"/>
  <c r="N23" i="2"/>
  <c r="N22" i="2"/>
  <c r="N21" i="2"/>
  <c r="N20" i="2"/>
  <c r="N19" i="2"/>
  <c r="L36" i="2"/>
  <c r="L35" i="2"/>
  <c r="L34" i="2"/>
  <c r="L33" i="2"/>
  <c r="L32" i="2"/>
  <c r="L31" i="2"/>
  <c r="L30" i="2"/>
  <c r="L29" i="2"/>
  <c r="L28" i="2"/>
  <c r="L27" i="2"/>
  <c r="L26" i="2"/>
  <c r="L25" i="2"/>
  <c r="L24" i="2"/>
  <c r="L23" i="2"/>
  <c r="L22" i="2"/>
  <c r="L21" i="2"/>
  <c r="L20" i="2"/>
  <c r="L19" i="2"/>
  <c r="HH13" i="2"/>
  <c r="P593" i="23"/>
  <c r="P553" i="23"/>
  <c r="P513" i="23"/>
  <c r="P473" i="23"/>
  <c r="P73" i="23"/>
  <c r="P113" i="23"/>
  <c r="P153" i="23"/>
  <c r="P193" i="23"/>
  <c r="P233" i="23"/>
  <c r="P273" i="23"/>
  <c r="P313" i="23"/>
  <c r="P353" i="23"/>
  <c r="P393" i="23"/>
  <c r="P33" i="23"/>
  <c r="P6" i="23"/>
  <c r="V24" i="2" l="1"/>
  <c r="V32" i="2"/>
  <c r="V22" i="2"/>
  <c r="V26" i="2"/>
  <c r="V30" i="2"/>
  <c r="V34" i="2"/>
  <c r="V19" i="2"/>
  <c r="V23" i="2"/>
  <c r="V27" i="2"/>
  <c r="V31" i="2"/>
  <c r="V35" i="2"/>
  <c r="V20" i="2"/>
  <c r="V28" i="2"/>
  <c r="V36" i="2"/>
  <c r="V21" i="2"/>
  <c r="V25" i="2"/>
  <c r="V29" i="2"/>
  <c r="V33" i="2"/>
  <c r="J36" i="2"/>
  <c r="J35" i="2"/>
  <c r="J34" i="2"/>
  <c r="J33" i="2"/>
  <c r="J32" i="2"/>
  <c r="J31" i="2"/>
  <c r="J30" i="2"/>
  <c r="J29" i="2"/>
  <c r="J28" i="2"/>
  <c r="J27" i="2"/>
  <c r="J26" i="2"/>
  <c r="J25" i="2"/>
  <c r="J24" i="2"/>
  <c r="J23" i="2"/>
  <c r="J22" i="2"/>
  <c r="J21" i="2"/>
  <c r="J20" i="2"/>
  <c r="J19" i="2"/>
  <c r="N11" i="2"/>
  <c r="R18" i="2"/>
  <c r="T17" i="2"/>
  <c r="R17" i="2"/>
  <c r="P18" i="2"/>
  <c r="P17" i="2"/>
  <c r="N18" i="2"/>
  <c r="N17" i="2"/>
  <c r="L18" i="2"/>
  <c r="L17" i="2"/>
  <c r="AJ11" i="2"/>
  <c r="AH11" i="2"/>
  <c r="AF11" i="2"/>
  <c r="AD11" i="2"/>
  <c r="AB11" i="2"/>
  <c r="Z11" i="2"/>
  <c r="X11" i="2"/>
  <c r="V11" i="2"/>
  <c r="T11" i="2"/>
  <c r="R11" i="2"/>
  <c r="P11" i="2"/>
  <c r="L11" i="2"/>
  <c r="J17" i="2"/>
  <c r="V17" i="2" l="1"/>
  <c r="V18" i="2"/>
  <c r="G19" i="5"/>
  <c r="F19" i="5"/>
  <c r="E19" i="5"/>
  <c r="D19" i="5"/>
  <c r="C19" i="5"/>
  <c r="C8" i="5"/>
  <c r="V37" i="2" l="1"/>
  <c r="AS3" i="7"/>
  <c r="AS4" i="7"/>
  <c r="AS5" i="7"/>
  <c r="AS6" i="7"/>
  <c r="AS7" i="7"/>
  <c r="AS8" i="7"/>
  <c r="AS9" i="7"/>
  <c r="AS10" i="7"/>
  <c r="AS11" i="7"/>
  <c r="AS12" i="7"/>
  <c r="AS13" i="7"/>
  <c r="AS14" i="7"/>
  <c r="AS15" i="7"/>
  <c r="AS16" i="7"/>
  <c r="AS17" i="7"/>
  <c r="AS18" i="7"/>
  <c r="AS19" i="7"/>
  <c r="AS20" i="7"/>
  <c r="AS21" i="7"/>
  <c r="AS22" i="7"/>
  <c r="AS23" i="7"/>
  <c r="AS24" i="7"/>
  <c r="AS2" i="7"/>
  <c r="AE26" i="7"/>
  <c r="H583" i="23" l="1"/>
  <c r="H623" i="23"/>
  <c r="I623" i="23"/>
  <c r="I583" i="23"/>
  <c r="AA484" i="23" l="1"/>
  <c r="AA477" i="23"/>
  <c r="M65" i="23" l="1"/>
  <c r="R626" i="23" l="1"/>
  <c r="R625" i="23"/>
  <c r="Q626" i="23"/>
  <c r="Q625" i="23"/>
  <c r="P626" i="23"/>
  <c r="P625" i="23"/>
  <c r="O626" i="23"/>
  <c r="O625" i="23"/>
  <c r="N626" i="23"/>
  <c r="N625" i="23"/>
  <c r="M626" i="23"/>
  <c r="M625" i="23"/>
  <c r="R586" i="23"/>
  <c r="R585" i="23"/>
  <c r="Q586" i="23"/>
  <c r="Q585" i="23"/>
  <c r="P586" i="23"/>
  <c r="P585" i="23"/>
  <c r="O586" i="23"/>
  <c r="O585" i="23"/>
  <c r="N586" i="23"/>
  <c r="N585" i="23"/>
  <c r="M586" i="23"/>
  <c r="M585" i="23"/>
  <c r="M466" i="23"/>
  <c r="R506" i="23"/>
  <c r="R505" i="23"/>
  <c r="Q506" i="23"/>
  <c r="Q505" i="23"/>
  <c r="P506" i="23"/>
  <c r="P505" i="23"/>
  <c r="O506" i="23"/>
  <c r="O505" i="23"/>
  <c r="N506" i="23"/>
  <c r="N505" i="23"/>
  <c r="M506" i="23"/>
  <c r="M505" i="23"/>
  <c r="R546" i="23"/>
  <c r="R545" i="23"/>
  <c r="Q546" i="23"/>
  <c r="Q545" i="23"/>
  <c r="P546" i="23"/>
  <c r="P545" i="23"/>
  <c r="O546" i="23"/>
  <c r="O545" i="23"/>
  <c r="N546" i="23"/>
  <c r="N545" i="23"/>
  <c r="M546" i="23"/>
  <c r="M545" i="23"/>
  <c r="R466" i="23"/>
  <c r="R465" i="23"/>
  <c r="Q466" i="23"/>
  <c r="Q465" i="23"/>
  <c r="P466" i="23"/>
  <c r="P465" i="23"/>
  <c r="O466" i="23"/>
  <c r="O465" i="23"/>
  <c r="N466" i="23"/>
  <c r="N465" i="23"/>
  <c r="M465" i="23"/>
  <c r="R426" i="23"/>
  <c r="R425" i="23"/>
  <c r="Q426" i="23"/>
  <c r="Q425" i="23"/>
  <c r="P426" i="23"/>
  <c r="P425" i="23"/>
  <c r="O426" i="23"/>
  <c r="O425" i="23"/>
  <c r="N426" i="23"/>
  <c r="N425" i="23"/>
  <c r="M426" i="23"/>
  <c r="M425" i="23"/>
  <c r="R386" i="23"/>
  <c r="R385" i="23"/>
  <c r="Q386" i="23"/>
  <c r="Q385" i="23"/>
  <c r="P386" i="23"/>
  <c r="P385" i="23"/>
  <c r="O386" i="23"/>
  <c r="O385" i="23"/>
  <c r="N386" i="23"/>
  <c r="N385" i="23"/>
  <c r="M386" i="23"/>
  <c r="M385" i="23"/>
  <c r="R346" i="23"/>
  <c r="R345" i="23"/>
  <c r="Q346" i="23"/>
  <c r="Q345" i="23"/>
  <c r="P346" i="23"/>
  <c r="P345" i="23"/>
  <c r="N344" i="23"/>
  <c r="O344" i="23"/>
  <c r="N345" i="23"/>
  <c r="O345" i="23"/>
  <c r="N346" i="23"/>
  <c r="O346" i="23"/>
  <c r="M346" i="23"/>
  <c r="M345" i="23"/>
  <c r="R306" i="23"/>
  <c r="R305" i="23"/>
  <c r="Q306" i="23"/>
  <c r="Q305" i="23"/>
  <c r="P306" i="23"/>
  <c r="P305" i="23"/>
  <c r="O306" i="23"/>
  <c r="O305" i="23"/>
  <c r="N306" i="23"/>
  <c r="N305" i="23"/>
  <c r="M306" i="23"/>
  <c r="M305" i="23"/>
  <c r="R266" i="23"/>
  <c r="R265" i="23"/>
  <c r="Q266" i="23"/>
  <c r="Q265" i="23"/>
  <c r="P266" i="23"/>
  <c r="P265" i="23"/>
  <c r="O266" i="23"/>
  <c r="O265" i="23"/>
  <c r="N266" i="23"/>
  <c r="N265" i="23"/>
  <c r="M266" i="23"/>
  <c r="M265" i="23"/>
  <c r="R226" i="23"/>
  <c r="R225" i="23"/>
  <c r="Q226" i="23"/>
  <c r="Q225" i="23"/>
  <c r="P226" i="23"/>
  <c r="P225" i="23"/>
  <c r="O226" i="23"/>
  <c r="O225" i="23"/>
  <c r="N226" i="23"/>
  <c r="N225" i="23"/>
  <c r="M226" i="23"/>
  <c r="M225" i="23"/>
  <c r="R186" i="23"/>
  <c r="R185" i="23"/>
  <c r="Q186" i="23"/>
  <c r="Q185" i="23"/>
  <c r="P186" i="23"/>
  <c r="P185" i="23"/>
  <c r="O186" i="23"/>
  <c r="O185" i="23"/>
  <c r="N186" i="23"/>
  <c r="N185" i="23"/>
  <c r="M186" i="23"/>
  <c r="M185" i="23"/>
  <c r="R146" i="23"/>
  <c r="R145" i="23"/>
  <c r="Q146" i="23"/>
  <c r="Q145" i="23"/>
  <c r="P146" i="23"/>
  <c r="P145" i="23"/>
  <c r="O146" i="23"/>
  <c r="O145" i="23"/>
  <c r="N146" i="23"/>
  <c r="N145" i="23"/>
  <c r="M146" i="23"/>
  <c r="M145" i="23"/>
  <c r="R106" i="23"/>
  <c r="Q106" i="23"/>
  <c r="P106" i="23"/>
  <c r="O106" i="23"/>
  <c r="N106" i="23"/>
  <c r="M106" i="23"/>
  <c r="R105" i="23"/>
  <c r="Q105" i="23"/>
  <c r="P105" i="23"/>
  <c r="O105" i="23"/>
  <c r="N105" i="23"/>
  <c r="M105" i="23"/>
  <c r="R66" i="23"/>
  <c r="Q66" i="23"/>
  <c r="P66" i="23"/>
  <c r="O66" i="23"/>
  <c r="N66" i="23"/>
  <c r="M66" i="23"/>
  <c r="R65" i="23"/>
  <c r="Q65" i="23"/>
  <c r="P65" i="23"/>
  <c r="O65" i="23"/>
  <c r="N65" i="23"/>
  <c r="AK78" i="23"/>
  <c r="T64" i="23"/>
  <c r="S385" i="23" l="1"/>
  <c r="S266" i="23"/>
  <c r="S306" i="23"/>
  <c r="S146" i="23"/>
  <c r="S386" i="23"/>
  <c r="S185" i="23"/>
  <c r="S186" i="23"/>
  <c r="S465" i="23"/>
  <c r="S466" i="23"/>
  <c r="S626" i="23"/>
  <c r="S625" i="23"/>
  <c r="S585" i="23"/>
  <c r="S586" i="23"/>
  <c r="S506" i="23"/>
  <c r="S545" i="23"/>
  <c r="S546" i="23"/>
  <c r="S505" i="23"/>
  <c r="S426" i="23"/>
  <c r="S425" i="23"/>
  <c r="S345" i="23"/>
  <c r="S346" i="23"/>
  <c r="S305" i="23"/>
  <c r="S265" i="23"/>
  <c r="S225" i="23"/>
  <c r="S226" i="23"/>
  <c r="S145" i="23"/>
  <c r="S66" i="23"/>
  <c r="S65" i="23"/>
  <c r="S105" i="23"/>
  <c r="S106" i="23"/>
  <c r="F26" i="22" l="1"/>
  <c r="F18" i="22"/>
  <c r="M18" i="22"/>
  <c r="M10" i="22"/>
  <c r="M26" i="22"/>
  <c r="R26" i="22"/>
  <c r="R18" i="22"/>
  <c r="R10" i="22"/>
  <c r="F40" i="22"/>
  <c r="M40" i="22"/>
  <c r="F10" i="22"/>
  <c r="J10" i="22"/>
  <c r="I41" i="22"/>
  <c r="P41" i="22"/>
  <c r="V40" i="41"/>
  <c r="U38" i="41"/>
  <c r="T38" i="41"/>
  <c r="H103" i="23"/>
  <c r="T25" i="41" s="1"/>
  <c r="H63" i="23"/>
  <c r="T24" i="41" s="1"/>
  <c r="V38" i="41" l="1"/>
  <c r="Q10" i="22"/>
  <c r="P11" i="22" s="1"/>
  <c r="C11" i="22"/>
  <c r="I11" i="22"/>
  <c r="D40" i="22"/>
  <c r="U37" i="41"/>
  <c r="T37" i="41"/>
  <c r="I543" i="23"/>
  <c r="U36" i="41" s="1"/>
  <c r="H543" i="23"/>
  <c r="T36" i="41" s="1"/>
  <c r="I503" i="23"/>
  <c r="U35" i="41" s="1"/>
  <c r="H503" i="23"/>
  <c r="T35" i="41" s="1"/>
  <c r="I463" i="23"/>
  <c r="U34" i="41" s="1"/>
  <c r="H463" i="23"/>
  <c r="T34" i="41" s="1"/>
  <c r="I423" i="23"/>
  <c r="U33" i="41" s="1"/>
  <c r="H423" i="23"/>
  <c r="T33" i="41" s="1"/>
  <c r="I383" i="23"/>
  <c r="U32" i="41" s="1"/>
  <c r="H383" i="23"/>
  <c r="T32" i="41" s="1"/>
  <c r="I343" i="23"/>
  <c r="U31" i="41" s="1"/>
  <c r="H343" i="23"/>
  <c r="T31" i="41" s="1"/>
  <c r="I303" i="23"/>
  <c r="U30" i="41" s="1"/>
  <c r="H303" i="23"/>
  <c r="T30" i="41" s="1"/>
  <c r="I263" i="23"/>
  <c r="U29" i="41" s="1"/>
  <c r="H263" i="23"/>
  <c r="T29" i="41" s="1"/>
  <c r="I223" i="23"/>
  <c r="U28" i="41" s="1"/>
  <c r="H223" i="23"/>
  <c r="T28" i="41" s="1"/>
  <c r="I183" i="23"/>
  <c r="U27" i="41" s="1"/>
  <c r="H183" i="23"/>
  <c r="T27" i="41" s="1"/>
  <c r="I143" i="23"/>
  <c r="U26" i="41" s="1"/>
  <c r="H143" i="23"/>
  <c r="T26" i="41" s="1"/>
  <c r="I103" i="23"/>
  <c r="U25" i="41" s="1"/>
  <c r="V25" i="41" s="1"/>
  <c r="I63" i="23"/>
  <c r="U24" i="41" s="1"/>
  <c r="V24" i="41" s="1"/>
  <c r="V35" i="41" l="1"/>
  <c r="V28" i="41"/>
  <c r="V36" i="41"/>
  <c r="V33" i="41"/>
  <c r="V27" i="41"/>
  <c r="V26" i="41"/>
  <c r="V32" i="41"/>
  <c r="V34" i="41"/>
  <c r="V31" i="41"/>
  <c r="V37" i="41"/>
  <c r="V30" i="41"/>
  <c r="V29" i="41"/>
  <c r="D18" i="22"/>
  <c r="C19" i="22" s="1"/>
  <c r="B16" i="9"/>
  <c r="B17" i="9" s="1"/>
  <c r="B18" i="9" s="1"/>
  <c r="B19" i="9" s="1"/>
  <c r="B20" i="9" s="1"/>
  <c r="B21" i="9" s="1"/>
  <c r="B22" i="9" s="1"/>
  <c r="B23" i="9" s="1"/>
  <c r="B24" i="9" s="1"/>
  <c r="B25" i="9" s="1"/>
  <c r="B26" i="9" s="1"/>
  <c r="B27" i="9" s="1"/>
  <c r="B28" i="9" s="1"/>
  <c r="B29" i="9" s="1"/>
  <c r="B30" i="9" s="1"/>
  <c r="B31" i="9" s="1"/>
  <c r="B32" i="9" s="1"/>
  <c r="B33" i="9" s="1"/>
  <c r="B34" i="9" s="1"/>
  <c r="Q16" i="41"/>
  <c r="J18" i="22" l="1"/>
  <c r="Q18" i="22" s="1"/>
  <c r="D26" i="22" s="1"/>
  <c r="C27" i="22" s="1"/>
  <c r="B22" i="41"/>
  <c r="B23" i="41" s="1"/>
  <c r="B24" i="41" s="1"/>
  <c r="B25" i="41" s="1"/>
  <c r="B26" i="41" s="1"/>
  <c r="B27" i="41" s="1"/>
  <c r="B28" i="41" s="1"/>
  <c r="B29" i="41" s="1"/>
  <c r="B30" i="41" s="1"/>
  <c r="B31" i="41" s="1"/>
  <c r="B32" i="41" s="1"/>
  <c r="B33" i="41" s="1"/>
  <c r="B34" i="41" s="1"/>
  <c r="B35" i="41" s="1"/>
  <c r="B36" i="41" s="1"/>
  <c r="B37" i="41" s="1"/>
  <c r="B38" i="41" s="1"/>
  <c r="B39" i="41" s="1"/>
  <c r="B40" i="41" s="1"/>
  <c r="M45" i="41"/>
  <c r="AN40" i="41"/>
  <c r="AN39" i="41"/>
  <c r="AN38" i="41"/>
  <c r="AN37" i="41"/>
  <c r="AN36" i="41"/>
  <c r="AN35" i="41"/>
  <c r="AN34" i="41"/>
  <c r="AN33" i="41"/>
  <c r="AN32" i="41"/>
  <c r="AN31" i="41"/>
  <c r="AN30" i="41"/>
  <c r="AN29" i="41"/>
  <c r="AN28" i="41"/>
  <c r="AN27" i="41"/>
  <c r="AN26" i="41"/>
  <c r="AN25" i="41"/>
  <c r="AO24" i="41"/>
  <c r="AN24" i="41"/>
  <c r="AO23" i="41"/>
  <c r="AN23" i="41"/>
  <c r="AN22" i="41"/>
  <c r="AN21" i="41"/>
  <c r="B19" i="41"/>
  <c r="I19" i="22" l="1"/>
  <c r="P19" i="22"/>
  <c r="CN3" i="39"/>
  <c r="CN4" i="39" s="1"/>
  <c r="CN5" i="39" s="1"/>
  <c r="CN6" i="39" s="1"/>
  <c r="CN7" i="39" s="1"/>
  <c r="CN8" i="39" s="1"/>
  <c r="CN9" i="39" s="1"/>
  <c r="CN10" i="39" s="1"/>
  <c r="J26" i="22" l="1"/>
  <c r="I27" i="22" s="1"/>
  <c r="CN11" i="39"/>
  <c r="CN12" i="39" s="1"/>
  <c r="CN13" i="39" s="1"/>
  <c r="CN14" i="39" s="1"/>
  <c r="CN15" i="39" s="1"/>
  <c r="CN16" i="39" s="1"/>
  <c r="CN17" i="39" s="1"/>
  <c r="Q26" i="22" l="1"/>
  <c r="P27" i="22" s="1"/>
  <c r="AF19" i="13" l="1"/>
  <c r="AA626" i="23"/>
  <c r="AA625" i="23"/>
  <c r="Z626" i="23"/>
  <c r="Z625" i="23"/>
  <c r="Y626" i="23"/>
  <c r="Y625" i="23"/>
  <c r="X626" i="23"/>
  <c r="X625" i="23"/>
  <c r="W626" i="23"/>
  <c r="W625" i="23"/>
  <c r="V626" i="23"/>
  <c r="V625" i="23"/>
  <c r="U626" i="23"/>
  <c r="E623" i="23"/>
  <c r="B623" i="23"/>
  <c r="AA586" i="23"/>
  <c r="AA585" i="23"/>
  <c r="Z586" i="23"/>
  <c r="Z585" i="23"/>
  <c r="Y586" i="23"/>
  <c r="Y585" i="23"/>
  <c r="X586" i="23"/>
  <c r="X585" i="23"/>
  <c r="W586" i="23"/>
  <c r="W585" i="23"/>
  <c r="V586" i="23"/>
  <c r="V585" i="23"/>
  <c r="U586" i="23"/>
  <c r="E583" i="23"/>
  <c r="B583" i="23"/>
  <c r="AA546" i="23"/>
  <c r="AA545" i="23"/>
  <c r="Z546" i="23"/>
  <c r="Z545" i="23"/>
  <c r="Y546" i="23"/>
  <c r="Y545" i="23"/>
  <c r="X546" i="23"/>
  <c r="X545" i="23"/>
  <c r="W546" i="23"/>
  <c r="W545" i="23"/>
  <c r="V546" i="23"/>
  <c r="V545" i="23"/>
  <c r="U546" i="23"/>
  <c r="B543" i="23"/>
  <c r="E543" i="23"/>
  <c r="E503" i="23"/>
  <c r="B503" i="23"/>
  <c r="AA506" i="23"/>
  <c r="AA505" i="23"/>
  <c r="Z505" i="23"/>
  <c r="Y506" i="23"/>
  <c r="Y505" i="23"/>
  <c r="X506" i="23"/>
  <c r="X505" i="23"/>
  <c r="W506" i="23"/>
  <c r="V506" i="23"/>
  <c r="V505" i="23"/>
  <c r="U506" i="23"/>
  <c r="E463" i="23"/>
  <c r="B463" i="23"/>
  <c r="Z466" i="23"/>
  <c r="Z465" i="23"/>
  <c r="Y466" i="23"/>
  <c r="Y465" i="23"/>
  <c r="X466" i="23"/>
  <c r="X465" i="23"/>
  <c r="W466" i="23"/>
  <c r="W465" i="23"/>
  <c r="V466" i="23"/>
  <c r="V465" i="23"/>
  <c r="U466" i="23"/>
  <c r="AA624" i="23"/>
  <c r="T624" i="23"/>
  <c r="T584" i="23"/>
  <c r="AA544" i="23"/>
  <c r="T544" i="23"/>
  <c r="T504" i="23"/>
  <c r="AA464" i="23"/>
  <c r="T464" i="23"/>
  <c r="N554" i="23" l="1"/>
  <c r="A554" i="23"/>
  <c r="A514" i="23"/>
  <c r="N514" i="23"/>
  <c r="A474" i="23"/>
  <c r="N474" i="23"/>
  <c r="N434" i="23"/>
  <c r="A434" i="23"/>
  <c r="N394" i="23"/>
  <c r="A394" i="23"/>
  <c r="N354" i="23"/>
  <c r="A354" i="23"/>
  <c r="C314" i="23"/>
  <c r="N314" i="23"/>
  <c r="O274" i="23"/>
  <c r="C274" i="23"/>
  <c r="O234" i="23"/>
  <c r="KE19" i="2" l="1"/>
  <c r="KI39" i="2"/>
  <c r="KI38" i="2"/>
  <c r="KZ43" i="2" s="1"/>
  <c r="KI37" i="2"/>
  <c r="KY43" i="2" s="1"/>
  <c r="KI36" i="2"/>
  <c r="KX43" i="2" s="1"/>
  <c r="KI35" i="2"/>
  <c r="KI34" i="2"/>
  <c r="KI33" i="2"/>
  <c r="KI32" i="2"/>
  <c r="KI31" i="2"/>
  <c r="KI30" i="2"/>
  <c r="KI29" i="2"/>
  <c r="KQ43" i="2" s="1"/>
  <c r="KI28" i="2"/>
  <c r="KI27" i="2"/>
  <c r="KI26" i="2"/>
  <c r="KI25" i="2"/>
  <c r="KM43" i="2" s="1"/>
  <c r="KI24" i="2"/>
  <c r="LF21" i="2"/>
  <c r="DU21" i="2"/>
  <c r="CZ21" i="2"/>
  <c r="CE21" i="2"/>
  <c r="BJ21" i="2"/>
  <c r="KJ24" i="2" l="1"/>
  <c r="KK24" i="2" s="1"/>
  <c r="KL24" i="2" s="1"/>
  <c r="KM24" i="2" s="1"/>
  <c r="KN24" i="2" s="1"/>
  <c r="KO24" i="2" s="1"/>
  <c r="KP24" i="2" s="1"/>
  <c r="KQ24" i="2" s="1"/>
  <c r="KR24" i="2" s="1"/>
  <c r="KS24" i="2" s="1"/>
  <c r="KT24" i="2" s="1"/>
  <c r="KU24" i="2" s="1"/>
  <c r="KV24" i="2" s="1"/>
  <c r="KW24" i="2" s="1"/>
  <c r="KX24" i="2" s="1"/>
  <c r="KL43" i="2"/>
  <c r="KJ28" i="2"/>
  <c r="KK28" i="2" s="1"/>
  <c r="KL28" i="2" s="1"/>
  <c r="KM28" i="2" s="1"/>
  <c r="KN28" i="2" s="1"/>
  <c r="KO28" i="2" s="1"/>
  <c r="KP28" i="2" s="1"/>
  <c r="KQ28" i="2" s="1"/>
  <c r="KR28" i="2" s="1"/>
  <c r="KS28" i="2" s="1"/>
  <c r="KT28" i="2" s="1"/>
  <c r="KP43" i="2"/>
  <c r="KJ32" i="2"/>
  <c r="KK32" i="2" s="1"/>
  <c r="KL32" i="2" s="1"/>
  <c r="KM32" i="2" s="1"/>
  <c r="KN32" i="2" s="1"/>
  <c r="KO32" i="2" s="1"/>
  <c r="KP32" i="2" s="1"/>
  <c r="KQ32" i="2" s="1"/>
  <c r="KR32" i="2" s="1"/>
  <c r="KS32" i="2" s="1"/>
  <c r="KT32" i="2" s="1"/>
  <c r="KU32" i="2" s="1"/>
  <c r="KV32" i="2" s="1"/>
  <c r="KW32" i="2" s="1"/>
  <c r="KX32" i="2" s="1"/>
  <c r="KT43" i="2"/>
  <c r="KJ33" i="2"/>
  <c r="KK33" i="2" s="1"/>
  <c r="KL33" i="2" s="1"/>
  <c r="KM33" i="2" s="1"/>
  <c r="KN33" i="2" s="1"/>
  <c r="KO33" i="2" s="1"/>
  <c r="KP33" i="2" s="1"/>
  <c r="KQ33" i="2" s="1"/>
  <c r="KR33" i="2" s="1"/>
  <c r="KU43" i="2"/>
  <c r="KJ26" i="2"/>
  <c r="KK26" i="2" s="1"/>
  <c r="KL26" i="2" s="1"/>
  <c r="KM26" i="2" s="1"/>
  <c r="KN26" i="2" s="1"/>
  <c r="KO26" i="2" s="1"/>
  <c r="KP26" i="2" s="1"/>
  <c r="KQ26" i="2" s="1"/>
  <c r="KR26" i="2" s="1"/>
  <c r="KS26" i="2" s="1"/>
  <c r="KT26" i="2" s="1"/>
  <c r="KU26" i="2" s="1"/>
  <c r="KV26" i="2" s="1"/>
  <c r="KW26" i="2" s="1"/>
  <c r="KN43" i="2"/>
  <c r="KJ30" i="2"/>
  <c r="KK30" i="2" s="1"/>
  <c r="KL30" i="2" s="1"/>
  <c r="KM30" i="2" s="1"/>
  <c r="KN30" i="2" s="1"/>
  <c r="KO30" i="2" s="1"/>
  <c r="KP30" i="2" s="1"/>
  <c r="KQ30" i="2" s="1"/>
  <c r="KR43" i="2"/>
  <c r="KJ34" i="2"/>
  <c r="KK34" i="2" s="1"/>
  <c r="KL34" i="2" s="1"/>
  <c r="KM34" i="2" s="1"/>
  <c r="KN34" i="2" s="1"/>
  <c r="KO34" i="2" s="1"/>
  <c r="KP34" i="2" s="1"/>
  <c r="KQ34" i="2" s="1"/>
  <c r="KR34" i="2" s="1"/>
  <c r="KS34" i="2" s="1"/>
  <c r="KT34" i="2" s="1"/>
  <c r="KU34" i="2" s="1"/>
  <c r="KV43" i="2"/>
  <c r="KJ27" i="2"/>
  <c r="KK27" i="2" s="1"/>
  <c r="KL27" i="2" s="1"/>
  <c r="KM27" i="2" s="1"/>
  <c r="KN27" i="2" s="1"/>
  <c r="KO27" i="2" s="1"/>
  <c r="KP27" i="2" s="1"/>
  <c r="KQ27" i="2" s="1"/>
  <c r="KR27" i="2" s="1"/>
  <c r="KS27" i="2" s="1"/>
  <c r="KT27" i="2" s="1"/>
  <c r="KU27" i="2" s="1"/>
  <c r="KV27" i="2" s="1"/>
  <c r="KW27" i="2" s="1"/>
  <c r="KO43" i="2"/>
  <c r="KJ31" i="2"/>
  <c r="KK31" i="2" s="1"/>
  <c r="KL31" i="2" s="1"/>
  <c r="KM31" i="2" s="1"/>
  <c r="KN31" i="2" s="1"/>
  <c r="KS43" i="2"/>
  <c r="KJ35" i="2"/>
  <c r="KK35" i="2" s="1"/>
  <c r="KL35" i="2" s="1"/>
  <c r="KM35" i="2" s="1"/>
  <c r="KN35" i="2" s="1"/>
  <c r="KO35" i="2" s="1"/>
  <c r="KP35" i="2" s="1"/>
  <c r="KQ35" i="2" s="1"/>
  <c r="KR35" i="2" s="1"/>
  <c r="KS35" i="2" s="1"/>
  <c r="KT35" i="2" s="1"/>
  <c r="KU35" i="2" s="1"/>
  <c r="KV35" i="2" s="1"/>
  <c r="KW35" i="2" s="1"/>
  <c r="KW43" i="2"/>
  <c r="KJ39" i="2"/>
  <c r="KK39" i="2" s="1"/>
  <c r="KL39" i="2" s="1"/>
  <c r="KM39" i="2" s="1"/>
  <c r="KN39" i="2" s="1"/>
  <c r="KO39" i="2" s="1"/>
  <c r="KP39" i="2" s="1"/>
  <c r="KQ39" i="2" s="1"/>
  <c r="KR39" i="2" s="1"/>
  <c r="KS39" i="2" s="1"/>
  <c r="KT39" i="2" s="1"/>
  <c r="KU39" i="2" s="1"/>
  <c r="KV39" i="2" s="1"/>
  <c r="KW39" i="2" s="1"/>
  <c r="KX39" i="2" s="1"/>
  <c r="KY39" i="2" s="1"/>
  <c r="LA43" i="2"/>
  <c r="KJ29" i="2"/>
  <c r="KK29" i="2" s="1"/>
  <c r="KL29" i="2" s="1"/>
  <c r="KM29" i="2" s="1"/>
  <c r="KN29" i="2" s="1"/>
  <c r="KO29" i="2" s="1"/>
  <c r="KP29" i="2" s="1"/>
  <c r="KQ29" i="2" s="1"/>
  <c r="KR29" i="2" s="1"/>
  <c r="KS29" i="2" s="1"/>
  <c r="KJ37" i="2"/>
  <c r="KK37" i="2" s="1"/>
  <c r="KL37" i="2" s="1"/>
  <c r="KM37" i="2" s="1"/>
  <c r="KN37" i="2" s="1"/>
  <c r="KJ38" i="2"/>
  <c r="KK38" i="2" s="1"/>
  <c r="KL38" i="2" s="1"/>
  <c r="KM38" i="2" s="1"/>
  <c r="KN38" i="2" s="1"/>
  <c r="KO38" i="2" s="1"/>
  <c r="KP38" i="2" s="1"/>
  <c r="KQ38" i="2" s="1"/>
  <c r="KR38" i="2" s="1"/>
  <c r="KS38" i="2" s="1"/>
  <c r="KT38" i="2" s="1"/>
  <c r="KU38" i="2" s="1"/>
  <c r="KV38" i="2" s="1"/>
  <c r="KW38" i="2" s="1"/>
  <c r="KX38" i="2" s="1"/>
  <c r="KY38" i="2" s="1"/>
  <c r="KJ36" i="2"/>
  <c r="KK36" i="2" s="1"/>
  <c r="KL36" i="2" s="1"/>
  <c r="KM36" i="2" s="1"/>
  <c r="KN36" i="2" s="1"/>
  <c r="KO36" i="2" s="1"/>
  <c r="KP36" i="2" s="1"/>
  <c r="KQ36" i="2" s="1"/>
  <c r="KJ25" i="2"/>
  <c r="KK25" i="2" s="1"/>
  <c r="KL25" i="2" s="1"/>
  <c r="KM25" i="2" s="1"/>
  <c r="KN25" i="2" s="1"/>
  <c r="KO25" i="2" s="1"/>
  <c r="KP25" i="2" s="1"/>
  <c r="KQ25" i="2" s="1"/>
  <c r="KR25" i="2" s="1"/>
  <c r="KS25" i="2" s="1"/>
  <c r="KT25" i="2" s="1"/>
  <c r="KU25" i="2" s="1"/>
  <c r="KV25" i="2" s="1"/>
  <c r="KW25" i="2" s="1"/>
  <c r="KX25" i="2" s="1"/>
  <c r="KY25" i="2" s="1"/>
  <c r="KZ25" i="2" s="1"/>
  <c r="LA25" i="2" s="1"/>
  <c r="AA158" i="23"/>
  <c r="CS3" i="22"/>
  <c r="CR3" i="22"/>
  <c r="CQ3" i="22"/>
  <c r="CP3" i="22"/>
  <c r="CO3" i="22"/>
  <c r="CN3" i="22"/>
  <c r="CM3" i="22"/>
  <c r="CL3" i="22"/>
  <c r="CK3" i="22"/>
  <c r="CJ3" i="22"/>
  <c r="CI3" i="22"/>
  <c r="CH3" i="22"/>
  <c r="CG3" i="22"/>
  <c r="CF3" i="22"/>
  <c r="KT29" i="2" l="1"/>
  <c r="KU29" i="2" s="1"/>
  <c r="KV29" i="2" s="1"/>
  <c r="KW29" i="2" s="1"/>
  <c r="KX29" i="2" s="1"/>
  <c r="R31" i="26"/>
  <c r="AA2" i="36" l="1"/>
  <c r="AA3" i="36"/>
  <c r="AA4" i="36"/>
  <c r="AA5" i="36"/>
  <c r="AA6" i="36"/>
  <c r="Z2" i="36"/>
  <c r="Z3" i="36"/>
  <c r="Z4" i="36"/>
  <c r="Z5" i="36"/>
  <c r="Z6" i="36"/>
  <c r="AA1" i="36"/>
  <c r="Z1" i="36"/>
  <c r="V6" i="36"/>
  <c r="W6" i="36"/>
  <c r="X6" i="36"/>
  <c r="V4" i="36"/>
  <c r="W4" i="36"/>
  <c r="X4" i="36"/>
  <c r="V5" i="36"/>
  <c r="W5" i="36"/>
  <c r="X5" i="36"/>
  <c r="X3" i="36"/>
  <c r="X2" i="36"/>
  <c r="X1" i="36"/>
  <c r="V3" i="36"/>
  <c r="V2" i="36"/>
  <c r="W3" i="36"/>
  <c r="W2" i="36"/>
  <c r="W1" i="36"/>
  <c r="V1" i="36"/>
  <c r="LW20" i="2" l="1"/>
  <c r="LW19" i="2"/>
  <c r="LW18" i="2"/>
  <c r="LW17" i="2"/>
  <c r="LW16" i="2"/>
  <c r="LW15" i="2"/>
  <c r="LW14" i="2"/>
  <c r="LW13" i="2"/>
  <c r="LW12" i="2"/>
  <c r="LW11" i="2"/>
  <c r="LW10" i="2"/>
  <c r="LW9" i="2"/>
  <c r="LW8" i="2"/>
  <c r="LW7" i="2"/>
  <c r="LW6" i="2"/>
  <c r="LW5" i="2"/>
  <c r="LW4" i="2"/>
  <c r="LW3" i="2"/>
  <c r="LV20" i="2"/>
  <c r="LV19" i="2"/>
  <c r="LV18" i="2"/>
  <c r="LV17" i="2"/>
  <c r="LV16" i="2"/>
  <c r="LV15" i="2"/>
  <c r="LV14" i="2"/>
  <c r="LV13" i="2"/>
  <c r="LV12" i="2"/>
  <c r="LV11" i="2"/>
  <c r="LV10" i="2"/>
  <c r="LV9" i="2"/>
  <c r="LV8" i="2"/>
  <c r="LV7" i="2"/>
  <c r="LV6" i="2"/>
  <c r="LV5" i="2"/>
  <c r="LV4" i="2"/>
  <c r="LV3" i="2"/>
  <c r="LU20" i="2"/>
  <c r="LU19" i="2"/>
  <c r="LU18" i="2"/>
  <c r="LU17" i="2"/>
  <c r="LU16" i="2"/>
  <c r="LU15" i="2"/>
  <c r="LU14" i="2"/>
  <c r="LU13" i="2"/>
  <c r="LU12" i="2"/>
  <c r="LU11" i="2"/>
  <c r="LU10" i="2"/>
  <c r="LU9" i="2"/>
  <c r="LU8" i="2"/>
  <c r="LU7" i="2"/>
  <c r="LU6" i="2"/>
  <c r="LU5" i="2"/>
  <c r="LU4" i="2"/>
  <c r="LU3" i="2"/>
  <c r="LT20" i="2"/>
  <c r="LT19" i="2"/>
  <c r="LT18" i="2"/>
  <c r="LT17" i="2"/>
  <c r="LT16" i="2"/>
  <c r="LT15" i="2"/>
  <c r="LT14" i="2"/>
  <c r="LT13" i="2"/>
  <c r="LT12" i="2"/>
  <c r="LT11" i="2"/>
  <c r="LT10" i="2"/>
  <c r="LT9" i="2"/>
  <c r="LT8" i="2"/>
  <c r="LT7" i="2"/>
  <c r="LT6" i="2"/>
  <c r="LT5" i="2"/>
  <c r="LT4" i="2"/>
  <c r="LT3" i="2"/>
  <c r="LS20" i="2"/>
  <c r="LS19" i="2"/>
  <c r="LS18" i="2"/>
  <c r="LS17" i="2"/>
  <c r="LS16" i="2"/>
  <c r="LS15" i="2"/>
  <c r="LS14" i="2"/>
  <c r="LS13" i="2"/>
  <c r="LS12" i="2"/>
  <c r="LS11" i="2"/>
  <c r="LS10" i="2"/>
  <c r="LS9" i="2"/>
  <c r="LS8" i="2"/>
  <c r="LS7" i="2"/>
  <c r="LS6" i="2"/>
  <c r="LS5" i="2"/>
  <c r="LS4" i="2"/>
  <c r="LS3" i="2"/>
  <c r="LR20" i="2"/>
  <c r="LR19" i="2"/>
  <c r="LR18" i="2"/>
  <c r="LR17" i="2"/>
  <c r="LR16" i="2"/>
  <c r="LR15" i="2"/>
  <c r="LR14" i="2"/>
  <c r="LR13" i="2"/>
  <c r="LR12" i="2"/>
  <c r="LR11" i="2"/>
  <c r="LR10" i="2"/>
  <c r="LR9" i="2"/>
  <c r="LR8" i="2"/>
  <c r="LR7" i="2"/>
  <c r="LR6" i="2"/>
  <c r="LR5" i="2"/>
  <c r="LR4" i="2"/>
  <c r="LR3" i="2"/>
  <c r="LQ20" i="2"/>
  <c r="LQ19" i="2"/>
  <c r="LQ18" i="2"/>
  <c r="LQ17" i="2"/>
  <c r="LQ16" i="2"/>
  <c r="LQ15" i="2"/>
  <c r="LQ14" i="2"/>
  <c r="LQ13" i="2"/>
  <c r="LQ12" i="2"/>
  <c r="LQ11" i="2"/>
  <c r="LQ10" i="2"/>
  <c r="LQ9" i="2"/>
  <c r="LQ8" i="2"/>
  <c r="LQ7" i="2"/>
  <c r="LQ6" i="2"/>
  <c r="LQ5" i="2"/>
  <c r="LQ4" i="2"/>
  <c r="LQ3" i="2"/>
  <c r="LP20" i="2"/>
  <c r="LP19" i="2"/>
  <c r="LP18" i="2"/>
  <c r="LP17" i="2"/>
  <c r="LP16" i="2"/>
  <c r="LP15" i="2"/>
  <c r="LP14" i="2"/>
  <c r="LP13" i="2"/>
  <c r="LP12" i="2"/>
  <c r="LP11" i="2"/>
  <c r="LP10" i="2"/>
  <c r="LP9" i="2"/>
  <c r="LP8" i="2"/>
  <c r="LP7" i="2"/>
  <c r="LP6" i="2"/>
  <c r="LP5" i="2"/>
  <c r="LP4" i="2"/>
  <c r="LP3" i="2"/>
  <c r="LO20" i="2"/>
  <c r="LO19" i="2"/>
  <c r="LO18" i="2"/>
  <c r="LO17" i="2"/>
  <c r="LO16" i="2"/>
  <c r="LO15" i="2"/>
  <c r="LO14" i="2"/>
  <c r="LO13" i="2"/>
  <c r="LO12" i="2"/>
  <c r="LO11" i="2"/>
  <c r="LO10" i="2"/>
  <c r="LO9" i="2"/>
  <c r="LO8" i="2"/>
  <c r="LO7" i="2"/>
  <c r="LO6" i="2"/>
  <c r="LO5" i="2"/>
  <c r="LO4" i="2"/>
  <c r="LO3" i="2"/>
  <c r="LN20" i="2"/>
  <c r="LN19" i="2"/>
  <c r="LN18" i="2"/>
  <c r="LN17" i="2"/>
  <c r="LN16" i="2"/>
  <c r="LN15" i="2"/>
  <c r="LN14" i="2"/>
  <c r="LN13" i="2"/>
  <c r="LN12" i="2"/>
  <c r="LN11" i="2"/>
  <c r="LN10" i="2"/>
  <c r="LN9" i="2"/>
  <c r="LN8" i="2"/>
  <c r="LN7" i="2"/>
  <c r="LN6" i="2"/>
  <c r="LN5" i="2"/>
  <c r="LN4" i="2"/>
  <c r="LN3" i="2"/>
  <c r="LM20" i="2"/>
  <c r="LM19" i="2"/>
  <c r="LM18" i="2"/>
  <c r="LM17" i="2"/>
  <c r="LM16" i="2"/>
  <c r="LM15" i="2"/>
  <c r="LM14" i="2"/>
  <c r="LM13" i="2"/>
  <c r="LM12" i="2"/>
  <c r="LM11" i="2"/>
  <c r="LM10" i="2"/>
  <c r="LM9" i="2"/>
  <c r="LM8" i="2"/>
  <c r="LM7" i="2"/>
  <c r="LM6" i="2"/>
  <c r="LM5" i="2"/>
  <c r="LM4" i="2"/>
  <c r="LM3" i="2"/>
  <c r="LL20" i="2"/>
  <c r="LL19" i="2"/>
  <c r="LL18" i="2"/>
  <c r="LL17" i="2"/>
  <c r="LL16" i="2"/>
  <c r="LL15" i="2"/>
  <c r="LL14" i="2"/>
  <c r="LL13" i="2"/>
  <c r="LL12" i="2"/>
  <c r="LL11" i="2"/>
  <c r="LL10" i="2"/>
  <c r="LL9" i="2"/>
  <c r="LL8" i="2"/>
  <c r="LL7" i="2"/>
  <c r="LL6" i="2"/>
  <c r="LL5" i="2"/>
  <c r="LL4" i="2"/>
  <c r="LL3" i="2"/>
  <c r="LK20" i="2"/>
  <c r="LK19" i="2"/>
  <c r="LK18" i="2"/>
  <c r="LK17" i="2"/>
  <c r="LK16" i="2"/>
  <c r="LK15" i="2"/>
  <c r="LK14" i="2"/>
  <c r="LK13" i="2"/>
  <c r="LK12" i="2"/>
  <c r="LK11" i="2"/>
  <c r="LK10" i="2"/>
  <c r="LK9" i="2"/>
  <c r="LK8" i="2"/>
  <c r="LK7" i="2"/>
  <c r="LK6" i="2"/>
  <c r="LK5" i="2"/>
  <c r="LK4" i="2"/>
  <c r="LK3" i="2"/>
  <c r="LJ17" i="2"/>
  <c r="LJ20" i="2"/>
  <c r="LJ19" i="2"/>
  <c r="LJ18" i="2"/>
  <c r="LJ16" i="2"/>
  <c r="LJ15" i="2"/>
  <c r="LJ14" i="2"/>
  <c r="LJ13" i="2"/>
  <c r="LJ12" i="2"/>
  <c r="LJ11" i="2"/>
  <c r="LJ10" i="2"/>
  <c r="LJ9" i="2"/>
  <c r="LJ8" i="2"/>
  <c r="LJ7" i="2"/>
  <c r="LJ6" i="2"/>
  <c r="LJ5" i="2"/>
  <c r="LJ4" i="2"/>
  <c r="LJ3" i="2"/>
  <c r="LI20" i="2"/>
  <c r="LI19" i="2"/>
  <c r="LI18" i="2"/>
  <c r="LI17" i="2"/>
  <c r="LI16" i="2"/>
  <c r="LI15" i="2"/>
  <c r="LI14" i="2"/>
  <c r="LI13" i="2"/>
  <c r="LI12" i="2"/>
  <c r="LI11" i="2"/>
  <c r="LI10" i="2"/>
  <c r="LI9" i="2"/>
  <c r="LI8" i="2"/>
  <c r="LI7" i="2"/>
  <c r="LI6" i="2"/>
  <c r="LI5" i="2"/>
  <c r="LI4" i="2"/>
  <c r="LI3" i="2"/>
  <c r="LH20" i="2"/>
  <c r="LH19" i="2"/>
  <c r="LH18" i="2"/>
  <c r="LH17" i="2"/>
  <c r="LH16" i="2"/>
  <c r="LH15" i="2"/>
  <c r="LH14" i="2"/>
  <c r="LH13" i="2"/>
  <c r="LH12" i="2"/>
  <c r="LH11" i="2"/>
  <c r="LH10" i="2"/>
  <c r="LH9" i="2"/>
  <c r="LH8" i="2"/>
  <c r="LH7" i="2"/>
  <c r="LH6" i="2"/>
  <c r="LH5" i="2"/>
  <c r="LH4" i="2"/>
  <c r="LH3" i="2"/>
  <c r="LG20" i="2"/>
  <c r="LG19" i="2"/>
  <c r="LG18" i="2"/>
  <c r="LG17" i="2"/>
  <c r="LG16" i="2"/>
  <c r="LG15" i="2"/>
  <c r="LG14" i="2"/>
  <c r="LG13" i="2"/>
  <c r="LG12" i="2"/>
  <c r="LG11" i="2"/>
  <c r="LG10" i="2"/>
  <c r="LG9" i="2"/>
  <c r="LG8" i="2"/>
  <c r="LG7" i="2"/>
  <c r="LG6" i="2"/>
  <c r="LG5" i="2"/>
  <c r="LG4" i="2"/>
  <c r="LG3" i="2"/>
  <c r="LF20" i="2"/>
  <c r="LF19" i="2"/>
  <c r="LF18" i="2"/>
  <c r="LF17" i="2"/>
  <c r="LF16" i="2"/>
  <c r="LF15" i="2"/>
  <c r="LF14" i="2"/>
  <c r="LF13" i="2"/>
  <c r="LF12" i="2"/>
  <c r="LF11" i="2"/>
  <c r="LF10" i="2"/>
  <c r="LF9" i="2"/>
  <c r="LF8" i="2"/>
  <c r="LF7" i="2"/>
  <c r="LF6" i="2"/>
  <c r="LF5" i="2"/>
  <c r="LF4" i="2"/>
  <c r="LF3" i="2"/>
  <c r="LE20" i="2"/>
  <c r="LE19" i="2"/>
  <c r="LE18" i="2"/>
  <c r="LE17" i="2"/>
  <c r="LE16" i="2"/>
  <c r="LE15" i="2"/>
  <c r="LE14" i="2"/>
  <c r="LE13" i="2"/>
  <c r="LE12" i="2"/>
  <c r="LE11" i="2"/>
  <c r="LE10" i="2"/>
  <c r="LE9" i="2"/>
  <c r="LE8" i="2"/>
  <c r="LE7" i="2"/>
  <c r="LE6" i="2"/>
  <c r="LE5" i="2"/>
  <c r="LE4" i="2"/>
  <c r="LE3" i="2"/>
  <c r="LD6" i="2"/>
  <c r="LK21" i="2" s="1"/>
  <c r="LD5" i="2"/>
  <c r="LJ21" i="2" s="1"/>
  <c r="LD20" i="2"/>
  <c r="LD19" i="2"/>
  <c r="LD18" i="2"/>
  <c r="LW21" i="2" s="1"/>
  <c r="LD17" i="2"/>
  <c r="LV21" i="2" s="1"/>
  <c r="LD16" i="2"/>
  <c r="LU21" i="2" s="1"/>
  <c r="LD15" i="2"/>
  <c r="LT21" i="2" s="1"/>
  <c r="LD14" i="2"/>
  <c r="LS21" i="2" s="1"/>
  <c r="LD13" i="2"/>
  <c r="LR21" i="2" s="1"/>
  <c r="LD12" i="2"/>
  <c r="LQ21" i="2" s="1"/>
  <c r="LD11" i="2"/>
  <c r="LP21" i="2" s="1"/>
  <c r="LD10" i="2"/>
  <c r="LO21" i="2" s="1"/>
  <c r="LD9" i="2"/>
  <c r="LN21" i="2" s="1"/>
  <c r="LD8" i="2"/>
  <c r="LM21" i="2" s="1"/>
  <c r="LD7" i="2"/>
  <c r="LL21" i="2" s="1"/>
  <c r="LE21" i="2"/>
  <c r="LD21" i="2"/>
  <c r="LW2" i="2"/>
  <c r="LV2" i="2"/>
  <c r="LU2" i="2"/>
  <c r="LT2" i="2"/>
  <c r="LS2" i="2"/>
  <c r="LR2" i="2"/>
  <c r="LQ2" i="2"/>
  <c r="LP2" i="2"/>
  <c r="LO2" i="2"/>
  <c r="LN2" i="2"/>
  <c r="LM2" i="2"/>
  <c r="LL2" i="2"/>
  <c r="LK2" i="2"/>
  <c r="LJ2" i="2"/>
  <c r="LI2" i="2"/>
  <c r="LH2" i="2"/>
  <c r="LG2" i="2"/>
  <c r="LF2" i="2"/>
  <c r="LE2" i="2"/>
  <c r="LD4" i="2"/>
  <c r="LI21" i="2" s="1"/>
  <c r="LD3" i="2"/>
  <c r="LH21" i="2" s="1"/>
  <c r="LD2" i="2"/>
  <c r="LG21" i="2" s="1"/>
  <c r="Q121" i="26" l="1"/>
  <c r="Q122" i="26"/>
  <c r="Q123" i="26"/>
  <c r="Q124" i="26"/>
  <c r="Q125" i="26"/>
  <c r="Q120" i="26"/>
  <c r="S121" i="26"/>
  <c r="S122" i="26"/>
  <c r="S123" i="26"/>
  <c r="S124" i="26"/>
  <c r="S125" i="26"/>
  <c r="S120" i="26"/>
  <c r="S126" i="26" l="1"/>
  <c r="T46" i="36"/>
  <c r="R39" i="36" l="1"/>
  <c r="R38" i="36"/>
  <c r="R37" i="36"/>
  <c r="R36" i="36"/>
  <c r="R33" i="36"/>
  <c r="M12" i="36"/>
  <c r="D126" i="26" l="1"/>
  <c r="E126" i="26"/>
  <c r="H126" i="26"/>
  <c r="I126" i="26"/>
  <c r="M126" i="26"/>
  <c r="L126" i="26"/>
  <c r="CS20" i="22" l="1"/>
  <c r="CS19" i="22"/>
  <c r="CS18" i="22"/>
  <c r="CS17" i="22"/>
  <c r="CS16" i="22"/>
  <c r="CS15" i="22"/>
  <c r="CS14" i="22"/>
  <c r="CS13" i="22"/>
  <c r="CS12" i="22"/>
  <c r="CS11" i="22"/>
  <c r="CS10" i="22"/>
  <c r="CR21" i="22"/>
  <c r="CR20" i="22"/>
  <c r="CR19" i="22"/>
  <c r="CR18" i="22"/>
  <c r="CR17" i="22"/>
  <c r="CR16" i="22"/>
  <c r="CR15" i="22"/>
  <c r="CR14" i="22"/>
  <c r="CR13" i="22"/>
  <c r="CR12" i="22"/>
  <c r="CR11" i="22"/>
  <c r="CR10" i="22"/>
  <c r="CS9" i="22"/>
  <c r="CR9" i="22"/>
  <c r="CS8" i="22"/>
  <c r="CR8" i="22"/>
  <c r="CS7" i="22"/>
  <c r="CR7" i="22"/>
  <c r="CS6" i="22"/>
  <c r="CR6" i="22"/>
  <c r="CS5" i="22"/>
  <c r="CR5" i="22"/>
  <c r="CS4" i="22"/>
  <c r="CR4" i="22"/>
  <c r="CS21" i="22"/>
  <c r="CS2" i="22"/>
  <c r="CR2" i="22"/>
  <c r="CQ21" i="22"/>
  <c r="CQ20" i="22"/>
  <c r="CQ19" i="22"/>
  <c r="CQ18" i="22"/>
  <c r="CQ17" i="22"/>
  <c r="CQ16" i="22"/>
  <c r="CQ15" i="22"/>
  <c r="CQ14" i="22"/>
  <c r="CQ13" i="22"/>
  <c r="CQ12" i="22"/>
  <c r="CQ11" i="22"/>
  <c r="CQ10" i="22"/>
  <c r="CQ9" i="22"/>
  <c r="CQ8" i="22"/>
  <c r="CQ7" i="22"/>
  <c r="CQ6" i="22"/>
  <c r="CQ5" i="22"/>
  <c r="CQ4" i="22"/>
  <c r="CQ2" i="22"/>
  <c r="CE3" i="22"/>
  <c r="G38" i="9" l="1"/>
  <c r="LB21" i="2" l="1"/>
  <c r="LA21" i="2"/>
  <c r="KZ21" i="2"/>
  <c r="KY21" i="2"/>
  <c r="KX21" i="2"/>
  <c r="KW21" i="2"/>
  <c r="KV21" i="2"/>
  <c r="KU21" i="2"/>
  <c r="KT21" i="2"/>
  <c r="KS21" i="2"/>
  <c r="KR21" i="2"/>
  <c r="KQ21" i="2"/>
  <c r="KP21" i="2"/>
  <c r="KO21" i="2"/>
  <c r="KN21" i="2"/>
  <c r="KM21" i="2"/>
  <c r="KL21" i="2"/>
  <c r="P8" i="29" l="1"/>
  <c r="P9" i="29"/>
  <c r="P10" i="29"/>
  <c r="P11" i="29"/>
  <c r="P12" i="29"/>
  <c r="P13" i="29"/>
  <c r="P14" i="29"/>
  <c r="P15" i="29"/>
  <c r="P7" i="29"/>
  <c r="AC15" i="35" l="1"/>
  <c r="AA131" i="23" l="1"/>
  <c r="AE76" i="23"/>
  <c r="AE116" i="23" s="1"/>
  <c r="AE156" i="23" s="1"/>
  <c r="AE196" i="23" s="1"/>
  <c r="AE236" i="23" s="1"/>
  <c r="AE276" i="23" s="1"/>
  <c r="AE316" i="23" s="1"/>
  <c r="AE356" i="23" s="1"/>
  <c r="AE396" i="23" s="1"/>
  <c r="AE436" i="23" s="1"/>
  <c r="AE476" i="23" s="1"/>
  <c r="AE516" i="23" s="1"/>
  <c r="AE556" i="23" s="1"/>
  <c r="AE596" i="23" s="1"/>
  <c r="AE636" i="23" s="1"/>
  <c r="AE676" i="23" s="1"/>
  <c r="AE716" i="23" s="1"/>
  <c r="AE756" i="23" s="1"/>
  <c r="AE796" i="23" s="1"/>
  <c r="AF76" i="23"/>
  <c r="AF116" i="23" s="1"/>
  <c r="AF156" i="23" s="1"/>
  <c r="AF196" i="23" s="1"/>
  <c r="AF236" i="23" s="1"/>
  <c r="AF276" i="23" s="1"/>
  <c r="AF316" i="23" s="1"/>
  <c r="AF356" i="23" s="1"/>
  <c r="AF396" i="23" s="1"/>
  <c r="AF436" i="23" s="1"/>
  <c r="AF476" i="23" s="1"/>
  <c r="AF516" i="23" s="1"/>
  <c r="AF556" i="23" s="1"/>
  <c r="AF596" i="23" s="1"/>
  <c r="AF636" i="23" s="1"/>
  <c r="AF676" i="23" s="1"/>
  <c r="AF716" i="23" s="1"/>
  <c r="AF756" i="23" s="1"/>
  <c r="AF796" i="23" s="1"/>
  <c r="AG76" i="23"/>
  <c r="AG116" i="23" s="1"/>
  <c r="AG156" i="23" s="1"/>
  <c r="AG196" i="23" s="1"/>
  <c r="AG236" i="23" s="1"/>
  <c r="AG276" i="23" s="1"/>
  <c r="AG316" i="23" s="1"/>
  <c r="AG356" i="23" s="1"/>
  <c r="AG396" i="23" s="1"/>
  <c r="AG436" i="23" s="1"/>
  <c r="AG476" i="23" s="1"/>
  <c r="AG516" i="23" s="1"/>
  <c r="AG556" i="23" s="1"/>
  <c r="AG596" i="23" s="1"/>
  <c r="AG636" i="23" s="1"/>
  <c r="AG676" i="23" s="1"/>
  <c r="AG716" i="23" s="1"/>
  <c r="AG756" i="23" s="1"/>
  <c r="AG796" i="23" s="1"/>
  <c r="AH76" i="23"/>
  <c r="AH116" i="23" s="1"/>
  <c r="AH156" i="23" s="1"/>
  <c r="AH196" i="23" s="1"/>
  <c r="AH236" i="23" s="1"/>
  <c r="AH276" i="23" s="1"/>
  <c r="AH316" i="23" s="1"/>
  <c r="AH356" i="23" s="1"/>
  <c r="AH396" i="23" s="1"/>
  <c r="AH436" i="23" s="1"/>
  <c r="AH476" i="23" s="1"/>
  <c r="AH516" i="23" s="1"/>
  <c r="AH556" i="23" s="1"/>
  <c r="AH596" i="23" s="1"/>
  <c r="AH636" i="23" s="1"/>
  <c r="AH676" i="23" s="1"/>
  <c r="AH716" i="23" s="1"/>
  <c r="AH756" i="23" s="1"/>
  <c r="AH796" i="23" s="1"/>
  <c r="AI76" i="23"/>
  <c r="AI116" i="23" s="1"/>
  <c r="AI156" i="23" s="1"/>
  <c r="AI196" i="23" s="1"/>
  <c r="AI236" i="23" s="1"/>
  <c r="AI276" i="23" s="1"/>
  <c r="AI316" i="23" s="1"/>
  <c r="AI356" i="23" s="1"/>
  <c r="AI396" i="23" s="1"/>
  <c r="AI436" i="23" s="1"/>
  <c r="AI476" i="23" s="1"/>
  <c r="AI516" i="23" s="1"/>
  <c r="AI556" i="23" s="1"/>
  <c r="AI596" i="23" s="1"/>
  <c r="AI636" i="23" s="1"/>
  <c r="AI676" i="23" s="1"/>
  <c r="AI716" i="23" s="1"/>
  <c r="AI756" i="23" s="1"/>
  <c r="AI796" i="23" s="1"/>
  <c r="AJ76" i="23"/>
  <c r="AJ116" i="23" s="1"/>
  <c r="AJ156" i="23" s="1"/>
  <c r="AJ196" i="23" s="1"/>
  <c r="AJ236" i="23" s="1"/>
  <c r="AJ276" i="23" s="1"/>
  <c r="AJ316" i="23" s="1"/>
  <c r="AJ356" i="23" s="1"/>
  <c r="AJ396" i="23" s="1"/>
  <c r="AJ436" i="23" s="1"/>
  <c r="AJ476" i="23" s="1"/>
  <c r="AJ516" i="23" s="1"/>
  <c r="AJ556" i="23" s="1"/>
  <c r="AJ596" i="23" s="1"/>
  <c r="AJ636" i="23" s="1"/>
  <c r="AJ676" i="23" s="1"/>
  <c r="AJ716" i="23" s="1"/>
  <c r="AJ756" i="23" s="1"/>
  <c r="AJ796" i="23" s="1"/>
  <c r="AD76" i="23"/>
  <c r="AD116" i="23" s="1"/>
  <c r="AD156" i="23" s="1"/>
  <c r="AD196" i="23" s="1"/>
  <c r="AD236" i="23" s="1"/>
  <c r="AD276" i="23" s="1"/>
  <c r="AD316" i="23" s="1"/>
  <c r="AD356" i="23" s="1"/>
  <c r="AD396" i="23" s="1"/>
  <c r="AD436" i="23" s="1"/>
  <c r="AD476" i="23" s="1"/>
  <c r="AD516" i="23" s="1"/>
  <c r="AD556" i="23" s="1"/>
  <c r="AC76" i="23"/>
  <c r="AC116" i="23" s="1"/>
  <c r="AC156" i="23" s="1"/>
  <c r="AC196" i="23" s="1"/>
  <c r="AC236" i="23" s="1"/>
  <c r="AC276" i="23" s="1"/>
  <c r="AC316" i="23" s="1"/>
  <c r="AC356" i="23" s="1"/>
  <c r="AC396" i="23" s="1"/>
  <c r="AC436" i="23" s="1"/>
  <c r="AC476" i="23" s="1"/>
  <c r="AC516" i="23" s="1"/>
  <c r="AK76" i="23"/>
  <c r="AK116" i="23" s="1"/>
  <c r="AK156" i="23" s="1"/>
  <c r="AK196" i="23" s="1"/>
  <c r="AK236" i="23" s="1"/>
  <c r="AK276" i="23" s="1"/>
  <c r="AK316" i="23" s="1"/>
  <c r="AK356" i="23" s="1"/>
  <c r="AK396" i="23" s="1"/>
  <c r="AK436" i="23" s="1"/>
  <c r="AK476" i="23" s="1"/>
  <c r="AK516" i="23" s="1"/>
  <c r="AK556" i="23" s="1"/>
  <c r="AK75" i="23"/>
  <c r="AK115" i="23" s="1"/>
  <c r="AK155" i="23" s="1"/>
  <c r="AK195" i="23" s="1"/>
  <c r="AK235" i="23" s="1"/>
  <c r="AK275" i="23" s="1"/>
  <c r="AK315" i="23" s="1"/>
  <c r="AK355" i="23" s="1"/>
  <c r="AK395" i="23" s="1"/>
  <c r="AK435" i="23" s="1"/>
  <c r="AK475" i="23" s="1"/>
  <c r="AK515" i="23" s="1"/>
  <c r="AK555" i="23" s="1"/>
  <c r="AI75" i="23"/>
  <c r="AI115" i="23" s="1"/>
  <c r="AI155" i="23" s="1"/>
  <c r="AI195" i="23" s="1"/>
  <c r="AI235" i="23" s="1"/>
  <c r="AI275" i="23" s="1"/>
  <c r="AI315" i="23" s="1"/>
  <c r="AI355" i="23" s="1"/>
  <c r="AI395" i="23" s="1"/>
  <c r="AI435" i="23" s="1"/>
  <c r="AI475" i="23" s="1"/>
  <c r="AI515" i="23" s="1"/>
  <c r="AI555" i="23" s="1"/>
  <c r="AG75" i="23"/>
  <c r="AG115" i="23" s="1"/>
  <c r="AG155" i="23" s="1"/>
  <c r="AG195" i="23" s="1"/>
  <c r="AG235" i="23" s="1"/>
  <c r="AG275" i="23" s="1"/>
  <c r="AG315" i="23" s="1"/>
  <c r="AG355" i="23" s="1"/>
  <c r="AG395" i="23" s="1"/>
  <c r="AG435" i="23" s="1"/>
  <c r="AG475" i="23" s="1"/>
  <c r="AG515" i="23" s="1"/>
  <c r="AG555" i="23" s="1"/>
  <c r="AE75" i="23"/>
  <c r="AE115" i="23" s="1"/>
  <c r="AE155" i="23" s="1"/>
  <c r="AE195" i="23" s="1"/>
  <c r="AE235" i="23" s="1"/>
  <c r="AE275" i="23" s="1"/>
  <c r="AE315" i="23" s="1"/>
  <c r="AE355" i="23" s="1"/>
  <c r="AE395" i="23" s="1"/>
  <c r="AE435" i="23" s="1"/>
  <c r="AE475" i="23" s="1"/>
  <c r="AE515" i="23" s="1"/>
  <c r="AE555" i="23" s="1"/>
  <c r="AC75" i="23"/>
  <c r="AC115" i="23" s="1"/>
  <c r="AC155" i="23" s="1"/>
  <c r="AC195" i="23" s="1"/>
  <c r="AC235" i="23" s="1"/>
  <c r="AC275" i="23" s="1"/>
  <c r="AC315" i="23" s="1"/>
  <c r="AC355" i="23" s="1"/>
  <c r="AC395" i="23" s="1"/>
  <c r="AC435" i="23" s="1"/>
  <c r="AC475" i="23" s="1"/>
  <c r="AC515" i="23" s="1"/>
  <c r="AC555" i="23" s="1"/>
  <c r="AI595" i="23" l="1"/>
  <c r="AI635" i="23"/>
  <c r="AI675" i="23" s="1"/>
  <c r="AI715" i="23" s="1"/>
  <c r="AI755" i="23" s="1"/>
  <c r="AI795" i="23" s="1"/>
  <c r="AE595" i="23"/>
  <c r="AE635" i="23"/>
  <c r="AE675" i="23" s="1"/>
  <c r="AE715" i="23" s="1"/>
  <c r="AE755" i="23" s="1"/>
  <c r="AE795" i="23" s="1"/>
  <c r="AK596" i="23"/>
  <c r="AK636" i="23"/>
  <c r="AK676" i="23" s="1"/>
  <c r="AK716" i="23" s="1"/>
  <c r="AK756" i="23" s="1"/>
  <c r="AK796" i="23" s="1"/>
  <c r="AD596" i="23"/>
  <c r="AD636" i="23"/>
  <c r="AD676" i="23" s="1"/>
  <c r="AD716" i="23" s="1"/>
  <c r="AD756" i="23" s="1"/>
  <c r="AD796" i="23" s="1"/>
  <c r="AC595" i="23"/>
  <c r="AC635" i="23"/>
  <c r="AC675" i="23" s="1"/>
  <c r="AC715" i="23" s="1"/>
  <c r="AC755" i="23" s="1"/>
  <c r="AC795" i="23" s="1"/>
  <c r="AK595" i="23"/>
  <c r="AK635" i="23"/>
  <c r="AK675" i="23" s="1"/>
  <c r="AK715" i="23" s="1"/>
  <c r="AK755" i="23" s="1"/>
  <c r="AK795" i="23" s="1"/>
  <c r="AG595" i="23"/>
  <c r="AG635" i="23"/>
  <c r="AG675" i="23" s="1"/>
  <c r="AG715" i="23" s="1"/>
  <c r="AG755" i="23" s="1"/>
  <c r="AG795" i="23" s="1"/>
  <c r="AC556" i="23"/>
  <c r="AC636" i="23" s="1"/>
  <c r="AC676" i="23" s="1"/>
  <c r="AC716" i="23" s="1"/>
  <c r="AC756" i="23" s="1"/>
  <c r="AC796" i="23" s="1"/>
  <c r="AC596" i="23" l="1"/>
  <c r="F13" i="16"/>
  <c r="F7" i="16" l="1"/>
  <c r="F8" i="16"/>
  <c r="F9" i="16"/>
  <c r="F10" i="16"/>
  <c r="F11" i="16"/>
  <c r="F14" i="16"/>
  <c r="F6" i="16"/>
  <c r="HS40" i="2" l="1"/>
  <c r="HR40" i="2"/>
  <c r="HQ40" i="2"/>
  <c r="HP40" i="2"/>
  <c r="HO40" i="2"/>
  <c r="HN40" i="2"/>
  <c r="HM40" i="2"/>
  <c r="R663" i="23"/>
  <c r="Q663" i="23"/>
  <c r="P663" i="23"/>
  <c r="O663" i="23"/>
  <c r="N663" i="23"/>
  <c r="M663" i="23"/>
  <c r="L663" i="23"/>
  <c r="K663" i="23"/>
  <c r="J663" i="23"/>
  <c r="I663" i="23"/>
  <c r="H663" i="23"/>
  <c r="R623" i="23"/>
  <c r="Q623" i="23"/>
  <c r="P623" i="23"/>
  <c r="O623" i="23"/>
  <c r="N623" i="23"/>
  <c r="M623" i="23"/>
  <c r="L623" i="23"/>
  <c r="K623" i="23"/>
  <c r="J623" i="23"/>
  <c r="R583" i="23"/>
  <c r="Q583" i="23"/>
  <c r="P583" i="23"/>
  <c r="O583" i="23"/>
  <c r="N583" i="23"/>
  <c r="M583" i="23"/>
  <c r="L583" i="23"/>
  <c r="K583" i="23"/>
  <c r="J583" i="23"/>
  <c r="R543" i="23"/>
  <c r="Q543" i="23"/>
  <c r="P543" i="23"/>
  <c r="O543" i="23"/>
  <c r="N543" i="23"/>
  <c r="M543" i="23"/>
  <c r="L543" i="23"/>
  <c r="K543" i="23"/>
  <c r="J543" i="23"/>
  <c r="R503" i="23"/>
  <c r="Q503" i="23"/>
  <c r="P503" i="23"/>
  <c r="O503" i="23"/>
  <c r="N503" i="23"/>
  <c r="M503" i="23"/>
  <c r="L503" i="23"/>
  <c r="K503" i="23"/>
  <c r="J503" i="23"/>
  <c r="R463" i="23"/>
  <c r="Q463" i="23"/>
  <c r="P463" i="23"/>
  <c r="O463" i="23"/>
  <c r="N463" i="23"/>
  <c r="M463" i="23"/>
  <c r="L463" i="23"/>
  <c r="K463" i="23"/>
  <c r="J463" i="23"/>
  <c r="R423" i="23"/>
  <c r="Q423" i="23"/>
  <c r="P423" i="23"/>
  <c r="O423" i="23"/>
  <c r="N423" i="23"/>
  <c r="M423" i="23"/>
  <c r="L423" i="23"/>
  <c r="K423" i="23"/>
  <c r="J423" i="23"/>
  <c r="R383" i="23"/>
  <c r="Q383" i="23"/>
  <c r="P383" i="23"/>
  <c r="O383" i="23"/>
  <c r="N383" i="23"/>
  <c r="M383" i="23"/>
  <c r="L383" i="23"/>
  <c r="K383" i="23"/>
  <c r="J383" i="23"/>
  <c r="R343" i="23"/>
  <c r="Q343" i="23"/>
  <c r="P343" i="23"/>
  <c r="O343" i="23"/>
  <c r="N343" i="23"/>
  <c r="M343" i="23"/>
  <c r="L343" i="23"/>
  <c r="K343" i="23"/>
  <c r="J343" i="23"/>
  <c r="R303" i="23"/>
  <c r="Q303" i="23"/>
  <c r="P303" i="23"/>
  <c r="O303" i="23"/>
  <c r="N303" i="23"/>
  <c r="M303" i="23"/>
  <c r="L303" i="23"/>
  <c r="K303" i="23"/>
  <c r="J303" i="23"/>
  <c r="R263" i="23"/>
  <c r="Q263" i="23"/>
  <c r="P263" i="23"/>
  <c r="O263" i="23"/>
  <c r="N263" i="23"/>
  <c r="M263" i="23"/>
  <c r="L263" i="23"/>
  <c r="K263" i="23"/>
  <c r="J263" i="23"/>
  <c r="R223" i="23"/>
  <c r="Q223" i="23"/>
  <c r="P223" i="23"/>
  <c r="O223" i="23"/>
  <c r="N223" i="23"/>
  <c r="M223" i="23"/>
  <c r="L223" i="23"/>
  <c r="K223" i="23"/>
  <c r="J223" i="23"/>
  <c r="R183" i="23"/>
  <c r="Q183" i="23"/>
  <c r="P183" i="23"/>
  <c r="O183" i="23"/>
  <c r="N183" i="23"/>
  <c r="M183" i="23"/>
  <c r="L183" i="23"/>
  <c r="K183" i="23"/>
  <c r="J183" i="23"/>
  <c r="R143" i="23"/>
  <c r="Q143" i="23"/>
  <c r="P143" i="23"/>
  <c r="O143" i="23"/>
  <c r="N143" i="23"/>
  <c r="M143" i="23"/>
  <c r="L143" i="23"/>
  <c r="K143" i="23"/>
  <c r="J143" i="23"/>
  <c r="R103" i="23"/>
  <c r="Q103" i="23"/>
  <c r="P103" i="23"/>
  <c r="O103" i="23"/>
  <c r="N103" i="23"/>
  <c r="M103" i="23"/>
  <c r="L103" i="23"/>
  <c r="K103" i="23"/>
  <c r="J103" i="23"/>
  <c r="M63" i="23"/>
  <c r="L63" i="23"/>
  <c r="K63" i="23"/>
  <c r="R63" i="23"/>
  <c r="V663" i="23"/>
  <c r="U663" i="23"/>
  <c r="V623" i="23"/>
  <c r="U623" i="23"/>
  <c r="V583" i="23"/>
  <c r="U583" i="23"/>
  <c r="V543" i="23"/>
  <c r="U543" i="23"/>
  <c r="V503" i="23"/>
  <c r="U503" i="23"/>
  <c r="V463" i="23"/>
  <c r="U463" i="23"/>
  <c r="V423" i="23"/>
  <c r="U423" i="23"/>
  <c r="V383" i="23"/>
  <c r="U383" i="23"/>
  <c r="V343" i="23"/>
  <c r="U343" i="23"/>
  <c r="V303" i="23"/>
  <c r="U303" i="23"/>
  <c r="V263" i="23"/>
  <c r="U263" i="23"/>
  <c r="V223" i="23"/>
  <c r="U223" i="23"/>
  <c r="V183" i="23"/>
  <c r="U183" i="23"/>
  <c r="V143" i="23"/>
  <c r="U143" i="23"/>
  <c r="V103" i="23"/>
  <c r="U103" i="23"/>
  <c r="S143" i="23" l="1"/>
  <c r="S303" i="23"/>
  <c r="S463" i="23"/>
  <c r="S623" i="23"/>
  <c r="S223" i="23"/>
  <c r="S103" i="23"/>
  <c r="S263" i="23"/>
  <c r="S423" i="23"/>
  <c r="S583" i="23"/>
  <c r="S383" i="23"/>
  <c r="S543" i="23"/>
  <c r="S183" i="23"/>
  <c r="S343" i="23"/>
  <c r="S503" i="23"/>
  <c r="S663" i="23"/>
  <c r="AA77" i="23"/>
  <c r="AA78" i="23"/>
  <c r="AA362" i="23"/>
  <c r="AA363" i="23"/>
  <c r="AA382" i="23"/>
  <c r="AC383" i="23"/>
  <c r="B63" i="23" l="1"/>
  <c r="B103" i="23"/>
  <c r="B143" i="23"/>
  <c r="B183" i="23"/>
  <c r="B223" i="23"/>
  <c r="B263" i="23"/>
  <c r="B303" i="23"/>
  <c r="B343" i="23"/>
  <c r="B383" i="23"/>
  <c r="B423" i="23"/>
  <c r="B663" i="23"/>
  <c r="AA666" i="23"/>
  <c r="AA665" i="23"/>
  <c r="Z666" i="23"/>
  <c r="Z665" i="23"/>
  <c r="Y666" i="23"/>
  <c r="Y665" i="23"/>
  <c r="X666" i="23"/>
  <c r="X665" i="23"/>
  <c r="W666" i="23"/>
  <c r="W665" i="23"/>
  <c r="V666" i="23"/>
  <c r="V665" i="23"/>
  <c r="U666" i="23"/>
  <c r="Z504" i="23"/>
  <c r="AA466" i="23"/>
  <c r="AB466" i="23" s="1"/>
  <c r="AA465" i="23"/>
  <c r="AB465" i="23" s="1"/>
  <c r="AA425" i="23"/>
  <c r="Z426" i="23"/>
  <c r="Z425" i="23"/>
  <c r="Y426" i="23"/>
  <c r="Y425" i="23"/>
  <c r="X426" i="23"/>
  <c r="X425" i="23"/>
  <c r="W426" i="23"/>
  <c r="W425" i="23"/>
  <c r="V426" i="23"/>
  <c r="V425" i="23"/>
  <c r="U426" i="23"/>
  <c r="AA386" i="23"/>
  <c r="AA385" i="23"/>
  <c r="Z386" i="23"/>
  <c r="Z385" i="23"/>
  <c r="Y386" i="23"/>
  <c r="Y385" i="23"/>
  <c r="X386" i="23"/>
  <c r="X385" i="23"/>
  <c r="W386" i="23"/>
  <c r="W385" i="23"/>
  <c r="V386" i="23"/>
  <c r="V385" i="23"/>
  <c r="U386" i="23"/>
  <c r="AA346" i="23"/>
  <c r="AA345" i="23"/>
  <c r="Z346" i="23"/>
  <c r="Z345" i="23"/>
  <c r="Y346" i="23"/>
  <c r="X346" i="23"/>
  <c r="X345" i="23"/>
  <c r="W346" i="23"/>
  <c r="W345" i="23"/>
  <c r="V346" i="23"/>
  <c r="U346" i="23"/>
  <c r="V345" i="23"/>
  <c r="AA306" i="23"/>
  <c r="AA305" i="23"/>
  <c r="Z306" i="23"/>
  <c r="Z305" i="23"/>
  <c r="Y306" i="23"/>
  <c r="Y305" i="23"/>
  <c r="X306" i="23"/>
  <c r="X305" i="23"/>
  <c r="W306" i="23"/>
  <c r="W305" i="23"/>
  <c r="V306" i="23"/>
  <c r="V305" i="23"/>
  <c r="U306" i="23"/>
  <c r="AA266" i="23"/>
  <c r="AA265" i="23"/>
  <c r="Z266" i="23"/>
  <c r="Z265" i="23"/>
  <c r="Y266" i="23"/>
  <c r="Y265" i="23"/>
  <c r="X266" i="23"/>
  <c r="X265" i="23"/>
  <c r="W266" i="23"/>
  <c r="W265" i="23"/>
  <c r="V266" i="23"/>
  <c r="V265" i="23"/>
  <c r="U266" i="23"/>
  <c r="AA226" i="23"/>
  <c r="AA225" i="23"/>
  <c r="Z226" i="23"/>
  <c r="Y226" i="23"/>
  <c r="Y225" i="23"/>
  <c r="X226" i="23"/>
  <c r="X225" i="23"/>
  <c r="W226" i="23"/>
  <c r="W225" i="23"/>
  <c r="V226" i="23"/>
  <c r="V225" i="23"/>
  <c r="U226" i="23"/>
  <c r="U106" i="23"/>
  <c r="U186" i="23"/>
  <c r="AA186" i="23"/>
  <c r="AA185" i="23"/>
  <c r="Z186" i="23"/>
  <c r="Z185" i="23"/>
  <c r="Y186" i="23"/>
  <c r="Y185" i="23"/>
  <c r="X186" i="23"/>
  <c r="X185" i="23"/>
  <c r="W186" i="23"/>
  <c r="W185" i="23"/>
  <c r="V186" i="23"/>
  <c r="V185" i="23"/>
  <c r="AA146" i="23"/>
  <c r="Z146" i="23"/>
  <c r="Z145" i="23"/>
  <c r="Y146" i="23"/>
  <c r="Y145" i="23"/>
  <c r="X146" i="23"/>
  <c r="X145" i="23"/>
  <c r="W146" i="23"/>
  <c r="W145" i="23"/>
  <c r="V146" i="23"/>
  <c r="AA106" i="23"/>
  <c r="AA105" i="23"/>
  <c r="Z106" i="23"/>
  <c r="Z105" i="23"/>
  <c r="Y106" i="23"/>
  <c r="Y105" i="23"/>
  <c r="X106" i="23"/>
  <c r="W106" i="23"/>
  <c r="W105" i="23"/>
  <c r="V106" i="23"/>
  <c r="JW37" i="2"/>
  <c r="JW36" i="2"/>
  <c r="JW35" i="2"/>
  <c r="JW34" i="2"/>
  <c r="JW32" i="2"/>
  <c r="JW31" i="2"/>
  <c r="JW30" i="2"/>
  <c r="JW29" i="2"/>
  <c r="JW28" i="2"/>
  <c r="JW27" i="2"/>
  <c r="JV40" i="2"/>
  <c r="JV39" i="2"/>
  <c r="JV38" i="2"/>
  <c r="JV37" i="2"/>
  <c r="JV36" i="2"/>
  <c r="JV35" i="2"/>
  <c r="JV34" i="2"/>
  <c r="JV32" i="2"/>
  <c r="JV31" i="2"/>
  <c r="JV30" i="2"/>
  <c r="JV29" i="2"/>
  <c r="JV28" i="2"/>
  <c r="JV27" i="2"/>
  <c r="JU40" i="2"/>
  <c r="JU39" i="2"/>
  <c r="JU38" i="2"/>
  <c r="JU37" i="2"/>
  <c r="JU36" i="2"/>
  <c r="JU35" i="2"/>
  <c r="JU34" i="2"/>
  <c r="JU32" i="2"/>
  <c r="JU31" i="2"/>
  <c r="JU30" i="2"/>
  <c r="JU29" i="2"/>
  <c r="JU28" i="2"/>
  <c r="JU27" i="2"/>
  <c r="JT40" i="2"/>
  <c r="JT39" i="2"/>
  <c r="JT38" i="2"/>
  <c r="JT37" i="2"/>
  <c r="JT36" i="2"/>
  <c r="JT35" i="2"/>
  <c r="JT34" i="2"/>
  <c r="JT32" i="2"/>
  <c r="JT31" i="2"/>
  <c r="JT30" i="2"/>
  <c r="JT29" i="2"/>
  <c r="JT28" i="2"/>
  <c r="JT27" i="2"/>
  <c r="JS40" i="2"/>
  <c r="JS39" i="2"/>
  <c r="JS38" i="2"/>
  <c r="JS37" i="2"/>
  <c r="JS36" i="2"/>
  <c r="JS35" i="2"/>
  <c r="JS34" i="2"/>
  <c r="JS32" i="2"/>
  <c r="JS31" i="2"/>
  <c r="JS30" i="2"/>
  <c r="JS29" i="2"/>
  <c r="JS28" i="2"/>
  <c r="JS27" i="2"/>
  <c r="JR40" i="2"/>
  <c r="JR39" i="2"/>
  <c r="JR38" i="2"/>
  <c r="JR37" i="2"/>
  <c r="JR36" i="2"/>
  <c r="JR35" i="2"/>
  <c r="JR34" i="2"/>
  <c r="JR32" i="2"/>
  <c r="JR31" i="2"/>
  <c r="JR30" i="2"/>
  <c r="JR29" i="2"/>
  <c r="JR28" i="2"/>
  <c r="JR27" i="2"/>
  <c r="JQ40" i="2"/>
  <c r="JQ39" i="2"/>
  <c r="JQ38" i="2"/>
  <c r="JQ37" i="2"/>
  <c r="JQ36" i="2"/>
  <c r="JQ35" i="2"/>
  <c r="JQ34" i="2"/>
  <c r="JQ32" i="2"/>
  <c r="JQ31" i="2"/>
  <c r="JQ30" i="2"/>
  <c r="JQ29" i="2"/>
  <c r="JQ28" i="2"/>
  <c r="JQ27" i="2"/>
  <c r="JP40" i="2"/>
  <c r="JP39" i="2"/>
  <c r="JP38" i="2"/>
  <c r="JP37" i="2"/>
  <c r="JP36" i="2"/>
  <c r="JP35" i="2"/>
  <c r="JP34" i="2"/>
  <c r="JP32" i="2"/>
  <c r="JP31" i="2"/>
  <c r="JP30" i="2"/>
  <c r="JP29" i="2"/>
  <c r="JP28" i="2"/>
  <c r="JP27" i="2"/>
  <c r="KA40" i="2"/>
  <c r="KA39" i="2"/>
  <c r="KA38" i="2"/>
  <c r="KA37" i="2"/>
  <c r="KA36" i="2"/>
  <c r="KA35" i="2"/>
  <c r="KA34" i="2"/>
  <c r="KA32" i="2"/>
  <c r="KA31" i="2"/>
  <c r="KA30" i="2"/>
  <c r="KA29" i="2"/>
  <c r="KA28" i="2"/>
  <c r="KA27" i="2"/>
  <c r="JZ40" i="2"/>
  <c r="JZ39" i="2"/>
  <c r="JZ38" i="2"/>
  <c r="JZ37" i="2"/>
  <c r="JZ36" i="2"/>
  <c r="JZ35" i="2"/>
  <c r="JZ34" i="2"/>
  <c r="JZ32" i="2"/>
  <c r="JZ31" i="2"/>
  <c r="JZ30" i="2"/>
  <c r="JZ29" i="2"/>
  <c r="CS29" i="24" s="1"/>
  <c r="JZ28" i="2"/>
  <c r="JZ27" i="2"/>
  <c r="JY40" i="2"/>
  <c r="JY39" i="2"/>
  <c r="JY38" i="2"/>
  <c r="JY37" i="2"/>
  <c r="JY36" i="2"/>
  <c r="JY35" i="2"/>
  <c r="JY34" i="2"/>
  <c r="JY32" i="2"/>
  <c r="JY31" i="2"/>
  <c r="JY30" i="2"/>
  <c r="JY29" i="2"/>
  <c r="JY28" i="2"/>
  <c r="JY27" i="2"/>
  <c r="JX40" i="2"/>
  <c r="JX39" i="2"/>
  <c r="JX38" i="2"/>
  <c r="JX37" i="2"/>
  <c r="JX36" i="2"/>
  <c r="JX35" i="2"/>
  <c r="JX34" i="2"/>
  <c r="JX32" i="2"/>
  <c r="JX31" i="2"/>
  <c r="JX30" i="2"/>
  <c r="JX29" i="2"/>
  <c r="JX28" i="2"/>
  <c r="JX27" i="2"/>
  <c r="JW40" i="2"/>
  <c r="JW39" i="2"/>
  <c r="JW38" i="2"/>
  <c r="JC40" i="2"/>
  <c r="JC39" i="2"/>
  <c r="JC38" i="2"/>
  <c r="JC37" i="2"/>
  <c r="JC36" i="2"/>
  <c r="JC35" i="2"/>
  <c r="JC34" i="2"/>
  <c r="JC33" i="2"/>
  <c r="JC32" i="2"/>
  <c r="JC31" i="2"/>
  <c r="JC30" i="2"/>
  <c r="JC29" i="2"/>
  <c r="JC28" i="2"/>
  <c r="JC27" i="2"/>
  <c r="JC26" i="2"/>
  <c r="JB40" i="2"/>
  <c r="JB39" i="2"/>
  <c r="JB38" i="2"/>
  <c r="JB37" i="2"/>
  <c r="JB36" i="2"/>
  <c r="JB35" i="2"/>
  <c r="JB34" i="2"/>
  <c r="JB33" i="2"/>
  <c r="JB32" i="2"/>
  <c r="JB31" i="2"/>
  <c r="JB30" i="2"/>
  <c r="JB29" i="2"/>
  <c r="JB28" i="2"/>
  <c r="JB27" i="2"/>
  <c r="JB26" i="2"/>
  <c r="JA40" i="2"/>
  <c r="JA39" i="2"/>
  <c r="JA38" i="2"/>
  <c r="JA37" i="2"/>
  <c r="JA36" i="2"/>
  <c r="JA35" i="2"/>
  <c r="JA34" i="2"/>
  <c r="JA33" i="2"/>
  <c r="JA32" i="2"/>
  <c r="JA31" i="2"/>
  <c r="JA30" i="2"/>
  <c r="JA29" i="2"/>
  <c r="JA28" i="2"/>
  <c r="JA27" i="2"/>
  <c r="JA26" i="2"/>
  <c r="IZ40" i="2"/>
  <c r="IZ39" i="2"/>
  <c r="IZ38" i="2"/>
  <c r="IZ37" i="2"/>
  <c r="IZ36" i="2"/>
  <c r="IZ35" i="2"/>
  <c r="IZ34" i="2"/>
  <c r="IZ33" i="2"/>
  <c r="IZ32" i="2"/>
  <c r="IZ31" i="2"/>
  <c r="IZ30" i="2"/>
  <c r="IZ29" i="2"/>
  <c r="IZ28" i="2"/>
  <c r="IZ27" i="2"/>
  <c r="IZ26" i="2"/>
  <c r="IY40" i="2"/>
  <c r="IY39" i="2"/>
  <c r="IY38" i="2"/>
  <c r="IY37" i="2"/>
  <c r="IY36" i="2"/>
  <c r="IY35" i="2"/>
  <c r="IY34" i="2"/>
  <c r="IY33" i="2"/>
  <c r="IY32" i="2"/>
  <c r="IY31" i="2"/>
  <c r="IY30" i="2"/>
  <c r="IY29" i="2"/>
  <c r="IY28" i="2"/>
  <c r="IY27" i="2"/>
  <c r="IY26" i="2"/>
  <c r="IX40" i="2"/>
  <c r="IX39" i="2"/>
  <c r="IX38" i="2"/>
  <c r="IX37" i="2"/>
  <c r="IX36" i="2"/>
  <c r="IX35" i="2"/>
  <c r="IX34" i="2"/>
  <c r="IX33" i="2"/>
  <c r="IX32" i="2"/>
  <c r="IX31" i="2"/>
  <c r="IX30" i="2"/>
  <c r="IX29" i="2"/>
  <c r="IX28" i="2"/>
  <c r="IX27" i="2"/>
  <c r="IX26" i="2"/>
  <c r="IW40" i="2"/>
  <c r="IW39" i="2"/>
  <c r="IW38" i="2"/>
  <c r="IW37" i="2"/>
  <c r="IW36" i="2"/>
  <c r="IW35" i="2"/>
  <c r="IW34" i="2"/>
  <c r="IW33" i="2"/>
  <c r="IW32" i="2"/>
  <c r="IW31" i="2"/>
  <c r="IW30" i="2"/>
  <c r="IW29" i="2"/>
  <c r="IW28" i="2"/>
  <c r="IW27" i="2"/>
  <c r="IW26" i="2"/>
  <c r="IV40" i="2"/>
  <c r="IV39" i="2"/>
  <c r="IV38" i="2"/>
  <c r="IV37" i="2"/>
  <c r="IV36" i="2"/>
  <c r="IV35" i="2"/>
  <c r="IV34" i="2"/>
  <c r="IV33" i="2"/>
  <c r="IV32" i="2"/>
  <c r="IV31" i="2"/>
  <c r="IV30" i="2"/>
  <c r="IV29" i="2"/>
  <c r="IV28" i="2"/>
  <c r="IV27" i="2"/>
  <c r="IV26" i="2"/>
  <c r="IU40" i="2"/>
  <c r="IU39" i="2"/>
  <c r="IU38" i="2"/>
  <c r="IU37" i="2"/>
  <c r="IU36" i="2"/>
  <c r="IU35" i="2"/>
  <c r="IU34" i="2"/>
  <c r="IU33" i="2"/>
  <c r="IU32" i="2"/>
  <c r="IU31" i="2"/>
  <c r="IU30" i="2"/>
  <c r="IU29" i="2"/>
  <c r="IU28" i="2"/>
  <c r="IU27" i="2"/>
  <c r="IU26" i="2"/>
  <c r="IT40" i="2"/>
  <c r="IT39" i="2"/>
  <c r="IT38" i="2"/>
  <c r="IT37" i="2"/>
  <c r="IT36" i="2"/>
  <c r="IT35" i="2"/>
  <c r="IT34" i="2"/>
  <c r="IT33" i="2"/>
  <c r="IT32" i="2"/>
  <c r="IT31" i="2"/>
  <c r="IT30" i="2"/>
  <c r="IT29" i="2"/>
  <c r="IT28" i="2"/>
  <c r="IT27" i="2"/>
  <c r="IT26" i="2"/>
  <c r="IS40" i="2"/>
  <c r="IS39" i="2"/>
  <c r="IS38" i="2"/>
  <c r="IS37" i="2"/>
  <c r="IS36" i="2"/>
  <c r="IS35" i="2"/>
  <c r="IS34" i="2"/>
  <c r="IS33" i="2"/>
  <c r="IS32" i="2"/>
  <c r="IS31" i="2"/>
  <c r="IS30" i="2"/>
  <c r="IS29" i="2"/>
  <c r="IS28" i="2"/>
  <c r="IS27" i="2"/>
  <c r="IS26" i="2"/>
  <c r="IR40" i="2"/>
  <c r="IR39" i="2"/>
  <c r="IR38" i="2"/>
  <c r="IR37" i="2"/>
  <c r="IR36" i="2"/>
  <c r="IR35" i="2"/>
  <c r="IR34" i="2"/>
  <c r="IR33" i="2"/>
  <c r="IR32" i="2"/>
  <c r="IR31" i="2"/>
  <c r="IR30" i="2"/>
  <c r="IR29" i="2"/>
  <c r="IR28" i="2"/>
  <c r="IR27" i="2"/>
  <c r="IR26" i="2"/>
  <c r="IQ40" i="2"/>
  <c r="IQ39" i="2"/>
  <c r="IQ38" i="2"/>
  <c r="IQ37" i="2"/>
  <c r="IQ36" i="2"/>
  <c r="IP40" i="2"/>
  <c r="IP39" i="2"/>
  <c r="IP38" i="2"/>
  <c r="IP37" i="2"/>
  <c r="IP36" i="2"/>
  <c r="IO40" i="2"/>
  <c r="IO39" i="2"/>
  <c r="IO38" i="2"/>
  <c r="IO37" i="2"/>
  <c r="IO36" i="2"/>
  <c r="IN40" i="2"/>
  <c r="IN39" i="2"/>
  <c r="IN38" i="2"/>
  <c r="IN37" i="2"/>
  <c r="IN36" i="2"/>
  <c r="IM40" i="2"/>
  <c r="IM39" i="2"/>
  <c r="IM38" i="2"/>
  <c r="IM37" i="2"/>
  <c r="IM36" i="2"/>
  <c r="IL40" i="2"/>
  <c r="IL39" i="2"/>
  <c r="IL38" i="2"/>
  <c r="IL37" i="2"/>
  <c r="IL36" i="2"/>
  <c r="IK40" i="2"/>
  <c r="IK39" i="2"/>
  <c r="IK38" i="2"/>
  <c r="IK37" i="2"/>
  <c r="IK36" i="2"/>
  <c r="IJ40" i="2"/>
  <c r="IJ39" i="2"/>
  <c r="IJ38" i="2"/>
  <c r="IJ37" i="2"/>
  <c r="IJ36" i="2"/>
  <c r="IQ35" i="2"/>
  <c r="IQ34" i="2"/>
  <c r="IQ33" i="2"/>
  <c r="IQ32" i="2"/>
  <c r="IQ31" i="2"/>
  <c r="IP35" i="2"/>
  <c r="IP34" i="2"/>
  <c r="IP33" i="2"/>
  <c r="IP32" i="2"/>
  <c r="IP31" i="2"/>
  <c r="IO35" i="2"/>
  <c r="IO34" i="2"/>
  <c r="IO33" i="2"/>
  <c r="IO32" i="2"/>
  <c r="IO31" i="2"/>
  <c r="IN35" i="2"/>
  <c r="IN34" i="2"/>
  <c r="IN33" i="2"/>
  <c r="IN32" i="2"/>
  <c r="IN31" i="2"/>
  <c r="IM35" i="2"/>
  <c r="IM34" i="2"/>
  <c r="IM33" i="2"/>
  <c r="IM32" i="2"/>
  <c r="IM31" i="2"/>
  <c r="IL35" i="2"/>
  <c r="IL34" i="2"/>
  <c r="IL33" i="2"/>
  <c r="IL32" i="2"/>
  <c r="IL31" i="2"/>
  <c r="IK35" i="2"/>
  <c r="IK34" i="2"/>
  <c r="IK33" i="2"/>
  <c r="IK32" i="2"/>
  <c r="IK31" i="2"/>
  <c r="IJ35" i="2"/>
  <c r="IJ34" i="2"/>
  <c r="IJ33" i="2"/>
  <c r="IJ32" i="2"/>
  <c r="IJ31" i="2"/>
  <c r="IQ30" i="2"/>
  <c r="IQ29" i="2"/>
  <c r="IP30" i="2"/>
  <c r="IP29" i="2"/>
  <c r="IO30" i="2"/>
  <c r="IO29" i="2"/>
  <c r="IN30" i="2"/>
  <c r="IN29" i="2"/>
  <c r="IM30" i="2"/>
  <c r="IM29" i="2"/>
  <c r="IL30" i="2"/>
  <c r="IL29" i="2"/>
  <c r="IK30" i="2"/>
  <c r="IK29" i="2"/>
  <c r="IJ30" i="2"/>
  <c r="IJ29" i="2"/>
  <c r="IQ28" i="2"/>
  <c r="IQ27" i="2"/>
  <c r="IP28" i="2"/>
  <c r="IP27" i="2"/>
  <c r="IO28" i="2"/>
  <c r="IO27" i="2"/>
  <c r="IN28" i="2"/>
  <c r="IN27" i="2"/>
  <c r="IM28" i="2"/>
  <c r="IM27" i="2"/>
  <c r="IL28" i="2"/>
  <c r="IL27" i="2"/>
  <c r="IK28" i="2"/>
  <c r="IK27" i="2"/>
  <c r="IJ28" i="2"/>
  <c r="IJ27" i="2"/>
  <c r="IQ26" i="2"/>
  <c r="IQ25" i="2"/>
  <c r="IP26" i="2"/>
  <c r="IP25" i="2"/>
  <c r="IO26" i="2"/>
  <c r="IO25" i="2"/>
  <c r="IN26" i="2"/>
  <c r="IN25" i="2"/>
  <c r="IM26" i="2"/>
  <c r="IM25" i="2"/>
  <c r="IL26" i="2"/>
  <c r="IL25" i="2"/>
  <c r="IK26" i="2"/>
  <c r="IK25" i="2"/>
  <c r="IJ26" i="2"/>
  <c r="IJ25" i="2"/>
  <c r="JC25" i="2"/>
  <c r="JB25" i="2"/>
  <c r="JA25" i="2"/>
  <c r="IZ25" i="2"/>
  <c r="IY25" i="2"/>
  <c r="IX25" i="2"/>
  <c r="IW25" i="2"/>
  <c r="IV25" i="2"/>
  <c r="IU25" i="2"/>
  <c r="IT25" i="2"/>
  <c r="IS25" i="2"/>
  <c r="IR25" i="2"/>
  <c r="II40" i="2"/>
  <c r="II39" i="2"/>
  <c r="II38" i="2"/>
  <c r="II37" i="2"/>
  <c r="II36" i="2"/>
  <c r="II35" i="2"/>
  <c r="II34" i="2"/>
  <c r="II33" i="2"/>
  <c r="II32" i="2"/>
  <c r="II31" i="2"/>
  <c r="II30" i="2"/>
  <c r="II29" i="2"/>
  <c r="II28" i="2"/>
  <c r="II27" i="2"/>
  <c r="II26" i="2"/>
  <c r="II25" i="2"/>
  <c r="IH40" i="2"/>
  <c r="IH39" i="2"/>
  <c r="IH38" i="2"/>
  <c r="IH37" i="2"/>
  <c r="IH36" i="2"/>
  <c r="IH35" i="2"/>
  <c r="IH34" i="2"/>
  <c r="IH33" i="2"/>
  <c r="IH32" i="2"/>
  <c r="IH31" i="2"/>
  <c r="IH30" i="2"/>
  <c r="IH29" i="2"/>
  <c r="IH28" i="2"/>
  <c r="IH27" i="2"/>
  <c r="JQ5" i="2" s="1"/>
  <c r="IH26" i="2"/>
  <c r="IH25" i="2"/>
  <c r="IG40" i="2"/>
  <c r="IG39" i="2"/>
  <c r="IG38" i="2"/>
  <c r="IG37" i="2"/>
  <c r="IG36" i="2"/>
  <c r="IG35" i="2"/>
  <c r="IG34" i="2"/>
  <c r="IG33" i="2"/>
  <c r="IG32" i="2"/>
  <c r="IG31" i="2"/>
  <c r="IG30" i="2"/>
  <c r="IG29" i="2"/>
  <c r="IG28" i="2"/>
  <c r="IG27" i="2"/>
  <c r="IG26" i="2"/>
  <c r="IG25" i="2"/>
  <c r="IF40" i="2"/>
  <c r="IF39" i="2"/>
  <c r="IF38" i="2"/>
  <c r="IF37" i="2"/>
  <c r="IF36" i="2"/>
  <c r="IF35" i="2"/>
  <c r="IF34" i="2"/>
  <c r="IF33" i="2"/>
  <c r="IF32" i="2"/>
  <c r="IF31" i="2"/>
  <c r="IF30" i="2"/>
  <c r="IF29" i="2"/>
  <c r="IF28" i="2"/>
  <c r="IF27" i="2"/>
  <c r="IF26" i="2"/>
  <c r="IF25" i="2"/>
  <c r="U63" i="23"/>
  <c r="V63" i="23"/>
  <c r="AA65" i="23"/>
  <c r="Z65" i="23"/>
  <c r="Y65" i="23"/>
  <c r="X65" i="23"/>
  <c r="W65" i="23"/>
  <c r="V65" i="23"/>
  <c r="AA66" i="23"/>
  <c r="Z66" i="23"/>
  <c r="Y66" i="23"/>
  <c r="X66" i="23"/>
  <c r="W66" i="23"/>
  <c r="V66" i="23"/>
  <c r="U66" i="23"/>
  <c r="AC63" i="23"/>
  <c r="JA18" i="2"/>
  <c r="JA17" i="2"/>
  <c r="JA16" i="2"/>
  <c r="JA15" i="2"/>
  <c r="JA14" i="2"/>
  <c r="JA13" i="2"/>
  <c r="JA12" i="2"/>
  <c r="JA11" i="2"/>
  <c r="JA10" i="2"/>
  <c r="JA9" i="2"/>
  <c r="JA8" i="2"/>
  <c r="JA7" i="2"/>
  <c r="JA6" i="2"/>
  <c r="JA5" i="2"/>
  <c r="JA4" i="2"/>
  <c r="JA3" i="2"/>
  <c r="IZ18" i="2"/>
  <c r="IZ17" i="2"/>
  <c r="IZ16" i="2"/>
  <c r="IZ15" i="2"/>
  <c r="IZ14" i="2"/>
  <c r="IZ13" i="2"/>
  <c r="IZ12" i="2"/>
  <c r="IZ11" i="2"/>
  <c r="IZ10" i="2"/>
  <c r="IZ9" i="2"/>
  <c r="IZ8" i="2"/>
  <c r="IZ7" i="2"/>
  <c r="IZ6" i="2"/>
  <c r="IZ5" i="2"/>
  <c r="IZ4" i="2"/>
  <c r="IZ3" i="2"/>
  <c r="IY18" i="2"/>
  <c r="IY17" i="2"/>
  <c r="IY16" i="2"/>
  <c r="IY15" i="2"/>
  <c r="IY14" i="2"/>
  <c r="IY13" i="2"/>
  <c r="IY12" i="2"/>
  <c r="IY11" i="2"/>
  <c r="IY10" i="2"/>
  <c r="IY9" i="2"/>
  <c r="IY8" i="2"/>
  <c r="IY7" i="2"/>
  <c r="IY6" i="2"/>
  <c r="IY5" i="2"/>
  <c r="IY4" i="2"/>
  <c r="IY3" i="2"/>
  <c r="IX18" i="2"/>
  <c r="IX17" i="2"/>
  <c r="IX16" i="2"/>
  <c r="IX15" i="2"/>
  <c r="IX14" i="2"/>
  <c r="IX13" i="2"/>
  <c r="IX12" i="2"/>
  <c r="IX11" i="2"/>
  <c r="IX10" i="2"/>
  <c r="IX9" i="2"/>
  <c r="IX8" i="2"/>
  <c r="IX7" i="2"/>
  <c r="IX6" i="2"/>
  <c r="IX5" i="2"/>
  <c r="IX4" i="2"/>
  <c r="IX3" i="2"/>
  <c r="IW18" i="2"/>
  <c r="IW17" i="2"/>
  <c r="IW16" i="2"/>
  <c r="IW15" i="2"/>
  <c r="IW14" i="2"/>
  <c r="IW13" i="2"/>
  <c r="IW12" i="2"/>
  <c r="IW11" i="2"/>
  <c r="IW10" i="2"/>
  <c r="IW9" i="2"/>
  <c r="IW8" i="2"/>
  <c r="IW7" i="2"/>
  <c r="IW6" i="2"/>
  <c r="IW5" i="2"/>
  <c r="IW4" i="2"/>
  <c r="IW3" i="2"/>
  <c r="IV18" i="2"/>
  <c r="IV17" i="2"/>
  <c r="IV16" i="2"/>
  <c r="IV15" i="2"/>
  <c r="IV14" i="2"/>
  <c r="IV13" i="2"/>
  <c r="IV12" i="2"/>
  <c r="IV11" i="2"/>
  <c r="IV10" i="2"/>
  <c r="IV9" i="2"/>
  <c r="IV8" i="2"/>
  <c r="IV7" i="2"/>
  <c r="IV6" i="2"/>
  <c r="IV5" i="2"/>
  <c r="IV4" i="2"/>
  <c r="IV3" i="2"/>
  <c r="IO18" i="2"/>
  <c r="IO17" i="2"/>
  <c r="IO16" i="2"/>
  <c r="IO15" i="2"/>
  <c r="IO14" i="2"/>
  <c r="IO13" i="2"/>
  <c r="IO12" i="2"/>
  <c r="IO11" i="2"/>
  <c r="IO10" i="2"/>
  <c r="IO9" i="2"/>
  <c r="IO8" i="2"/>
  <c r="IO7" i="2"/>
  <c r="IO6" i="2"/>
  <c r="IO5" i="2"/>
  <c r="IO4" i="2"/>
  <c r="IO3" i="2"/>
  <c r="IN18" i="2"/>
  <c r="IN17" i="2"/>
  <c r="IN16" i="2"/>
  <c r="IN15" i="2"/>
  <c r="IN14" i="2"/>
  <c r="IN13" i="2"/>
  <c r="IN12" i="2"/>
  <c r="IN11" i="2"/>
  <c r="IN10" i="2"/>
  <c r="IN9" i="2"/>
  <c r="IN8" i="2"/>
  <c r="IN7" i="2"/>
  <c r="IN6" i="2"/>
  <c r="IN5" i="2"/>
  <c r="IN4" i="2"/>
  <c r="IN3" i="2"/>
  <c r="IM18" i="2"/>
  <c r="IM17" i="2"/>
  <c r="IM16" i="2"/>
  <c r="IM15" i="2"/>
  <c r="IM14" i="2"/>
  <c r="IM13" i="2"/>
  <c r="IM12" i="2"/>
  <c r="IM11" i="2"/>
  <c r="IM10" i="2"/>
  <c r="IM9" i="2"/>
  <c r="IM8" i="2"/>
  <c r="IM7" i="2"/>
  <c r="IM6" i="2"/>
  <c r="IM5" i="2"/>
  <c r="IM4" i="2"/>
  <c r="IM3" i="2"/>
  <c r="IL18" i="2"/>
  <c r="IL17" i="2"/>
  <c r="IL16" i="2"/>
  <c r="IL15" i="2"/>
  <c r="IL14" i="2"/>
  <c r="IL13" i="2"/>
  <c r="IL12" i="2"/>
  <c r="IL11" i="2"/>
  <c r="IL10" i="2"/>
  <c r="IL9" i="2"/>
  <c r="IL8" i="2"/>
  <c r="IL7" i="2"/>
  <c r="IL6" i="2"/>
  <c r="IL5" i="2"/>
  <c r="IL4" i="2"/>
  <c r="IL3" i="2"/>
  <c r="IK18" i="2"/>
  <c r="IK17" i="2"/>
  <c r="IK16" i="2"/>
  <c r="IK15" i="2"/>
  <c r="IK14" i="2"/>
  <c r="IK13" i="2"/>
  <c r="IK12" i="2"/>
  <c r="IK11" i="2"/>
  <c r="IK10" i="2"/>
  <c r="IK9" i="2"/>
  <c r="IK8" i="2"/>
  <c r="IK7" i="2"/>
  <c r="IK6" i="2"/>
  <c r="IK5" i="2"/>
  <c r="IK4" i="2"/>
  <c r="IK3" i="2"/>
  <c r="IJ18" i="2"/>
  <c r="IJ17" i="2"/>
  <c r="IJ16" i="2"/>
  <c r="IJ15" i="2"/>
  <c r="IJ14" i="2"/>
  <c r="IJ13" i="2"/>
  <c r="IJ12" i="2"/>
  <c r="IJ11" i="2"/>
  <c r="IJ10" i="2"/>
  <c r="IJ9" i="2"/>
  <c r="IJ8" i="2"/>
  <c r="IJ7" i="2"/>
  <c r="IJ6" i="2"/>
  <c r="IJ5" i="2"/>
  <c r="IJ4" i="2"/>
  <c r="IJ3" i="2"/>
  <c r="II18" i="2"/>
  <c r="II17" i="2"/>
  <c r="II16" i="2"/>
  <c r="II15" i="2"/>
  <c r="II14" i="2"/>
  <c r="II13" i="2"/>
  <c r="II12" i="2"/>
  <c r="II11" i="2"/>
  <c r="II10" i="2"/>
  <c r="II9" i="2"/>
  <c r="II8" i="2"/>
  <c r="II7" i="2"/>
  <c r="II6" i="2"/>
  <c r="II5" i="2"/>
  <c r="II4" i="2"/>
  <c r="II3" i="2"/>
  <c r="IH18" i="2"/>
  <c r="IH17" i="2"/>
  <c r="IH16" i="2"/>
  <c r="IH15" i="2"/>
  <c r="IH14" i="2"/>
  <c r="IH13" i="2"/>
  <c r="IH12" i="2"/>
  <c r="IH11" i="2"/>
  <c r="IH10" i="2"/>
  <c r="IH9" i="2"/>
  <c r="IH8" i="2"/>
  <c r="IH7" i="2"/>
  <c r="IH6" i="2"/>
  <c r="IH5" i="2"/>
  <c r="IH4" i="2"/>
  <c r="IH3" i="2"/>
  <c r="IG18" i="2"/>
  <c r="IG17" i="2"/>
  <c r="IG16" i="2"/>
  <c r="IG15" i="2"/>
  <c r="IG14" i="2"/>
  <c r="IG13" i="2"/>
  <c r="IG12" i="2"/>
  <c r="IG11" i="2"/>
  <c r="IG10" i="2"/>
  <c r="IG9" i="2"/>
  <c r="IG8" i="2"/>
  <c r="IG7" i="2"/>
  <c r="IG6" i="2"/>
  <c r="IG5" i="2"/>
  <c r="IG4" i="2"/>
  <c r="IG3" i="2"/>
  <c r="IF18" i="2"/>
  <c r="IF17" i="2"/>
  <c r="IF16" i="2"/>
  <c r="IF15" i="2"/>
  <c r="IF14" i="2"/>
  <c r="IE18" i="2"/>
  <c r="IE17" i="2"/>
  <c r="IE16" i="2"/>
  <c r="IE15" i="2"/>
  <c r="IE14" i="2"/>
  <c r="ID18" i="2"/>
  <c r="ID17" i="2"/>
  <c r="ID16" i="2"/>
  <c r="ID15" i="2"/>
  <c r="ID14" i="2"/>
  <c r="IC18" i="2"/>
  <c r="IC17" i="2"/>
  <c r="IC16" i="2"/>
  <c r="IC15" i="2"/>
  <c r="IC14" i="2"/>
  <c r="IB18" i="2"/>
  <c r="IB17" i="2"/>
  <c r="IB16" i="2"/>
  <c r="IB15" i="2"/>
  <c r="IB14" i="2"/>
  <c r="IA18" i="2"/>
  <c r="IA17" i="2"/>
  <c r="IA16" i="2"/>
  <c r="IA15" i="2"/>
  <c r="IA14" i="2"/>
  <c r="HZ18" i="2"/>
  <c r="HZ17" i="2"/>
  <c r="HZ16" i="2"/>
  <c r="HZ15" i="2"/>
  <c r="HZ14" i="2"/>
  <c r="HY18" i="2"/>
  <c r="HY17" i="2"/>
  <c r="HY16" i="2"/>
  <c r="HY15" i="2"/>
  <c r="HY14" i="2"/>
  <c r="HX18" i="2"/>
  <c r="HX17" i="2"/>
  <c r="HX16" i="2"/>
  <c r="HX15" i="2"/>
  <c r="HX14" i="2"/>
  <c r="HW18" i="2"/>
  <c r="HW17" i="2"/>
  <c r="HW16" i="2"/>
  <c r="HW15" i="2"/>
  <c r="HW14" i="2"/>
  <c r="HV18" i="2"/>
  <c r="HV17" i="2"/>
  <c r="HV16" i="2"/>
  <c r="HV15" i="2"/>
  <c r="HV14" i="2"/>
  <c r="HU18" i="2"/>
  <c r="HU17" i="2"/>
  <c r="HU16" i="2"/>
  <c r="HU15" i="2"/>
  <c r="HU14" i="2"/>
  <c r="HT18" i="2"/>
  <c r="HT17" i="2"/>
  <c r="HT16" i="2"/>
  <c r="HT15" i="2"/>
  <c r="HT14" i="2"/>
  <c r="HS18" i="2"/>
  <c r="HS17" i="2"/>
  <c r="HS16" i="2"/>
  <c r="HS15" i="2"/>
  <c r="HS14" i="2"/>
  <c r="HR18" i="2"/>
  <c r="HR17" i="2"/>
  <c r="HR16" i="2"/>
  <c r="HR15" i="2"/>
  <c r="HR14" i="2"/>
  <c r="HQ18" i="2"/>
  <c r="HQ17" i="2"/>
  <c r="HQ16" i="2"/>
  <c r="HQ15" i="2"/>
  <c r="HQ14" i="2"/>
  <c r="IF13" i="2"/>
  <c r="IF12" i="2"/>
  <c r="IF11" i="2"/>
  <c r="IF10" i="2"/>
  <c r="IF9" i="2"/>
  <c r="IF8" i="2"/>
  <c r="IF7" i="2"/>
  <c r="IF6" i="2"/>
  <c r="IF5" i="2"/>
  <c r="IF4" i="2"/>
  <c r="IF3" i="2"/>
  <c r="IE13" i="2"/>
  <c r="IE12" i="2"/>
  <c r="IE11" i="2"/>
  <c r="IE10" i="2"/>
  <c r="IE9" i="2"/>
  <c r="IE8" i="2"/>
  <c r="IE7" i="2"/>
  <c r="IE6" i="2"/>
  <c r="IE5" i="2"/>
  <c r="IE4" i="2"/>
  <c r="IE3" i="2"/>
  <c r="ID13" i="2"/>
  <c r="ID12" i="2"/>
  <c r="ID11" i="2"/>
  <c r="ID10" i="2"/>
  <c r="ID9" i="2"/>
  <c r="ID8" i="2"/>
  <c r="ID7" i="2"/>
  <c r="ID6" i="2"/>
  <c r="ID5" i="2"/>
  <c r="ID4" i="2"/>
  <c r="ID3" i="2"/>
  <c r="IC13" i="2"/>
  <c r="IC12" i="2"/>
  <c r="IC11" i="2"/>
  <c r="IC10" i="2"/>
  <c r="IC9" i="2"/>
  <c r="IC8" i="2"/>
  <c r="IC7" i="2"/>
  <c r="IC6" i="2"/>
  <c r="IC5" i="2"/>
  <c r="IC4" i="2"/>
  <c r="IC3" i="2"/>
  <c r="IB3" i="2"/>
  <c r="IB13" i="2"/>
  <c r="IB12" i="2"/>
  <c r="IB11" i="2"/>
  <c r="IB10" i="2"/>
  <c r="IB9" i="2"/>
  <c r="IB8" i="2"/>
  <c r="IB7" i="2"/>
  <c r="IB6" i="2"/>
  <c r="IB5" i="2"/>
  <c r="IB4" i="2"/>
  <c r="HY13" i="2"/>
  <c r="HY12" i="2"/>
  <c r="HY11" i="2"/>
  <c r="HY10" i="2"/>
  <c r="HY9" i="2"/>
  <c r="HY8" i="2"/>
  <c r="HY7" i="2"/>
  <c r="HY6" i="2"/>
  <c r="HY5" i="2"/>
  <c r="HY4" i="2"/>
  <c r="HY3" i="2"/>
  <c r="HX13" i="2"/>
  <c r="HX12" i="2"/>
  <c r="HX11" i="2"/>
  <c r="HX10" i="2"/>
  <c r="HX9" i="2"/>
  <c r="HX8" i="2"/>
  <c r="HX7" i="2"/>
  <c r="HX6" i="2"/>
  <c r="HX5" i="2"/>
  <c r="HX4" i="2"/>
  <c r="HX3" i="2"/>
  <c r="HW13" i="2"/>
  <c r="HW12" i="2"/>
  <c r="HW11" i="2"/>
  <c r="HW10" i="2"/>
  <c r="HW9" i="2"/>
  <c r="HW8" i="2"/>
  <c r="HW7" i="2"/>
  <c r="HW6" i="2"/>
  <c r="HW5" i="2"/>
  <c r="HW4" i="2"/>
  <c r="HW3" i="2"/>
  <c r="HV13" i="2"/>
  <c r="HV12" i="2"/>
  <c r="HV11" i="2"/>
  <c r="HV10" i="2"/>
  <c r="HV9" i="2"/>
  <c r="HV8" i="2"/>
  <c r="HV7" i="2"/>
  <c r="HV6" i="2"/>
  <c r="HV5" i="2"/>
  <c r="HV4" i="2"/>
  <c r="HV3" i="2"/>
  <c r="HU13" i="2"/>
  <c r="HU12" i="2"/>
  <c r="HU11" i="2"/>
  <c r="HU10" i="2"/>
  <c r="HU9" i="2"/>
  <c r="HU8" i="2"/>
  <c r="HU7" i="2"/>
  <c r="HU6" i="2"/>
  <c r="HU5" i="2"/>
  <c r="HU4" i="2"/>
  <c r="HU3" i="2"/>
  <c r="HT13" i="2"/>
  <c r="HT12" i="2"/>
  <c r="HT11" i="2"/>
  <c r="HT10" i="2"/>
  <c r="HT9" i="2"/>
  <c r="HT8" i="2"/>
  <c r="HT7" i="2"/>
  <c r="HT6" i="2"/>
  <c r="HT5" i="2"/>
  <c r="HT4" i="2"/>
  <c r="HT3" i="2"/>
  <c r="HS13" i="2"/>
  <c r="HS12" i="2"/>
  <c r="HS11" i="2"/>
  <c r="HS10" i="2"/>
  <c r="HS9" i="2"/>
  <c r="HS8" i="2"/>
  <c r="HS7" i="2"/>
  <c r="HS6" i="2"/>
  <c r="HS5" i="2"/>
  <c r="HS4" i="2"/>
  <c r="HS3" i="2"/>
  <c r="HR13" i="2"/>
  <c r="HR12" i="2"/>
  <c r="HR11" i="2"/>
  <c r="HR10" i="2"/>
  <c r="HR9" i="2"/>
  <c r="HR8" i="2"/>
  <c r="HR7" i="2"/>
  <c r="HR6" i="2"/>
  <c r="HR5" i="2"/>
  <c r="HR4" i="2"/>
  <c r="HR3" i="2"/>
  <c r="HQ13" i="2"/>
  <c r="HQ12" i="2"/>
  <c r="HQ11" i="2"/>
  <c r="HQ10" i="2"/>
  <c r="HQ9" i="2"/>
  <c r="HQ8" i="2"/>
  <c r="HQ7" i="2"/>
  <c r="HQ6" i="2"/>
  <c r="HQ5" i="2"/>
  <c r="HQ4" i="2"/>
  <c r="HQ3" i="2"/>
  <c r="HP14" i="2"/>
  <c r="JP5" i="2" l="1"/>
  <c r="HU46" i="2"/>
  <c r="IE46" i="2"/>
  <c r="HW47" i="2"/>
  <c r="HQ46" i="2"/>
  <c r="HY46" i="2"/>
  <c r="HS47" i="2"/>
  <c r="IA47" i="2"/>
  <c r="JS51" i="2"/>
  <c r="IB47" i="2"/>
  <c r="IF47" i="2"/>
  <c r="IG47" i="2"/>
  <c r="IH47" i="2"/>
  <c r="II47" i="2"/>
  <c r="IJ47" i="2"/>
  <c r="IK47" i="2"/>
  <c r="IL47" i="2"/>
  <c r="IM47" i="2"/>
  <c r="IN47" i="2"/>
  <c r="IO47" i="2"/>
  <c r="IV47" i="2"/>
  <c r="IW47" i="2"/>
  <c r="IX47" i="2"/>
  <c r="IY47" i="2"/>
  <c r="IZ47" i="2"/>
  <c r="JA47" i="2"/>
  <c r="IF51" i="2"/>
  <c r="IG51" i="2"/>
  <c r="IH51" i="2"/>
  <c r="II51" i="2"/>
  <c r="IM51" i="2"/>
  <c r="IQ51" i="2"/>
  <c r="IU51" i="2"/>
  <c r="IY51" i="2"/>
  <c r="JC51" i="2"/>
  <c r="JX51" i="2"/>
  <c r="JP51" i="2"/>
  <c r="JT51" i="2"/>
  <c r="HR46" i="2"/>
  <c r="HV46" i="2"/>
  <c r="IF46" i="2"/>
  <c r="HR47" i="2"/>
  <c r="HV47" i="2"/>
  <c r="HZ47" i="2"/>
  <c r="ID47" i="2"/>
  <c r="IS44" i="2"/>
  <c r="IS50" i="2"/>
  <c r="IW44" i="2"/>
  <c r="IW50" i="2"/>
  <c r="JA44" i="2"/>
  <c r="JA50" i="2"/>
  <c r="IK51" i="2"/>
  <c r="IO51" i="2"/>
  <c r="IS51" i="2"/>
  <c r="IW51" i="2"/>
  <c r="JA51" i="2"/>
  <c r="JZ51" i="2"/>
  <c r="JR51" i="2"/>
  <c r="JV51" i="2"/>
  <c r="IE47" i="2"/>
  <c r="IT44" i="2"/>
  <c r="IT50" i="2"/>
  <c r="IX44" i="2"/>
  <c r="IX50" i="2"/>
  <c r="JB44" i="2"/>
  <c r="JB50" i="2"/>
  <c r="IK44" i="2"/>
  <c r="IK50" i="2"/>
  <c r="IM44" i="2"/>
  <c r="IM50" i="2"/>
  <c r="IO44" i="2"/>
  <c r="IO50" i="2"/>
  <c r="IQ44" i="2"/>
  <c r="IQ50" i="2"/>
  <c r="IL51" i="2"/>
  <c r="IP51" i="2"/>
  <c r="IR51" i="2"/>
  <c r="IV51" i="2"/>
  <c r="IZ51" i="2"/>
  <c r="KA51" i="2"/>
  <c r="JW51" i="2"/>
  <c r="HT46" i="2"/>
  <c r="HX46" i="2"/>
  <c r="IB46" i="2"/>
  <c r="ID46" i="2"/>
  <c r="HT47" i="2"/>
  <c r="HX47" i="2"/>
  <c r="IU44" i="2"/>
  <c r="IU50" i="2"/>
  <c r="IU52" i="2" s="1"/>
  <c r="IY44" i="2"/>
  <c r="IY50" i="2"/>
  <c r="JC44" i="2"/>
  <c r="JC50" i="2"/>
  <c r="HS46" i="2"/>
  <c r="HW46" i="2"/>
  <c r="IC46" i="2"/>
  <c r="HQ47" i="2"/>
  <c r="HU47" i="2"/>
  <c r="HY47" i="2"/>
  <c r="IC47" i="2"/>
  <c r="IG46" i="2"/>
  <c r="IH46" i="2"/>
  <c r="II46" i="2"/>
  <c r="IJ46" i="2"/>
  <c r="IK46" i="2"/>
  <c r="IL46" i="2"/>
  <c r="IM46" i="2"/>
  <c r="IN46" i="2"/>
  <c r="IO46" i="2"/>
  <c r="IV46" i="2"/>
  <c r="IW46" i="2"/>
  <c r="IX46" i="2"/>
  <c r="IY46" i="2"/>
  <c r="IZ46" i="2"/>
  <c r="JA46" i="2"/>
  <c r="IF44" i="2"/>
  <c r="IF50" i="2"/>
  <c r="IG44" i="2"/>
  <c r="IG50" i="2"/>
  <c r="IH44" i="2"/>
  <c r="IH50" i="2"/>
  <c r="IH52" i="2" s="1"/>
  <c r="II44" i="2"/>
  <c r="II50" i="2"/>
  <c r="IR44" i="2"/>
  <c r="IR50" i="2"/>
  <c r="IV44" i="2"/>
  <c r="IV50" i="2"/>
  <c r="IZ44" i="2"/>
  <c r="IZ50" i="2"/>
  <c r="IJ44" i="2"/>
  <c r="IJ50" i="2"/>
  <c r="IL44" i="2"/>
  <c r="IL50" i="2"/>
  <c r="IN44" i="2"/>
  <c r="IN50" i="2"/>
  <c r="IP44" i="2"/>
  <c r="IP50" i="2"/>
  <c r="IJ51" i="2"/>
  <c r="IN51" i="2"/>
  <c r="IT51" i="2"/>
  <c r="IX51" i="2"/>
  <c r="JB51" i="2"/>
  <c r="JB52" i="2" s="1"/>
  <c r="JY51" i="2"/>
  <c r="JQ51" i="2"/>
  <c r="JU51" i="2"/>
  <c r="T144" i="23"/>
  <c r="T184" i="23"/>
  <c r="T224" i="23"/>
  <c r="T304" i="23"/>
  <c r="T384" i="23"/>
  <c r="T424" i="23"/>
  <c r="T664" i="23"/>
  <c r="AA424" i="23"/>
  <c r="AA384" i="23"/>
  <c r="AA344" i="23"/>
  <c r="AA304" i="23"/>
  <c r="AA264" i="23"/>
  <c r="AA224" i="23"/>
  <c r="AA184" i="23"/>
  <c r="AA144" i="23"/>
  <c r="AA104" i="23"/>
  <c r="AA64" i="23"/>
  <c r="IE40" i="2"/>
  <c r="IE39" i="2"/>
  <c r="IE38" i="2"/>
  <c r="IE37" i="2"/>
  <c r="IE36" i="2"/>
  <c r="ID40" i="2"/>
  <c r="ID39" i="2"/>
  <c r="ID38" i="2"/>
  <c r="ID37" i="2"/>
  <c r="ID36" i="2"/>
  <c r="IC40" i="2"/>
  <c r="IC39" i="2"/>
  <c r="IC38" i="2"/>
  <c r="IC37" i="2"/>
  <c r="IC36" i="2"/>
  <c r="IB40" i="2"/>
  <c r="IB39" i="2"/>
  <c r="IB38" i="2"/>
  <c r="IB37" i="2"/>
  <c r="IB36" i="2"/>
  <c r="IA40" i="2"/>
  <c r="IA39" i="2"/>
  <c r="IA38" i="2"/>
  <c r="IA37" i="2"/>
  <c r="IA36" i="2"/>
  <c r="HZ40" i="2"/>
  <c r="HZ39" i="2"/>
  <c r="HZ38" i="2"/>
  <c r="HZ37" i="2"/>
  <c r="HZ36" i="2"/>
  <c r="HY40" i="2"/>
  <c r="HY39" i="2"/>
  <c r="HY38" i="2"/>
  <c r="HY37" i="2"/>
  <c r="HY36" i="2"/>
  <c r="HX40" i="2"/>
  <c r="HX39" i="2"/>
  <c r="HX38" i="2"/>
  <c r="HX37" i="2"/>
  <c r="HX36" i="2"/>
  <c r="HW40" i="2"/>
  <c r="HW39" i="2"/>
  <c r="HW38" i="2"/>
  <c r="HW37" i="2"/>
  <c r="HW36" i="2"/>
  <c r="HV40" i="2"/>
  <c r="HV39" i="2"/>
  <c r="HV38" i="2"/>
  <c r="HV37" i="2"/>
  <c r="HV36" i="2"/>
  <c r="HU40" i="2"/>
  <c r="HU39" i="2"/>
  <c r="HU38" i="2"/>
  <c r="HU37" i="2"/>
  <c r="HU36" i="2"/>
  <c r="HT40" i="2"/>
  <c r="HT39" i="2"/>
  <c r="HT38" i="2"/>
  <c r="HT37" i="2"/>
  <c r="HT36" i="2"/>
  <c r="IE35" i="2"/>
  <c r="IE34" i="2"/>
  <c r="IE33" i="2"/>
  <c r="ID35" i="2"/>
  <c r="ID34" i="2"/>
  <c r="ID33" i="2"/>
  <c r="IC35" i="2"/>
  <c r="IC34" i="2"/>
  <c r="IC33" i="2"/>
  <c r="IB35" i="2"/>
  <c r="IB34" i="2"/>
  <c r="IB33" i="2"/>
  <c r="IA35" i="2"/>
  <c r="IA34" i="2"/>
  <c r="IA33" i="2"/>
  <c r="HZ35" i="2"/>
  <c r="HZ34" i="2"/>
  <c r="HZ33" i="2"/>
  <c r="HY35" i="2"/>
  <c r="HY34" i="2"/>
  <c r="HY33" i="2"/>
  <c r="HX35" i="2"/>
  <c r="HX34" i="2"/>
  <c r="HX33" i="2"/>
  <c r="HW35" i="2"/>
  <c r="HW34" i="2"/>
  <c r="HW33" i="2"/>
  <c r="HV35" i="2"/>
  <c r="HV34" i="2"/>
  <c r="HV33" i="2"/>
  <c r="HU35" i="2"/>
  <c r="HU34" i="2"/>
  <c r="HU33" i="2"/>
  <c r="HT35" i="2"/>
  <c r="HT34" i="2"/>
  <c r="HT33" i="2"/>
  <c r="IE32" i="2"/>
  <c r="IE31" i="2"/>
  <c r="ID32" i="2"/>
  <c r="ID31" i="2"/>
  <c r="IC32" i="2"/>
  <c r="IC31" i="2"/>
  <c r="IB32" i="2"/>
  <c r="IB31" i="2"/>
  <c r="IA32" i="2"/>
  <c r="IA31" i="2"/>
  <c r="HZ32" i="2"/>
  <c r="HZ31" i="2"/>
  <c r="HY32" i="2"/>
  <c r="HY31" i="2"/>
  <c r="HX32" i="2"/>
  <c r="HX31" i="2"/>
  <c r="HW32" i="2"/>
  <c r="HW31" i="2"/>
  <c r="HV32" i="2"/>
  <c r="HV31" i="2"/>
  <c r="HU32" i="2"/>
  <c r="HU31" i="2"/>
  <c r="HT32" i="2"/>
  <c r="HT31" i="2"/>
  <c r="IE30" i="2"/>
  <c r="IE29" i="2"/>
  <c r="ID30" i="2"/>
  <c r="ID29" i="2"/>
  <c r="IC30" i="2"/>
  <c r="IC29" i="2"/>
  <c r="IB30" i="2"/>
  <c r="IB29" i="2"/>
  <c r="IA30" i="2"/>
  <c r="IA29" i="2"/>
  <c r="HZ30" i="2"/>
  <c r="HZ29" i="2"/>
  <c r="HY30" i="2"/>
  <c r="HY29" i="2"/>
  <c r="HX30" i="2"/>
  <c r="HX29" i="2"/>
  <c r="HW30" i="2"/>
  <c r="HW29" i="2"/>
  <c r="HV30" i="2"/>
  <c r="HV29" i="2"/>
  <c r="HU30" i="2"/>
  <c r="HU29" i="2"/>
  <c r="HT30" i="2"/>
  <c r="HT29" i="2"/>
  <c r="IE28" i="2"/>
  <c r="IE27" i="2"/>
  <c r="ID28" i="2"/>
  <c r="ID27" i="2"/>
  <c r="IC28" i="2"/>
  <c r="IC27" i="2"/>
  <c r="IB28" i="2"/>
  <c r="IB27" i="2"/>
  <c r="IA28" i="2"/>
  <c r="IA27" i="2"/>
  <c r="HZ28" i="2"/>
  <c r="HZ27" i="2"/>
  <c r="HY28" i="2"/>
  <c r="HY27" i="2"/>
  <c r="HX28" i="2"/>
  <c r="HX27" i="2"/>
  <c r="HW28" i="2"/>
  <c r="HW27" i="2"/>
  <c r="HV28" i="2"/>
  <c r="HV27" i="2"/>
  <c r="HU28" i="2"/>
  <c r="HU27" i="2"/>
  <c r="HT28" i="2"/>
  <c r="HT27" i="2"/>
  <c r="IE26" i="2"/>
  <c r="IE25" i="2"/>
  <c r="ID26" i="2"/>
  <c r="ID25" i="2"/>
  <c r="IC26" i="2"/>
  <c r="IC25" i="2"/>
  <c r="IB26" i="2"/>
  <c r="IB25" i="2"/>
  <c r="IA26" i="2"/>
  <c r="IA25" i="2"/>
  <c r="HZ26" i="2"/>
  <c r="HZ25" i="2"/>
  <c r="HY26" i="2"/>
  <c r="HY25" i="2"/>
  <c r="HX26" i="2"/>
  <c r="HX25" i="2"/>
  <c r="HW26" i="2"/>
  <c r="HW25" i="2"/>
  <c r="HV26" i="2"/>
  <c r="HV25" i="2"/>
  <c r="HU26" i="2"/>
  <c r="HU25" i="2"/>
  <c r="HT26" i="2"/>
  <c r="HT25" i="2"/>
  <c r="KA33" i="2"/>
  <c r="JZ33" i="2"/>
  <c r="JY33" i="2"/>
  <c r="JX33" i="2"/>
  <c r="JW33" i="2"/>
  <c r="JV33" i="2"/>
  <c r="JU33" i="2"/>
  <c r="JT33" i="2"/>
  <c r="JS33" i="2"/>
  <c r="JR33" i="2"/>
  <c r="JQ33" i="2"/>
  <c r="JP33" i="2"/>
  <c r="KA26" i="2"/>
  <c r="KA25" i="2"/>
  <c r="JZ26" i="2"/>
  <c r="JZ25" i="2"/>
  <c r="JY26" i="2"/>
  <c r="JY25" i="2"/>
  <c r="JX26" i="2"/>
  <c r="JX25" i="2"/>
  <c r="JW26" i="2"/>
  <c r="JW25" i="2"/>
  <c r="JV26" i="2"/>
  <c r="JV25" i="2"/>
  <c r="JU26" i="2"/>
  <c r="JU25" i="2"/>
  <c r="JT26" i="2"/>
  <c r="JT25" i="2"/>
  <c r="JS26" i="2"/>
  <c r="JS25" i="2"/>
  <c r="JR26" i="2"/>
  <c r="JR25" i="2"/>
  <c r="JQ26" i="2"/>
  <c r="JQ25" i="2"/>
  <c r="JP26" i="2"/>
  <c r="JP25" i="2"/>
  <c r="JO40" i="2"/>
  <c r="JO39" i="2"/>
  <c r="JO38" i="2"/>
  <c r="JO37" i="2"/>
  <c r="JO36" i="2"/>
  <c r="JN40" i="2"/>
  <c r="JN39" i="2"/>
  <c r="JN38" i="2"/>
  <c r="JN37" i="2"/>
  <c r="JN36" i="2"/>
  <c r="JM40" i="2"/>
  <c r="JM39" i="2"/>
  <c r="JM38" i="2"/>
  <c r="JM37" i="2"/>
  <c r="JM36" i="2"/>
  <c r="JL40" i="2"/>
  <c r="JL39" i="2"/>
  <c r="JL38" i="2"/>
  <c r="JL37" i="2"/>
  <c r="JL36" i="2"/>
  <c r="JK40" i="2"/>
  <c r="JK39" i="2"/>
  <c r="JK38" i="2"/>
  <c r="JK37" i="2"/>
  <c r="JK36" i="2"/>
  <c r="JJ40" i="2"/>
  <c r="JJ39" i="2"/>
  <c r="JJ38" i="2"/>
  <c r="JJ37" i="2"/>
  <c r="JJ36" i="2"/>
  <c r="JI40" i="2"/>
  <c r="JI39" i="2"/>
  <c r="JI38" i="2"/>
  <c r="JI37" i="2"/>
  <c r="JI36" i="2"/>
  <c r="JH40" i="2"/>
  <c r="JH39" i="2"/>
  <c r="JH38" i="2"/>
  <c r="JH37" i="2"/>
  <c r="JH36" i="2"/>
  <c r="JO35" i="2"/>
  <c r="JO34" i="2"/>
  <c r="JO33" i="2"/>
  <c r="JO32" i="2"/>
  <c r="JN35" i="2"/>
  <c r="JN34" i="2"/>
  <c r="JN33" i="2"/>
  <c r="JN32" i="2"/>
  <c r="JM35" i="2"/>
  <c r="JM34" i="2"/>
  <c r="JM33" i="2"/>
  <c r="JM32" i="2"/>
  <c r="JL35" i="2"/>
  <c r="JL34" i="2"/>
  <c r="JL33" i="2"/>
  <c r="JL32" i="2"/>
  <c r="JK35" i="2"/>
  <c r="JK34" i="2"/>
  <c r="JK33" i="2"/>
  <c r="JK32" i="2"/>
  <c r="JJ35" i="2"/>
  <c r="JJ34" i="2"/>
  <c r="JJ33" i="2"/>
  <c r="JJ32" i="2"/>
  <c r="JI35" i="2"/>
  <c r="JI34" i="2"/>
  <c r="JI33" i="2"/>
  <c r="JI32" i="2"/>
  <c r="JH35" i="2"/>
  <c r="JH34" i="2"/>
  <c r="JH33" i="2"/>
  <c r="JH32" i="2"/>
  <c r="JO31" i="2"/>
  <c r="JO30" i="2"/>
  <c r="JN31" i="2"/>
  <c r="JN30" i="2"/>
  <c r="JM31" i="2"/>
  <c r="JM30" i="2"/>
  <c r="JL31" i="2"/>
  <c r="JL30" i="2"/>
  <c r="JK31" i="2"/>
  <c r="JK30" i="2"/>
  <c r="JJ31" i="2"/>
  <c r="JJ30" i="2"/>
  <c r="JI31" i="2"/>
  <c r="JI30" i="2"/>
  <c r="JH31" i="2"/>
  <c r="JH30" i="2"/>
  <c r="JO29" i="2"/>
  <c r="JO28" i="2"/>
  <c r="JN29" i="2"/>
  <c r="JN28" i="2"/>
  <c r="JM29" i="2"/>
  <c r="JM28" i="2"/>
  <c r="JL29" i="2"/>
  <c r="JL28" i="2"/>
  <c r="JK29" i="2"/>
  <c r="JK28" i="2"/>
  <c r="JJ29" i="2"/>
  <c r="JJ28" i="2"/>
  <c r="JI29" i="2"/>
  <c r="JI28" i="2"/>
  <c r="JH29" i="2"/>
  <c r="JH28" i="2"/>
  <c r="JG40" i="2"/>
  <c r="JG39" i="2"/>
  <c r="JG38" i="2"/>
  <c r="JG37" i="2"/>
  <c r="JG36" i="2"/>
  <c r="JG35" i="2"/>
  <c r="JG34" i="2"/>
  <c r="JG33" i="2"/>
  <c r="JG32" i="2"/>
  <c r="JG31" i="2"/>
  <c r="JG30" i="2"/>
  <c r="JG29" i="2"/>
  <c r="JG28" i="2"/>
  <c r="JF40" i="2"/>
  <c r="JF39" i="2"/>
  <c r="JF38" i="2"/>
  <c r="JF37" i="2"/>
  <c r="JF36" i="2"/>
  <c r="JF35" i="2"/>
  <c r="JF34" i="2"/>
  <c r="JF33" i="2"/>
  <c r="JF32" i="2"/>
  <c r="JF31" i="2"/>
  <c r="JF30" i="2"/>
  <c r="JF29" i="2"/>
  <c r="JF28" i="2"/>
  <c r="JE40" i="2"/>
  <c r="JE39" i="2"/>
  <c r="JE38" i="2"/>
  <c r="JE37" i="2"/>
  <c r="JE36" i="2"/>
  <c r="JE35" i="2"/>
  <c r="JE34" i="2"/>
  <c r="JE33" i="2"/>
  <c r="JE32" i="2"/>
  <c r="JE31" i="2"/>
  <c r="JE30" i="2"/>
  <c r="JE29" i="2"/>
  <c r="JE28" i="2"/>
  <c r="JD40" i="2"/>
  <c r="JD39" i="2"/>
  <c r="JD38" i="2"/>
  <c r="JD37" i="2"/>
  <c r="JD36" i="2"/>
  <c r="JD35" i="2"/>
  <c r="JD34" i="2"/>
  <c r="JD33" i="2"/>
  <c r="JD32" i="2"/>
  <c r="JD31" i="2"/>
  <c r="JD30" i="2"/>
  <c r="JD29" i="2"/>
  <c r="JD28" i="2"/>
  <c r="JO27" i="2"/>
  <c r="JO26" i="2"/>
  <c r="JO25" i="2"/>
  <c r="JN27" i="2"/>
  <c r="JN26" i="2"/>
  <c r="JN25" i="2"/>
  <c r="JM27" i="2"/>
  <c r="JM26" i="2"/>
  <c r="JM25" i="2"/>
  <c r="JL27" i="2"/>
  <c r="JL26" i="2"/>
  <c r="JL25" i="2"/>
  <c r="JK27" i="2"/>
  <c r="JK26" i="2"/>
  <c r="JK25" i="2"/>
  <c r="JJ27" i="2"/>
  <c r="JJ26" i="2"/>
  <c r="JJ25" i="2"/>
  <c r="JI27" i="2"/>
  <c r="JI26" i="2"/>
  <c r="JI25" i="2"/>
  <c r="JH27" i="2"/>
  <c r="JH26" i="2"/>
  <c r="JH25" i="2"/>
  <c r="JG27" i="2"/>
  <c r="JG26" i="2"/>
  <c r="JG25" i="2"/>
  <c r="JF27" i="2"/>
  <c r="JF26" i="2"/>
  <c r="JF25" i="2"/>
  <c r="JE27" i="2"/>
  <c r="JE26" i="2"/>
  <c r="JE25" i="2"/>
  <c r="JD27" i="2"/>
  <c r="JD26" i="2"/>
  <c r="JD25" i="2"/>
  <c r="JC18" i="2"/>
  <c r="JC17" i="2"/>
  <c r="JC16" i="2"/>
  <c r="JC15" i="2"/>
  <c r="JC14" i="2"/>
  <c r="JC13" i="2"/>
  <c r="JC12" i="2"/>
  <c r="JC11" i="2"/>
  <c r="JC10" i="2"/>
  <c r="JC9" i="2"/>
  <c r="JC8" i="2"/>
  <c r="JC7" i="2"/>
  <c r="JC6" i="2"/>
  <c r="JC5" i="2"/>
  <c r="JC4" i="2"/>
  <c r="JC3" i="2"/>
  <c r="JB18" i="2"/>
  <c r="JB17" i="2"/>
  <c r="JB16" i="2"/>
  <c r="JB15" i="2"/>
  <c r="JB14" i="2"/>
  <c r="JB13" i="2"/>
  <c r="JB12" i="2"/>
  <c r="JB11" i="2"/>
  <c r="JB10" i="2"/>
  <c r="JB9" i="2"/>
  <c r="JB8" i="2"/>
  <c r="JB7" i="2"/>
  <c r="JB6" i="2"/>
  <c r="BU6" i="24" s="1"/>
  <c r="JB5" i="2"/>
  <c r="JB4" i="2"/>
  <c r="JB3" i="2"/>
  <c r="IU18" i="2"/>
  <c r="IU17" i="2"/>
  <c r="IU16" i="2"/>
  <c r="IU15" i="2"/>
  <c r="IU14" i="2"/>
  <c r="IU13" i="2"/>
  <c r="IU12" i="2"/>
  <c r="IU11" i="2"/>
  <c r="IU10" i="2"/>
  <c r="IU9" i="2"/>
  <c r="IU8" i="2"/>
  <c r="IU7" i="2"/>
  <c r="IU6" i="2"/>
  <c r="IU5" i="2"/>
  <c r="IU4" i="2"/>
  <c r="IU3" i="2"/>
  <c r="IT18" i="2"/>
  <c r="IT17" i="2"/>
  <c r="IT16" i="2"/>
  <c r="IT15" i="2"/>
  <c r="IT14" i="2"/>
  <c r="IT13" i="2"/>
  <c r="IT12" i="2"/>
  <c r="IT11" i="2"/>
  <c r="IT10" i="2"/>
  <c r="IT9" i="2"/>
  <c r="IT8" i="2"/>
  <c r="IT7" i="2"/>
  <c r="IT6" i="2"/>
  <c r="IT5" i="2"/>
  <c r="IT4" i="2"/>
  <c r="IT3" i="2"/>
  <c r="IS18" i="2"/>
  <c r="IS17" i="2"/>
  <c r="IS16" i="2"/>
  <c r="IS15" i="2"/>
  <c r="IS14" i="2"/>
  <c r="IS13" i="2"/>
  <c r="IS11" i="2"/>
  <c r="IS10" i="2"/>
  <c r="IS9" i="2"/>
  <c r="IS8" i="2"/>
  <c r="IS7" i="2"/>
  <c r="IS6" i="2"/>
  <c r="IS5" i="2"/>
  <c r="IS4" i="2"/>
  <c r="IS3" i="2"/>
  <c r="IR18" i="2"/>
  <c r="IR17" i="2"/>
  <c r="IR16" i="2"/>
  <c r="IR15" i="2"/>
  <c r="IR14" i="2"/>
  <c r="IR13" i="2"/>
  <c r="IR12" i="2"/>
  <c r="IR11" i="2"/>
  <c r="IR10" i="2"/>
  <c r="IR9" i="2"/>
  <c r="IR8" i="2"/>
  <c r="IR7" i="2"/>
  <c r="IR6" i="2"/>
  <c r="IR5" i="2"/>
  <c r="IR4" i="2"/>
  <c r="IR3" i="2"/>
  <c r="IQ18" i="2"/>
  <c r="IQ17" i="2"/>
  <c r="IQ16" i="2"/>
  <c r="IQ15" i="2"/>
  <c r="IQ14" i="2"/>
  <c r="IQ13" i="2"/>
  <c r="IQ12" i="2"/>
  <c r="IQ11" i="2"/>
  <c r="IQ10" i="2"/>
  <c r="IQ9" i="2"/>
  <c r="IQ8" i="2"/>
  <c r="IQ7" i="2"/>
  <c r="IQ6" i="2"/>
  <c r="IQ5" i="2"/>
  <c r="IQ4" i="2"/>
  <c r="IQ3" i="2"/>
  <c r="IP18" i="2"/>
  <c r="IP17" i="2"/>
  <c r="IP16" i="2"/>
  <c r="IP15" i="2"/>
  <c r="IP14" i="2"/>
  <c r="IP13" i="2"/>
  <c r="IP12" i="2"/>
  <c r="IP11" i="2"/>
  <c r="IP10" i="2"/>
  <c r="IP9" i="2"/>
  <c r="IP8" i="2"/>
  <c r="IP7" i="2"/>
  <c r="IP6" i="2"/>
  <c r="IP5" i="2"/>
  <c r="IP4" i="2"/>
  <c r="IP3" i="2"/>
  <c r="HS39" i="2"/>
  <c r="HS38" i="2"/>
  <c r="HS37" i="2"/>
  <c r="HS36" i="2"/>
  <c r="HS35" i="2"/>
  <c r="HS34" i="2"/>
  <c r="HS33" i="2"/>
  <c r="HS32" i="2"/>
  <c r="HS31" i="2"/>
  <c r="HS30" i="2"/>
  <c r="HS29" i="2"/>
  <c r="HS28" i="2"/>
  <c r="HS27" i="2"/>
  <c r="HS26" i="2"/>
  <c r="HS25" i="2"/>
  <c r="HR39" i="2"/>
  <c r="HR38" i="2"/>
  <c r="HR37" i="2"/>
  <c r="HR36" i="2"/>
  <c r="HR35" i="2"/>
  <c r="HR34" i="2"/>
  <c r="HR33" i="2"/>
  <c r="HR32" i="2"/>
  <c r="HR31" i="2"/>
  <c r="HR30" i="2"/>
  <c r="HR29" i="2"/>
  <c r="HR28" i="2"/>
  <c r="HR27" i="2"/>
  <c r="HR26" i="2"/>
  <c r="HR25" i="2"/>
  <c r="HQ39" i="2"/>
  <c r="HQ38" i="2"/>
  <c r="HQ37" i="2"/>
  <c r="HQ36" i="2"/>
  <c r="HQ35" i="2"/>
  <c r="HQ34" i="2"/>
  <c r="HQ33" i="2"/>
  <c r="HQ32" i="2"/>
  <c r="HQ31" i="2"/>
  <c r="HQ30" i="2"/>
  <c r="HQ29" i="2"/>
  <c r="HQ28" i="2"/>
  <c r="HQ27" i="2"/>
  <c r="HQ26" i="2"/>
  <c r="HQ25" i="2"/>
  <c r="HP39" i="2"/>
  <c r="HP38" i="2"/>
  <c r="HP37" i="2"/>
  <c r="HP36" i="2"/>
  <c r="HP35" i="2"/>
  <c r="HP34" i="2"/>
  <c r="HP33" i="2"/>
  <c r="HP32" i="2"/>
  <c r="HP31" i="2"/>
  <c r="HP30" i="2"/>
  <c r="HP29" i="2"/>
  <c r="HP28" i="2"/>
  <c r="HP27" i="2"/>
  <c r="HP26" i="2"/>
  <c r="HP25" i="2"/>
  <c r="HO39" i="2"/>
  <c r="HO38" i="2"/>
  <c r="HO37" i="2"/>
  <c r="HO36" i="2"/>
  <c r="HO35" i="2"/>
  <c r="HO34" i="2"/>
  <c r="HO33" i="2"/>
  <c r="HO32" i="2"/>
  <c r="HO31" i="2"/>
  <c r="HO30" i="2"/>
  <c r="HO29" i="2"/>
  <c r="HO28" i="2"/>
  <c r="HO27" i="2"/>
  <c r="HO26" i="2"/>
  <c r="HO25" i="2"/>
  <c r="HN39" i="2"/>
  <c r="HN38" i="2"/>
  <c r="HN37" i="2"/>
  <c r="HN36" i="2"/>
  <c r="HN35" i="2"/>
  <c r="HN34" i="2"/>
  <c r="HN33" i="2"/>
  <c r="HN32" i="2"/>
  <c r="HN31" i="2"/>
  <c r="HN30" i="2"/>
  <c r="HN29" i="2"/>
  <c r="HN28" i="2"/>
  <c r="HN27" i="2"/>
  <c r="HN26" i="2"/>
  <c r="HN25" i="2"/>
  <c r="HM39" i="2"/>
  <c r="HM38" i="2"/>
  <c r="HM37" i="2"/>
  <c r="HM36" i="2"/>
  <c r="HM35" i="2"/>
  <c r="HM34" i="2"/>
  <c r="HM33" i="2"/>
  <c r="HM32" i="2"/>
  <c r="HM31" i="2"/>
  <c r="HM30" i="2"/>
  <c r="HM29" i="2"/>
  <c r="HM28" i="2"/>
  <c r="HM27" i="2"/>
  <c r="HM26" i="2"/>
  <c r="HM25" i="2"/>
  <c r="HL40" i="2"/>
  <c r="HK40" i="2"/>
  <c r="HJ40" i="2"/>
  <c r="HI40" i="2"/>
  <c r="HH40" i="2"/>
  <c r="HL39" i="2"/>
  <c r="HL38" i="2"/>
  <c r="HL37" i="2"/>
  <c r="HL36" i="2"/>
  <c r="HL35" i="2"/>
  <c r="HL34" i="2"/>
  <c r="HL33" i="2"/>
  <c r="HL32" i="2"/>
  <c r="HL31" i="2"/>
  <c r="HL30" i="2"/>
  <c r="HL29" i="2"/>
  <c r="HL28" i="2"/>
  <c r="HL27" i="2"/>
  <c r="HL26" i="2"/>
  <c r="HL25" i="2"/>
  <c r="HK39" i="2"/>
  <c r="HK38" i="2"/>
  <c r="HK37" i="2"/>
  <c r="HK36" i="2"/>
  <c r="HK35" i="2"/>
  <c r="HK34" i="2"/>
  <c r="HK33" i="2"/>
  <c r="HK32" i="2"/>
  <c r="HK31" i="2"/>
  <c r="HK30" i="2"/>
  <c r="HK29" i="2"/>
  <c r="HK28" i="2"/>
  <c r="HK27" i="2"/>
  <c r="HK26" i="2"/>
  <c r="HK25" i="2"/>
  <c r="HJ39" i="2"/>
  <c r="HJ38" i="2"/>
  <c r="HJ37" i="2"/>
  <c r="HJ36" i="2"/>
  <c r="HJ35" i="2"/>
  <c r="HJ34" i="2"/>
  <c r="HJ33" i="2"/>
  <c r="HJ32" i="2"/>
  <c r="HJ31" i="2"/>
  <c r="HJ30" i="2"/>
  <c r="HJ29" i="2"/>
  <c r="HJ28" i="2"/>
  <c r="HJ27" i="2"/>
  <c r="HJ26" i="2"/>
  <c r="HJ25" i="2"/>
  <c r="HH34" i="2"/>
  <c r="HI39" i="2"/>
  <c r="HI38" i="2"/>
  <c r="HI37" i="2"/>
  <c r="HI36" i="2"/>
  <c r="HI35" i="2"/>
  <c r="HI34" i="2"/>
  <c r="HI33" i="2"/>
  <c r="HI32" i="2"/>
  <c r="HI31" i="2"/>
  <c r="HI30" i="2"/>
  <c r="HI29" i="2"/>
  <c r="HI28" i="2"/>
  <c r="HI27" i="2"/>
  <c r="HI26" i="2"/>
  <c r="HI25" i="2"/>
  <c r="HH39" i="2"/>
  <c r="HH38" i="2"/>
  <c r="HH37" i="2"/>
  <c r="HH36" i="2"/>
  <c r="HH35" i="2"/>
  <c r="HH33" i="2"/>
  <c r="HH32" i="2"/>
  <c r="HH31" i="2"/>
  <c r="HH30" i="2"/>
  <c r="HH29" i="2"/>
  <c r="HH28" i="2"/>
  <c r="HH27" i="2"/>
  <c r="HH26" i="2"/>
  <c r="HH25" i="2"/>
  <c r="HP18" i="2"/>
  <c r="HP17" i="2"/>
  <c r="HP16" i="2"/>
  <c r="HP15" i="2"/>
  <c r="HP13" i="2"/>
  <c r="HP12" i="2"/>
  <c r="HP11" i="2"/>
  <c r="HP10" i="2"/>
  <c r="HP9" i="2"/>
  <c r="HP8" i="2"/>
  <c r="HP7" i="2"/>
  <c r="HP6" i="2"/>
  <c r="HP5" i="2"/>
  <c r="HP4" i="2"/>
  <c r="HP3" i="2"/>
  <c r="HO18" i="2"/>
  <c r="HO17" i="2"/>
  <c r="HO16" i="2"/>
  <c r="HO15" i="2"/>
  <c r="HO14" i="2"/>
  <c r="HO13" i="2"/>
  <c r="HO12" i="2"/>
  <c r="HO11" i="2"/>
  <c r="HO10" i="2"/>
  <c r="HO9" i="2"/>
  <c r="HO8" i="2"/>
  <c r="HO7" i="2"/>
  <c r="HO6" i="2"/>
  <c r="HO5" i="2"/>
  <c r="HO4" i="2"/>
  <c r="HO3" i="2"/>
  <c r="HN18" i="2"/>
  <c r="HN17" i="2"/>
  <c r="HN16" i="2"/>
  <c r="HN15" i="2"/>
  <c r="HN14" i="2"/>
  <c r="HN13" i="2"/>
  <c r="HN12" i="2"/>
  <c r="HN11" i="2"/>
  <c r="HN10" i="2"/>
  <c r="HN9" i="2"/>
  <c r="HN8" i="2"/>
  <c r="HN7" i="2"/>
  <c r="HN6" i="2"/>
  <c r="HN5" i="2"/>
  <c r="HN4" i="2"/>
  <c r="HN3" i="2"/>
  <c r="HM18" i="2"/>
  <c r="HM17" i="2"/>
  <c r="HM16" i="2"/>
  <c r="HM15" i="2"/>
  <c r="HM14" i="2"/>
  <c r="HM13" i="2"/>
  <c r="HM12" i="2"/>
  <c r="HM11" i="2"/>
  <c r="HM10" i="2"/>
  <c r="HM9" i="2"/>
  <c r="HM8" i="2"/>
  <c r="HM7" i="2"/>
  <c r="HM6" i="2"/>
  <c r="HM5" i="2"/>
  <c r="HM4" i="2"/>
  <c r="HM3" i="2"/>
  <c r="HL18" i="2"/>
  <c r="HL17" i="2"/>
  <c r="HL16" i="2"/>
  <c r="HL15" i="2"/>
  <c r="HL14" i="2"/>
  <c r="HL13" i="2"/>
  <c r="HL12" i="2"/>
  <c r="HL11" i="2"/>
  <c r="HL10" i="2"/>
  <c r="HL9" i="2"/>
  <c r="HL8" i="2"/>
  <c r="HL7" i="2"/>
  <c r="HL6" i="2"/>
  <c r="HL5" i="2"/>
  <c r="HL4" i="2"/>
  <c r="HL3" i="2"/>
  <c r="HK18" i="2"/>
  <c r="HK17" i="2"/>
  <c r="HK16" i="2"/>
  <c r="HK15" i="2"/>
  <c r="HK14" i="2"/>
  <c r="HK13" i="2"/>
  <c r="HK12" i="2"/>
  <c r="HK11" i="2"/>
  <c r="HK10" i="2"/>
  <c r="HK9" i="2"/>
  <c r="HK8" i="2"/>
  <c r="HK7" i="2"/>
  <c r="HK6" i="2"/>
  <c r="HK5" i="2"/>
  <c r="HK4" i="2"/>
  <c r="HK3" i="2"/>
  <c r="HJ18" i="2"/>
  <c r="HJ17" i="2"/>
  <c r="HJ16" i="2"/>
  <c r="HJ15" i="2"/>
  <c r="HJ14" i="2"/>
  <c r="HJ13" i="2"/>
  <c r="HJ12" i="2"/>
  <c r="HJ11" i="2"/>
  <c r="HJ10" i="2"/>
  <c r="HJ9" i="2"/>
  <c r="HJ8" i="2"/>
  <c r="HJ7" i="2"/>
  <c r="HJ6" i="2"/>
  <c r="HJ5" i="2"/>
  <c r="HJ4" i="2"/>
  <c r="HJ3" i="2"/>
  <c r="HI18" i="2"/>
  <c r="HI17" i="2"/>
  <c r="HI16" i="2"/>
  <c r="HI15" i="2"/>
  <c r="HI14" i="2"/>
  <c r="HI13" i="2"/>
  <c r="HI12" i="2"/>
  <c r="HI11" i="2"/>
  <c r="HI10" i="2"/>
  <c r="HI9" i="2"/>
  <c r="HI8" i="2"/>
  <c r="HI7" i="2"/>
  <c r="HI6" i="2"/>
  <c r="HI5" i="2"/>
  <c r="HI4" i="2"/>
  <c r="HI3" i="2"/>
  <c r="HH3" i="2"/>
  <c r="HH18" i="2"/>
  <c r="IN45" i="2" l="1"/>
  <c r="IL45" i="2"/>
  <c r="IP45" i="2"/>
  <c r="HI46" i="2"/>
  <c r="HJ46" i="2"/>
  <c r="HK46" i="2"/>
  <c r="HL46" i="2"/>
  <c r="HM46" i="2"/>
  <c r="HN46" i="2"/>
  <c r="HO46" i="2"/>
  <c r="HU51" i="2"/>
  <c r="HY51" i="2"/>
  <c r="IC51" i="2"/>
  <c r="IO54" i="2"/>
  <c r="IV45" i="2"/>
  <c r="IF45" i="2"/>
  <c r="ID49" i="2"/>
  <c r="IQ52" i="2"/>
  <c r="IP54" i="2"/>
  <c r="IZ52" i="2"/>
  <c r="JC52" i="2"/>
  <c r="IM52" i="2"/>
  <c r="HL51" i="2"/>
  <c r="HM51" i="2"/>
  <c r="HQ51" i="2"/>
  <c r="IS47" i="2"/>
  <c r="IT47" i="2"/>
  <c r="JB47" i="2"/>
  <c r="JZ54" i="2"/>
  <c r="IT52" i="2"/>
  <c r="JY54" i="2"/>
  <c r="IY52" i="2"/>
  <c r="IO52" i="2"/>
  <c r="HP46" i="2"/>
  <c r="JF51" i="2"/>
  <c r="JJ51" i="2"/>
  <c r="JN51" i="2"/>
  <c r="IX52" i="2"/>
  <c r="IR52" i="2"/>
  <c r="JA52" i="2"/>
  <c r="IS52" i="2"/>
  <c r="IU47" i="2"/>
  <c r="JC47" i="2"/>
  <c r="JG51" i="2"/>
  <c r="JO51" i="2"/>
  <c r="HP47" i="2"/>
  <c r="JB46" i="2"/>
  <c r="JC46" i="2"/>
  <c r="IV52" i="2"/>
  <c r="II52" i="2"/>
  <c r="HI51" i="2"/>
  <c r="HJ51" i="2"/>
  <c r="HK44" i="2"/>
  <c r="HK50" i="2"/>
  <c r="HO51" i="2"/>
  <c r="HP44" i="2"/>
  <c r="HP50" i="2"/>
  <c r="HS51" i="2"/>
  <c r="IP46" i="2"/>
  <c r="IO48" i="2" s="1"/>
  <c r="IQ46" i="2"/>
  <c r="IP48" i="2" s="1"/>
  <c r="IR46" i="2"/>
  <c r="JG44" i="2"/>
  <c r="JG50" i="2"/>
  <c r="JK44" i="2"/>
  <c r="JK50" i="2"/>
  <c r="JO44" i="2"/>
  <c r="JO50" i="2"/>
  <c r="JE51" i="2"/>
  <c r="JI51" i="2"/>
  <c r="JM51" i="2"/>
  <c r="IP52" i="2"/>
  <c r="IK52" i="2"/>
  <c r="IW52" i="2"/>
  <c r="HH51" i="2"/>
  <c r="HI44" i="2"/>
  <c r="HI50" i="2"/>
  <c r="HJ44" i="2"/>
  <c r="HJ45" i="2" s="1"/>
  <c r="HJ50" i="2"/>
  <c r="HN51" i="2"/>
  <c r="HO44" i="2"/>
  <c r="HO50" i="2"/>
  <c r="HR51" i="2"/>
  <c r="HS44" i="2"/>
  <c r="HS50" i="2"/>
  <c r="JF44" i="2"/>
  <c r="JF50" i="2"/>
  <c r="JJ44" i="2"/>
  <c r="JJ50" i="2"/>
  <c r="JN44" i="2"/>
  <c r="JN50" i="2"/>
  <c r="JQ44" i="2"/>
  <c r="JQ50" i="2"/>
  <c r="JS44" i="2"/>
  <c r="JS50" i="2"/>
  <c r="JS52" i="2" s="1"/>
  <c r="JU44" i="2"/>
  <c r="JU50" i="2"/>
  <c r="JU52" i="2" s="1"/>
  <c r="JW44" i="2"/>
  <c r="JW50" i="2"/>
  <c r="JW52" i="2" s="1"/>
  <c r="JY44" i="2"/>
  <c r="JY50" i="2"/>
  <c r="JY52" i="2" s="1"/>
  <c r="KA44" i="2"/>
  <c r="KA50" i="2"/>
  <c r="KA52" i="2" s="1"/>
  <c r="HU44" i="2"/>
  <c r="HU50" i="2"/>
  <c r="HW44" i="2"/>
  <c r="HW50" i="2"/>
  <c r="HY44" i="2"/>
  <c r="HY50" i="2"/>
  <c r="HY52" i="2" s="1"/>
  <c r="IA44" i="2"/>
  <c r="IA50" i="2"/>
  <c r="IC44" i="2"/>
  <c r="IC50" i="2"/>
  <c r="IE44" i="2"/>
  <c r="IE50" i="2"/>
  <c r="HV51" i="2"/>
  <c r="HZ51" i="2"/>
  <c r="ID51" i="2"/>
  <c r="IF52" i="2"/>
  <c r="IO53" i="2"/>
  <c r="IL52" i="2"/>
  <c r="IJ45" i="2"/>
  <c r="IX45" i="2"/>
  <c r="HN44" i="2"/>
  <c r="HN50" i="2"/>
  <c r="HR44" i="2"/>
  <c r="HR50" i="2"/>
  <c r="JE44" i="2"/>
  <c r="JE50" i="2"/>
  <c r="JI44" i="2"/>
  <c r="JI50" i="2"/>
  <c r="JM44" i="2"/>
  <c r="JM50" i="2"/>
  <c r="JK51" i="2"/>
  <c r="HW51" i="2"/>
  <c r="IA51" i="2"/>
  <c r="IE51" i="2"/>
  <c r="IH45" i="2"/>
  <c r="IC49" i="2"/>
  <c r="HI47" i="2"/>
  <c r="HJ47" i="2"/>
  <c r="HK47" i="2"/>
  <c r="HL47" i="2"/>
  <c r="HM47" i="2"/>
  <c r="HN47" i="2"/>
  <c r="HO47" i="2"/>
  <c r="HH44" i="2"/>
  <c r="HH50" i="2"/>
  <c r="HK51" i="2"/>
  <c r="HL44" i="2"/>
  <c r="HL50" i="2"/>
  <c r="HM44" i="2"/>
  <c r="HM50" i="2"/>
  <c r="HP51" i="2"/>
  <c r="HQ44" i="2"/>
  <c r="HQ50" i="2"/>
  <c r="IP47" i="2"/>
  <c r="IO49" i="2" s="1"/>
  <c r="IQ47" i="2"/>
  <c r="IP49" i="2" s="1"/>
  <c r="IR47" i="2"/>
  <c r="IT46" i="2"/>
  <c r="IU46" i="2"/>
  <c r="JD44" i="2"/>
  <c r="JD50" i="2"/>
  <c r="JH44" i="2"/>
  <c r="JH50" i="2"/>
  <c r="JL44" i="2"/>
  <c r="JL50" i="2"/>
  <c r="JD51" i="2"/>
  <c r="JH51" i="2"/>
  <c r="JL51" i="2"/>
  <c r="JP44" i="2"/>
  <c r="JP50" i="2"/>
  <c r="JR44" i="2"/>
  <c r="JR50" i="2"/>
  <c r="JR52" i="2" s="1"/>
  <c r="JT44" i="2"/>
  <c r="JT50" i="2"/>
  <c r="JT52" i="2" s="1"/>
  <c r="JV44" i="2"/>
  <c r="JV50" i="2"/>
  <c r="JV52" i="2" s="1"/>
  <c r="JX44" i="2"/>
  <c r="JX50" i="2"/>
  <c r="JX52" i="2" s="1"/>
  <c r="JZ44" i="2"/>
  <c r="JZ50" i="2"/>
  <c r="JZ52" i="2" s="1"/>
  <c r="HT44" i="2"/>
  <c r="HT50" i="2"/>
  <c r="HV44" i="2"/>
  <c r="HV50" i="2"/>
  <c r="HX44" i="2"/>
  <c r="HX50" i="2"/>
  <c r="HZ44" i="2"/>
  <c r="HZ50" i="2"/>
  <c r="IB44" i="2"/>
  <c r="IB50" i="2"/>
  <c r="ID44" i="2"/>
  <c r="ID50" i="2"/>
  <c r="HT51" i="2"/>
  <c r="HX51" i="2"/>
  <c r="IB51" i="2"/>
  <c r="IN52" i="2"/>
  <c r="IJ52" i="2"/>
  <c r="IG52" i="2"/>
  <c r="IP53" i="2"/>
  <c r="JA53" i="2"/>
  <c r="JB45" i="2"/>
  <c r="IT45" i="2"/>
  <c r="JB53" i="2"/>
  <c r="IZ45" i="2"/>
  <c r="IR45" i="2"/>
  <c r="JJ5" i="2"/>
  <c r="JK5" i="2"/>
  <c r="JE5" i="2"/>
  <c r="KB25" i="2"/>
  <c r="JD3" i="2"/>
  <c r="IP23" i="2"/>
  <c r="JA54" i="2" l="1"/>
  <c r="JG52" i="2"/>
  <c r="JF52" i="2"/>
  <c r="IC52" i="2"/>
  <c r="HR48" i="2"/>
  <c r="GH42" i="2"/>
  <c r="GD42" i="2"/>
  <c r="IQ54" i="2"/>
  <c r="ID45" i="2"/>
  <c r="HV45" i="2"/>
  <c r="JZ45" i="2"/>
  <c r="JR45" i="2"/>
  <c r="HL52" i="2"/>
  <c r="IE49" i="2"/>
  <c r="JI52" i="2"/>
  <c r="IP55" i="2"/>
  <c r="HZ45" i="2"/>
  <c r="JV45" i="2"/>
  <c r="JJ52" i="2"/>
  <c r="JN52" i="2"/>
  <c r="JB49" i="2"/>
  <c r="KA54" i="2"/>
  <c r="HN45" i="2"/>
  <c r="JA49" i="2"/>
  <c r="HM52" i="2"/>
  <c r="HO52" i="2"/>
  <c r="GF42" i="2"/>
  <c r="HQ52" i="2"/>
  <c r="JC53" i="2"/>
  <c r="JC54" i="2" s="1"/>
  <c r="JM52" i="2"/>
  <c r="HR45" i="2"/>
  <c r="JO52" i="2"/>
  <c r="ID54" i="2"/>
  <c r="HS52" i="2"/>
  <c r="IB52" i="2"/>
  <c r="HX52" i="2"/>
  <c r="HT52" i="2"/>
  <c r="IC53" i="2"/>
  <c r="JP52" i="2"/>
  <c r="JY53" i="2"/>
  <c r="JM54" i="2"/>
  <c r="HL45" i="2"/>
  <c r="HH52" i="2"/>
  <c r="HQ53" i="2"/>
  <c r="HR49" i="2"/>
  <c r="IE52" i="2"/>
  <c r="IA52" i="2"/>
  <c r="HW52" i="2"/>
  <c r="GI42" i="2"/>
  <c r="JN45" i="2"/>
  <c r="GE42" i="2"/>
  <c r="JF45" i="2"/>
  <c r="IQ48" i="2"/>
  <c r="HR54" i="2"/>
  <c r="IC54" i="2"/>
  <c r="JL52" i="2"/>
  <c r="JD52" i="2"/>
  <c r="JM53" i="2"/>
  <c r="JH45" i="2"/>
  <c r="ID52" i="2"/>
  <c r="HI52" i="2"/>
  <c r="HR53" i="2"/>
  <c r="JK52" i="2"/>
  <c r="HK52" i="2"/>
  <c r="JE52" i="2"/>
  <c r="JN53" i="2"/>
  <c r="HZ52" i="2"/>
  <c r="ID53" i="2"/>
  <c r="HU52" i="2"/>
  <c r="JZ53" i="2"/>
  <c r="JZ55" i="2" s="1"/>
  <c r="JQ52" i="2"/>
  <c r="JJ45" i="2"/>
  <c r="GG42" i="2"/>
  <c r="HN52" i="2"/>
  <c r="HH45" i="2"/>
  <c r="JB54" i="2"/>
  <c r="JN54" i="2"/>
  <c r="JA48" i="2"/>
  <c r="HP52" i="2"/>
  <c r="JH52" i="2"/>
  <c r="IQ49" i="2"/>
  <c r="JL45" i="2"/>
  <c r="JD45" i="2"/>
  <c r="IQ53" i="2"/>
  <c r="IQ55" i="2" s="1"/>
  <c r="IO55" i="2"/>
  <c r="HV52" i="2"/>
  <c r="IB45" i="2"/>
  <c r="HX45" i="2"/>
  <c r="HT45" i="2"/>
  <c r="JX45" i="2"/>
  <c r="JT45" i="2"/>
  <c r="JP45" i="2"/>
  <c r="HR52" i="2"/>
  <c r="HQ54" i="2"/>
  <c r="HS54" i="2" s="1"/>
  <c r="HP45" i="2"/>
  <c r="HJ52" i="2"/>
  <c r="AA128" i="23"/>
  <c r="JC49" i="2" l="1"/>
  <c r="JN55" i="2"/>
  <c r="GJ42" i="2"/>
  <c r="IE54" i="2"/>
  <c r="ID55" i="2"/>
  <c r="JO54" i="2"/>
  <c r="JM55" i="2"/>
  <c r="JO53" i="2"/>
  <c r="HS53" i="2"/>
  <c r="HS55" i="2" s="1"/>
  <c r="HQ55" i="2"/>
  <c r="KA53" i="2"/>
  <c r="KA55" i="2" s="1"/>
  <c r="JY55" i="2"/>
  <c r="HR55" i="2"/>
  <c r="IC55" i="2"/>
  <c r="IE53" i="2"/>
  <c r="A63" i="23"/>
  <c r="Q63" i="23"/>
  <c r="P63" i="23"/>
  <c r="O63" i="23"/>
  <c r="N63" i="23"/>
  <c r="D4" i="35"/>
  <c r="AB66" i="23"/>
  <c r="AB65" i="23"/>
  <c r="G21" i="35"/>
  <c r="O20" i="35"/>
  <c r="I20" i="35"/>
  <c r="F20" i="35"/>
  <c r="IE55" i="2" l="1"/>
  <c r="JO55" i="2"/>
  <c r="S63" i="23"/>
  <c r="I21" i="35"/>
  <c r="HH17" i="2" l="1"/>
  <c r="HH16" i="2"/>
  <c r="HH15" i="2"/>
  <c r="HH14" i="2"/>
  <c r="HH12" i="2"/>
  <c r="HH11" i="2"/>
  <c r="HH10" i="2"/>
  <c r="HH9" i="2"/>
  <c r="HH8" i="2"/>
  <c r="HH7" i="2"/>
  <c r="HH6" i="2"/>
  <c r="HH5" i="2"/>
  <c r="HH4" i="2"/>
  <c r="HH47" i="2" l="1"/>
  <c r="HQ49" i="2" s="1"/>
  <c r="HS49" i="2" s="1"/>
  <c r="HH46" i="2"/>
  <c r="IS12" i="2"/>
  <c r="IS46" i="2" s="1"/>
  <c r="JB48" i="2" s="1"/>
  <c r="JC48" i="2" s="1"/>
  <c r="HH48" i="2" l="1"/>
  <c r="HQ48" i="2"/>
  <c r="HS48" i="2" s="1"/>
  <c r="HZ9" i="2" l="1"/>
  <c r="HZ8" i="2"/>
  <c r="HZ7" i="2"/>
  <c r="HZ6" i="2"/>
  <c r="HZ5" i="2"/>
  <c r="HZ4" i="2"/>
  <c r="HZ13" i="2"/>
  <c r="HZ12" i="2"/>
  <c r="HZ11" i="2"/>
  <c r="HZ10" i="2"/>
  <c r="HZ3" i="2"/>
  <c r="IA13" i="2"/>
  <c r="IA12" i="2"/>
  <c r="IA11" i="2"/>
  <c r="IA10" i="2"/>
  <c r="IA9" i="2"/>
  <c r="IA8" i="2"/>
  <c r="IA7" i="2"/>
  <c r="IA6" i="2"/>
  <c r="IA5" i="2"/>
  <c r="IA4" i="2"/>
  <c r="IA3" i="2"/>
  <c r="HZ46" i="2" l="1"/>
  <c r="IC48" i="2" s="1"/>
  <c r="IA46" i="2"/>
  <c r="ID48" i="2" s="1"/>
  <c r="IE48" i="2" l="1"/>
  <c r="C11" i="10"/>
  <c r="AC62" i="22" l="1"/>
  <c r="AC63" i="22"/>
  <c r="AC64" i="22"/>
  <c r="AC65" i="22"/>
  <c r="AB65" i="22"/>
  <c r="AB64" i="22"/>
  <c r="AB63" i="22"/>
  <c r="AB62" i="22"/>
  <c r="I175" i="25" l="1"/>
  <c r="I270" i="25" s="1"/>
  <c r="I365" i="25" s="1"/>
  <c r="I460" i="25" s="1"/>
  <c r="I557" i="25" s="1"/>
  <c r="P14" i="10" l="1"/>
  <c r="J63" i="23"/>
  <c r="Z64" i="23"/>
  <c r="T63" i="23"/>
  <c r="Z45" i="24"/>
  <c r="Z46" i="24"/>
  <c r="Z47" i="24"/>
  <c r="Z48" i="24"/>
  <c r="Z49" i="24"/>
  <c r="Z50" i="24"/>
  <c r="Z51" i="24"/>
  <c r="Z52" i="24"/>
  <c r="Z53" i="24"/>
  <c r="Z54" i="24"/>
  <c r="Z55" i="24"/>
  <c r="W17" i="29"/>
  <c r="AZ3" i="7"/>
  <c r="AZ4" i="7" s="1"/>
  <c r="AZ5" i="7" s="1"/>
  <c r="AZ6" i="7" s="1"/>
  <c r="AZ7" i="7" s="1"/>
  <c r="AZ8" i="7" s="1"/>
  <c r="AZ9" i="7" s="1"/>
  <c r="AZ10" i="7" s="1"/>
  <c r="AZ11" i="7" s="1"/>
  <c r="AZ12" i="7" s="1"/>
  <c r="AZ13" i="7" s="1"/>
  <c r="AZ14" i="7" s="1"/>
  <c r="AZ15" i="7" s="1"/>
  <c r="AZ16" i="7" s="1"/>
  <c r="AZ17" i="7" s="1"/>
  <c r="AZ18" i="7" s="1"/>
  <c r="AZ19" i="7" s="1"/>
  <c r="AZ20" i="7" s="1"/>
  <c r="AZ21" i="7" s="1"/>
  <c r="AZ22" i="7" s="1"/>
  <c r="AZ23" i="7" s="1"/>
  <c r="AZ24" i="7" s="1"/>
  <c r="AZ25" i="7" s="1"/>
  <c r="AZ26" i="7" s="1"/>
  <c r="AZ27" i="7" s="1"/>
  <c r="AZ28" i="7" s="1"/>
  <c r="AZ29" i="7" s="1"/>
  <c r="AZ30" i="7" s="1"/>
  <c r="AZ31" i="7" s="1"/>
  <c r="AZ32" i="7" s="1"/>
  <c r="AZ33" i="7" s="1"/>
  <c r="AZ34" i="7" s="1"/>
  <c r="E23" i="7"/>
  <c r="AQ24" i="7"/>
  <c r="GD39" i="2"/>
  <c r="GE39" i="2"/>
  <c r="GF39" i="2"/>
  <c r="GG39" i="2"/>
  <c r="GH39" i="2"/>
  <c r="GI39" i="2"/>
  <c r="GD40" i="2"/>
  <c r="GE40" i="2"/>
  <c r="GF40" i="2"/>
  <c r="GG40" i="2"/>
  <c r="GH40" i="2"/>
  <c r="GI40" i="2"/>
  <c r="GD41" i="2"/>
  <c r="GE41" i="2"/>
  <c r="GF41" i="2"/>
  <c r="GG41" i="2"/>
  <c r="GH41" i="2"/>
  <c r="GI41" i="2"/>
  <c r="BC2" i="24"/>
  <c r="BW1" i="24"/>
  <c r="AB55" i="24"/>
  <c r="AC55" i="24"/>
  <c r="AD55" i="24"/>
  <c r="AE55" i="24"/>
  <c r="AF55" i="24"/>
  <c r="AG55" i="24"/>
  <c r="AH55" i="24"/>
  <c r="AI55" i="24"/>
  <c r="AM55" i="24"/>
  <c r="AN55" i="24"/>
  <c r="AO55" i="24"/>
  <c r="AP55" i="24"/>
  <c r="AQ55" i="24"/>
  <c r="AR55" i="24"/>
  <c r="AS55" i="24"/>
  <c r="AT55" i="24"/>
  <c r="AU55" i="24"/>
  <c r="AY55" i="24"/>
  <c r="AZ55" i="24"/>
  <c r="BA55" i="24"/>
  <c r="BB55" i="24"/>
  <c r="BC55" i="24"/>
  <c r="BD55" i="24"/>
  <c r="BE55" i="24"/>
  <c r="BF55" i="24"/>
  <c r="BG55" i="24"/>
  <c r="BK55" i="24"/>
  <c r="BL55" i="24"/>
  <c r="BM55" i="24"/>
  <c r="BN55" i="24"/>
  <c r="BO55" i="24"/>
  <c r="BP55" i="24"/>
  <c r="BQ55" i="24"/>
  <c r="BR55" i="24"/>
  <c r="BS55" i="24"/>
  <c r="BT55" i="24"/>
  <c r="BU55" i="24"/>
  <c r="BV55" i="24"/>
  <c r="BW55" i="24"/>
  <c r="BX55" i="24"/>
  <c r="BY55" i="24"/>
  <c r="BZ55" i="24"/>
  <c r="CA55" i="24"/>
  <c r="CB55" i="24"/>
  <c r="CC55" i="24"/>
  <c r="CD55" i="24"/>
  <c r="CE55" i="24"/>
  <c r="CI55" i="24"/>
  <c r="CJ55" i="24"/>
  <c r="CK55" i="24"/>
  <c r="CL55" i="24"/>
  <c r="CM55" i="24"/>
  <c r="CN55" i="24"/>
  <c r="CO55" i="24"/>
  <c r="CP55" i="24"/>
  <c r="CQ55" i="24"/>
  <c r="CU55" i="24"/>
  <c r="CV55" i="24"/>
  <c r="CW55" i="24"/>
  <c r="CX55" i="24"/>
  <c r="CY55" i="24"/>
  <c r="CZ55" i="24"/>
  <c r="AB2" i="24"/>
  <c r="AC2" i="24"/>
  <c r="AD2" i="24"/>
  <c r="AE2" i="24"/>
  <c r="AF2" i="24"/>
  <c r="AG2" i="24"/>
  <c r="AH2" i="24"/>
  <c r="AI2" i="24"/>
  <c r="AJ2" i="24"/>
  <c r="AK2" i="24"/>
  <c r="AL2" i="24"/>
  <c r="AM2" i="24"/>
  <c r="AN2" i="24"/>
  <c r="AO2" i="24"/>
  <c r="AP2" i="24"/>
  <c r="AQ2" i="24"/>
  <c r="AR2" i="24"/>
  <c r="AS2" i="24"/>
  <c r="AT2" i="24"/>
  <c r="AU2" i="24"/>
  <c r="AV2" i="24"/>
  <c r="AW2" i="24"/>
  <c r="AX2" i="24"/>
  <c r="AY2" i="24"/>
  <c r="AZ2" i="24"/>
  <c r="BA2" i="24"/>
  <c r="BB2" i="24"/>
  <c r="BD2" i="24"/>
  <c r="BE2" i="24"/>
  <c r="BF2" i="24"/>
  <c r="BG2" i="24"/>
  <c r="BH2" i="24"/>
  <c r="BI2" i="24"/>
  <c r="BJ2" i="24"/>
  <c r="BK2" i="24"/>
  <c r="BL2" i="24"/>
  <c r="BM2" i="24"/>
  <c r="BN2" i="24"/>
  <c r="BO2" i="24"/>
  <c r="BP2" i="24"/>
  <c r="BQ2" i="24"/>
  <c r="BR2" i="24"/>
  <c r="BS2" i="24"/>
  <c r="BT2" i="24"/>
  <c r="BU2" i="24"/>
  <c r="BV2" i="24"/>
  <c r="BW2" i="24"/>
  <c r="BX2" i="24"/>
  <c r="BY2" i="24"/>
  <c r="BZ2" i="24"/>
  <c r="CA2" i="24"/>
  <c r="CB2" i="24"/>
  <c r="CC2" i="24"/>
  <c r="CD2" i="24"/>
  <c r="CE2" i="24"/>
  <c r="CF2" i="24"/>
  <c r="CG2" i="24"/>
  <c r="CH2" i="24"/>
  <c r="CI2" i="24"/>
  <c r="CJ2" i="24"/>
  <c r="CK2" i="24"/>
  <c r="CL2" i="24"/>
  <c r="CM2" i="24"/>
  <c r="CN2" i="24"/>
  <c r="CO2" i="24"/>
  <c r="CP2" i="24"/>
  <c r="CQ2" i="24"/>
  <c r="CR2" i="24"/>
  <c r="CS2" i="24"/>
  <c r="CT2" i="24"/>
  <c r="CU2" i="24"/>
  <c r="CV2" i="24"/>
  <c r="CW2" i="24"/>
  <c r="CX2" i="24"/>
  <c r="CY2" i="24"/>
  <c r="CZ2" i="24"/>
  <c r="AB19" i="24"/>
  <c r="AC19" i="24"/>
  <c r="AD19" i="24"/>
  <c r="AE19" i="24"/>
  <c r="AF19" i="24"/>
  <c r="AG19" i="24"/>
  <c r="AH19" i="24"/>
  <c r="AI19" i="24"/>
  <c r="AJ19" i="24"/>
  <c r="AK19" i="24"/>
  <c r="AL19" i="24"/>
  <c r="AM19" i="24"/>
  <c r="AN19" i="24"/>
  <c r="AO19" i="24"/>
  <c r="AP19" i="24"/>
  <c r="AQ19" i="24"/>
  <c r="AR19" i="24"/>
  <c r="AS19" i="24"/>
  <c r="AT19" i="24"/>
  <c r="AU19" i="24"/>
  <c r="AV19" i="24"/>
  <c r="AW19" i="24"/>
  <c r="AX19" i="24"/>
  <c r="AY19" i="24"/>
  <c r="AZ19" i="24"/>
  <c r="BA19" i="24"/>
  <c r="BB19" i="24"/>
  <c r="BC19" i="24"/>
  <c r="BD19" i="24"/>
  <c r="BE19" i="24"/>
  <c r="BF19" i="24"/>
  <c r="BG19" i="24"/>
  <c r="BH19" i="24"/>
  <c r="BI19" i="24"/>
  <c r="BJ19" i="24"/>
  <c r="BK19" i="24"/>
  <c r="BL19" i="24"/>
  <c r="BM19" i="24"/>
  <c r="BN19" i="24"/>
  <c r="BO19" i="24"/>
  <c r="BP19" i="24"/>
  <c r="BQ19" i="24"/>
  <c r="BR19" i="24"/>
  <c r="BS19" i="24"/>
  <c r="BT19" i="24"/>
  <c r="BU19" i="24"/>
  <c r="BV19" i="24"/>
  <c r="AB20" i="24"/>
  <c r="AC20" i="24"/>
  <c r="AD20" i="24"/>
  <c r="AE20" i="24"/>
  <c r="AF20" i="24"/>
  <c r="AG20" i="24"/>
  <c r="AH20" i="24"/>
  <c r="AI20" i="24"/>
  <c r="AJ20" i="24"/>
  <c r="AK20" i="24"/>
  <c r="AL20" i="24"/>
  <c r="AM20" i="24"/>
  <c r="AN20" i="24"/>
  <c r="AO20" i="24"/>
  <c r="AP20" i="24"/>
  <c r="AQ20" i="24"/>
  <c r="AR20" i="24"/>
  <c r="AS20" i="24"/>
  <c r="AT20" i="24"/>
  <c r="AU20" i="24"/>
  <c r="AV20" i="24"/>
  <c r="AW20" i="24"/>
  <c r="AX20" i="24"/>
  <c r="AY20" i="24"/>
  <c r="AZ20" i="24"/>
  <c r="BA20" i="24"/>
  <c r="BB20" i="24"/>
  <c r="BC20" i="24"/>
  <c r="BD20" i="24"/>
  <c r="BE20" i="24"/>
  <c r="BF20" i="24"/>
  <c r="BG20" i="24"/>
  <c r="BH20" i="24"/>
  <c r="BI20" i="24"/>
  <c r="BJ20" i="24"/>
  <c r="BK20" i="24"/>
  <c r="BL20" i="24"/>
  <c r="BM20" i="24"/>
  <c r="BN20" i="24"/>
  <c r="BO20" i="24"/>
  <c r="BP20" i="24"/>
  <c r="BQ20" i="24"/>
  <c r="BR20" i="24"/>
  <c r="BS20" i="24"/>
  <c r="BT20" i="24"/>
  <c r="BU20" i="24"/>
  <c r="BV20" i="24"/>
  <c r="AB21" i="24"/>
  <c r="AC21" i="24"/>
  <c r="AD21" i="24"/>
  <c r="AE21" i="24"/>
  <c r="AF21" i="24"/>
  <c r="AG21" i="24"/>
  <c r="AH21" i="24"/>
  <c r="AI21" i="24"/>
  <c r="AJ21" i="24"/>
  <c r="AK21" i="24"/>
  <c r="AL21" i="24"/>
  <c r="AM21" i="24"/>
  <c r="AN21" i="24"/>
  <c r="AO21" i="24"/>
  <c r="AP21" i="24"/>
  <c r="AQ21" i="24"/>
  <c r="AR21" i="24"/>
  <c r="AS21" i="24"/>
  <c r="AT21" i="24"/>
  <c r="AU21" i="24"/>
  <c r="AV21" i="24"/>
  <c r="AW21" i="24"/>
  <c r="AX21" i="24"/>
  <c r="AY21" i="24"/>
  <c r="AZ21" i="24"/>
  <c r="BA21" i="24"/>
  <c r="BB21" i="24"/>
  <c r="BC21" i="24"/>
  <c r="BD21" i="24"/>
  <c r="BE21" i="24"/>
  <c r="BF21" i="24"/>
  <c r="BG21" i="24"/>
  <c r="BH21" i="24"/>
  <c r="BI21" i="24"/>
  <c r="BJ21" i="24"/>
  <c r="BK21" i="24"/>
  <c r="BL21" i="24"/>
  <c r="BM21" i="24"/>
  <c r="BN21" i="24"/>
  <c r="BO21" i="24"/>
  <c r="BP21" i="24"/>
  <c r="BQ21" i="24"/>
  <c r="BR21" i="24"/>
  <c r="BS21" i="24"/>
  <c r="BT21" i="24"/>
  <c r="BU21" i="24"/>
  <c r="BV21" i="24"/>
  <c r="AM23" i="24"/>
  <c r="AY23" i="24"/>
  <c r="BK23" i="24"/>
  <c r="BW23" i="24"/>
  <c r="CI23" i="24"/>
  <c r="CU23" i="24"/>
  <c r="AB24" i="24"/>
  <c r="AC24" i="24"/>
  <c r="AD24" i="24"/>
  <c r="AE24" i="24"/>
  <c r="AF24" i="24"/>
  <c r="AG24" i="24"/>
  <c r="AH24" i="24"/>
  <c r="AI24" i="24"/>
  <c r="AJ24" i="24"/>
  <c r="AK24" i="24"/>
  <c r="AL24" i="24"/>
  <c r="AM24" i="24"/>
  <c r="AN24" i="24"/>
  <c r="AO24" i="24"/>
  <c r="AP24" i="24"/>
  <c r="AQ24" i="24"/>
  <c r="AR24" i="24"/>
  <c r="AS24" i="24"/>
  <c r="AT24" i="24"/>
  <c r="AU24" i="24"/>
  <c r="AV24" i="24"/>
  <c r="AW24" i="24"/>
  <c r="AX24" i="24"/>
  <c r="AY24" i="24"/>
  <c r="AZ24" i="24"/>
  <c r="BA24" i="24"/>
  <c r="BB24" i="24"/>
  <c r="BC24" i="24"/>
  <c r="BD24" i="24"/>
  <c r="BE24" i="24"/>
  <c r="BF24" i="24"/>
  <c r="BG24" i="24"/>
  <c r="BH24" i="24"/>
  <c r="BI24" i="24"/>
  <c r="BJ24" i="24"/>
  <c r="BK24" i="24"/>
  <c r="BL24" i="24"/>
  <c r="BM24" i="24"/>
  <c r="BN24" i="24"/>
  <c r="BO24" i="24"/>
  <c r="BP24" i="24"/>
  <c r="BQ24" i="24"/>
  <c r="BR24" i="24"/>
  <c r="BS24" i="24"/>
  <c r="BT24" i="24"/>
  <c r="BU24" i="24"/>
  <c r="BV24" i="24"/>
  <c r="BW24" i="24"/>
  <c r="BX24" i="24"/>
  <c r="BY24" i="24"/>
  <c r="BZ24" i="24"/>
  <c r="CA24" i="24"/>
  <c r="CB24" i="24"/>
  <c r="CC24" i="24"/>
  <c r="CD24" i="24"/>
  <c r="CE24" i="24"/>
  <c r="CF24" i="24"/>
  <c r="CG24" i="24"/>
  <c r="CH24" i="24"/>
  <c r="CI24" i="24"/>
  <c r="CJ24" i="24"/>
  <c r="CK24" i="24"/>
  <c r="CL24" i="24"/>
  <c r="CM24" i="24"/>
  <c r="CN24" i="24"/>
  <c r="CO24" i="24"/>
  <c r="CP24" i="24"/>
  <c r="CQ24" i="24"/>
  <c r="CR24" i="24"/>
  <c r="CS24" i="24"/>
  <c r="CT24" i="24"/>
  <c r="CU24" i="24"/>
  <c r="CV24" i="24"/>
  <c r="CW24" i="24"/>
  <c r="CX24" i="24"/>
  <c r="CY24" i="24"/>
  <c r="CZ24" i="24"/>
  <c r="AB41" i="24"/>
  <c r="AC41" i="24"/>
  <c r="AD41" i="24"/>
  <c r="AE41" i="24"/>
  <c r="AF41" i="24"/>
  <c r="AG41" i="24"/>
  <c r="AH41" i="24"/>
  <c r="AI41" i="24"/>
  <c r="AJ41" i="24"/>
  <c r="AK41" i="24"/>
  <c r="AL41" i="24"/>
  <c r="AM41" i="24"/>
  <c r="AN41" i="24"/>
  <c r="AO41" i="24"/>
  <c r="AP41" i="24"/>
  <c r="AQ41" i="24"/>
  <c r="AR41" i="24"/>
  <c r="AS41" i="24"/>
  <c r="AT41" i="24"/>
  <c r="AU41" i="24"/>
  <c r="AV41" i="24"/>
  <c r="AW41" i="24"/>
  <c r="AX41" i="24"/>
  <c r="AY41" i="24"/>
  <c r="AZ41" i="24"/>
  <c r="BA41" i="24"/>
  <c r="BB41" i="24"/>
  <c r="BC41" i="24"/>
  <c r="BD41" i="24"/>
  <c r="BE41" i="24"/>
  <c r="BF41" i="24"/>
  <c r="BG41" i="24"/>
  <c r="BH41" i="24"/>
  <c r="BI41" i="24"/>
  <c r="BJ41" i="24"/>
  <c r="BK41" i="24"/>
  <c r="BL41" i="24"/>
  <c r="BM41" i="24"/>
  <c r="BN41" i="24"/>
  <c r="BO41" i="24"/>
  <c r="BP41" i="24"/>
  <c r="BQ41" i="24"/>
  <c r="BR41" i="24"/>
  <c r="BS41" i="24"/>
  <c r="BT41" i="24"/>
  <c r="BU41" i="24"/>
  <c r="BV41" i="24"/>
  <c r="BW41" i="24"/>
  <c r="BX41" i="24"/>
  <c r="BY41" i="24"/>
  <c r="BZ41" i="24"/>
  <c r="CA41" i="24"/>
  <c r="CB41" i="24"/>
  <c r="CC41" i="24"/>
  <c r="CD41" i="24"/>
  <c r="CE41" i="24"/>
  <c r="CF41" i="24"/>
  <c r="CG41" i="24"/>
  <c r="CH41" i="24"/>
  <c r="CI41" i="24"/>
  <c r="CJ41" i="24"/>
  <c r="CK41" i="24"/>
  <c r="CL41" i="24"/>
  <c r="CM41" i="24"/>
  <c r="CN41" i="24"/>
  <c r="CO41" i="24"/>
  <c r="CP41" i="24"/>
  <c r="CQ41" i="24"/>
  <c r="CR41" i="24"/>
  <c r="CS41" i="24"/>
  <c r="CT41" i="24"/>
  <c r="AB42" i="24"/>
  <c r="AC42" i="24"/>
  <c r="AD42" i="24"/>
  <c r="AE42" i="24"/>
  <c r="AF42" i="24"/>
  <c r="AG42" i="24"/>
  <c r="AH42" i="24"/>
  <c r="AI42" i="24"/>
  <c r="AJ42" i="24"/>
  <c r="AK42" i="24"/>
  <c r="AL42" i="24"/>
  <c r="AM42" i="24"/>
  <c r="AN42" i="24"/>
  <c r="AO42" i="24"/>
  <c r="AP42" i="24"/>
  <c r="AQ42" i="24"/>
  <c r="AR42" i="24"/>
  <c r="AS42" i="24"/>
  <c r="AT42" i="24"/>
  <c r="AU42" i="24"/>
  <c r="AV42" i="24"/>
  <c r="AW42" i="24"/>
  <c r="AX42" i="24"/>
  <c r="AY42" i="24"/>
  <c r="AZ42" i="24"/>
  <c r="BA42" i="24"/>
  <c r="BB42" i="24"/>
  <c r="BC42" i="24"/>
  <c r="BD42" i="24"/>
  <c r="BE42" i="24"/>
  <c r="BF42" i="24"/>
  <c r="BG42" i="24"/>
  <c r="BH42" i="24"/>
  <c r="BI42" i="24"/>
  <c r="BJ42" i="24"/>
  <c r="BK42" i="24"/>
  <c r="BL42" i="24"/>
  <c r="BM42" i="24"/>
  <c r="BN42" i="24"/>
  <c r="BO42" i="24"/>
  <c r="BP42" i="24"/>
  <c r="BQ42" i="24"/>
  <c r="BR42" i="24"/>
  <c r="BS42" i="24"/>
  <c r="BT42" i="24"/>
  <c r="BU42" i="24"/>
  <c r="BV42" i="24"/>
  <c r="BW42" i="24"/>
  <c r="BX42" i="24"/>
  <c r="BY42" i="24"/>
  <c r="BZ42" i="24"/>
  <c r="CA42" i="24"/>
  <c r="CB42" i="24"/>
  <c r="CC42" i="24"/>
  <c r="CD42" i="24"/>
  <c r="CE42" i="24"/>
  <c r="CF42" i="24"/>
  <c r="CG42" i="24"/>
  <c r="CH42" i="24"/>
  <c r="CI42" i="24"/>
  <c r="CJ42" i="24"/>
  <c r="CK42" i="24"/>
  <c r="CL42" i="24"/>
  <c r="CM42" i="24"/>
  <c r="CN42" i="24"/>
  <c r="CO42" i="24"/>
  <c r="CP42" i="24"/>
  <c r="CQ42" i="24"/>
  <c r="CR42" i="24"/>
  <c r="CS42" i="24"/>
  <c r="CT42" i="24"/>
  <c r="AB43" i="24"/>
  <c r="AC43" i="24"/>
  <c r="AD43" i="24"/>
  <c r="AE43" i="24"/>
  <c r="AF43" i="24"/>
  <c r="AG43" i="24"/>
  <c r="AH43" i="24"/>
  <c r="AI43" i="24"/>
  <c r="AJ43" i="24"/>
  <c r="AK43" i="24"/>
  <c r="AL43" i="24"/>
  <c r="AM43" i="24"/>
  <c r="AN43" i="24"/>
  <c r="AO43" i="24"/>
  <c r="AP43" i="24"/>
  <c r="AQ43" i="24"/>
  <c r="AR43" i="24"/>
  <c r="AS43" i="24"/>
  <c r="AT43" i="24"/>
  <c r="AU43" i="24"/>
  <c r="AV43" i="24"/>
  <c r="AW43" i="24"/>
  <c r="AX43" i="24"/>
  <c r="AY43" i="24"/>
  <c r="AZ43" i="24"/>
  <c r="BA43" i="24"/>
  <c r="BB43" i="24"/>
  <c r="BC43" i="24"/>
  <c r="BD43" i="24"/>
  <c r="BE43" i="24"/>
  <c r="BF43" i="24"/>
  <c r="BG43" i="24"/>
  <c r="BH43" i="24"/>
  <c r="BI43" i="24"/>
  <c r="BJ43" i="24"/>
  <c r="BK43" i="24"/>
  <c r="BL43" i="24"/>
  <c r="BM43" i="24"/>
  <c r="BN43" i="24"/>
  <c r="BO43" i="24"/>
  <c r="BP43" i="24"/>
  <c r="BQ43" i="24"/>
  <c r="BR43" i="24"/>
  <c r="BS43" i="24"/>
  <c r="BT43" i="24"/>
  <c r="BU43" i="24"/>
  <c r="BV43" i="24"/>
  <c r="BW43" i="24"/>
  <c r="BX43" i="24"/>
  <c r="BY43" i="24"/>
  <c r="BZ43" i="24"/>
  <c r="CA43" i="24"/>
  <c r="CB43" i="24"/>
  <c r="CC43" i="24"/>
  <c r="CD43" i="24"/>
  <c r="CE43" i="24"/>
  <c r="CF43" i="24"/>
  <c r="CG43" i="24"/>
  <c r="CH43" i="24"/>
  <c r="CI43" i="24"/>
  <c r="CJ43" i="24"/>
  <c r="CK43" i="24"/>
  <c r="CL43" i="24"/>
  <c r="CM43" i="24"/>
  <c r="CN43" i="24"/>
  <c r="CO43" i="24"/>
  <c r="CP43" i="24"/>
  <c r="CQ43" i="24"/>
  <c r="CR43" i="24"/>
  <c r="CS43" i="24"/>
  <c r="CT43" i="24"/>
  <c r="AB45" i="24"/>
  <c r="AD45" i="24"/>
  <c r="AF45" i="24"/>
  <c r="AH45" i="24"/>
  <c r="AJ45" i="24"/>
  <c r="AL45" i="24"/>
  <c r="AN45" i="24"/>
  <c r="AP45" i="24"/>
  <c r="AR45" i="24"/>
  <c r="AT45" i="24"/>
  <c r="AV45" i="24"/>
  <c r="AX45" i="24"/>
  <c r="AZ45" i="24"/>
  <c r="BB45" i="24"/>
  <c r="BD45" i="24"/>
  <c r="BF45" i="24"/>
  <c r="BH45" i="24"/>
  <c r="BJ45" i="24"/>
  <c r="BL45" i="24"/>
  <c r="BN45" i="24"/>
  <c r="BP45" i="24"/>
  <c r="BR45" i="24"/>
  <c r="BT45" i="24"/>
  <c r="BV45" i="24"/>
  <c r="BX45" i="24"/>
  <c r="BZ45" i="24"/>
  <c r="CB45" i="24"/>
  <c r="CD45" i="24"/>
  <c r="CF45" i="24"/>
  <c r="CH45" i="24"/>
  <c r="CJ45" i="24"/>
  <c r="CL45" i="24"/>
  <c r="CN45" i="24"/>
  <c r="CP45" i="24"/>
  <c r="CR45" i="24"/>
  <c r="CT45" i="24"/>
  <c r="CU45" i="24"/>
  <c r="CV45" i="24"/>
  <c r="CW45" i="24"/>
  <c r="CX45" i="24"/>
  <c r="CY45" i="24"/>
  <c r="CZ45" i="24"/>
  <c r="AB48" i="24"/>
  <c r="AC48" i="24"/>
  <c r="AD48" i="24"/>
  <c r="AE48" i="24"/>
  <c r="AF48" i="24"/>
  <c r="AG48" i="24"/>
  <c r="AH48" i="24"/>
  <c r="AI48" i="24"/>
  <c r="AM48" i="24"/>
  <c r="AN48" i="24"/>
  <c r="AO48" i="24"/>
  <c r="AP48" i="24"/>
  <c r="AQ48" i="24"/>
  <c r="AR48" i="24"/>
  <c r="AS48" i="24"/>
  <c r="AT48" i="24"/>
  <c r="AU48" i="24"/>
  <c r="AY48" i="24"/>
  <c r="AZ48" i="24"/>
  <c r="BA48" i="24"/>
  <c r="BB48" i="24"/>
  <c r="BC48" i="24"/>
  <c r="BD48" i="24"/>
  <c r="BE48" i="24"/>
  <c r="BF48" i="24"/>
  <c r="BG48" i="24"/>
  <c r="BK48" i="24"/>
  <c r="BL48" i="24"/>
  <c r="BM48" i="24"/>
  <c r="BN48" i="24"/>
  <c r="BO48" i="24"/>
  <c r="BP48" i="24"/>
  <c r="BQ48" i="24"/>
  <c r="BR48" i="24"/>
  <c r="BS48" i="24"/>
  <c r="BW48" i="24"/>
  <c r="BX48" i="24"/>
  <c r="BY48" i="24"/>
  <c r="BZ48" i="24"/>
  <c r="CA48" i="24"/>
  <c r="CB48" i="24"/>
  <c r="CC48" i="24"/>
  <c r="CD48" i="24"/>
  <c r="CE48" i="24"/>
  <c r="CI48" i="24"/>
  <c r="CJ48" i="24"/>
  <c r="CK48" i="24"/>
  <c r="CL48" i="24"/>
  <c r="CM48" i="24"/>
  <c r="CN48" i="24"/>
  <c r="CO48" i="24"/>
  <c r="CP48" i="24"/>
  <c r="CQ48" i="24"/>
  <c r="CU48" i="24"/>
  <c r="CV48" i="24"/>
  <c r="CW48" i="24"/>
  <c r="CX48" i="24"/>
  <c r="CY48" i="24"/>
  <c r="CZ48" i="24"/>
  <c r="AB49" i="24"/>
  <c r="AC49" i="24"/>
  <c r="AD49" i="24"/>
  <c r="AE49" i="24"/>
  <c r="AF49" i="24"/>
  <c r="AG49" i="24"/>
  <c r="AH49" i="24"/>
  <c r="AI49" i="24"/>
  <c r="AM49" i="24"/>
  <c r="AN49" i="24"/>
  <c r="AO49" i="24"/>
  <c r="AP49" i="24"/>
  <c r="AQ49" i="24"/>
  <c r="AR49" i="24"/>
  <c r="AS49" i="24"/>
  <c r="AT49" i="24"/>
  <c r="AU49" i="24"/>
  <c r="AY49" i="24"/>
  <c r="AZ49" i="24"/>
  <c r="BA49" i="24"/>
  <c r="BB49" i="24"/>
  <c r="BC49" i="24"/>
  <c r="BD49" i="24"/>
  <c r="BE49" i="24"/>
  <c r="BF49" i="24"/>
  <c r="BG49" i="24"/>
  <c r="BK49" i="24"/>
  <c r="BL49" i="24"/>
  <c r="BM49" i="24"/>
  <c r="BN49" i="24"/>
  <c r="BO49" i="24"/>
  <c r="BP49" i="24"/>
  <c r="BQ49" i="24"/>
  <c r="BR49" i="24"/>
  <c r="BS49" i="24"/>
  <c r="BW49" i="24"/>
  <c r="BX49" i="24"/>
  <c r="BY49" i="24"/>
  <c r="BZ49" i="24"/>
  <c r="CA49" i="24"/>
  <c r="CB49" i="24"/>
  <c r="CC49" i="24"/>
  <c r="CD49" i="24"/>
  <c r="CE49" i="24"/>
  <c r="CI49" i="24"/>
  <c r="CJ49" i="24"/>
  <c r="CK49" i="24"/>
  <c r="CL49" i="24"/>
  <c r="CM49" i="24"/>
  <c r="CN49" i="24"/>
  <c r="CO49" i="24"/>
  <c r="CP49" i="24"/>
  <c r="CQ49" i="24"/>
  <c r="CU49" i="24"/>
  <c r="CV49" i="24"/>
  <c r="CW49" i="24"/>
  <c r="CX49" i="24"/>
  <c r="CY49" i="24"/>
  <c r="CZ49" i="24"/>
  <c r="CU52" i="24"/>
  <c r="CV52" i="24"/>
  <c r="CW52" i="24"/>
  <c r="CX52" i="24"/>
  <c r="CY52" i="24"/>
  <c r="CZ52" i="24"/>
  <c r="AB53" i="24"/>
  <c r="AC53" i="24"/>
  <c r="AD53" i="24"/>
  <c r="AE53" i="24"/>
  <c r="AF53" i="24"/>
  <c r="AG53" i="24"/>
  <c r="AH53" i="24"/>
  <c r="AI53" i="24"/>
  <c r="AM53" i="24"/>
  <c r="AN53" i="24"/>
  <c r="AO53" i="24"/>
  <c r="AP53" i="24"/>
  <c r="AQ53" i="24"/>
  <c r="AR53" i="24"/>
  <c r="AS53" i="24"/>
  <c r="AT53" i="24"/>
  <c r="AU53" i="24"/>
  <c r="AY53" i="24"/>
  <c r="AZ53" i="24"/>
  <c r="BA53" i="24"/>
  <c r="BB53" i="24"/>
  <c r="BC53" i="24"/>
  <c r="BD53" i="24"/>
  <c r="BE53" i="24"/>
  <c r="BF53" i="24"/>
  <c r="BG53" i="24"/>
  <c r="BK53" i="24"/>
  <c r="BL53" i="24"/>
  <c r="BM53" i="24"/>
  <c r="BN53" i="24"/>
  <c r="BO53" i="24"/>
  <c r="BP53" i="24"/>
  <c r="BQ53" i="24"/>
  <c r="BR53" i="24"/>
  <c r="BS53" i="24"/>
  <c r="BW53" i="24"/>
  <c r="BX53" i="24"/>
  <c r="BY53" i="24"/>
  <c r="BZ53" i="24"/>
  <c r="CA53" i="24"/>
  <c r="CB53" i="24"/>
  <c r="CC53" i="24"/>
  <c r="CD53" i="24"/>
  <c r="CE53" i="24"/>
  <c r="CI53" i="24"/>
  <c r="CJ53" i="24"/>
  <c r="CK53" i="24"/>
  <c r="CL53" i="24"/>
  <c r="CM53" i="24"/>
  <c r="CN53" i="24"/>
  <c r="CO53" i="24"/>
  <c r="CP53" i="24"/>
  <c r="CQ53" i="24"/>
  <c r="CU53" i="24"/>
  <c r="CV53" i="24"/>
  <c r="CW53" i="24"/>
  <c r="CX53" i="24"/>
  <c r="CY53" i="24"/>
  <c r="CZ53" i="24"/>
  <c r="AB54" i="24"/>
  <c r="AC54" i="24"/>
  <c r="AD54" i="24"/>
  <c r="AE54" i="24"/>
  <c r="AF54" i="24"/>
  <c r="AG54" i="24"/>
  <c r="AH54" i="24"/>
  <c r="AI54" i="24"/>
  <c r="AM54" i="24"/>
  <c r="AN54" i="24"/>
  <c r="AO54" i="24"/>
  <c r="AP54" i="24"/>
  <c r="AQ54" i="24"/>
  <c r="AR54" i="24"/>
  <c r="AS54" i="24"/>
  <c r="AT54" i="24"/>
  <c r="AU54" i="24"/>
  <c r="AY54" i="24"/>
  <c r="AZ54" i="24"/>
  <c r="BA54" i="24"/>
  <c r="BB54" i="24"/>
  <c r="BC54" i="24"/>
  <c r="BD54" i="24"/>
  <c r="BE54" i="24"/>
  <c r="BF54" i="24"/>
  <c r="BG54" i="24"/>
  <c r="BK54" i="24"/>
  <c r="BL54" i="24"/>
  <c r="BM54" i="24"/>
  <c r="BN54" i="24"/>
  <c r="BO54" i="24"/>
  <c r="BP54" i="24"/>
  <c r="BQ54" i="24"/>
  <c r="BR54" i="24"/>
  <c r="BS54" i="24"/>
  <c r="BW54" i="24"/>
  <c r="BX54" i="24"/>
  <c r="BY54" i="24"/>
  <c r="BZ54" i="24"/>
  <c r="CA54" i="24"/>
  <c r="CB54" i="24"/>
  <c r="CC54" i="24"/>
  <c r="CD54" i="24"/>
  <c r="CE54" i="24"/>
  <c r="CI54" i="24"/>
  <c r="CJ54" i="24"/>
  <c r="CK54" i="24"/>
  <c r="CL54" i="24"/>
  <c r="CM54" i="24"/>
  <c r="CN54" i="24"/>
  <c r="CO54" i="24"/>
  <c r="CP54" i="24"/>
  <c r="CQ54" i="24"/>
  <c r="CU54" i="24"/>
  <c r="CV54" i="24"/>
  <c r="CW54" i="24"/>
  <c r="CX54" i="24"/>
  <c r="CY54" i="24"/>
  <c r="CZ54" i="24"/>
  <c r="AB1" i="24"/>
  <c r="AJ1" i="24"/>
  <c r="AZ1" i="24"/>
  <c r="BO1" i="24"/>
  <c r="BU1" i="24"/>
  <c r="BV1" i="24"/>
  <c r="CC1" i="24"/>
  <c r="CI1" i="24"/>
  <c r="CO1" i="24"/>
  <c r="CU1" i="24"/>
  <c r="AA53" i="24"/>
  <c r="AA54" i="24"/>
  <c r="AA55" i="24"/>
  <c r="AA2" i="24"/>
  <c r="AA19" i="24"/>
  <c r="DI39" i="2" s="1"/>
  <c r="AA20" i="24"/>
  <c r="DI40" i="2" s="1"/>
  <c r="M22" i="16" s="1"/>
  <c r="AA21" i="24"/>
  <c r="DI41" i="2" s="1"/>
  <c r="M23" i="16" s="1"/>
  <c r="AA23" i="24"/>
  <c r="AA24" i="24"/>
  <c r="AA41" i="24"/>
  <c r="AA42" i="24"/>
  <c r="AA43" i="24"/>
  <c r="Z2" i="24"/>
  <c r="Z3" i="24"/>
  <c r="Z4" i="24"/>
  <c r="Z5" i="24"/>
  <c r="Z6" i="24"/>
  <c r="Z7" i="24"/>
  <c r="Z8" i="24"/>
  <c r="Z9" i="24"/>
  <c r="Z10" i="24"/>
  <c r="Z11" i="24"/>
  <c r="Z12" i="24"/>
  <c r="Z13" i="24"/>
  <c r="Z14" i="24"/>
  <c r="Z15" i="24"/>
  <c r="Z16" i="24"/>
  <c r="Z17" i="24"/>
  <c r="Z18" i="24"/>
  <c r="Z19" i="24"/>
  <c r="Z20" i="24"/>
  <c r="Z21" i="24"/>
  <c r="Z22" i="24"/>
  <c r="Z23" i="24"/>
  <c r="Z24" i="24"/>
  <c r="Z25" i="24"/>
  <c r="Z26" i="24"/>
  <c r="Z27" i="24"/>
  <c r="Z28" i="24"/>
  <c r="Z29" i="24"/>
  <c r="Z30" i="24"/>
  <c r="Z31" i="24"/>
  <c r="Z32" i="24"/>
  <c r="Z33" i="24"/>
  <c r="Z34" i="24"/>
  <c r="Z35" i="24"/>
  <c r="Z36" i="24"/>
  <c r="Z37" i="24"/>
  <c r="Z38" i="24"/>
  <c r="Z39" i="24"/>
  <c r="Z40" i="24"/>
  <c r="Z41" i="24"/>
  <c r="Z42" i="24"/>
  <c r="Z43" i="24"/>
  <c r="Z44" i="24"/>
  <c r="Z1" i="24"/>
  <c r="V42" i="29"/>
  <c r="CA3" i="2"/>
  <c r="BZ3" i="2"/>
  <c r="BY3" i="2"/>
  <c r="BX3" i="2"/>
  <c r="BW3" i="2"/>
  <c r="BV3" i="2"/>
  <c r="BU3" i="2"/>
  <c r="BT3" i="2"/>
  <c r="BS3" i="2"/>
  <c r="BR3" i="2"/>
  <c r="BQ3" i="2"/>
  <c r="BP3" i="2"/>
  <c r="BO3" i="2"/>
  <c r="BN3" i="2"/>
  <c r="BM3" i="2"/>
  <c r="B9" i="25"/>
  <c r="B104" i="25" s="1"/>
  <c r="B199" i="25" s="1"/>
  <c r="B294" i="25" s="1"/>
  <c r="B389" i="25" s="1"/>
  <c r="B484" i="25" s="1"/>
  <c r="O9" i="32"/>
  <c r="G16" i="32" s="1"/>
  <c r="X42" i="31"/>
  <c r="X42" i="30"/>
  <c r="X42" i="29"/>
  <c r="W42" i="31"/>
  <c r="W42" i="30"/>
  <c r="W42" i="29"/>
  <c r="V42" i="31"/>
  <c r="V42" i="30"/>
  <c r="AA162" i="23"/>
  <c r="J7" i="35" s="1"/>
  <c r="D104" i="25"/>
  <c r="D199" i="25" s="1"/>
  <c r="D294" i="25" s="1"/>
  <c r="D389" i="25" s="1"/>
  <c r="D484" i="25" s="1"/>
  <c r="M10" i="25"/>
  <c r="O10" i="25" s="1"/>
  <c r="O105" i="25" s="1"/>
  <c r="O200" i="25" s="1"/>
  <c r="O295" i="25" s="1"/>
  <c r="O390" i="25" s="1"/>
  <c r="O485" i="25" s="1"/>
  <c r="L10" i="25"/>
  <c r="O8" i="25" s="1"/>
  <c r="G147" i="25"/>
  <c r="O147" i="25" s="1"/>
  <c r="G145" i="25"/>
  <c r="O145" i="25" s="1"/>
  <c r="G143" i="25"/>
  <c r="O143" i="25" s="1"/>
  <c r="AB7" i="33"/>
  <c r="AM23" i="33"/>
  <c r="AM24" i="33"/>
  <c r="AM25" i="33"/>
  <c r="DC3" i="2"/>
  <c r="AK17" i="33"/>
  <c r="AJ17" i="33"/>
  <c r="AI17" i="33"/>
  <c r="AH17" i="33"/>
  <c r="AG17" i="33"/>
  <c r="AF17" i="33"/>
  <c r="AE17" i="33"/>
  <c r="AD17" i="33"/>
  <c r="AC17" i="33"/>
  <c r="AB17" i="33"/>
  <c r="AK16" i="33"/>
  <c r="AJ16" i="33"/>
  <c r="AI16" i="33"/>
  <c r="AH16" i="33"/>
  <c r="AG16" i="33"/>
  <c r="AF16" i="33"/>
  <c r="AE16" i="33"/>
  <c r="AD16" i="33"/>
  <c r="AC16" i="33"/>
  <c r="AB16" i="33"/>
  <c r="AK15" i="33"/>
  <c r="AJ15" i="33"/>
  <c r="AI15" i="33"/>
  <c r="AH15" i="33"/>
  <c r="AG15" i="33"/>
  <c r="AF15" i="33"/>
  <c r="AE15" i="33"/>
  <c r="AD15" i="33"/>
  <c r="AC15" i="33"/>
  <c r="AB15" i="33"/>
  <c r="AK14" i="33"/>
  <c r="AJ14" i="33"/>
  <c r="AI14" i="33"/>
  <c r="AH14" i="33"/>
  <c r="AG14" i="33"/>
  <c r="AF14" i="33"/>
  <c r="AE14" i="33"/>
  <c r="AD14" i="33"/>
  <c r="AC14" i="33"/>
  <c r="AB14" i="33"/>
  <c r="AK13" i="33"/>
  <c r="AJ13" i="33"/>
  <c r="AI13" i="33"/>
  <c r="AH13" i="33"/>
  <c r="AG13" i="33"/>
  <c r="AF13" i="33"/>
  <c r="AE13" i="33"/>
  <c r="AD13" i="33"/>
  <c r="AC13" i="33"/>
  <c r="AB13" i="33"/>
  <c r="AK12" i="33"/>
  <c r="AJ12" i="33"/>
  <c r="AI12" i="33"/>
  <c r="AH12" i="33"/>
  <c r="AG12" i="33"/>
  <c r="AF12" i="33"/>
  <c r="AE12" i="33"/>
  <c r="AD12" i="33"/>
  <c r="AC12" i="33"/>
  <c r="AB12" i="33"/>
  <c r="AK11" i="33"/>
  <c r="AJ11" i="33"/>
  <c r="AI11" i="33"/>
  <c r="AH11" i="33"/>
  <c r="AG11" i="33"/>
  <c r="AF11" i="33"/>
  <c r="AE11" i="33"/>
  <c r="AD11" i="33"/>
  <c r="AC11" i="33"/>
  <c r="AB11" i="33"/>
  <c r="AI10" i="33"/>
  <c r="AH10" i="33"/>
  <c r="AG10" i="33"/>
  <c r="AE10" i="33"/>
  <c r="AD10" i="33"/>
  <c r="AC10" i="33"/>
  <c r="AB10" i="33"/>
  <c r="AK9" i="33"/>
  <c r="AJ9" i="33"/>
  <c r="AI9" i="33"/>
  <c r="AH9" i="33"/>
  <c r="AG9" i="33"/>
  <c r="AF9" i="33"/>
  <c r="AE9" i="33"/>
  <c r="AD9" i="33"/>
  <c r="AC9" i="33"/>
  <c r="AB9" i="33"/>
  <c r="AK8" i="33"/>
  <c r="AJ8" i="33"/>
  <c r="AI8" i="33"/>
  <c r="AH8" i="33"/>
  <c r="AG8" i="33"/>
  <c r="AF8" i="33"/>
  <c r="AE8" i="33"/>
  <c r="AD8" i="33"/>
  <c r="AC8" i="33"/>
  <c r="AB8" i="33"/>
  <c r="AI7" i="33"/>
  <c r="AH7" i="33"/>
  <c r="AG7" i="33"/>
  <c r="AE7" i="33"/>
  <c r="AD7" i="33"/>
  <c r="AC7" i="33"/>
  <c r="V42" i="24"/>
  <c r="S40" i="31"/>
  <c r="P40" i="31"/>
  <c r="M40" i="31"/>
  <c r="J40" i="31"/>
  <c r="G40" i="31"/>
  <c r="D40" i="31"/>
  <c r="S39" i="31"/>
  <c r="P39" i="31"/>
  <c r="M39" i="31"/>
  <c r="J39" i="31"/>
  <c r="G39" i="31"/>
  <c r="D39" i="31"/>
  <c r="U26" i="31"/>
  <c r="T26" i="31"/>
  <c r="S26" i="31"/>
  <c r="R26" i="31"/>
  <c r="Q26" i="31"/>
  <c r="P26" i="31"/>
  <c r="O26" i="31"/>
  <c r="N26" i="31"/>
  <c r="M26" i="31"/>
  <c r="L26" i="31"/>
  <c r="K26" i="31"/>
  <c r="J26" i="31"/>
  <c r="I26" i="31"/>
  <c r="H26" i="31"/>
  <c r="G26" i="31"/>
  <c r="F26" i="31"/>
  <c r="E26" i="31"/>
  <c r="D26" i="31"/>
  <c r="G24" i="31"/>
  <c r="V23" i="31"/>
  <c r="W15" i="31"/>
  <c r="W14" i="31"/>
  <c r="Q12" i="31"/>
  <c r="Q8" i="31"/>
  <c r="S40" i="30"/>
  <c r="P40" i="30"/>
  <c r="M40" i="30"/>
  <c r="J40" i="30"/>
  <c r="G40" i="30"/>
  <c r="D40" i="30"/>
  <c r="S39" i="30"/>
  <c r="P39" i="30"/>
  <c r="M39" i="30"/>
  <c r="J39" i="30"/>
  <c r="G39" i="30"/>
  <c r="D39" i="30"/>
  <c r="U26" i="30"/>
  <c r="T26" i="30"/>
  <c r="S26" i="30"/>
  <c r="R26" i="30"/>
  <c r="Q26" i="30"/>
  <c r="P26" i="30"/>
  <c r="O26" i="30"/>
  <c r="N26" i="30"/>
  <c r="M26" i="30"/>
  <c r="L26" i="30"/>
  <c r="K26" i="30"/>
  <c r="J26" i="30"/>
  <c r="I26" i="30"/>
  <c r="H26" i="30"/>
  <c r="G26" i="30"/>
  <c r="F26" i="30"/>
  <c r="E26" i="30"/>
  <c r="D26" i="30"/>
  <c r="H24" i="30"/>
  <c r="V23" i="30"/>
  <c r="W15" i="30"/>
  <c r="W14" i="30"/>
  <c r="Q12" i="30"/>
  <c r="Q8" i="30"/>
  <c r="G42" i="29"/>
  <c r="S40" i="29"/>
  <c r="P40" i="29"/>
  <c r="M40" i="29"/>
  <c r="J40" i="29"/>
  <c r="G40" i="29"/>
  <c r="D40" i="29"/>
  <c r="S39" i="29"/>
  <c r="P39" i="29"/>
  <c r="M39" i="29"/>
  <c r="J39" i="29"/>
  <c r="G39" i="29"/>
  <c r="D39" i="29"/>
  <c r="T26" i="29"/>
  <c r="S26" i="29"/>
  <c r="Q26" i="29"/>
  <c r="P26" i="29"/>
  <c r="N26" i="29"/>
  <c r="M26" i="29"/>
  <c r="K26" i="29"/>
  <c r="J26" i="29"/>
  <c r="H26" i="29"/>
  <c r="G26" i="29"/>
  <c r="E26" i="29"/>
  <c r="D26" i="29"/>
  <c r="W20" i="29"/>
  <c r="W19" i="29"/>
  <c r="W15" i="29"/>
  <c r="W14" i="29"/>
  <c r="G11" i="29"/>
  <c r="R4" i="29"/>
  <c r="D4" i="29"/>
  <c r="V3" i="29"/>
  <c r="V2" i="29"/>
  <c r="V1" i="29"/>
  <c r="G242" i="25"/>
  <c r="O242" i="25" s="1"/>
  <c r="G240" i="25"/>
  <c r="O240" i="25" s="1"/>
  <c r="G238" i="25"/>
  <c r="O238" i="25" s="1"/>
  <c r="G337" i="25"/>
  <c r="O337" i="25" s="1"/>
  <c r="G335" i="25"/>
  <c r="O335" i="25" s="1"/>
  <c r="G333" i="25"/>
  <c r="O333" i="25" s="1"/>
  <c r="G432" i="25"/>
  <c r="O432" i="25" s="1"/>
  <c r="G430" i="25"/>
  <c r="O430" i="25" s="1"/>
  <c r="G428" i="25"/>
  <c r="O428" i="25" s="1"/>
  <c r="C52" i="25"/>
  <c r="C147" i="25" s="1"/>
  <c r="C242" i="25" s="1"/>
  <c r="C337" i="25" s="1"/>
  <c r="C432" i="25" s="1"/>
  <c r="C529" i="25" s="1"/>
  <c r="C145" i="25"/>
  <c r="C240" i="25" s="1"/>
  <c r="C335" i="25" s="1"/>
  <c r="C430" i="25" s="1"/>
  <c r="C527" i="25" s="1"/>
  <c r="C48" i="25"/>
  <c r="C143" i="25" s="1"/>
  <c r="C238" i="25" s="1"/>
  <c r="C333" i="25" s="1"/>
  <c r="C428" i="25" s="1"/>
  <c r="C525" i="25" s="1"/>
  <c r="G52" i="25"/>
  <c r="G50" i="25"/>
  <c r="O50" i="25" s="1"/>
  <c r="G48" i="25"/>
  <c r="O48" i="25" s="1"/>
  <c r="G529" i="25"/>
  <c r="G527" i="25"/>
  <c r="G525" i="25"/>
  <c r="N53" i="16"/>
  <c r="N54" i="16"/>
  <c r="N55" i="16"/>
  <c r="N56" i="16"/>
  <c r="N57" i="16"/>
  <c r="N58" i="16"/>
  <c r="N59" i="16"/>
  <c r="N60" i="16"/>
  <c r="N61" i="16"/>
  <c r="N62" i="16"/>
  <c r="N63" i="16"/>
  <c r="N64" i="16"/>
  <c r="N65" i="16"/>
  <c r="N66" i="16"/>
  <c r="N67" i="16"/>
  <c r="N68" i="16"/>
  <c r="N52" i="16"/>
  <c r="M69" i="16"/>
  <c r="M71" i="16" s="1"/>
  <c r="L69" i="16"/>
  <c r="L71" i="16" s="1"/>
  <c r="J69" i="16"/>
  <c r="J71" i="16" s="1"/>
  <c r="I69" i="16"/>
  <c r="I71" i="16" s="1"/>
  <c r="D45" i="16"/>
  <c r="D68" i="16" s="1"/>
  <c r="C45" i="16"/>
  <c r="C68" i="16" s="1"/>
  <c r="B45" i="16"/>
  <c r="B68" i="16" s="1"/>
  <c r="P45" i="16"/>
  <c r="J46" i="16"/>
  <c r="J48" i="16" s="1"/>
  <c r="L46" i="16"/>
  <c r="L48" i="16" s="1"/>
  <c r="M46" i="16"/>
  <c r="M48" i="16" s="1"/>
  <c r="N46" i="16"/>
  <c r="N48" i="16" s="1"/>
  <c r="O46" i="16"/>
  <c r="O48" i="16" s="1"/>
  <c r="I46" i="16"/>
  <c r="I48" i="16" s="1"/>
  <c r="P30" i="16"/>
  <c r="P31" i="16"/>
  <c r="P32" i="16"/>
  <c r="P33" i="16"/>
  <c r="P34" i="16"/>
  <c r="P35" i="16"/>
  <c r="P36" i="16"/>
  <c r="P37" i="16"/>
  <c r="P38" i="16"/>
  <c r="P39" i="16"/>
  <c r="P40" i="16"/>
  <c r="P41" i="16"/>
  <c r="P42" i="16"/>
  <c r="P43" i="16"/>
  <c r="P44" i="16"/>
  <c r="P29" i="16"/>
  <c r="AF26" i="13"/>
  <c r="AF11" i="13"/>
  <c r="AF25" i="13"/>
  <c r="AF24" i="13"/>
  <c r="AF23" i="13"/>
  <c r="AF22" i="13"/>
  <c r="AF21" i="13"/>
  <c r="AF20" i="13"/>
  <c r="AF18" i="13"/>
  <c r="AF17" i="13"/>
  <c r="AF16" i="13"/>
  <c r="AF15" i="13"/>
  <c r="AF14" i="13"/>
  <c r="AF12" i="13"/>
  <c r="AF13" i="13"/>
  <c r="EH17" i="2"/>
  <c r="AA137" i="23"/>
  <c r="AA136" i="23"/>
  <c r="AA135" i="23"/>
  <c r="FF25" i="2" s="1"/>
  <c r="AA134" i="23"/>
  <c r="AA133" i="23"/>
  <c r="FD25" i="2" s="1"/>
  <c r="AA132" i="23"/>
  <c r="AA130" i="23"/>
  <c r="FA25" i="2" s="1"/>
  <c r="AA129" i="23"/>
  <c r="T6" i="35"/>
  <c r="AA127" i="23"/>
  <c r="AA126" i="23"/>
  <c r="Q6" i="35" s="1"/>
  <c r="AA125" i="23"/>
  <c r="AA124" i="23"/>
  <c r="AA123" i="23"/>
  <c r="AA122" i="23"/>
  <c r="AA121" i="23"/>
  <c r="AA120" i="23"/>
  <c r="AA119" i="23"/>
  <c r="AA118" i="23"/>
  <c r="D6" i="35" s="1"/>
  <c r="AA117" i="23"/>
  <c r="EN25" i="2" s="1"/>
  <c r="O26" i="17"/>
  <c r="O27" i="17"/>
  <c r="O28" i="17"/>
  <c r="M26" i="17"/>
  <c r="M27" i="17"/>
  <c r="M28" i="17"/>
  <c r="KB41" i="2"/>
  <c r="CU41" i="24" s="1"/>
  <c r="KC41" i="2"/>
  <c r="CV41" i="24" s="1"/>
  <c r="KD41" i="2"/>
  <c r="CW41" i="24" s="1"/>
  <c r="KE41" i="2"/>
  <c r="CX41" i="24" s="1"/>
  <c r="KF41" i="2"/>
  <c r="CY41" i="24" s="1"/>
  <c r="KG41" i="2"/>
  <c r="CZ41" i="24" s="1"/>
  <c r="CU42" i="24"/>
  <c r="CV42" i="24"/>
  <c r="CW42" i="24"/>
  <c r="CX42" i="24"/>
  <c r="CY42" i="24"/>
  <c r="CZ42" i="24"/>
  <c r="CU43" i="24"/>
  <c r="CV43" i="24"/>
  <c r="CW43" i="24"/>
  <c r="CX43" i="24"/>
  <c r="CY43" i="24"/>
  <c r="CZ43" i="24"/>
  <c r="CT39" i="24"/>
  <c r="CT38" i="24"/>
  <c r="CT35" i="24"/>
  <c r="CS40" i="24"/>
  <c r="CS36" i="24"/>
  <c r="CR38" i="24"/>
  <c r="CR36" i="24"/>
  <c r="CR35" i="24"/>
  <c r="CQ40" i="24"/>
  <c r="CQ39" i="24"/>
  <c r="CQ36" i="24"/>
  <c r="CP40" i="24"/>
  <c r="CP39" i="24"/>
  <c r="CP38" i="24"/>
  <c r="CP37" i="24"/>
  <c r="CP35" i="24"/>
  <c r="CO40" i="24"/>
  <c r="CN39" i="24"/>
  <c r="CN36" i="24"/>
  <c r="CM40" i="24"/>
  <c r="CM38" i="24"/>
  <c r="CM37" i="24"/>
  <c r="CM35" i="24"/>
  <c r="CL40" i="24"/>
  <c r="CL39" i="24"/>
  <c r="CL38" i="24"/>
  <c r="CL37" i="24"/>
  <c r="CL35" i="24"/>
  <c r="CK40" i="24"/>
  <c r="CK37" i="24"/>
  <c r="CJ40" i="24"/>
  <c r="CJ37" i="24"/>
  <c r="CJ36" i="24"/>
  <c r="CI39" i="24"/>
  <c r="CI38" i="24"/>
  <c r="CI35" i="24"/>
  <c r="CT34" i="24"/>
  <c r="CT33" i="24"/>
  <c r="CT32" i="24"/>
  <c r="CT31" i="24"/>
  <c r="CR33" i="24"/>
  <c r="CR31" i="24"/>
  <c r="CQ34" i="24"/>
  <c r="CQ32" i="24"/>
  <c r="CQ31" i="24"/>
  <c r="CP34" i="24"/>
  <c r="CP32" i="24"/>
  <c r="CO34" i="24"/>
  <c r="CO33" i="24"/>
  <c r="CO31" i="24"/>
  <c r="CN34" i="24"/>
  <c r="CN33" i="24"/>
  <c r="CN32" i="24"/>
  <c r="CN31" i="24"/>
  <c r="CM34" i="24"/>
  <c r="CM31" i="24"/>
  <c r="CL34" i="24"/>
  <c r="CL33" i="24"/>
  <c r="CL31" i="24"/>
  <c r="CK32" i="24"/>
  <c r="CJ34" i="24"/>
  <c r="CJ33" i="24"/>
  <c r="CJ32" i="24"/>
  <c r="CI34" i="24"/>
  <c r="CI31" i="24"/>
  <c r="CT28" i="24"/>
  <c r="CT27" i="24"/>
  <c r="CS30" i="24"/>
  <c r="CS25" i="24"/>
  <c r="CR30" i="24"/>
  <c r="CR28" i="24"/>
  <c r="CR27" i="24"/>
  <c r="CQ30" i="24"/>
  <c r="CQ29" i="24"/>
  <c r="CQ26" i="24"/>
  <c r="CQ25" i="24"/>
  <c r="CP30" i="24"/>
  <c r="CP28" i="24"/>
  <c r="CP27" i="24"/>
  <c r="CO30" i="24"/>
  <c r="CO29" i="24"/>
  <c r="CO25" i="24"/>
  <c r="CN28" i="24"/>
  <c r="CN27" i="24"/>
  <c r="CM30" i="24"/>
  <c r="CM29" i="24"/>
  <c r="CM25" i="24"/>
  <c r="CL28" i="24"/>
  <c r="CL27" i="24"/>
  <c r="CK30" i="24"/>
  <c r="CK29" i="24"/>
  <c r="CK25" i="24"/>
  <c r="CJ29" i="24"/>
  <c r="CJ28" i="24"/>
  <c r="CJ27" i="24"/>
  <c r="CJ25" i="24"/>
  <c r="CI30" i="24"/>
  <c r="CI26" i="24"/>
  <c r="KE34" i="2"/>
  <c r="CX34" i="24" s="1"/>
  <c r="L28" i="24"/>
  <c r="O28" i="24"/>
  <c r="KG21" i="2"/>
  <c r="R529" i="25" s="1"/>
  <c r="KF21" i="2"/>
  <c r="CY21" i="24" s="1"/>
  <c r="KE21" i="2"/>
  <c r="KD21" i="2"/>
  <c r="R242" i="25" s="1"/>
  <c r="KC21" i="2"/>
  <c r="CV21" i="24" s="1"/>
  <c r="KB21" i="2"/>
  <c r="CU21" i="24" s="1"/>
  <c r="KG20" i="2"/>
  <c r="R527" i="25" s="1"/>
  <c r="KF20" i="2"/>
  <c r="R430" i="25" s="1"/>
  <c r="KE20" i="2"/>
  <c r="CX20" i="24" s="1"/>
  <c r="KD20" i="2"/>
  <c r="R240" i="25" s="1"/>
  <c r="KC20" i="2"/>
  <c r="KB20" i="2"/>
  <c r="KG19" i="2"/>
  <c r="CZ19" i="24" s="1"/>
  <c r="KF19" i="2"/>
  <c r="R428" i="25" s="1"/>
  <c r="CX19" i="24"/>
  <c r="KD19" i="2"/>
  <c r="R238" i="25" s="1"/>
  <c r="KC19" i="2"/>
  <c r="R143" i="25" s="1"/>
  <c r="KB19" i="2"/>
  <c r="R48" i="25" s="1"/>
  <c r="CG40" i="24"/>
  <c r="CE40" i="24"/>
  <c r="CC40" i="24"/>
  <c r="CB40" i="24"/>
  <c r="BY40" i="24"/>
  <c r="BX40" i="24"/>
  <c r="BW40" i="24"/>
  <c r="BU40" i="24"/>
  <c r="BT40" i="24"/>
  <c r="BR40" i="24"/>
  <c r="BQ40" i="24"/>
  <c r="BP40" i="24"/>
  <c r="BL40" i="24"/>
  <c r="BK40" i="24"/>
  <c r="BI40" i="24"/>
  <c r="BH40" i="24"/>
  <c r="BE40" i="24"/>
  <c r="BD40" i="24"/>
  <c r="BB40" i="24"/>
  <c r="BA40" i="24"/>
  <c r="AY40" i="24"/>
  <c r="AX40" i="24"/>
  <c r="AU40" i="24"/>
  <c r="AS40" i="24"/>
  <c r="AQ40" i="24"/>
  <c r="AP40" i="24"/>
  <c r="AO40" i="24"/>
  <c r="AM40" i="24"/>
  <c r="AL40" i="24"/>
  <c r="AI40" i="24"/>
  <c r="AH40" i="24"/>
  <c r="AE40" i="24"/>
  <c r="AC40" i="24"/>
  <c r="AA40" i="24"/>
  <c r="CG39" i="24"/>
  <c r="CE39" i="24"/>
  <c r="CD39" i="24"/>
  <c r="CA39" i="24"/>
  <c r="BZ39" i="24"/>
  <c r="BY39" i="24"/>
  <c r="BW39" i="24"/>
  <c r="BV39" i="24"/>
  <c r="BT39" i="24"/>
  <c r="BS39" i="24"/>
  <c r="BR39" i="24"/>
  <c r="BO39" i="24"/>
  <c r="BN39" i="24"/>
  <c r="BM39" i="24"/>
  <c r="BK39" i="24"/>
  <c r="BJ39" i="24"/>
  <c r="BI39" i="24"/>
  <c r="BH39" i="24"/>
  <c r="BF39" i="24"/>
  <c r="BE39" i="24"/>
  <c r="BD39" i="24"/>
  <c r="BB39" i="24"/>
  <c r="BA39" i="24"/>
  <c r="AZ39" i="24"/>
  <c r="AY39" i="24"/>
  <c r="AX39" i="24"/>
  <c r="AV39" i="24"/>
  <c r="AU39" i="24"/>
  <c r="AT39" i="24"/>
  <c r="AP39" i="24"/>
  <c r="AN39" i="24"/>
  <c r="AM39" i="24"/>
  <c r="AL39" i="24"/>
  <c r="AJ39" i="24"/>
  <c r="AI39" i="24"/>
  <c r="AH39" i="24"/>
  <c r="AG39" i="24"/>
  <c r="AE39" i="24"/>
  <c r="AD39" i="24"/>
  <c r="AA39" i="24"/>
  <c r="CH38" i="24"/>
  <c r="CG38" i="24"/>
  <c r="CF38" i="24"/>
  <c r="CE38" i="24"/>
  <c r="CD38" i="24"/>
  <c r="CB38" i="24"/>
  <c r="BZ38" i="24"/>
  <c r="BW38" i="24"/>
  <c r="BV38" i="24"/>
  <c r="BS38" i="24"/>
  <c r="BQ38" i="24"/>
  <c r="BP38" i="24"/>
  <c r="BN38" i="24"/>
  <c r="BK38" i="24"/>
  <c r="BJ38" i="24"/>
  <c r="BG38" i="24"/>
  <c r="BF38" i="24"/>
  <c r="BE38" i="24"/>
  <c r="BC38" i="24"/>
  <c r="BB38" i="24"/>
  <c r="AY38" i="24"/>
  <c r="AX38" i="24"/>
  <c r="AV38" i="24"/>
  <c r="AU38" i="24"/>
  <c r="AS38" i="24"/>
  <c r="AR38" i="24"/>
  <c r="AQ38" i="24"/>
  <c r="AN38" i="24"/>
  <c r="AJ38" i="24"/>
  <c r="AG38" i="24"/>
  <c r="AF38" i="24"/>
  <c r="AD38" i="24"/>
  <c r="AB38" i="24"/>
  <c r="CH37" i="24"/>
  <c r="CF37" i="24"/>
  <c r="CD37" i="24"/>
  <c r="CC37" i="24"/>
  <c r="CB37" i="24"/>
  <c r="CA37" i="24"/>
  <c r="BZ37" i="24"/>
  <c r="BW37" i="24"/>
  <c r="BV37" i="24"/>
  <c r="BT37" i="24"/>
  <c r="BR37" i="24"/>
  <c r="BO37" i="24"/>
  <c r="BN37" i="24"/>
  <c r="BL37" i="24"/>
  <c r="BJ37" i="24"/>
  <c r="BH37" i="24"/>
  <c r="BG37" i="24"/>
  <c r="BF37" i="24"/>
  <c r="BD37" i="24"/>
  <c r="BC37" i="24"/>
  <c r="BB37" i="24"/>
  <c r="AZ37" i="24"/>
  <c r="AX37" i="24"/>
  <c r="AV37" i="24"/>
  <c r="AT37" i="24"/>
  <c r="AS37" i="24"/>
  <c r="AO37" i="24"/>
  <c r="AN37" i="24"/>
  <c r="AK37" i="24"/>
  <c r="AJ37" i="24"/>
  <c r="AG37" i="24"/>
  <c r="AF37" i="24"/>
  <c r="AE37" i="24"/>
  <c r="AC37" i="24"/>
  <c r="AA37" i="24"/>
  <c r="CG36" i="24"/>
  <c r="CF36" i="24"/>
  <c r="CE36" i="24"/>
  <c r="CC36" i="24"/>
  <c r="CA36" i="24"/>
  <c r="BZ36" i="24"/>
  <c r="BY36" i="24"/>
  <c r="BW36" i="24"/>
  <c r="BV36" i="24"/>
  <c r="BU36" i="24"/>
  <c r="BS36" i="24"/>
  <c r="BQ36" i="24"/>
  <c r="BO36" i="24"/>
  <c r="BM36" i="24"/>
  <c r="BK36" i="24"/>
  <c r="BJ36" i="24"/>
  <c r="BI36" i="24"/>
  <c r="BG36" i="24"/>
  <c r="BF36" i="24"/>
  <c r="BE36" i="24"/>
  <c r="BC36" i="24"/>
  <c r="BA36" i="24"/>
  <c r="AY36" i="24"/>
  <c r="AX36" i="24"/>
  <c r="AW36" i="24"/>
  <c r="AU36" i="24"/>
  <c r="AT36" i="24"/>
  <c r="AS51" i="24"/>
  <c r="M30" i="31" s="1"/>
  <c r="AR36" i="24"/>
  <c r="AQ36" i="24"/>
  <c r="AP36" i="24"/>
  <c r="AM36" i="24"/>
  <c r="AL36" i="24"/>
  <c r="AK36" i="24"/>
  <c r="AI36" i="24"/>
  <c r="AG36" i="24"/>
  <c r="AE36" i="24"/>
  <c r="AD36" i="24"/>
  <c r="AC36" i="24"/>
  <c r="AA36" i="24"/>
  <c r="CH35" i="24"/>
  <c r="CE35" i="24"/>
  <c r="CD35" i="24"/>
  <c r="CA35" i="24"/>
  <c r="BZ35" i="24"/>
  <c r="BX35" i="24"/>
  <c r="BV35" i="24"/>
  <c r="BS35" i="24"/>
  <c r="BR35" i="24"/>
  <c r="BQ35" i="24"/>
  <c r="BO35" i="24"/>
  <c r="BM35" i="24"/>
  <c r="BL35" i="24"/>
  <c r="BK35" i="24"/>
  <c r="BJ35" i="24"/>
  <c r="BH35" i="24"/>
  <c r="BF35" i="24"/>
  <c r="BD35" i="24"/>
  <c r="BB35" i="24"/>
  <c r="AZ35" i="24"/>
  <c r="AY35" i="24"/>
  <c r="AX35" i="24"/>
  <c r="AU35" i="24"/>
  <c r="AT35" i="24"/>
  <c r="AR35" i="24"/>
  <c r="AP35" i="24"/>
  <c r="AN35" i="24"/>
  <c r="AM35" i="24"/>
  <c r="AK35" i="24"/>
  <c r="AJ35" i="24"/>
  <c r="AH35" i="24"/>
  <c r="AG35" i="24"/>
  <c r="AF35" i="24"/>
  <c r="AD35" i="24"/>
  <c r="AC35" i="24"/>
  <c r="AB35" i="24"/>
  <c r="CH34" i="24"/>
  <c r="CG34" i="24"/>
  <c r="CE34" i="24"/>
  <c r="CD34" i="24"/>
  <c r="CA34" i="24"/>
  <c r="BZ34" i="24"/>
  <c r="BY34" i="24"/>
  <c r="BW34" i="24"/>
  <c r="BV34" i="24"/>
  <c r="BT34" i="24"/>
  <c r="BR34" i="24"/>
  <c r="BQ34" i="24"/>
  <c r="BO34" i="24"/>
  <c r="BN34" i="24"/>
  <c r="BL34" i="24"/>
  <c r="BK34" i="24"/>
  <c r="BJ34" i="24"/>
  <c r="BI34" i="24"/>
  <c r="BH34" i="24"/>
  <c r="BF34" i="24"/>
  <c r="BE34" i="24"/>
  <c r="BD34" i="24"/>
  <c r="BC34" i="24"/>
  <c r="BA34" i="24"/>
  <c r="AZ34" i="24"/>
  <c r="AY34" i="24"/>
  <c r="AW34" i="24"/>
  <c r="AV34" i="24"/>
  <c r="AS34" i="24"/>
  <c r="AR34" i="24"/>
  <c r="AQ34" i="24"/>
  <c r="AP34" i="24"/>
  <c r="AO34" i="24"/>
  <c r="AN34" i="24"/>
  <c r="AL34" i="24"/>
  <c r="AK34" i="24"/>
  <c r="AI34" i="24"/>
  <c r="AH34" i="24"/>
  <c r="AF34" i="24"/>
  <c r="AD34" i="24"/>
  <c r="AB34" i="24"/>
  <c r="CG33" i="24"/>
  <c r="CF33" i="24"/>
  <c r="CD33" i="24"/>
  <c r="CA33" i="24"/>
  <c r="BZ33" i="24"/>
  <c r="BX33" i="24"/>
  <c r="BV33" i="24"/>
  <c r="BU33" i="24"/>
  <c r="BT33" i="24"/>
  <c r="BR33" i="24"/>
  <c r="BQ33" i="24"/>
  <c r="BP33" i="24"/>
  <c r="BN33" i="24"/>
  <c r="BM33" i="24"/>
  <c r="BL33" i="24"/>
  <c r="BI33" i="24"/>
  <c r="BG33" i="24"/>
  <c r="BF33" i="24"/>
  <c r="BE33" i="24"/>
  <c r="BD33" i="24"/>
  <c r="BB33" i="24"/>
  <c r="AZ33" i="24"/>
  <c r="AX33" i="24"/>
  <c r="AW33" i="24"/>
  <c r="AV33" i="24"/>
  <c r="AT33" i="24"/>
  <c r="AR33" i="24"/>
  <c r="AP33" i="24"/>
  <c r="AM33" i="24"/>
  <c r="AL33" i="24"/>
  <c r="AK33" i="24"/>
  <c r="AI33" i="24"/>
  <c r="AH33" i="24"/>
  <c r="AG33" i="24"/>
  <c r="AF33" i="24"/>
  <c r="AD33" i="24"/>
  <c r="AB33" i="24"/>
  <c r="CH32" i="24"/>
  <c r="CE32" i="24"/>
  <c r="CC32" i="24"/>
  <c r="CB32" i="24"/>
  <c r="BY32" i="24"/>
  <c r="BW32" i="24"/>
  <c r="BV32" i="24"/>
  <c r="BT32" i="24"/>
  <c r="BS32" i="24"/>
  <c r="BQ32" i="24"/>
  <c r="BO32" i="24"/>
  <c r="BN32" i="24"/>
  <c r="BK32" i="24"/>
  <c r="BJ32" i="24"/>
  <c r="BI32" i="24"/>
  <c r="BG32" i="24"/>
  <c r="BF32" i="24"/>
  <c r="BE32" i="24"/>
  <c r="BD32" i="24"/>
  <c r="BC32" i="24"/>
  <c r="BA32" i="24"/>
  <c r="AY32" i="24"/>
  <c r="AX32" i="24"/>
  <c r="AV32" i="24"/>
  <c r="AU32" i="24"/>
  <c r="AT32" i="24"/>
  <c r="AQ32" i="24"/>
  <c r="AP32" i="24"/>
  <c r="AO32" i="24"/>
  <c r="AM32" i="24"/>
  <c r="AL32" i="24"/>
  <c r="AK32" i="24"/>
  <c r="AI32" i="24"/>
  <c r="AH32" i="24"/>
  <c r="AG32" i="24"/>
  <c r="AE32" i="24"/>
  <c r="AC32" i="24"/>
  <c r="AA32" i="24"/>
  <c r="CG31" i="24"/>
  <c r="CF31" i="24"/>
  <c r="CD31" i="24"/>
  <c r="CB31" i="24"/>
  <c r="CA31" i="24"/>
  <c r="BZ31" i="24"/>
  <c r="BY31" i="24"/>
  <c r="BX31" i="24"/>
  <c r="BU31" i="24"/>
  <c r="BT31" i="24"/>
  <c r="BS31" i="24"/>
  <c r="BR31" i="24"/>
  <c r="BP31" i="24"/>
  <c r="BO31" i="24"/>
  <c r="BN31" i="24"/>
  <c r="BM31" i="24"/>
  <c r="BL31" i="24"/>
  <c r="BJ31" i="24"/>
  <c r="BH31" i="24"/>
  <c r="BF31" i="24"/>
  <c r="BE31" i="24"/>
  <c r="BC31" i="24"/>
  <c r="BB31" i="24"/>
  <c r="BA31" i="24"/>
  <c r="AZ31" i="24"/>
  <c r="AY31" i="24"/>
  <c r="AW31" i="24"/>
  <c r="AU31" i="24"/>
  <c r="AT31" i="24"/>
  <c r="AQ31" i="24"/>
  <c r="AO31" i="24"/>
  <c r="AN31" i="24"/>
  <c r="AM31" i="24"/>
  <c r="AL31" i="24"/>
  <c r="AJ31" i="24"/>
  <c r="AH31" i="24"/>
  <c r="AF31" i="24"/>
  <c r="AD31" i="24"/>
  <c r="AA31" i="24"/>
  <c r="CH30" i="24"/>
  <c r="CG30" i="24"/>
  <c r="CE30" i="24"/>
  <c r="CD30" i="24"/>
  <c r="CA30" i="24"/>
  <c r="BZ30" i="24"/>
  <c r="BY30" i="24"/>
  <c r="BW30" i="24"/>
  <c r="BV30" i="24"/>
  <c r="BU30" i="24"/>
  <c r="BT30" i="24"/>
  <c r="BS30" i="24"/>
  <c r="BR30" i="24"/>
  <c r="BP30" i="24"/>
  <c r="BO30" i="24"/>
  <c r="BN30" i="24"/>
  <c r="BM30" i="24"/>
  <c r="BK30" i="24"/>
  <c r="BI30" i="24"/>
  <c r="BH30" i="24"/>
  <c r="BF30" i="24"/>
  <c r="BE30" i="24"/>
  <c r="BC30" i="24"/>
  <c r="BB30" i="24"/>
  <c r="BA30" i="24"/>
  <c r="AZ30" i="24"/>
  <c r="AX30" i="24"/>
  <c r="AV30" i="24"/>
  <c r="AT30" i="24"/>
  <c r="AQ30" i="24"/>
  <c r="AO30" i="24"/>
  <c r="AN30" i="24"/>
  <c r="AM30" i="24"/>
  <c r="AK30" i="24"/>
  <c r="AJ30" i="24"/>
  <c r="AG30" i="24"/>
  <c r="AF30" i="24"/>
  <c r="AE30" i="24"/>
  <c r="AD30" i="24"/>
  <c r="AC30" i="24"/>
  <c r="AB30" i="24"/>
  <c r="CH29" i="24"/>
  <c r="CF29" i="24"/>
  <c r="CD29" i="24"/>
  <c r="CC29" i="24"/>
  <c r="CA29" i="24"/>
  <c r="BZ29" i="24"/>
  <c r="BX29" i="24"/>
  <c r="BW29" i="24"/>
  <c r="BV29" i="24"/>
  <c r="BU29" i="24"/>
  <c r="BS29" i="24"/>
  <c r="BR29" i="24"/>
  <c r="BO29" i="24"/>
  <c r="BN29" i="24"/>
  <c r="BM29" i="24"/>
  <c r="BK29" i="24"/>
  <c r="BI29" i="24"/>
  <c r="BH29" i="24"/>
  <c r="BF29" i="24"/>
  <c r="BE29" i="24"/>
  <c r="BC29" i="24"/>
  <c r="BB29" i="24"/>
  <c r="AZ29" i="24"/>
  <c r="AX29" i="24"/>
  <c r="AW29" i="24"/>
  <c r="AV29" i="24"/>
  <c r="AU29" i="24"/>
  <c r="AT29" i="24"/>
  <c r="AR29" i="24"/>
  <c r="AQ29" i="24"/>
  <c r="AP29" i="24"/>
  <c r="AN29" i="24"/>
  <c r="AL29" i="24"/>
  <c r="AJ29" i="24"/>
  <c r="AH29" i="24"/>
  <c r="AG29" i="24"/>
  <c r="AF29" i="24"/>
  <c r="AE29" i="24"/>
  <c r="AD29" i="24"/>
  <c r="AC29" i="24"/>
  <c r="AA29" i="24"/>
  <c r="CG28" i="24"/>
  <c r="CF28" i="24"/>
  <c r="CC28" i="24"/>
  <c r="CB28" i="24"/>
  <c r="BY28" i="24"/>
  <c r="BW28" i="24"/>
  <c r="BV28" i="24"/>
  <c r="BT28" i="24"/>
  <c r="BS28" i="24"/>
  <c r="BR28" i="24"/>
  <c r="BP28" i="24"/>
  <c r="BO28" i="24"/>
  <c r="BN28" i="24"/>
  <c r="BL28" i="24"/>
  <c r="BJ28" i="24"/>
  <c r="BH28" i="24"/>
  <c r="BG28" i="24"/>
  <c r="BF28" i="24"/>
  <c r="BD28" i="24"/>
  <c r="BC28" i="24"/>
  <c r="BA28" i="24"/>
  <c r="AZ28" i="24"/>
  <c r="AX28" i="24"/>
  <c r="AV28" i="24"/>
  <c r="AU28" i="24"/>
  <c r="AT28" i="24"/>
  <c r="AR28" i="24"/>
  <c r="AQ28" i="24"/>
  <c r="AP28" i="24"/>
  <c r="AO28" i="24"/>
  <c r="AN28" i="24"/>
  <c r="AM28" i="24"/>
  <c r="AL28" i="24"/>
  <c r="AJ28" i="24"/>
  <c r="AI28" i="24"/>
  <c r="AH28" i="24"/>
  <c r="AF28" i="24"/>
  <c r="AD28" i="24"/>
  <c r="AB28" i="24"/>
  <c r="AA28" i="24"/>
  <c r="CH27" i="24"/>
  <c r="CF27" i="24"/>
  <c r="CD27" i="24"/>
  <c r="CC27" i="24"/>
  <c r="CA27" i="24"/>
  <c r="BY27" i="24"/>
  <c r="BX27" i="24"/>
  <c r="BU27" i="24"/>
  <c r="BS27" i="24"/>
  <c r="BR27" i="24"/>
  <c r="BO27" i="24"/>
  <c r="BM27" i="24"/>
  <c r="BK27" i="24"/>
  <c r="BI27" i="24"/>
  <c r="BH27" i="24"/>
  <c r="BG27" i="24"/>
  <c r="BF27" i="24"/>
  <c r="BE27" i="24"/>
  <c r="BC27" i="24"/>
  <c r="BB27" i="24"/>
  <c r="BA27" i="24"/>
  <c r="AY27" i="24"/>
  <c r="AW27" i="24"/>
  <c r="AU27" i="24"/>
  <c r="AT27" i="24"/>
  <c r="AR27" i="24"/>
  <c r="AP27" i="24"/>
  <c r="AN27" i="24"/>
  <c r="AL27" i="24"/>
  <c r="AJ27" i="24"/>
  <c r="AI27" i="24"/>
  <c r="AH27" i="24"/>
  <c r="AF27" i="24"/>
  <c r="AD27" i="24"/>
  <c r="AB27" i="24"/>
  <c r="CH26" i="24"/>
  <c r="CE26" i="24"/>
  <c r="CD26" i="24"/>
  <c r="CC26" i="24"/>
  <c r="CB26" i="24"/>
  <c r="CA26" i="24"/>
  <c r="BZ26" i="24"/>
  <c r="BX26" i="24"/>
  <c r="BU26" i="24"/>
  <c r="BS26" i="24"/>
  <c r="BQ26" i="24"/>
  <c r="BO26" i="24"/>
  <c r="BM26" i="24"/>
  <c r="BK26" i="24"/>
  <c r="BJ26" i="24"/>
  <c r="BG26" i="24"/>
  <c r="BE26" i="24"/>
  <c r="BD26" i="24"/>
  <c r="BA26" i="24"/>
  <c r="AZ26" i="24"/>
  <c r="AX26" i="24"/>
  <c r="AW26" i="24"/>
  <c r="AU26" i="24"/>
  <c r="AS26" i="24"/>
  <c r="AQ26" i="24"/>
  <c r="AP26" i="24"/>
  <c r="AN26" i="24"/>
  <c r="AM26" i="24"/>
  <c r="AJ26" i="24"/>
  <c r="AH26" i="24"/>
  <c r="AF26" i="24"/>
  <c r="AE26" i="24"/>
  <c r="AC26" i="24"/>
  <c r="CE25" i="24"/>
  <c r="CD25" i="24"/>
  <c r="CC25" i="24"/>
  <c r="CA25" i="24"/>
  <c r="BY25" i="24"/>
  <c r="BW25" i="24"/>
  <c r="BV25" i="24"/>
  <c r="BS25" i="24"/>
  <c r="BR25" i="24"/>
  <c r="BP25" i="24"/>
  <c r="BO25" i="24"/>
  <c r="BL25" i="24"/>
  <c r="BH25" i="24"/>
  <c r="BG25" i="24"/>
  <c r="BE25" i="24"/>
  <c r="BD25" i="24"/>
  <c r="AY25" i="24"/>
  <c r="AW25" i="24"/>
  <c r="AV25" i="24"/>
  <c r="AT25" i="24"/>
  <c r="AR25" i="24"/>
  <c r="AO25" i="24"/>
  <c r="AN25" i="24"/>
  <c r="AL25" i="24"/>
  <c r="AH25" i="24"/>
  <c r="AG25" i="24"/>
  <c r="AE25" i="24"/>
  <c r="AD25" i="24"/>
  <c r="AA25" i="24"/>
  <c r="JU21" i="2"/>
  <c r="K529" i="25" s="1"/>
  <c r="JT21" i="2"/>
  <c r="CM21" i="24" s="1"/>
  <c r="JS21" i="2"/>
  <c r="K337" i="25" s="1"/>
  <c r="JR21" i="2"/>
  <c r="JQ21" i="2"/>
  <c r="K147" i="25" s="1"/>
  <c r="JP21" i="2"/>
  <c r="K52" i="25" s="1"/>
  <c r="JO21" i="2"/>
  <c r="J529" i="25" s="1"/>
  <c r="JN21" i="2"/>
  <c r="JM21" i="2"/>
  <c r="JL21" i="2"/>
  <c r="CE21" i="24" s="1"/>
  <c r="JK21" i="2"/>
  <c r="CD21" i="24" s="1"/>
  <c r="JJ21" i="2"/>
  <c r="CC21" i="24" s="1"/>
  <c r="JI21" i="2"/>
  <c r="F529" i="25" s="1"/>
  <c r="JH21" i="2"/>
  <c r="CA21" i="24" s="1"/>
  <c r="JG21" i="2"/>
  <c r="F337" i="25" s="1"/>
  <c r="I337" i="25" s="1"/>
  <c r="JF21" i="2"/>
  <c r="BY21" i="24" s="1"/>
  <c r="JE21" i="2"/>
  <c r="F147" i="25" s="1"/>
  <c r="I147" i="25" s="1"/>
  <c r="JD21" i="2"/>
  <c r="BW21" i="24" s="1"/>
  <c r="JU20" i="2"/>
  <c r="K527" i="25" s="1"/>
  <c r="JT20" i="2"/>
  <c r="JS20" i="2"/>
  <c r="JR20" i="2"/>
  <c r="K240" i="25" s="1"/>
  <c r="JQ20" i="2"/>
  <c r="K145" i="25" s="1"/>
  <c r="JP20" i="2"/>
  <c r="JO20" i="2"/>
  <c r="J527" i="25" s="1"/>
  <c r="JN20" i="2"/>
  <c r="J430" i="25" s="1"/>
  <c r="JM20" i="2"/>
  <c r="J335" i="25" s="1"/>
  <c r="JL20" i="2"/>
  <c r="CE20" i="24" s="1"/>
  <c r="JK20" i="2"/>
  <c r="JJ20" i="2"/>
  <c r="J50" i="25" s="1"/>
  <c r="JI20" i="2"/>
  <c r="F527" i="25" s="1"/>
  <c r="I527" i="25" s="1"/>
  <c r="JH20" i="2"/>
  <c r="F430" i="25" s="1"/>
  <c r="I430" i="25" s="1"/>
  <c r="JG20" i="2"/>
  <c r="JF20" i="2"/>
  <c r="BY20" i="24" s="1"/>
  <c r="JE20" i="2"/>
  <c r="JD20" i="2"/>
  <c r="F50" i="25" s="1"/>
  <c r="I50" i="25" s="1"/>
  <c r="JU19" i="2"/>
  <c r="K525" i="25" s="1"/>
  <c r="JT19" i="2"/>
  <c r="JS19" i="2"/>
  <c r="K333" i="25" s="1"/>
  <c r="JR19" i="2"/>
  <c r="K238" i="25" s="1"/>
  <c r="JQ19" i="2"/>
  <c r="CJ19" i="24" s="1"/>
  <c r="JP19" i="2"/>
  <c r="K48" i="25" s="1"/>
  <c r="JO19" i="2"/>
  <c r="J525" i="25" s="1"/>
  <c r="JN19" i="2"/>
  <c r="J428" i="25" s="1"/>
  <c r="JM19" i="2"/>
  <c r="J333" i="25" s="1"/>
  <c r="JL19" i="2"/>
  <c r="JK19" i="2"/>
  <c r="J143" i="25" s="1"/>
  <c r="JJ19" i="2"/>
  <c r="J48" i="25" s="1"/>
  <c r="JI19" i="2"/>
  <c r="CB19" i="24" s="1"/>
  <c r="JH19" i="2"/>
  <c r="CA19" i="24" s="1"/>
  <c r="JG19" i="2"/>
  <c r="BZ19" i="24" s="1"/>
  <c r="JF19" i="2"/>
  <c r="JE19" i="2"/>
  <c r="JD19" i="2"/>
  <c r="BU18" i="24"/>
  <c r="BT18" i="24"/>
  <c r="G331" i="25"/>
  <c r="O331" i="25" s="1"/>
  <c r="BN18" i="24"/>
  <c r="BM18" i="24"/>
  <c r="BL18" i="24"/>
  <c r="BJ18" i="24"/>
  <c r="BI18" i="24"/>
  <c r="BG18" i="24"/>
  <c r="BF18" i="24"/>
  <c r="BE18" i="24"/>
  <c r="BD18" i="24"/>
  <c r="BB18" i="24"/>
  <c r="BA18" i="24"/>
  <c r="AZ18" i="24"/>
  <c r="AX18" i="24"/>
  <c r="AW18" i="24"/>
  <c r="AV18" i="24"/>
  <c r="AT18" i="24"/>
  <c r="AR18" i="24"/>
  <c r="AQ18" i="24"/>
  <c r="AP18" i="24"/>
  <c r="AO18" i="24"/>
  <c r="AN18" i="24"/>
  <c r="AM18" i="24"/>
  <c r="AK18" i="24"/>
  <c r="AJ18" i="24"/>
  <c r="AI18" i="24"/>
  <c r="O25" i="17"/>
  <c r="AE18" i="24"/>
  <c r="AD18" i="24"/>
  <c r="AB18" i="24"/>
  <c r="AA18" i="24"/>
  <c r="DI38" i="2" s="1"/>
  <c r="M19" i="16" s="1"/>
  <c r="BV17" i="24"/>
  <c r="G424" i="25"/>
  <c r="O424" i="25" s="1"/>
  <c r="BR17" i="24"/>
  <c r="BQ17" i="24"/>
  <c r="BO17" i="24"/>
  <c r="BN17" i="24"/>
  <c r="BM17" i="24"/>
  <c r="BL17" i="24"/>
  <c r="BK17" i="24"/>
  <c r="BJ17" i="24"/>
  <c r="BI17" i="24"/>
  <c r="BH17" i="24"/>
  <c r="BG17" i="24"/>
  <c r="BF17" i="24"/>
  <c r="BE17" i="24"/>
  <c r="BD17" i="24"/>
  <c r="BC17" i="24"/>
  <c r="BB17" i="24"/>
  <c r="BA17" i="24"/>
  <c r="AZ17" i="24"/>
  <c r="AY17" i="24"/>
  <c r="AX17" i="24"/>
  <c r="AW17" i="24"/>
  <c r="AV17" i="24"/>
  <c r="AU17" i="24"/>
  <c r="AT17" i="24"/>
  <c r="AM21" i="33"/>
  <c r="AR17" i="24"/>
  <c r="AP17" i="24"/>
  <c r="AO17" i="24"/>
  <c r="AN17" i="24"/>
  <c r="AM17" i="24"/>
  <c r="AL17" i="24"/>
  <c r="AK17" i="24"/>
  <c r="AJ17" i="24"/>
  <c r="AH17" i="24"/>
  <c r="AE17" i="24"/>
  <c r="AD17" i="24"/>
  <c r="AB17" i="24"/>
  <c r="AA17" i="24"/>
  <c r="DI37" i="2" s="1"/>
  <c r="M18" i="16" s="1"/>
  <c r="BV16" i="24"/>
  <c r="BU16" i="24"/>
  <c r="BT16" i="24"/>
  <c r="G327" i="25"/>
  <c r="O327" i="25" s="1"/>
  <c r="G232" i="25"/>
  <c r="O232" i="25" s="1"/>
  <c r="BP16" i="24"/>
  <c r="BN16" i="24"/>
  <c r="BM16" i="24"/>
  <c r="BK16" i="24"/>
  <c r="BJ16" i="24"/>
  <c r="BI16" i="24"/>
  <c r="BH16" i="24"/>
  <c r="BG16" i="24"/>
  <c r="BF16" i="24"/>
  <c r="BE16" i="24"/>
  <c r="BC16" i="24"/>
  <c r="BB16" i="24"/>
  <c r="BA16" i="24"/>
  <c r="AY16" i="24"/>
  <c r="AX16" i="24"/>
  <c r="AW16" i="24"/>
  <c r="AV16" i="24"/>
  <c r="AU16" i="24"/>
  <c r="AT16" i="24"/>
  <c r="AQ16" i="24"/>
  <c r="AP16" i="24"/>
  <c r="AO16" i="24"/>
  <c r="AM16" i="24"/>
  <c r="AL16" i="24"/>
  <c r="AK16" i="24"/>
  <c r="AI16" i="24"/>
  <c r="AH16" i="24"/>
  <c r="AG16" i="24"/>
  <c r="AF16" i="24"/>
  <c r="AD16" i="24"/>
  <c r="AB16" i="24"/>
  <c r="AA16" i="24"/>
  <c r="DI36" i="2" s="1"/>
  <c r="M17" i="16" s="1"/>
  <c r="BV15" i="24"/>
  <c r="BU15" i="24"/>
  <c r="BT15" i="24"/>
  <c r="G325" i="25"/>
  <c r="O325" i="25" s="1"/>
  <c r="BN15" i="24"/>
  <c r="BM15" i="24"/>
  <c r="BL15" i="24"/>
  <c r="BK15" i="24"/>
  <c r="BJ15" i="24"/>
  <c r="BI15" i="24"/>
  <c r="BH15" i="24"/>
  <c r="BG15" i="24"/>
  <c r="BF15" i="24"/>
  <c r="BE15" i="24"/>
  <c r="BD15" i="24"/>
  <c r="BC15" i="24"/>
  <c r="BB15" i="24"/>
  <c r="BA15" i="24"/>
  <c r="AZ15" i="24"/>
  <c r="AY15" i="24"/>
  <c r="AX15" i="24"/>
  <c r="AW15" i="24"/>
  <c r="AV15" i="24"/>
  <c r="AU15" i="24"/>
  <c r="AT15" i="24"/>
  <c r="AR15" i="24"/>
  <c r="AQ15" i="24"/>
  <c r="AP15" i="24"/>
  <c r="AN15" i="24"/>
  <c r="AM15" i="24"/>
  <c r="AL15" i="24"/>
  <c r="AJ15" i="24"/>
  <c r="AI15" i="24"/>
  <c r="AH15" i="24"/>
  <c r="AE15" i="24"/>
  <c r="AD15" i="24"/>
  <c r="AC15" i="24"/>
  <c r="AB15" i="24"/>
  <c r="BV14" i="24"/>
  <c r="BU14" i="24"/>
  <c r="BS14" i="24"/>
  <c r="BR14" i="24"/>
  <c r="BL14" i="24"/>
  <c r="BK14" i="24"/>
  <c r="BH14" i="24"/>
  <c r="BF14" i="24"/>
  <c r="BD14" i="24"/>
  <c r="BC14" i="24"/>
  <c r="AZ14" i="24"/>
  <c r="AY14" i="24"/>
  <c r="AX14" i="24"/>
  <c r="AV14" i="24"/>
  <c r="AU14" i="24"/>
  <c r="AR14" i="24"/>
  <c r="AQ14" i="24"/>
  <c r="AO14" i="24"/>
  <c r="AN14" i="24"/>
  <c r="AM14" i="24"/>
  <c r="AL14" i="24"/>
  <c r="AK14" i="24"/>
  <c r="AJ14" i="24"/>
  <c r="AH14" i="24"/>
  <c r="AE14" i="24"/>
  <c r="AD14" i="24"/>
  <c r="AB14" i="24"/>
  <c r="AA14" i="24"/>
  <c r="DI34" i="2" s="1"/>
  <c r="M15" i="16" s="1"/>
  <c r="BV13" i="24"/>
  <c r="BU13" i="24"/>
  <c r="G321" i="25"/>
  <c r="O321" i="25" s="1"/>
  <c r="BQ13" i="24"/>
  <c r="G36" i="25"/>
  <c r="O36" i="25" s="1"/>
  <c r="BN13" i="24"/>
  <c r="BM13" i="24"/>
  <c r="BL13" i="24"/>
  <c r="BK13" i="24"/>
  <c r="BJ13" i="24"/>
  <c r="BI13" i="24"/>
  <c r="BH13" i="24"/>
  <c r="BG13" i="24"/>
  <c r="BF13" i="24"/>
  <c r="BE13" i="24"/>
  <c r="BD13" i="24"/>
  <c r="BC13" i="24"/>
  <c r="BB13" i="24"/>
  <c r="BA13" i="24"/>
  <c r="AZ13" i="24"/>
  <c r="AY13" i="24"/>
  <c r="AX13" i="24"/>
  <c r="AW13" i="24"/>
  <c r="AV13" i="24"/>
  <c r="AU13" i="24"/>
  <c r="AT13" i="24"/>
  <c r="AR13" i="24"/>
  <c r="AQ13" i="24"/>
  <c r="AP13" i="24"/>
  <c r="AO13" i="24"/>
  <c r="AN13" i="24"/>
  <c r="AM13" i="24"/>
  <c r="AL13" i="24"/>
  <c r="AK13" i="24"/>
  <c r="AJ13" i="24"/>
  <c r="AI13" i="24"/>
  <c r="AH13" i="24"/>
  <c r="O20" i="17"/>
  <c r="AE13" i="24"/>
  <c r="AD13" i="24"/>
  <c r="C36" i="25"/>
  <c r="B583" i="25" s="1"/>
  <c r="AB13" i="24"/>
  <c r="AA13" i="24"/>
  <c r="DI33" i="2" s="1"/>
  <c r="BU12" i="24"/>
  <c r="BN12" i="24"/>
  <c r="BM12" i="24"/>
  <c r="BL12" i="24"/>
  <c r="BK12" i="24"/>
  <c r="BJ12" i="24"/>
  <c r="BI12" i="24"/>
  <c r="BH12" i="24"/>
  <c r="BG12" i="24"/>
  <c r="BF12" i="24"/>
  <c r="BE12" i="24"/>
  <c r="BD12" i="24"/>
  <c r="BC12" i="24"/>
  <c r="BB12" i="24"/>
  <c r="BA12" i="24"/>
  <c r="AZ12" i="24"/>
  <c r="AY12" i="24"/>
  <c r="AX12" i="24"/>
  <c r="AW12" i="24"/>
  <c r="AV12" i="24"/>
  <c r="AU12" i="24"/>
  <c r="AT12" i="24"/>
  <c r="AR12" i="24"/>
  <c r="AQ12" i="24"/>
  <c r="AP12" i="24"/>
  <c r="AO12" i="24"/>
  <c r="AN12" i="24"/>
  <c r="AM12" i="24"/>
  <c r="AL12" i="24"/>
  <c r="AK12" i="24"/>
  <c r="AJ12" i="24"/>
  <c r="AI12" i="24"/>
  <c r="AH12" i="24"/>
  <c r="M19" i="17"/>
  <c r="AE12" i="24"/>
  <c r="AD12" i="24"/>
  <c r="AB12" i="24"/>
  <c r="AA12" i="24"/>
  <c r="DI32" i="2" s="1"/>
  <c r="M14" i="16" s="1"/>
  <c r="BV11" i="24"/>
  <c r="BU11" i="24"/>
  <c r="BR11" i="24"/>
  <c r="BN11" i="24"/>
  <c r="BL11" i="24"/>
  <c r="BK11" i="24"/>
  <c r="BJ11" i="24"/>
  <c r="BI11" i="24"/>
  <c r="BH11" i="24"/>
  <c r="BG11" i="24"/>
  <c r="BF11" i="24"/>
  <c r="BE11" i="24"/>
  <c r="BD11" i="24"/>
  <c r="BC11" i="24"/>
  <c r="BB11" i="24"/>
  <c r="BA11" i="24"/>
  <c r="AZ11" i="24"/>
  <c r="AY11" i="24"/>
  <c r="AX11" i="24"/>
  <c r="AV11" i="24"/>
  <c r="AU11" i="24"/>
  <c r="AT11" i="24"/>
  <c r="AR11" i="24"/>
  <c r="AQ11" i="24"/>
  <c r="AP11" i="24"/>
  <c r="AO11" i="24"/>
  <c r="AN11" i="24"/>
  <c r="AM11" i="24"/>
  <c r="AL11" i="24"/>
  <c r="AK11" i="24"/>
  <c r="AJ11" i="24"/>
  <c r="AI11" i="24"/>
  <c r="AH11" i="24"/>
  <c r="O18" i="17"/>
  <c r="AF11" i="24"/>
  <c r="AE11" i="24"/>
  <c r="AD11" i="24"/>
  <c r="AB11" i="24"/>
  <c r="AA11" i="24"/>
  <c r="BV10" i="24"/>
  <c r="BU10" i="24"/>
  <c r="BS10" i="24"/>
  <c r="BR10" i="24"/>
  <c r="BQ10" i="24"/>
  <c r="BN10" i="24"/>
  <c r="BM10" i="24"/>
  <c r="BL10" i="24"/>
  <c r="BK10" i="24"/>
  <c r="BJ10" i="24"/>
  <c r="BI10" i="24"/>
  <c r="BH10" i="24"/>
  <c r="BG10" i="24"/>
  <c r="BF10" i="24"/>
  <c r="BE10" i="24"/>
  <c r="BD10" i="24"/>
  <c r="BC10" i="24"/>
  <c r="BB10" i="24"/>
  <c r="BA10" i="24"/>
  <c r="AZ10" i="24"/>
  <c r="AY10" i="24"/>
  <c r="AX10" i="24"/>
  <c r="AW10" i="24"/>
  <c r="AV10" i="24"/>
  <c r="AU10" i="24"/>
  <c r="AT10" i="24"/>
  <c r="AS10" i="24"/>
  <c r="AQ10" i="24"/>
  <c r="AP10" i="24"/>
  <c r="AO10" i="24"/>
  <c r="AN10" i="24"/>
  <c r="AM10" i="24"/>
  <c r="AI10" i="24"/>
  <c r="AH10" i="24"/>
  <c r="AG10" i="24"/>
  <c r="M17" i="17"/>
  <c r="AD10" i="24"/>
  <c r="AB10" i="24"/>
  <c r="AA10" i="24"/>
  <c r="DI30" i="2" s="1"/>
  <c r="M12" i="16" s="1"/>
  <c r="BV9" i="24"/>
  <c r="BU9" i="24"/>
  <c r="F44" i="24" s="1"/>
  <c r="G408" i="25"/>
  <c r="O408" i="25" s="1"/>
  <c r="BQ9" i="24"/>
  <c r="G28" i="25"/>
  <c r="O28" i="25" s="1"/>
  <c r="BN9" i="24"/>
  <c r="BM9" i="24"/>
  <c r="BL9" i="24"/>
  <c r="BK9" i="24"/>
  <c r="BJ9" i="24"/>
  <c r="BI9" i="24"/>
  <c r="BH9" i="24"/>
  <c r="BG9" i="24"/>
  <c r="BF9" i="24"/>
  <c r="BE9" i="24"/>
  <c r="BD9" i="24"/>
  <c r="BC9" i="24"/>
  <c r="BB9" i="24"/>
  <c r="BA9" i="24"/>
  <c r="AZ9" i="24"/>
  <c r="AY9" i="24"/>
  <c r="AX9" i="24"/>
  <c r="AW9" i="24"/>
  <c r="AV9" i="24"/>
  <c r="AU9" i="24"/>
  <c r="AT9" i="24"/>
  <c r="AR9" i="24"/>
  <c r="AP9" i="24"/>
  <c r="AO9" i="24"/>
  <c r="AN9" i="24"/>
  <c r="AL9" i="24"/>
  <c r="AK9" i="24"/>
  <c r="AJ9" i="24"/>
  <c r="AI9" i="24"/>
  <c r="AH9" i="24"/>
  <c r="O16" i="17"/>
  <c r="AE9" i="24"/>
  <c r="AB9" i="24"/>
  <c r="AA9" i="24"/>
  <c r="DI29" i="2" s="1"/>
  <c r="M11" i="16" s="1"/>
  <c r="BV8" i="24"/>
  <c r="BU8" i="24"/>
  <c r="G503" i="25"/>
  <c r="G311" i="25"/>
  <c r="O311" i="25" s="1"/>
  <c r="G121" i="25"/>
  <c r="O121" i="25" s="1"/>
  <c r="BN8" i="24"/>
  <c r="BM8" i="24"/>
  <c r="BL8" i="24"/>
  <c r="BK8" i="24"/>
  <c r="BJ8" i="24"/>
  <c r="BI8" i="24"/>
  <c r="BH8" i="24"/>
  <c r="BG8" i="24"/>
  <c r="BF8" i="24"/>
  <c r="BE8" i="24"/>
  <c r="BD8" i="24"/>
  <c r="BC8" i="24"/>
  <c r="BB8" i="24"/>
  <c r="BA8" i="24"/>
  <c r="AZ8" i="24"/>
  <c r="AY8" i="24"/>
  <c r="AX8" i="24"/>
  <c r="AW8" i="24"/>
  <c r="AV8" i="24"/>
  <c r="AU8" i="24"/>
  <c r="AT8" i="24"/>
  <c r="AR8" i="24"/>
  <c r="AQ8" i="24"/>
  <c r="AP8" i="24"/>
  <c r="AO8" i="24"/>
  <c r="AN8" i="24"/>
  <c r="AM8" i="24"/>
  <c r="AL8" i="24"/>
  <c r="AK8" i="24"/>
  <c r="AJ8" i="24"/>
  <c r="AI8" i="24"/>
  <c r="AH8" i="24"/>
  <c r="AF8" i="24"/>
  <c r="AE8" i="24"/>
  <c r="AD8" i="24"/>
  <c r="AC8" i="24"/>
  <c r="AA8" i="24"/>
  <c r="DI28" i="2" s="1"/>
  <c r="M10" i="16" s="1"/>
  <c r="BV7" i="24"/>
  <c r="BU7" i="24"/>
  <c r="BT7" i="24"/>
  <c r="BQ7" i="24"/>
  <c r="BN7" i="24"/>
  <c r="BM7" i="24"/>
  <c r="BL7" i="24"/>
  <c r="BK7" i="24"/>
  <c r="BJ7" i="24"/>
  <c r="BI7" i="24"/>
  <c r="BH7" i="24"/>
  <c r="BG7" i="24"/>
  <c r="BF7" i="24"/>
  <c r="BE7" i="24"/>
  <c r="BD7" i="24"/>
  <c r="BC7" i="24"/>
  <c r="BB7" i="24"/>
  <c r="BA7" i="24"/>
  <c r="AZ7" i="24"/>
  <c r="AY7" i="24"/>
  <c r="AX7" i="24"/>
  <c r="AW7" i="24"/>
  <c r="AV7" i="24"/>
  <c r="AU7" i="24"/>
  <c r="AT7" i="24"/>
  <c r="AR7" i="24"/>
  <c r="AQ7" i="24"/>
  <c r="AP7" i="24"/>
  <c r="AO7" i="24"/>
  <c r="AN7" i="24"/>
  <c r="AM7" i="24"/>
  <c r="AL7" i="24"/>
  <c r="AK7" i="24"/>
  <c r="AJ7" i="24"/>
  <c r="AI7" i="24"/>
  <c r="AH7" i="24"/>
  <c r="AE7" i="24"/>
  <c r="AD7" i="24"/>
  <c r="AB7" i="24"/>
  <c r="AA7" i="24"/>
  <c r="DI27" i="2" s="1"/>
  <c r="M9" i="16" s="1"/>
  <c r="BV6" i="24"/>
  <c r="BT6" i="24"/>
  <c r="G117" i="25"/>
  <c r="O117" i="25" s="1"/>
  <c r="BM6" i="24"/>
  <c r="BL6" i="24"/>
  <c r="BK6" i="24"/>
  <c r="BH6" i="24"/>
  <c r="BG6" i="24"/>
  <c r="BD6" i="24"/>
  <c r="BC6" i="24"/>
  <c r="AZ6" i="24"/>
  <c r="AY6" i="24"/>
  <c r="AW6" i="24"/>
  <c r="AV6" i="24"/>
  <c r="AU6" i="24"/>
  <c r="AR6" i="24"/>
  <c r="AQ6" i="24"/>
  <c r="AP6" i="24"/>
  <c r="AO6" i="24"/>
  <c r="AN6" i="24"/>
  <c r="AM6" i="24"/>
  <c r="AL6" i="24"/>
  <c r="AK6" i="24"/>
  <c r="AJ6" i="24"/>
  <c r="AI6" i="24"/>
  <c r="AH6" i="24"/>
  <c r="AE6" i="24"/>
  <c r="AD6" i="24"/>
  <c r="AB6" i="24"/>
  <c r="AA6" i="24"/>
  <c r="BV5" i="24"/>
  <c r="BU5" i="24"/>
  <c r="G210" i="25"/>
  <c r="O210" i="25" s="1"/>
  <c r="BN5" i="24"/>
  <c r="BM5" i="24"/>
  <c r="BL5" i="24"/>
  <c r="BJ5" i="24"/>
  <c r="BI5" i="24"/>
  <c r="BH5" i="24"/>
  <c r="BF5" i="24"/>
  <c r="BD5" i="24"/>
  <c r="BB5" i="24"/>
  <c r="BA5" i="24"/>
  <c r="AZ5" i="24"/>
  <c r="AX5" i="24"/>
  <c r="AW5" i="24"/>
  <c r="AV5" i="24"/>
  <c r="AT5" i="24"/>
  <c r="AR5" i="24"/>
  <c r="AQ5" i="24"/>
  <c r="AP5" i="24"/>
  <c r="AN5" i="24"/>
  <c r="AM5" i="24"/>
  <c r="AL5" i="24"/>
  <c r="AK5" i="24"/>
  <c r="AJ5" i="24"/>
  <c r="AI5" i="24"/>
  <c r="AE5" i="24"/>
  <c r="AC5" i="24"/>
  <c r="AB5" i="24"/>
  <c r="BV4" i="24"/>
  <c r="G495" i="25"/>
  <c r="BM4" i="24"/>
  <c r="BK4" i="24"/>
  <c r="BI4" i="24"/>
  <c r="BG4" i="24"/>
  <c r="BF4" i="24"/>
  <c r="BE4" i="24"/>
  <c r="BC4" i="24"/>
  <c r="BB4" i="24"/>
  <c r="BA4" i="24"/>
  <c r="AY4" i="24"/>
  <c r="AX4" i="24"/>
  <c r="AW4" i="24"/>
  <c r="AU4" i="24"/>
  <c r="AT4" i="24"/>
  <c r="AS4" i="24"/>
  <c r="AR4" i="24"/>
  <c r="AQ4" i="24"/>
  <c r="AP4" i="24"/>
  <c r="AO4" i="24"/>
  <c r="AN4" i="24"/>
  <c r="AM4" i="24"/>
  <c r="AL4" i="24"/>
  <c r="AK4" i="24"/>
  <c r="AJ4" i="24"/>
  <c r="AI4" i="24"/>
  <c r="AH4" i="24"/>
  <c r="O11" i="17"/>
  <c r="AF4" i="24"/>
  <c r="AE4" i="24"/>
  <c r="AD4" i="24"/>
  <c r="AC4" i="24"/>
  <c r="AA4" i="24"/>
  <c r="DI24" i="2" s="1"/>
  <c r="M6" i="16" s="1"/>
  <c r="BV3" i="24"/>
  <c r="BU3" i="24"/>
  <c r="BR3" i="24"/>
  <c r="BN3" i="24"/>
  <c r="BM3" i="24"/>
  <c r="BL3" i="24"/>
  <c r="BK3" i="24"/>
  <c r="BJ3" i="24"/>
  <c r="BI3" i="24"/>
  <c r="BG3" i="24"/>
  <c r="BF3" i="24"/>
  <c r="BE3" i="24"/>
  <c r="BD3" i="24"/>
  <c r="BC3" i="24"/>
  <c r="BB3" i="24"/>
  <c r="BA3" i="24"/>
  <c r="AZ3" i="24"/>
  <c r="AY3" i="24"/>
  <c r="AX3" i="24"/>
  <c r="AW3" i="24"/>
  <c r="AV3" i="24"/>
  <c r="AU3" i="24"/>
  <c r="AT3" i="24"/>
  <c r="AS3" i="24"/>
  <c r="AR3" i="24"/>
  <c r="AQ3" i="24"/>
  <c r="AP3" i="24"/>
  <c r="AO3" i="24"/>
  <c r="AM3" i="24"/>
  <c r="AL3" i="24"/>
  <c r="AK3" i="24"/>
  <c r="AJ3" i="24"/>
  <c r="AH3" i="24"/>
  <c r="AE3" i="24"/>
  <c r="AD3" i="24"/>
  <c r="AB3" i="24"/>
  <c r="AA3" i="24"/>
  <c r="DI23" i="2" s="1"/>
  <c r="M5" i="16" s="1"/>
  <c r="CF19" i="24"/>
  <c r="F333" i="25"/>
  <c r="I333" i="25" s="1"/>
  <c r="K143" i="25"/>
  <c r="CN19" i="24"/>
  <c r="R333" i="25"/>
  <c r="KA19" i="2"/>
  <c r="CT19" i="24" s="1"/>
  <c r="F525" i="25"/>
  <c r="I525" i="25" s="1"/>
  <c r="R17" i="15"/>
  <c r="T17" i="15" s="1"/>
  <c r="AI4" i="15"/>
  <c r="BA2" i="15"/>
  <c r="ED17" i="2"/>
  <c r="B47" i="22"/>
  <c r="AA643" i="23"/>
  <c r="AK39" i="23"/>
  <c r="M64" i="23" s="1"/>
  <c r="AK120" i="23"/>
  <c r="AK118" i="23"/>
  <c r="I42" i="22"/>
  <c r="C42" i="22" s="1"/>
  <c r="W21" i="22"/>
  <c r="X21" i="22" s="1"/>
  <c r="W1" i="22"/>
  <c r="W61" i="22"/>
  <c r="W41" i="22"/>
  <c r="R40" i="26"/>
  <c r="Y6" i="36" s="1"/>
  <c r="R39" i="26"/>
  <c r="Y5" i="36" s="1"/>
  <c r="R38" i="26"/>
  <c r="Y4" i="36" s="1"/>
  <c r="R37" i="26"/>
  <c r="Y3" i="36" s="1"/>
  <c r="AK40" i="23"/>
  <c r="AK41" i="23"/>
  <c r="AK42" i="23"/>
  <c r="AK43" i="23"/>
  <c r="AK44" i="23"/>
  <c r="AK45" i="23"/>
  <c r="AK46" i="23"/>
  <c r="AK47" i="23"/>
  <c r="AK48" i="23"/>
  <c r="AK49" i="23"/>
  <c r="AK50" i="23"/>
  <c r="AK51" i="23"/>
  <c r="AK52" i="23"/>
  <c r="AK53" i="23"/>
  <c r="AK54" i="23"/>
  <c r="AK55" i="23"/>
  <c r="AK56" i="23"/>
  <c r="AK57" i="23"/>
  <c r="AK58" i="23"/>
  <c r="AK59" i="23"/>
  <c r="AK60" i="23"/>
  <c r="AK61" i="23"/>
  <c r="AK62" i="23"/>
  <c r="AK77" i="23"/>
  <c r="AK79" i="23"/>
  <c r="M104" i="23" s="1"/>
  <c r="AK80" i="23"/>
  <c r="AK81" i="23"/>
  <c r="AK82" i="23"/>
  <c r="AK83" i="23"/>
  <c r="AK84" i="23"/>
  <c r="AK85" i="23"/>
  <c r="AK86" i="23"/>
  <c r="AK87" i="23"/>
  <c r="AK88" i="23"/>
  <c r="AK89" i="23"/>
  <c r="AK90" i="23"/>
  <c r="AK91" i="23"/>
  <c r="AK92" i="23"/>
  <c r="AK93" i="23"/>
  <c r="AK94" i="23"/>
  <c r="AK95" i="23"/>
  <c r="AK96" i="23"/>
  <c r="AK97" i="23"/>
  <c r="AK98" i="23"/>
  <c r="AK99" i="23"/>
  <c r="AK100" i="23"/>
  <c r="AK101" i="23"/>
  <c r="AK102" i="23"/>
  <c r="AK117" i="23"/>
  <c r="AK119" i="23"/>
  <c r="AK121" i="23"/>
  <c r="AK122" i="23"/>
  <c r="O144" i="23" s="1"/>
  <c r="AK123" i="23"/>
  <c r="AK124" i="23"/>
  <c r="AK125" i="23"/>
  <c r="AK126" i="23"/>
  <c r="AK127" i="23"/>
  <c r="AK128" i="23"/>
  <c r="AK129" i="23"/>
  <c r="AK130" i="23"/>
  <c r="AK131" i="23"/>
  <c r="AK132" i="23"/>
  <c r="AK133" i="23"/>
  <c r="AK134" i="23"/>
  <c r="AK135" i="23"/>
  <c r="AK136" i="23"/>
  <c r="AK137" i="23"/>
  <c r="AK138" i="23"/>
  <c r="AK139" i="23"/>
  <c r="AK140" i="23"/>
  <c r="AK141" i="23"/>
  <c r="AK142" i="23"/>
  <c r="AK157" i="23"/>
  <c r="AK158" i="23"/>
  <c r="AK159" i="23"/>
  <c r="AK160" i="23"/>
  <c r="AK161" i="23"/>
  <c r="AK162" i="23"/>
  <c r="AK163" i="23"/>
  <c r="AK164" i="23"/>
  <c r="AK165" i="23"/>
  <c r="AK166" i="23"/>
  <c r="AK167" i="23"/>
  <c r="AK168" i="23"/>
  <c r="AK169" i="23"/>
  <c r="AK170" i="23"/>
  <c r="AK171" i="23"/>
  <c r="AK172" i="23"/>
  <c r="AK173" i="23"/>
  <c r="AK174" i="23"/>
  <c r="AK175" i="23"/>
  <c r="AK176" i="23"/>
  <c r="AK177" i="23"/>
  <c r="AK178" i="23"/>
  <c r="AK179" i="23"/>
  <c r="AK180" i="23"/>
  <c r="AK181" i="23"/>
  <c r="AK182" i="23"/>
  <c r="AK197" i="23"/>
  <c r="AK198" i="23"/>
  <c r="AK199" i="23"/>
  <c r="N224" i="23" s="1"/>
  <c r="AK200" i="23"/>
  <c r="O224" i="23" s="1"/>
  <c r="AK201" i="23"/>
  <c r="P224" i="23" s="1"/>
  <c r="AK202" i="23"/>
  <c r="AK203" i="23"/>
  <c r="AK204" i="23"/>
  <c r="AK205" i="23"/>
  <c r="AK206" i="23"/>
  <c r="AK207" i="23"/>
  <c r="AK208" i="23"/>
  <c r="AK209" i="23"/>
  <c r="AK210" i="23"/>
  <c r="AK211" i="23"/>
  <c r="AK212" i="23"/>
  <c r="AK213" i="23"/>
  <c r="AK214" i="23"/>
  <c r="AK215" i="23"/>
  <c r="AK216" i="23"/>
  <c r="AK217" i="23"/>
  <c r="AK218" i="23"/>
  <c r="AK219" i="23"/>
  <c r="AK220" i="23"/>
  <c r="AK221" i="23"/>
  <c r="AK222" i="23"/>
  <c r="AK237" i="23"/>
  <c r="AK238" i="23"/>
  <c r="AK239" i="23"/>
  <c r="AK240" i="23"/>
  <c r="AK241" i="23"/>
  <c r="AK242" i="23"/>
  <c r="AK243" i="23"/>
  <c r="AK244" i="23"/>
  <c r="AK245" i="23"/>
  <c r="AK246" i="23"/>
  <c r="AK247" i="23"/>
  <c r="AK248" i="23"/>
  <c r="AK249" i="23"/>
  <c r="AK250" i="23"/>
  <c r="AK251" i="23"/>
  <c r="AK252" i="23"/>
  <c r="AK253" i="23"/>
  <c r="AK254" i="23"/>
  <c r="AK255" i="23"/>
  <c r="AK256" i="23"/>
  <c r="AK257" i="23"/>
  <c r="AK258" i="23"/>
  <c r="AK259" i="23"/>
  <c r="AK260" i="23"/>
  <c r="AK261" i="23"/>
  <c r="AK262" i="23"/>
  <c r="AK277" i="23"/>
  <c r="M304" i="23" s="1"/>
  <c r="AK278" i="23"/>
  <c r="N304" i="23" s="1"/>
  <c r="AK279" i="23"/>
  <c r="O304" i="23" s="1"/>
  <c r="AK280" i="23"/>
  <c r="P304" i="23" s="1"/>
  <c r="AK281" i="23"/>
  <c r="AK282" i="23"/>
  <c r="AK283" i="23"/>
  <c r="R304" i="23" s="1"/>
  <c r="AK284" i="23"/>
  <c r="AK285" i="23"/>
  <c r="AK286" i="23"/>
  <c r="AK287" i="23"/>
  <c r="AK288" i="23"/>
  <c r="AK289" i="23"/>
  <c r="AK290" i="23"/>
  <c r="AK291" i="23"/>
  <c r="AK292" i="23"/>
  <c r="AK293" i="23"/>
  <c r="AK294" i="23"/>
  <c r="AK295" i="23"/>
  <c r="AK296" i="23"/>
  <c r="AK297" i="23"/>
  <c r="AK298" i="23"/>
  <c r="AK299" i="23"/>
  <c r="AK300" i="23"/>
  <c r="AK301" i="23"/>
  <c r="AK302" i="23"/>
  <c r="AK317" i="23"/>
  <c r="M344" i="23" s="1"/>
  <c r="AK318" i="23"/>
  <c r="P344" i="23" s="1"/>
  <c r="AK319" i="23"/>
  <c r="Q344" i="23" s="1"/>
  <c r="AK320" i="23"/>
  <c r="R344" i="23" s="1"/>
  <c r="AK321" i="23"/>
  <c r="AK322" i="23"/>
  <c r="AK323" i="23"/>
  <c r="AK324" i="23"/>
  <c r="AK325" i="23"/>
  <c r="AK326" i="23"/>
  <c r="AK327" i="23"/>
  <c r="AK328" i="23"/>
  <c r="AK329" i="23"/>
  <c r="AK330" i="23"/>
  <c r="AK331" i="23"/>
  <c r="AK332" i="23"/>
  <c r="AK333" i="23"/>
  <c r="AK334" i="23"/>
  <c r="AK335" i="23"/>
  <c r="AK336" i="23"/>
  <c r="AK337" i="23"/>
  <c r="AK338" i="23"/>
  <c r="AK339" i="23"/>
  <c r="AK340" i="23"/>
  <c r="AK341" i="23"/>
  <c r="AK342" i="23"/>
  <c r="AK357" i="23"/>
  <c r="AK358" i="23"/>
  <c r="AK359" i="23"/>
  <c r="AK360" i="23"/>
  <c r="AK361" i="23"/>
  <c r="AK362" i="23"/>
  <c r="AK363" i="23"/>
  <c r="AK364" i="23"/>
  <c r="AK365" i="23"/>
  <c r="AK366" i="23"/>
  <c r="AK367" i="23"/>
  <c r="AK368" i="23"/>
  <c r="AK369" i="23"/>
  <c r="AK370" i="23"/>
  <c r="AK371" i="23"/>
  <c r="AK372" i="23"/>
  <c r="AK373" i="23"/>
  <c r="AK374" i="23"/>
  <c r="AK375" i="23"/>
  <c r="AK376" i="23"/>
  <c r="AK377" i="23"/>
  <c r="AK378" i="23"/>
  <c r="AK379" i="23"/>
  <c r="AK380" i="23"/>
  <c r="AK381" i="23"/>
  <c r="AK382" i="23"/>
  <c r="AK397" i="23"/>
  <c r="AK398" i="23"/>
  <c r="M424" i="23" s="1"/>
  <c r="AK399" i="23"/>
  <c r="N424" i="23" s="1"/>
  <c r="AK400" i="23"/>
  <c r="O424" i="23" s="1"/>
  <c r="AK401" i="23"/>
  <c r="AK402" i="23"/>
  <c r="AK403" i="23"/>
  <c r="Q424" i="23" s="1"/>
  <c r="AK404" i="23"/>
  <c r="R424" i="23" s="1"/>
  <c r="AK405" i="23"/>
  <c r="AK406" i="23"/>
  <c r="AK407" i="23"/>
  <c r="AK408" i="23"/>
  <c r="AK409" i="23"/>
  <c r="AK411" i="23"/>
  <c r="AK412" i="23"/>
  <c r="AK413" i="23"/>
  <c r="AK414" i="23"/>
  <c r="AK415" i="23"/>
  <c r="AK416" i="23"/>
  <c r="AK417" i="23"/>
  <c r="AK418" i="23"/>
  <c r="AK419" i="23"/>
  <c r="AK420" i="23"/>
  <c r="AK421" i="23"/>
  <c r="AK422" i="23"/>
  <c r="AK437" i="23"/>
  <c r="R464" i="23" s="1"/>
  <c r="AK438" i="23"/>
  <c r="M464" i="23" s="1"/>
  <c r="AK439" i="23"/>
  <c r="N464" i="23" s="1"/>
  <c r="AK440" i="23"/>
  <c r="O464" i="23" s="1"/>
  <c r="AK441" i="23"/>
  <c r="P464" i="23" s="1"/>
  <c r="AK442" i="23"/>
  <c r="Q464" i="23" s="1"/>
  <c r="AK443" i="23"/>
  <c r="AK444" i="23"/>
  <c r="AK445" i="23"/>
  <c r="AK446" i="23"/>
  <c r="AK447" i="23"/>
  <c r="AK448" i="23"/>
  <c r="AK449" i="23"/>
  <c r="AK450" i="23"/>
  <c r="AK451" i="23"/>
  <c r="AK452" i="23"/>
  <c r="AK453" i="23"/>
  <c r="AK454" i="23"/>
  <c r="AK455" i="23"/>
  <c r="AK456" i="23"/>
  <c r="AK457" i="23"/>
  <c r="AK458" i="23"/>
  <c r="AK459" i="23"/>
  <c r="AK460" i="23"/>
  <c r="AK461" i="23"/>
  <c r="AK462" i="23"/>
  <c r="AK477" i="23"/>
  <c r="P504" i="23" s="1"/>
  <c r="AK478" i="23"/>
  <c r="M504" i="23" s="1"/>
  <c r="AK479" i="23"/>
  <c r="N504" i="23" s="1"/>
  <c r="AK480" i="23"/>
  <c r="O504" i="23" s="1"/>
  <c r="AK481" i="23"/>
  <c r="Q504" i="23" s="1"/>
  <c r="AK482" i="23"/>
  <c r="R504" i="23" s="1"/>
  <c r="AK485" i="23"/>
  <c r="AK486" i="23"/>
  <c r="AK487" i="23"/>
  <c r="AK488" i="23"/>
  <c r="AK489" i="23"/>
  <c r="AK490" i="23"/>
  <c r="AK491" i="23"/>
  <c r="AK492" i="23"/>
  <c r="AK493" i="23"/>
  <c r="AK494" i="23"/>
  <c r="AK495" i="23"/>
  <c r="AK496" i="23"/>
  <c r="AK497" i="23"/>
  <c r="AK498" i="23"/>
  <c r="AK499" i="23"/>
  <c r="AK500" i="23"/>
  <c r="AK501" i="23"/>
  <c r="AK502" i="23"/>
  <c r="AK517" i="23"/>
  <c r="AK518" i="23"/>
  <c r="M544" i="23" s="1"/>
  <c r="AK519" i="23"/>
  <c r="N544" i="23" s="1"/>
  <c r="AK520" i="23"/>
  <c r="O544" i="23" s="1"/>
  <c r="AK521" i="23"/>
  <c r="P544" i="23" s="1"/>
  <c r="AK522" i="23"/>
  <c r="Q544" i="23" s="1"/>
  <c r="AK523" i="23"/>
  <c r="R544" i="23" s="1"/>
  <c r="AK524" i="23"/>
  <c r="AK525" i="23"/>
  <c r="AK526" i="23"/>
  <c r="AK527" i="23"/>
  <c r="AK528" i="23"/>
  <c r="AK529" i="23"/>
  <c r="AK530" i="23"/>
  <c r="AK531" i="23"/>
  <c r="AK532" i="23"/>
  <c r="AK533" i="23"/>
  <c r="AK534" i="23"/>
  <c r="AK535" i="23"/>
  <c r="AK536" i="23"/>
  <c r="AK537" i="23"/>
  <c r="AK538" i="23"/>
  <c r="AK539" i="23"/>
  <c r="AK540" i="23"/>
  <c r="AK541" i="23"/>
  <c r="AK542" i="23"/>
  <c r="AK557" i="23"/>
  <c r="N584" i="23" s="1"/>
  <c r="AK558" i="23"/>
  <c r="M584" i="23" s="1"/>
  <c r="AK559" i="23"/>
  <c r="O584" i="23" s="1"/>
  <c r="AK560" i="23"/>
  <c r="P584" i="23" s="1"/>
  <c r="AK561" i="23"/>
  <c r="Q584" i="23" s="1"/>
  <c r="AK562" i="23"/>
  <c r="R584" i="23" s="1"/>
  <c r="AK563" i="23"/>
  <c r="AK564" i="23"/>
  <c r="AK565" i="23"/>
  <c r="AK566" i="23"/>
  <c r="AK567" i="23"/>
  <c r="AK568" i="23"/>
  <c r="AK569" i="23"/>
  <c r="AK570" i="23"/>
  <c r="AK571" i="23"/>
  <c r="AK572" i="23"/>
  <c r="AK573" i="23"/>
  <c r="AK574" i="23"/>
  <c r="AK575" i="23"/>
  <c r="AK576" i="23"/>
  <c r="AK577" i="23"/>
  <c r="AK578" i="23"/>
  <c r="AK579" i="23"/>
  <c r="AK580" i="23"/>
  <c r="AK581" i="23"/>
  <c r="AK582" i="23"/>
  <c r="AK597" i="23"/>
  <c r="Q624" i="23" s="1"/>
  <c r="AK598" i="23"/>
  <c r="R624" i="23" s="1"/>
  <c r="AK599" i="23"/>
  <c r="M624" i="23" s="1"/>
  <c r="AK600" i="23"/>
  <c r="N624" i="23" s="1"/>
  <c r="AK601" i="23"/>
  <c r="O624" i="23" s="1"/>
  <c r="AK602" i="23"/>
  <c r="AK603" i="23"/>
  <c r="AK604" i="23"/>
  <c r="AK605" i="23"/>
  <c r="AK606" i="23"/>
  <c r="AK607" i="23"/>
  <c r="AK608" i="23"/>
  <c r="AK609" i="23"/>
  <c r="AK610" i="23"/>
  <c r="AK611" i="23"/>
  <c r="AK612" i="23"/>
  <c r="AK613" i="23"/>
  <c r="AK614" i="23"/>
  <c r="AK615" i="23"/>
  <c r="AK616" i="23"/>
  <c r="AK617" i="23"/>
  <c r="AK618" i="23"/>
  <c r="AK619" i="23"/>
  <c r="AK620" i="23"/>
  <c r="AK621" i="23"/>
  <c r="AK622" i="23"/>
  <c r="AA63" i="22"/>
  <c r="AA64" i="22"/>
  <c r="AA65" i="22"/>
  <c r="AA66" i="22"/>
  <c r="AA67" i="22"/>
  <c r="AA68" i="22"/>
  <c r="AA69" i="22"/>
  <c r="AA70" i="22"/>
  <c r="AA71" i="22"/>
  <c r="AA72" i="22"/>
  <c r="AA73" i="22"/>
  <c r="AA74" i="22"/>
  <c r="AA75" i="22"/>
  <c r="AA76" i="22"/>
  <c r="AA77" i="22"/>
  <c r="AA78" i="22"/>
  <c r="AA79" i="22"/>
  <c r="AA80" i="22"/>
  <c r="AA62" i="22"/>
  <c r="EO23" i="2"/>
  <c r="BU63" i="22"/>
  <c r="BV63" i="22"/>
  <c r="BU64" i="22"/>
  <c r="BV64" i="22"/>
  <c r="BU65" i="22"/>
  <c r="BV65" i="22"/>
  <c r="BU66" i="22"/>
  <c r="BV66" i="22"/>
  <c r="BU67" i="22"/>
  <c r="BV67" i="22"/>
  <c r="BU68" i="22"/>
  <c r="BV68" i="22"/>
  <c r="BU69" i="22"/>
  <c r="BV69" i="22"/>
  <c r="BU70" i="22"/>
  <c r="BV70" i="22"/>
  <c r="BU71" i="22"/>
  <c r="BV71" i="22"/>
  <c r="BU72" i="22"/>
  <c r="BV72" i="22"/>
  <c r="BU73" i="22"/>
  <c r="BV73" i="22"/>
  <c r="BU74" i="22"/>
  <c r="BV74" i="22"/>
  <c r="BU75" i="22"/>
  <c r="BV75" i="22"/>
  <c r="BU76" i="22"/>
  <c r="BV76" i="22"/>
  <c r="BU77" i="22"/>
  <c r="BV77" i="22"/>
  <c r="BU78" i="22"/>
  <c r="BV78" i="22"/>
  <c r="BU79" i="22"/>
  <c r="BV79" i="22"/>
  <c r="BU80" i="22"/>
  <c r="BV80" i="22"/>
  <c r="BV62" i="22"/>
  <c r="BU62" i="22"/>
  <c r="BR63" i="22"/>
  <c r="BS63" i="22"/>
  <c r="BR64" i="22"/>
  <c r="BS64" i="22"/>
  <c r="BR65" i="22"/>
  <c r="BS65" i="22"/>
  <c r="BR66" i="22"/>
  <c r="BS66" i="22"/>
  <c r="BR67" i="22"/>
  <c r="BS67" i="22"/>
  <c r="BR68" i="22"/>
  <c r="BS68" i="22"/>
  <c r="BR69" i="22"/>
  <c r="BS69" i="22"/>
  <c r="BR70" i="22"/>
  <c r="BS70" i="22"/>
  <c r="BR71" i="22"/>
  <c r="BS71" i="22"/>
  <c r="BR72" i="22"/>
  <c r="BS72" i="22"/>
  <c r="BR73" i="22"/>
  <c r="BS73" i="22"/>
  <c r="BR74" i="22"/>
  <c r="BS74" i="22"/>
  <c r="BR75" i="22"/>
  <c r="BS75" i="22"/>
  <c r="BR76" i="22"/>
  <c r="BS76" i="22"/>
  <c r="BR77" i="22"/>
  <c r="BS77" i="22"/>
  <c r="BR78" i="22"/>
  <c r="BS78" i="22"/>
  <c r="BR79" i="22"/>
  <c r="BS79" i="22"/>
  <c r="BR80" i="22"/>
  <c r="BS80" i="22"/>
  <c r="BS62" i="22"/>
  <c r="BR62" i="22"/>
  <c r="BO63" i="22"/>
  <c r="BP63" i="22"/>
  <c r="BO64" i="22"/>
  <c r="BP64" i="22"/>
  <c r="BO65" i="22"/>
  <c r="BP65" i="22"/>
  <c r="BO66" i="22"/>
  <c r="BP66" i="22"/>
  <c r="BO67" i="22"/>
  <c r="BP67" i="22"/>
  <c r="BO68" i="22"/>
  <c r="BP68" i="22"/>
  <c r="BO69" i="22"/>
  <c r="BP69" i="22"/>
  <c r="BO70" i="22"/>
  <c r="BP70" i="22"/>
  <c r="BO71" i="22"/>
  <c r="BP71" i="22"/>
  <c r="BO72" i="22"/>
  <c r="BP72" i="22"/>
  <c r="BO73" i="22"/>
  <c r="BP73" i="22"/>
  <c r="BO74" i="22"/>
  <c r="BP74" i="22"/>
  <c r="BO75" i="22"/>
  <c r="BP75" i="22"/>
  <c r="BO76" i="22"/>
  <c r="BP76" i="22"/>
  <c r="BO77" i="22"/>
  <c r="BP77" i="22"/>
  <c r="BO78" i="22"/>
  <c r="BP78" i="22"/>
  <c r="BO79" i="22"/>
  <c r="BP79" i="22"/>
  <c r="BO80" i="22"/>
  <c r="BP80" i="22"/>
  <c r="BP62" i="22"/>
  <c r="BO62" i="22"/>
  <c r="BL63" i="22"/>
  <c r="BM63" i="22"/>
  <c r="BL64" i="22"/>
  <c r="BM64" i="22"/>
  <c r="BL65" i="22"/>
  <c r="BM65" i="22"/>
  <c r="BL66" i="22"/>
  <c r="BM66" i="22"/>
  <c r="BL67" i="22"/>
  <c r="BM67" i="22"/>
  <c r="BL68" i="22"/>
  <c r="BM68" i="22"/>
  <c r="BL69" i="22"/>
  <c r="BM69" i="22"/>
  <c r="BL70" i="22"/>
  <c r="BM70" i="22"/>
  <c r="BL71" i="22"/>
  <c r="BM71" i="22"/>
  <c r="BL72" i="22"/>
  <c r="BM72" i="22"/>
  <c r="BL73" i="22"/>
  <c r="BM73" i="22"/>
  <c r="BL74" i="22"/>
  <c r="BM74" i="22"/>
  <c r="BL75" i="22"/>
  <c r="BM75" i="22"/>
  <c r="BL76" i="22"/>
  <c r="BM76" i="22"/>
  <c r="BL77" i="22"/>
  <c r="BM77" i="22"/>
  <c r="BL78" i="22"/>
  <c r="BM78" i="22"/>
  <c r="BL79" i="22"/>
  <c r="BM79" i="22"/>
  <c r="BL80" i="22"/>
  <c r="BM80" i="22"/>
  <c r="BM62" i="22"/>
  <c r="BL62" i="22"/>
  <c r="BI63" i="22"/>
  <c r="BJ63" i="22"/>
  <c r="BI64" i="22"/>
  <c r="BJ64" i="22"/>
  <c r="BI65" i="22"/>
  <c r="BJ65" i="22"/>
  <c r="BI66" i="22"/>
  <c r="BJ66" i="22"/>
  <c r="BI67" i="22"/>
  <c r="BJ67" i="22"/>
  <c r="BI68" i="22"/>
  <c r="BJ68" i="22"/>
  <c r="BI69" i="22"/>
  <c r="BJ69" i="22"/>
  <c r="BI70" i="22"/>
  <c r="BJ70" i="22"/>
  <c r="BI71" i="22"/>
  <c r="BJ71" i="22"/>
  <c r="BI72" i="22"/>
  <c r="BJ72" i="22"/>
  <c r="BI73" i="22"/>
  <c r="BJ73" i="22"/>
  <c r="BI74" i="22"/>
  <c r="BJ74" i="22"/>
  <c r="BI75" i="22"/>
  <c r="BJ75" i="22"/>
  <c r="BI76" i="22"/>
  <c r="BJ76" i="22"/>
  <c r="BI77" i="22"/>
  <c r="BJ77" i="22"/>
  <c r="BI78" i="22"/>
  <c r="BJ78" i="22"/>
  <c r="BI79" i="22"/>
  <c r="BJ79" i="22"/>
  <c r="BI80" i="22"/>
  <c r="BJ80" i="22"/>
  <c r="BJ62" i="22"/>
  <c r="BI62" i="22"/>
  <c r="BF63" i="22"/>
  <c r="BG63" i="22"/>
  <c r="BF64" i="22"/>
  <c r="BG64" i="22"/>
  <c r="BF65" i="22"/>
  <c r="BG65" i="22"/>
  <c r="BF66" i="22"/>
  <c r="BG66" i="22"/>
  <c r="BF67" i="22"/>
  <c r="BG67" i="22"/>
  <c r="BF68" i="22"/>
  <c r="BG68" i="22"/>
  <c r="BF69" i="22"/>
  <c r="BG69" i="22"/>
  <c r="BF70" i="22"/>
  <c r="BG70" i="22"/>
  <c r="BF71" i="22"/>
  <c r="BG71" i="22"/>
  <c r="BF72" i="22"/>
  <c r="BG72" i="22"/>
  <c r="BF73" i="22"/>
  <c r="BG73" i="22"/>
  <c r="BF74" i="22"/>
  <c r="BG74" i="22"/>
  <c r="BF75" i="22"/>
  <c r="BG75" i="22"/>
  <c r="BF76" i="22"/>
  <c r="BG76" i="22"/>
  <c r="BF77" i="22"/>
  <c r="BG77" i="22"/>
  <c r="BF78" i="22"/>
  <c r="BG78" i="22"/>
  <c r="BF79" i="22"/>
  <c r="BG79" i="22"/>
  <c r="BF80" i="22"/>
  <c r="BG80" i="22"/>
  <c r="BG62" i="22"/>
  <c r="BF62" i="22"/>
  <c r="BC63" i="22"/>
  <c r="BD63" i="22"/>
  <c r="BC64" i="22"/>
  <c r="BD64" i="22"/>
  <c r="BC65" i="22"/>
  <c r="BD65" i="22"/>
  <c r="BC66" i="22"/>
  <c r="BD66" i="22"/>
  <c r="BC67" i="22"/>
  <c r="BD67" i="22"/>
  <c r="BC68" i="22"/>
  <c r="BD68" i="22"/>
  <c r="BC69" i="22"/>
  <c r="BD69" i="22"/>
  <c r="BC70" i="22"/>
  <c r="BD70" i="22"/>
  <c r="BC71" i="22"/>
  <c r="BD71" i="22"/>
  <c r="BC72" i="22"/>
  <c r="BD72" i="22"/>
  <c r="BC73" i="22"/>
  <c r="BD73" i="22"/>
  <c r="BC74" i="22"/>
  <c r="BD74" i="22"/>
  <c r="BC75" i="22"/>
  <c r="BD75" i="22"/>
  <c r="BC76" i="22"/>
  <c r="BD76" i="22"/>
  <c r="BC77" i="22"/>
  <c r="BD77" i="22"/>
  <c r="BC78" i="22"/>
  <c r="BD78" i="22"/>
  <c r="BC79" i="22"/>
  <c r="BD79" i="22"/>
  <c r="BC80" i="22"/>
  <c r="BD80" i="22"/>
  <c r="BD62" i="22"/>
  <c r="BC62" i="22"/>
  <c r="AZ63" i="22"/>
  <c r="BA63" i="22"/>
  <c r="AZ64" i="22"/>
  <c r="BA64" i="22"/>
  <c r="AZ65" i="22"/>
  <c r="BA65" i="22"/>
  <c r="AZ66" i="22"/>
  <c r="BA66" i="22"/>
  <c r="AZ67" i="22"/>
  <c r="BA67" i="22"/>
  <c r="AZ68" i="22"/>
  <c r="BA68" i="22"/>
  <c r="AZ69" i="22"/>
  <c r="BA69" i="22"/>
  <c r="AZ70" i="22"/>
  <c r="BA70" i="22"/>
  <c r="AZ71" i="22"/>
  <c r="BA71" i="22"/>
  <c r="AZ72" i="22"/>
  <c r="BA72" i="22"/>
  <c r="AZ73" i="22"/>
  <c r="BA73" i="22"/>
  <c r="AZ74" i="22"/>
  <c r="BA74" i="22"/>
  <c r="AZ75" i="22"/>
  <c r="BA75" i="22"/>
  <c r="AZ76" i="22"/>
  <c r="BA76" i="22"/>
  <c r="AZ77" i="22"/>
  <c r="BA77" i="22"/>
  <c r="AZ78" i="22"/>
  <c r="BA78" i="22"/>
  <c r="AZ79" i="22"/>
  <c r="BA79" i="22"/>
  <c r="AZ80" i="22"/>
  <c r="BA80" i="22"/>
  <c r="BA62" i="22"/>
  <c r="AZ62" i="22"/>
  <c r="AW63" i="22"/>
  <c r="AX63" i="22"/>
  <c r="AW64" i="22"/>
  <c r="AX64" i="22"/>
  <c r="AW65" i="22"/>
  <c r="AX65" i="22"/>
  <c r="AW66" i="22"/>
  <c r="AX66" i="22"/>
  <c r="AW67" i="22"/>
  <c r="AX67" i="22"/>
  <c r="AW68" i="22"/>
  <c r="AX68" i="22"/>
  <c r="AW69" i="22"/>
  <c r="AX69" i="22"/>
  <c r="AW70" i="22"/>
  <c r="AX70" i="22"/>
  <c r="AW71" i="22"/>
  <c r="AX71" i="22"/>
  <c r="AW72" i="22"/>
  <c r="AX72" i="22"/>
  <c r="AW73" i="22"/>
  <c r="AX73" i="22"/>
  <c r="AW74" i="22"/>
  <c r="AX74" i="22"/>
  <c r="AW75" i="22"/>
  <c r="AX75" i="22"/>
  <c r="AW76" i="22"/>
  <c r="AX76" i="22"/>
  <c r="AW77" i="22"/>
  <c r="AX77" i="22"/>
  <c r="AW78" i="22"/>
  <c r="AX78" i="22"/>
  <c r="AW79" i="22"/>
  <c r="AX79" i="22"/>
  <c r="AW80" i="22"/>
  <c r="AX80" i="22"/>
  <c r="AX62" i="22"/>
  <c r="AW62" i="22"/>
  <c r="AT63" i="22"/>
  <c r="AU63" i="22"/>
  <c r="AT64" i="22"/>
  <c r="AU64" i="22"/>
  <c r="AT65" i="22"/>
  <c r="AU65" i="22"/>
  <c r="AT66" i="22"/>
  <c r="AU66" i="22"/>
  <c r="AT67" i="22"/>
  <c r="AU67" i="22"/>
  <c r="AT68" i="22"/>
  <c r="AU68" i="22"/>
  <c r="AT69" i="22"/>
  <c r="AU69" i="22"/>
  <c r="AT70" i="22"/>
  <c r="AU70" i="22"/>
  <c r="AT71" i="22"/>
  <c r="AU71" i="22"/>
  <c r="AT72" i="22"/>
  <c r="AU72" i="22"/>
  <c r="AT73" i="22"/>
  <c r="AU73" i="22"/>
  <c r="AT74" i="22"/>
  <c r="AU74" i="22"/>
  <c r="AT75" i="22"/>
  <c r="AU75" i="22"/>
  <c r="AT76" i="22"/>
  <c r="AU76" i="22"/>
  <c r="AT77" i="22"/>
  <c r="AU77" i="22"/>
  <c r="AT78" i="22"/>
  <c r="AU78" i="22"/>
  <c r="AT79" i="22"/>
  <c r="AU79" i="22"/>
  <c r="AT80" i="22"/>
  <c r="AU80" i="22"/>
  <c r="AU62" i="22"/>
  <c r="AT62" i="22"/>
  <c r="AQ63" i="22"/>
  <c r="AR63" i="22"/>
  <c r="AQ64" i="22"/>
  <c r="AR64" i="22"/>
  <c r="AQ65" i="22"/>
  <c r="AR65" i="22"/>
  <c r="AQ66" i="22"/>
  <c r="AR66" i="22"/>
  <c r="AQ67" i="22"/>
  <c r="AR67" i="22"/>
  <c r="AQ68" i="22"/>
  <c r="AR68" i="22"/>
  <c r="AQ69" i="22"/>
  <c r="AR69" i="22"/>
  <c r="AQ70" i="22"/>
  <c r="AR70" i="22"/>
  <c r="AQ71" i="22"/>
  <c r="AR71" i="22"/>
  <c r="AQ72" i="22"/>
  <c r="AR72" i="22"/>
  <c r="AQ73" i="22"/>
  <c r="AR73" i="22"/>
  <c r="AQ74" i="22"/>
  <c r="AR74" i="22"/>
  <c r="AQ75" i="22"/>
  <c r="AR75" i="22"/>
  <c r="AQ76" i="22"/>
  <c r="AR76" i="22"/>
  <c r="AQ77" i="22"/>
  <c r="AR77" i="22"/>
  <c r="AQ78" i="22"/>
  <c r="AR78" i="22"/>
  <c r="AQ79" i="22"/>
  <c r="AR79" i="22"/>
  <c r="AQ80" i="22"/>
  <c r="AR80" i="22"/>
  <c r="AR62" i="22"/>
  <c r="AQ62" i="22"/>
  <c r="AN63" i="22"/>
  <c r="AO63" i="22"/>
  <c r="AN64" i="22"/>
  <c r="AO64" i="22"/>
  <c r="AN65" i="22"/>
  <c r="AO65" i="22"/>
  <c r="AN66" i="22"/>
  <c r="AO66" i="22"/>
  <c r="AN67" i="22"/>
  <c r="AO67" i="22"/>
  <c r="AN68" i="22"/>
  <c r="AO68" i="22"/>
  <c r="AN69" i="22"/>
  <c r="AO69" i="22"/>
  <c r="AN70" i="22"/>
  <c r="AO70" i="22"/>
  <c r="AN71" i="22"/>
  <c r="AO71" i="22"/>
  <c r="AN72" i="22"/>
  <c r="AO72" i="22"/>
  <c r="AN73" i="22"/>
  <c r="AO73" i="22"/>
  <c r="AN74" i="22"/>
  <c r="AO74" i="22"/>
  <c r="AN75" i="22"/>
  <c r="AO75" i="22"/>
  <c r="AN76" i="22"/>
  <c r="AO76" i="22"/>
  <c r="AN77" i="22"/>
  <c r="AO77" i="22"/>
  <c r="AN78" i="22"/>
  <c r="AO78" i="22"/>
  <c r="AN79" i="22"/>
  <c r="AO79" i="22"/>
  <c r="AN80" i="22"/>
  <c r="AO80" i="22"/>
  <c r="AO62" i="22"/>
  <c r="AN62" i="22"/>
  <c r="AK63" i="22"/>
  <c r="AL63" i="22"/>
  <c r="AK64" i="22"/>
  <c r="AL64" i="22"/>
  <c r="AK65" i="22"/>
  <c r="AL65" i="22"/>
  <c r="AK66" i="22"/>
  <c r="AL66" i="22"/>
  <c r="AK67" i="22"/>
  <c r="AL67" i="22"/>
  <c r="AK68" i="22"/>
  <c r="AL68" i="22"/>
  <c r="AK69" i="22"/>
  <c r="AL69" i="22"/>
  <c r="AK70" i="22"/>
  <c r="AL70" i="22"/>
  <c r="AK71" i="22"/>
  <c r="AL71" i="22"/>
  <c r="AK72" i="22"/>
  <c r="AL72" i="22"/>
  <c r="AK73" i="22"/>
  <c r="AL73" i="22"/>
  <c r="AK74" i="22"/>
  <c r="AL74" i="22"/>
  <c r="AK75" i="22"/>
  <c r="AL75" i="22"/>
  <c r="AK76" i="22"/>
  <c r="AL76" i="22"/>
  <c r="AK77" i="22"/>
  <c r="AL77" i="22"/>
  <c r="AK78" i="22"/>
  <c r="AL78" i="22"/>
  <c r="AK79" i="22"/>
  <c r="AL79" i="22"/>
  <c r="AK80" i="22"/>
  <c r="AL80" i="22"/>
  <c r="AL62" i="22"/>
  <c r="AK62" i="22"/>
  <c r="AI63" i="22"/>
  <c r="AI64" i="22"/>
  <c r="AI65" i="22"/>
  <c r="AI66" i="22"/>
  <c r="AI67" i="22"/>
  <c r="AI68" i="22"/>
  <c r="AI69" i="22"/>
  <c r="AI70" i="22"/>
  <c r="AI71" i="22"/>
  <c r="AI72" i="22"/>
  <c r="AI73" i="22"/>
  <c r="AI74" i="22"/>
  <c r="AI75" i="22"/>
  <c r="AI76" i="22"/>
  <c r="AI77" i="22"/>
  <c r="AI78" i="22"/>
  <c r="AI79" i="22"/>
  <c r="AI80" i="22"/>
  <c r="AH63" i="22"/>
  <c r="AH64" i="22"/>
  <c r="AH65" i="22"/>
  <c r="AH66" i="22"/>
  <c r="AH67" i="22"/>
  <c r="AH68" i="22"/>
  <c r="AH69" i="22"/>
  <c r="AH70" i="22"/>
  <c r="AH71" i="22"/>
  <c r="AH72" i="22"/>
  <c r="AH73" i="22"/>
  <c r="AH74" i="22"/>
  <c r="AH75" i="22"/>
  <c r="AH76" i="22"/>
  <c r="AH77" i="22"/>
  <c r="AH78" i="22"/>
  <c r="AH79" i="22"/>
  <c r="AH80" i="22"/>
  <c r="AI62" i="22"/>
  <c r="AH62" i="22"/>
  <c r="AF63" i="22"/>
  <c r="AF64" i="22"/>
  <c r="AF65" i="22"/>
  <c r="AF66" i="22"/>
  <c r="AF67" i="22"/>
  <c r="AF68" i="22"/>
  <c r="AF69" i="22"/>
  <c r="AF70" i="22"/>
  <c r="AF71" i="22"/>
  <c r="AF72" i="22"/>
  <c r="AF73" i="22"/>
  <c r="AF74" i="22"/>
  <c r="AF75" i="22"/>
  <c r="AF76" i="22"/>
  <c r="AF77" i="22"/>
  <c r="AF78" i="22"/>
  <c r="AF79" i="22"/>
  <c r="AF80" i="22"/>
  <c r="AE63" i="22"/>
  <c r="AE64" i="22"/>
  <c r="AE65" i="22"/>
  <c r="AE66" i="22"/>
  <c r="AE67" i="22"/>
  <c r="AE68" i="22"/>
  <c r="AE69" i="22"/>
  <c r="AE70" i="22"/>
  <c r="AE71" i="22"/>
  <c r="AE72" i="22"/>
  <c r="AE73" i="22"/>
  <c r="AE74" i="22"/>
  <c r="AE75" i="22"/>
  <c r="AE76" i="22"/>
  <c r="AE77" i="22"/>
  <c r="AE78" i="22"/>
  <c r="AE79" i="22"/>
  <c r="AE80" i="22"/>
  <c r="AF62" i="22"/>
  <c r="AE62" i="22"/>
  <c r="AB66" i="22"/>
  <c r="AB67" i="22"/>
  <c r="AB68" i="22"/>
  <c r="AB69" i="22"/>
  <c r="AB70" i="22"/>
  <c r="AB71" i="22"/>
  <c r="AB72" i="22"/>
  <c r="AB73" i="22"/>
  <c r="AB74" i="22"/>
  <c r="AB75" i="22"/>
  <c r="AB76" i="22"/>
  <c r="AB77" i="22"/>
  <c r="AB78" i="22"/>
  <c r="AB79" i="22"/>
  <c r="AB80" i="22"/>
  <c r="AC66" i="22"/>
  <c r="AC67" i="22"/>
  <c r="AC68" i="22"/>
  <c r="AC69" i="22"/>
  <c r="AC70" i="22"/>
  <c r="AC71" i="22"/>
  <c r="AC72" i="22"/>
  <c r="AC73" i="22"/>
  <c r="AC74" i="22"/>
  <c r="AC75" i="22"/>
  <c r="AC76" i="22"/>
  <c r="AC77" i="22"/>
  <c r="AC78" i="22"/>
  <c r="AC79" i="22"/>
  <c r="AC80" i="22"/>
  <c r="AM63" i="22"/>
  <c r="AM64" i="22"/>
  <c r="AM65" i="22"/>
  <c r="AM66" i="22"/>
  <c r="AM67" i="22"/>
  <c r="AM68" i="22"/>
  <c r="AM69" i="22"/>
  <c r="AM70" i="22"/>
  <c r="AM71" i="22"/>
  <c r="AM72" i="22"/>
  <c r="AM73" i="22"/>
  <c r="AM74" i="22"/>
  <c r="AM75" i="22"/>
  <c r="AM76" i="22"/>
  <c r="AM77" i="22"/>
  <c r="AM78" i="22"/>
  <c r="AM79" i="22"/>
  <c r="AM80" i="22"/>
  <c r="AM62" i="22"/>
  <c r="AP63" i="22"/>
  <c r="AP64" i="22"/>
  <c r="AP65" i="22"/>
  <c r="AP66" i="22"/>
  <c r="AP67" i="22"/>
  <c r="AP68" i="22"/>
  <c r="AP69" i="22"/>
  <c r="AP70" i="22"/>
  <c r="AP71" i="22"/>
  <c r="AP72" i="22"/>
  <c r="AP73" i="22"/>
  <c r="AP74" i="22"/>
  <c r="AP75" i="22"/>
  <c r="AP76" i="22"/>
  <c r="AP77" i="22"/>
  <c r="AP78" i="22"/>
  <c r="AP79" i="22"/>
  <c r="AP80" i="22"/>
  <c r="AS63" i="22"/>
  <c r="AS64" i="22"/>
  <c r="AS65" i="22"/>
  <c r="AS66" i="22"/>
  <c r="AS67" i="22"/>
  <c r="AS68" i="22"/>
  <c r="AS69" i="22"/>
  <c r="AS70" i="22"/>
  <c r="AS71" i="22"/>
  <c r="AS72" i="22"/>
  <c r="AS73" i="22"/>
  <c r="AS74" i="22"/>
  <c r="AS75" i="22"/>
  <c r="AS76" i="22"/>
  <c r="AS77" i="22"/>
  <c r="AS78" i="22"/>
  <c r="AS79" i="22"/>
  <c r="AS80" i="22"/>
  <c r="AV63" i="22"/>
  <c r="AV64" i="22"/>
  <c r="AV65" i="22"/>
  <c r="AV66" i="22"/>
  <c r="AV67" i="22"/>
  <c r="AV68" i="22"/>
  <c r="AV69" i="22"/>
  <c r="AV70" i="22"/>
  <c r="AV71" i="22"/>
  <c r="AV72" i="22"/>
  <c r="AV73" i="22"/>
  <c r="AV74" i="22"/>
  <c r="AV75" i="22"/>
  <c r="AV76" i="22"/>
  <c r="AV77" i="22"/>
  <c r="AV78" i="22"/>
  <c r="AV79" i="22"/>
  <c r="AV80" i="22"/>
  <c r="AY63" i="22"/>
  <c r="AY64" i="22"/>
  <c r="AY65" i="22"/>
  <c r="AY66" i="22"/>
  <c r="AY67" i="22"/>
  <c r="AY68" i="22"/>
  <c r="AY69" i="22"/>
  <c r="AY70" i="22"/>
  <c r="AY71" i="22"/>
  <c r="AY72" i="22"/>
  <c r="AY73" i="22"/>
  <c r="AY74" i="22"/>
  <c r="AY75" i="22"/>
  <c r="AY76" i="22"/>
  <c r="AY77" i="22"/>
  <c r="AY78" i="22"/>
  <c r="AY79" i="22"/>
  <c r="AY80" i="22"/>
  <c r="BB63" i="22"/>
  <c r="BB64" i="22"/>
  <c r="BB65" i="22"/>
  <c r="BB66" i="22"/>
  <c r="BB67" i="22"/>
  <c r="BB68" i="22"/>
  <c r="BB69" i="22"/>
  <c r="BB70" i="22"/>
  <c r="BB71" i="22"/>
  <c r="BB72" i="22"/>
  <c r="BB73" i="22"/>
  <c r="BB74" i="22"/>
  <c r="BB75" i="22"/>
  <c r="BB76" i="22"/>
  <c r="BB77" i="22"/>
  <c r="BB78" i="22"/>
  <c r="BB79" i="22"/>
  <c r="BB80" i="22"/>
  <c r="BE63" i="22"/>
  <c r="BE64" i="22"/>
  <c r="BE65" i="22"/>
  <c r="BE66" i="22"/>
  <c r="BE67" i="22"/>
  <c r="BE68" i="22"/>
  <c r="BE69" i="22"/>
  <c r="BE70" i="22"/>
  <c r="BE71" i="22"/>
  <c r="BE72" i="22"/>
  <c r="BE73" i="22"/>
  <c r="BE74" i="22"/>
  <c r="BE75" i="22"/>
  <c r="BE76" i="22"/>
  <c r="BE77" i="22"/>
  <c r="BE78" i="22"/>
  <c r="BE79" i="22"/>
  <c r="BE80" i="22"/>
  <c r="BH63" i="22"/>
  <c r="BH64" i="22"/>
  <c r="BH65" i="22"/>
  <c r="BH66" i="22"/>
  <c r="BH67" i="22"/>
  <c r="BH68" i="22"/>
  <c r="BH69" i="22"/>
  <c r="BH70" i="22"/>
  <c r="BH71" i="22"/>
  <c r="BH72" i="22"/>
  <c r="BH73" i="22"/>
  <c r="BH74" i="22"/>
  <c r="BH75" i="22"/>
  <c r="BH76" i="22"/>
  <c r="BH77" i="22"/>
  <c r="BH78" i="22"/>
  <c r="BH79" i="22"/>
  <c r="BH80" i="22"/>
  <c r="BK63" i="22"/>
  <c r="BK64" i="22"/>
  <c r="BK65" i="22"/>
  <c r="BK66" i="22"/>
  <c r="BK67" i="22"/>
  <c r="BK68" i="22"/>
  <c r="BK69" i="22"/>
  <c r="BK70" i="22"/>
  <c r="BK71" i="22"/>
  <c r="BK72" i="22"/>
  <c r="BK73" i="22"/>
  <c r="BK74" i="22"/>
  <c r="BK75" i="22"/>
  <c r="BK76" i="22"/>
  <c r="BK77" i="22"/>
  <c r="BK78" i="22"/>
  <c r="BK79" i="22"/>
  <c r="BK80" i="22"/>
  <c r="BN63" i="22"/>
  <c r="BN64" i="22"/>
  <c r="BN65" i="22"/>
  <c r="BN66" i="22"/>
  <c r="BN67" i="22"/>
  <c r="BN68" i="22"/>
  <c r="BN69" i="22"/>
  <c r="BN70" i="22"/>
  <c r="BN71" i="22"/>
  <c r="BN72" i="22"/>
  <c r="BN73" i="22"/>
  <c r="BN74" i="22"/>
  <c r="BN75" i="22"/>
  <c r="BN76" i="22"/>
  <c r="BN77" i="22"/>
  <c r="BN78" i="22"/>
  <c r="BN79" i="22"/>
  <c r="BN80" i="22"/>
  <c r="BQ63" i="22"/>
  <c r="BQ64" i="22"/>
  <c r="BQ65" i="22"/>
  <c r="BQ66" i="22"/>
  <c r="BQ67" i="22"/>
  <c r="BQ68" i="22"/>
  <c r="BQ69" i="22"/>
  <c r="BQ70" i="22"/>
  <c r="BQ71" i="22"/>
  <c r="BQ72" i="22"/>
  <c r="BQ73" i="22"/>
  <c r="BQ74" i="22"/>
  <c r="BQ75" i="22"/>
  <c r="BQ76" i="22"/>
  <c r="BQ77" i="22"/>
  <c r="BQ78" i="22"/>
  <c r="BQ79" i="22"/>
  <c r="BQ80" i="22"/>
  <c r="BT63" i="22"/>
  <c r="BT64" i="22"/>
  <c r="BT65" i="22"/>
  <c r="BT66" i="22"/>
  <c r="BT67" i="22"/>
  <c r="BT68" i="22"/>
  <c r="BT69" i="22"/>
  <c r="BT70" i="22"/>
  <c r="BT71" i="22"/>
  <c r="BT72" i="22"/>
  <c r="BT73" i="22"/>
  <c r="BT74" i="22"/>
  <c r="BT75" i="22"/>
  <c r="BT76" i="22"/>
  <c r="BT77" i="22"/>
  <c r="BT78" i="22"/>
  <c r="BT79" i="22"/>
  <c r="BT80" i="22"/>
  <c r="BT62" i="22"/>
  <c r="BQ62" i="22"/>
  <c r="BN62" i="22"/>
  <c r="BK62" i="22"/>
  <c r="BH62" i="22"/>
  <c r="BE62" i="22"/>
  <c r="BB62" i="22"/>
  <c r="AY62" i="22"/>
  <c r="AV62" i="22"/>
  <c r="AJ63" i="22"/>
  <c r="AJ64" i="22"/>
  <c r="AJ65" i="22"/>
  <c r="AJ66" i="22"/>
  <c r="AJ67" i="22"/>
  <c r="AJ68" i="22"/>
  <c r="AJ69" i="22"/>
  <c r="AJ70" i="22"/>
  <c r="AJ71" i="22"/>
  <c r="AJ72" i="22"/>
  <c r="AJ73" i="22"/>
  <c r="AJ74" i="22"/>
  <c r="AJ75" i="22"/>
  <c r="AJ76" i="22"/>
  <c r="AJ77" i="22"/>
  <c r="AJ78" i="22"/>
  <c r="AJ79" i="22"/>
  <c r="AJ80" i="22"/>
  <c r="AG63" i="22"/>
  <c r="AG64" i="22"/>
  <c r="AG65" i="22"/>
  <c r="AG66" i="22"/>
  <c r="AG67" i="22"/>
  <c r="AG68" i="22"/>
  <c r="AG69" i="22"/>
  <c r="AG70" i="22"/>
  <c r="AG71" i="22"/>
  <c r="AG72" i="22"/>
  <c r="AG73" i="22"/>
  <c r="AG74" i="22"/>
  <c r="AG75" i="22"/>
  <c r="AG76" i="22"/>
  <c r="AG77" i="22"/>
  <c r="AG78" i="22"/>
  <c r="AG79" i="22"/>
  <c r="AG80" i="22"/>
  <c r="AS62" i="22"/>
  <c r="AP62" i="22"/>
  <c r="AJ62" i="22"/>
  <c r="AG62" i="22"/>
  <c r="AD63" i="22"/>
  <c r="AD64" i="22"/>
  <c r="AD65" i="22"/>
  <c r="AD66" i="22"/>
  <c r="AD67" i="22"/>
  <c r="AD68" i="22"/>
  <c r="AD69" i="22"/>
  <c r="AD70" i="22"/>
  <c r="AD71" i="22"/>
  <c r="AD72" i="22"/>
  <c r="AD73" i="22"/>
  <c r="AD74" i="22"/>
  <c r="AD75" i="22"/>
  <c r="AD76" i="22"/>
  <c r="AD77" i="22"/>
  <c r="AD78" i="22"/>
  <c r="AD79" i="22"/>
  <c r="AD80" i="22"/>
  <c r="AD62" i="22"/>
  <c r="R34" i="26"/>
  <c r="Y2" i="36" s="1"/>
  <c r="Y1" i="36"/>
  <c r="E63" i="23"/>
  <c r="AA44" i="23"/>
  <c r="M4" i="35" s="1"/>
  <c r="Q126" i="26"/>
  <c r="M11" i="26"/>
  <c r="Z104" i="23"/>
  <c r="Y64" i="23"/>
  <c r="W64" i="23"/>
  <c r="BX1" i="22"/>
  <c r="CP20" i="22"/>
  <c r="CO20" i="22"/>
  <c r="CN20" i="22"/>
  <c r="CM20" i="22"/>
  <c r="CL20" i="22"/>
  <c r="CK20" i="22"/>
  <c r="CJ20" i="22"/>
  <c r="CI20" i="22"/>
  <c r="CH20" i="22"/>
  <c r="CG20" i="22"/>
  <c r="CF20" i="22"/>
  <c r="CE20" i="22"/>
  <c r="CD20" i="22"/>
  <c r="CC20" i="22"/>
  <c r="CB20" i="22"/>
  <c r="CA20" i="22"/>
  <c r="BZ20" i="22"/>
  <c r="CP19" i="22"/>
  <c r="CO19" i="22"/>
  <c r="CN19" i="22"/>
  <c r="CM19" i="22"/>
  <c r="CL19" i="22"/>
  <c r="CK19" i="22"/>
  <c r="CJ19" i="22"/>
  <c r="CI19" i="22"/>
  <c r="CH19" i="22"/>
  <c r="CG19" i="22"/>
  <c r="CF19" i="22"/>
  <c r="CE19" i="22"/>
  <c r="CD19" i="22"/>
  <c r="CC19" i="22"/>
  <c r="CB19" i="22"/>
  <c r="CA19" i="22"/>
  <c r="BZ19" i="22"/>
  <c r="CP18" i="22"/>
  <c r="CO18" i="22"/>
  <c r="CN18" i="22"/>
  <c r="CM18" i="22"/>
  <c r="CL18" i="22"/>
  <c r="CK18" i="22"/>
  <c r="CJ18" i="22"/>
  <c r="CI18" i="22"/>
  <c r="CH18" i="22"/>
  <c r="CG18" i="22"/>
  <c r="CF18" i="22"/>
  <c r="CE18" i="22"/>
  <c r="CD18" i="22"/>
  <c r="CC18" i="22"/>
  <c r="CB18" i="22"/>
  <c r="CA18" i="22"/>
  <c r="BZ18" i="22"/>
  <c r="BZ17" i="22"/>
  <c r="CP16" i="22"/>
  <c r="CO16" i="22"/>
  <c r="CN16" i="22"/>
  <c r="CM16" i="22"/>
  <c r="CL16" i="22"/>
  <c r="CK16" i="22"/>
  <c r="CJ16" i="22"/>
  <c r="CI16" i="22"/>
  <c r="CH16" i="22"/>
  <c r="CG16" i="22"/>
  <c r="CF16" i="22"/>
  <c r="CE16" i="22"/>
  <c r="CD16" i="22"/>
  <c r="CC16" i="22"/>
  <c r="CB16" i="22"/>
  <c r="CA16" i="22"/>
  <c r="BZ16" i="22"/>
  <c r="CP11" i="22"/>
  <c r="CO11" i="22"/>
  <c r="CN11" i="22"/>
  <c r="CM11" i="22"/>
  <c r="CL11" i="22"/>
  <c r="CK11" i="22"/>
  <c r="CJ11" i="22"/>
  <c r="CI11" i="22"/>
  <c r="CH11" i="22"/>
  <c r="CG11" i="22"/>
  <c r="CF11" i="22"/>
  <c r="CE11" i="22"/>
  <c r="CD11" i="22"/>
  <c r="CC11" i="22"/>
  <c r="CB11" i="22"/>
  <c r="CA11" i="22"/>
  <c r="BZ11" i="22"/>
  <c r="CP9" i="22"/>
  <c r="CO9" i="22"/>
  <c r="CN9" i="22"/>
  <c r="CM9" i="22"/>
  <c r="CL9" i="22"/>
  <c r="CK9" i="22"/>
  <c r="CJ9" i="22"/>
  <c r="CI9" i="22"/>
  <c r="CH9" i="22"/>
  <c r="CG9" i="22"/>
  <c r="CF9" i="22"/>
  <c r="CE9" i="22"/>
  <c r="CD9" i="22"/>
  <c r="CC9" i="22"/>
  <c r="CB9" i="22"/>
  <c r="CA9" i="22"/>
  <c r="BZ9" i="22"/>
  <c r="CP7" i="22"/>
  <c r="CO7" i="22"/>
  <c r="CN7" i="22"/>
  <c r="CM7" i="22"/>
  <c r="CL7" i="22"/>
  <c r="CK7" i="22"/>
  <c r="CJ7" i="22"/>
  <c r="CI7" i="22"/>
  <c r="CH7" i="22"/>
  <c r="CG7" i="22"/>
  <c r="CF7" i="22"/>
  <c r="CE7" i="22"/>
  <c r="CD7" i="22"/>
  <c r="CC7" i="22"/>
  <c r="CB7" i="22"/>
  <c r="CA7" i="22"/>
  <c r="BZ7" i="22"/>
  <c r="CP5" i="22"/>
  <c r="CO5" i="22"/>
  <c r="CN5" i="22"/>
  <c r="CM5" i="22"/>
  <c r="CL5" i="22"/>
  <c r="CK5" i="22"/>
  <c r="CJ5" i="22"/>
  <c r="CI5" i="22"/>
  <c r="CH5" i="22"/>
  <c r="CG5" i="22"/>
  <c r="CF5" i="22"/>
  <c r="CE5" i="22"/>
  <c r="CD5" i="22"/>
  <c r="CC5" i="22"/>
  <c r="CB5" i="22"/>
  <c r="CA5" i="22"/>
  <c r="BZ5" i="22"/>
  <c r="CP14" i="22"/>
  <c r="CO14" i="22"/>
  <c r="CN14" i="22"/>
  <c r="CM14" i="22"/>
  <c r="CL14" i="22"/>
  <c r="CK14" i="22"/>
  <c r="CJ14" i="22"/>
  <c r="CI14" i="22"/>
  <c r="CH14" i="22"/>
  <c r="CG14" i="22"/>
  <c r="CF14" i="22"/>
  <c r="CE14" i="22"/>
  <c r="CD14" i="22"/>
  <c r="CC14" i="22"/>
  <c r="CB14" i="22"/>
  <c r="CA14" i="22"/>
  <c r="CP17" i="22"/>
  <c r="CO17" i="22"/>
  <c r="CN17" i="22"/>
  <c r="CM17" i="22"/>
  <c r="CL17" i="22"/>
  <c r="CK17" i="22"/>
  <c r="CJ17" i="22"/>
  <c r="CI17" i="22"/>
  <c r="CH17" i="22"/>
  <c r="CG17" i="22"/>
  <c r="CF17" i="22"/>
  <c r="CE17" i="22"/>
  <c r="CD17" i="22"/>
  <c r="CC17" i="22"/>
  <c r="CB17" i="22"/>
  <c r="CA17" i="22"/>
  <c r="CP15" i="22"/>
  <c r="CO15" i="22"/>
  <c r="CN15" i="22"/>
  <c r="CM15" i="22"/>
  <c r="CL15" i="22"/>
  <c r="CK15" i="22"/>
  <c r="CJ15" i="22"/>
  <c r="CI15" i="22"/>
  <c r="CH15" i="22"/>
  <c r="CG15" i="22"/>
  <c r="CF15" i="22"/>
  <c r="CE15" i="22"/>
  <c r="CD15" i="22"/>
  <c r="CC15" i="22"/>
  <c r="CB15" i="22"/>
  <c r="CA15" i="22"/>
  <c r="CP12" i="22"/>
  <c r="CO12" i="22"/>
  <c r="CN12" i="22"/>
  <c r="CM12" i="22"/>
  <c r="CL12" i="22"/>
  <c r="CK12" i="22"/>
  <c r="CJ12" i="22"/>
  <c r="CI12" i="22"/>
  <c r="CH12" i="22"/>
  <c r="CG12" i="22"/>
  <c r="CF12" i="22"/>
  <c r="CE12" i="22"/>
  <c r="CD12" i="22"/>
  <c r="CC12" i="22"/>
  <c r="CB12" i="22"/>
  <c r="CA12" i="22"/>
  <c r="CP8" i="22"/>
  <c r="CO8" i="22"/>
  <c r="CN8" i="22"/>
  <c r="CM8" i="22"/>
  <c r="CL8" i="22"/>
  <c r="CK8" i="22"/>
  <c r="CJ8" i="22"/>
  <c r="CI8" i="22"/>
  <c r="CH8" i="22"/>
  <c r="CG8" i="22"/>
  <c r="CF8" i="22"/>
  <c r="CE8" i="22"/>
  <c r="CD8" i="22"/>
  <c r="CC8" i="22"/>
  <c r="CB8" i="22"/>
  <c r="CA8" i="22"/>
  <c r="CP6" i="22"/>
  <c r="CO6" i="22"/>
  <c r="CN6" i="22"/>
  <c r="CM6" i="22"/>
  <c r="CL6" i="22"/>
  <c r="CK6" i="22"/>
  <c r="CJ6" i="22"/>
  <c r="CI6" i="22"/>
  <c r="CH6" i="22"/>
  <c r="CG6" i="22"/>
  <c r="CF6" i="22"/>
  <c r="CE6" i="22"/>
  <c r="CD6" i="22"/>
  <c r="CC6" i="22"/>
  <c r="CB6" i="22"/>
  <c r="CA6" i="22"/>
  <c r="CO13" i="22"/>
  <c r="CN13" i="22"/>
  <c r="CB13" i="22"/>
  <c r="CP13" i="22"/>
  <c r="CM13" i="22"/>
  <c r="CL13" i="22"/>
  <c r="CK13" i="22"/>
  <c r="CJ13" i="22"/>
  <c r="CI13" i="22"/>
  <c r="CH13" i="22"/>
  <c r="CG13" i="22"/>
  <c r="CF13" i="22"/>
  <c r="CE13" i="22"/>
  <c r="CD13" i="22"/>
  <c r="CC13" i="22"/>
  <c r="CA13" i="22"/>
  <c r="CP10" i="22"/>
  <c r="CO10" i="22"/>
  <c r="CN10" i="22"/>
  <c r="CM10" i="22"/>
  <c r="CL10" i="22"/>
  <c r="CK10" i="22"/>
  <c r="CJ10" i="22"/>
  <c r="CI10" i="22"/>
  <c r="CH10" i="22"/>
  <c r="CG10" i="22"/>
  <c r="CF10" i="22"/>
  <c r="CE10" i="22"/>
  <c r="CD10" i="22"/>
  <c r="CC10" i="22"/>
  <c r="CB10" i="22"/>
  <c r="CA10" i="22"/>
  <c r="CP21" i="22"/>
  <c r="CO21" i="22"/>
  <c r="CN21" i="22"/>
  <c r="CM21" i="22"/>
  <c r="CL21" i="22"/>
  <c r="CK21" i="22"/>
  <c r="CJ21" i="22"/>
  <c r="CI21" i="22"/>
  <c r="CH21" i="22"/>
  <c r="CG21" i="22"/>
  <c r="CF21" i="22"/>
  <c r="CE21" i="22"/>
  <c r="CD21" i="22"/>
  <c r="CC21" i="22"/>
  <c r="CB21" i="22"/>
  <c r="CA21" i="22"/>
  <c r="BZ21" i="22"/>
  <c r="CP4" i="22"/>
  <c r="CO4" i="22"/>
  <c r="CN4" i="22"/>
  <c r="CM4" i="22"/>
  <c r="CL4" i="22"/>
  <c r="CK4" i="22"/>
  <c r="CJ4" i="22"/>
  <c r="CI4" i="22"/>
  <c r="CH4" i="22"/>
  <c r="CG4" i="22"/>
  <c r="CF4" i="22"/>
  <c r="CE4" i="22"/>
  <c r="CD4" i="22"/>
  <c r="CC4" i="22"/>
  <c r="CB4" i="22"/>
  <c r="CA4" i="22"/>
  <c r="CD3" i="22"/>
  <c r="CC3" i="22"/>
  <c r="CB3" i="22"/>
  <c r="CA3" i="22"/>
  <c r="CP2" i="22"/>
  <c r="CO2" i="22"/>
  <c r="CN2" i="22"/>
  <c r="CM2" i="22"/>
  <c r="CL2" i="22"/>
  <c r="CK2" i="22"/>
  <c r="CJ2" i="22"/>
  <c r="CI2" i="22"/>
  <c r="CH2" i="22"/>
  <c r="CG2" i="22"/>
  <c r="CF2" i="22"/>
  <c r="CE2" i="22"/>
  <c r="CD2" i="22"/>
  <c r="CC2" i="22"/>
  <c r="CB2" i="22"/>
  <c r="CA2" i="22"/>
  <c r="BZ15" i="22"/>
  <c r="BZ14" i="22"/>
  <c r="BZ13" i="22"/>
  <c r="BZ12" i="22"/>
  <c r="BZ10" i="22"/>
  <c r="BZ8" i="22"/>
  <c r="BZ6" i="22"/>
  <c r="BZ4" i="22"/>
  <c r="BZ3" i="22"/>
  <c r="BZ2" i="22"/>
  <c r="BH2" i="2"/>
  <c r="BK21" i="2" s="1"/>
  <c r="AA342" i="23"/>
  <c r="AA341" i="23"/>
  <c r="AA340" i="23"/>
  <c r="AA339" i="23"/>
  <c r="AA338" i="23"/>
  <c r="AA337" i="23"/>
  <c r="AA336" i="23"/>
  <c r="DF30" i="2" s="1"/>
  <c r="AA335" i="23"/>
  <c r="AA334" i="23"/>
  <c r="AA333" i="23"/>
  <c r="FD30" i="2" s="1"/>
  <c r="AA332" i="23"/>
  <c r="FC30" i="2" s="1"/>
  <c r="AA331" i="23"/>
  <c r="CQ30" i="2" s="1"/>
  <c r="AA330" i="23"/>
  <c r="AA329" i="23"/>
  <c r="EZ30" i="2" s="1"/>
  <c r="AA328" i="23"/>
  <c r="AA327" i="23"/>
  <c r="AA326" i="23"/>
  <c r="EW30" i="2" s="1"/>
  <c r="AA325" i="23"/>
  <c r="AA324" i="23"/>
  <c r="AA323" i="23"/>
  <c r="AA322" i="23"/>
  <c r="BP30" i="2" s="1"/>
  <c r="AA321" i="23"/>
  <c r="ER30" i="2" s="1"/>
  <c r="BJ30" i="2"/>
  <c r="AA319" i="23"/>
  <c r="AA318" i="23"/>
  <c r="AA317" i="23"/>
  <c r="D610" i="25"/>
  <c r="AA83" i="23"/>
  <c r="ET24" i="2" s="1"/>
  <c r="E667" i="23"/>
  <c r="BE17" i="2" s="1"/>
  <c r="BE16" i="2"/>
  <c r="AL21" i="33" s="1"/>
  <c r="E587" i="23"/>
  <c r="BE15" i="2" s="1"/>
  <c r="AA37" i="23"/>
  <c r="AA237" i="23"/>
  <c r="EN28" i="2" s="1"/>
  <c r="AA262" i="23"/>
  <c r="AA302" i="23"/>
  <c r="AA658" i="23"/>
  <c r="AA638" i="23"/>
  <c r="AA639" i="23"/>
  <c r="AA640" i="23"/>
  <c r="AA641" i="23"/>
  <c r="AA642" i="23"/>
  <c r="BP38" i="2" s="1"/>
  <c r="AA644" i="23"/>
  <c r="EU38" i="2" s="1"/>
  <c r="AA645" i="23"/>
  <c r="BY38" i="2" s="1"/>
  <c r="AA646" i="23"/>
  <c r="EW38" i="2" s="1"/>
  <c r="AA647" i="23"/>
  <c r="EX38" i="2" s="1"/>
  <c r="AA648" i="23"/>
  <c r="EY38" i="2" s="1"/>
  <c r="AA649" i="23"/>
  <c r="CK38" i="2" s="1"/>
  <c r="AA650" i="23"/>
  <c r="AA651" i="23"/>
  <c r="CQ38" i="2" s="1"/>
  <c r="AA652" i="23"/>
  <c r="AA653" i="23"/>
  <c r="CW38" i="2" s="1"/>
  <c r="AA654" i="23"/>
  <c r="FE38" i="2" s="1"/>
  <c r="AA655" i="23"/>
  <c r="FF38" i="2" s="1"/>
  <c r="AA656" i="23"/>
  <c r="AA657" i="23"/>
  <c r="AA659" i="23"/>
  <c r="AA660" i="23"/>
  <c r="AA661" i="23"/>
  <c r="AA662" i="23"/>
  <c r="AA637" i="23"/>
  <c r="AA576" i="23"/>
  <c r="FG36" i="2" s="1"/>
  <c r="AA558" i="23"/>
  <c r="AA559" i="23"/>
  <c r="AA560" i="23"/>
  <c r="AA561" i="23"/>
  <c r="AA562" i="23"/>
  <c r="BP36" i="2" s="1"/>
  <c r="AA563" i="23"/>
  <c r="AA564" i="23"/>
  <c r="AA565" i="23"/>
  <c r="EV36" i="2" s="1"/>
  <c r="AA566" i="23"/>
  <c r="EW36" i="2" s="1"/>
  <c r="AA567" i="23"/>
  <c r="AA568" i="23"/>
  <c r="AA569" i="23"/>
  <c r="CK36" i="2" s="1"/>
  <c r="AA570" i="23"/>
  <c r="AA571" i="23"/>
  <c r="CQ36" i="2" s="1"/>
  <c r="AA572" i="23"/>
  <c r="AA573" i="23"/>
  <c r="CW36" i="2" s="1"/>
  <c r="AA574" i="23"/>
  <c r="AA575" i="23"/>
  <c r="FF36" i="2" s="1"/>
  <c r="AA577" i="23"/>
  <c r="AA578" i="23"/>
  <c r="AA579" i="23"/>
  <c r="AA580" i="23"/>
  <c r="AA581" i="23"/>
  <c r="AA582" i="23"/>
  <c r="AA598" i="23"/>
  <c r="S18" i="35" s="1"/>
  <c r="AA599" i="23"/>
  <c r="D18" i="35" s="1"/>
  <c r="AA600" i="23"/>
  <c r="AA601" i="23"/>
  <c r="AA602" i="23"/>
  <c r="AA603" i="23"/>
  <c r="AA604" i="23"/>
  <c r="BV37" i="2" s="1"/>
  <c r="AA605" i="23"/>
  <c r="EV37" i="2" s="1"/>
  <c r="AA606" i="23"/>
  <c r="EW37" i="2" s="1"/>
  <c r="AA607" i="23"/>
  <c r="EX37" i="2" s="1"/>
  <c r="AA608" i="23"/>
  <c r="AA609" i="23"/>
  <c r="EZ37" i="2" s="1"/>
  <c r="AA610" i="23"/>
  <c r="FA37" i="2" s="1"/>
  <c r="AA611" i="23"/>
  <c r="FB37" i="2" s="1"/>
  <c r="AA612" i="23"/>
  <c r="FC37" i="2" s="1"/>
  <c r="AA613" i="23"/>
  <c r="AA614" i="23"/>
  <c r="FE37" i="2" s="1"/>
  <c r="AA615" i="23"/>
  <c r="FF37" i="2" s="1"/>
  <c r="AA616" i="23"/>
  <c r="AA617" i="23"/>
  <c r="AA618" i="23"/>
  <c r="AA619" i="23"/>
  <c r="AA620" i="23"/>
  <c r="AA621" i="23"/>
  <c r="AA622" i="23"/>
  <c r="AA597" i="23"/>
  <c r="P18" i="35" s="1"/>
  <c r="AA557" i="23"/>
  <c r="AA518" i="23"/>
  <c r="AA519" i="23"/>
  <c r="G16" i="35" s="1"/>
  <c r="AA520" i="23"/>
  <c r="AA521" i="23"/>
  <c r="M16" i="35" s="1"/>
  <c r="AA522" i="23"/>
  <c r="AA523" i="23"/>
  <c r="AA524" i="23"/>
  <c r="AA525" i="23"/>
  <c r="AA526" i="23"/>
  <c r="AA527" i="23"/>
  <c r="AA528" i="23"/>
  <c r="AA529" i="23"/>
  <c r="AA530" i="23"/>
  <c r="CN35" i="2" s="1"/>
  <c r="AA531" i="23"/>
  <c r="FB35" i="2" s="1"/>
  <c r="AA532" i="23"/>
  <c r="CT35" i="2" s="1"/>
  <c r="AA533" i="23"/>
  <c r="AA534" i="23"/>
  <c r="FE35" i="2" s="1"/>
  <c r="AA535" i="23"/>
  <c r="AA536" i="23"/>
  <c r="DF35" i="2" s="1"/>
  <c r="AA537" i="23"/>
  <c r="AA538" i="23"/>
  <c r="AA539" i="23"/>
  <c r="AA540" i="23"/>
  <c r="AA541" i="23"/>
  <c r="AA542" i="23"/>
  <c r="AA517" i="23"/>
  <c r="BA35" i="2" s="1"/>
  <c r="AA478" i="23"/>
  <c r="AA479" i="23"/>
  <c r="G15" i="35" s="1"/>
  <c r="AA480" i="23"/>
  <c r="J15" i="35" s="1"/>
  <c r="AA481" i="23"/>
  <c r="P15" i="35" s="1"/>
  <c r="AA482" i="23"/>
  <c r="S15" i="35" s="1"/>
  <c r="AA483" i="23"/>
  <c r="EU34" i="2"/>
  <c r="AA485" i="23"/>
  <c r="BY34" i="2" s="1"/>
  <c r="AA486" i="23"/>
  <c r="AA487" i="23"/>
  <c r="AA488" i="23"/>
  <c r="CH34" i="2" s="1"/>
  <c r="AA489" i="23"/>
  <c r="EZ34" i="2" s="1"/>
  <c r="AA490" i="23"/>
  <c r="FA34" i="2" s="1"/>
  <c r="AA491" i="23"/>
  <c r="AA492" i="23"/>
  <c r="FC34" i="2" s="1"/>
  <c r="AA493" i="23"/>
  <c r="FD34" i="2" s="1"/>
  <c r="AA494" i="23"/>
  <c r="AA495" i="23"/>
  <c r="AA496" i="23"/>
  <c r="FG34" i="2" s="1"/>
  <c r="AA497" i="23"/>
  <c r="AA498" i="23"/>
  <c r="AA499" i="23"/>
  <c r="AA500" i="23"/>
  <c r="AA501" i="23"/>
  <c r="AA502" i="23"/>
  <c r="M15" i="35"/>
  <c r="AA438" i="23"/>
  <c r="AA439" i="23"/>
  <c r="AA440" i="23"/>
  <c r="J14" i="35" s="1"/>
  <c r="AA441" i="23"/>
  <c r="M14" i="35" s="1"/>
  <c r="AA442" i="23"/>
  <c r="AA443" i="23"/>
  <c r="BS33" i="2" s="1"/>
  <c r="AA444" i="23"/>
  <c r="EU33" i="2" s="1"/>
  <c r="AA445" i="23"/>
  <c r="BY33" i="2" s="1"/>
  <c r="AA446" i="23"/>
  <c r="AA447" i="23"/>
  <c r="CE33" i="2" s="1"/>
  <c r="AA448" i="23"/>
  <c r="AA449" i="23"/>
  <c r="AA450" i="23"/>
  <c r="AA451" i="23"/>
  <c r="FB33" i="2" s="1"/>
  <c r="AA452" i="23"/>
  <c r="CT33" i="2" s="1"/>
  <c r="AA453" i="23"/>
  <c r="FD33" i="2" s="1"/>
  <c r="AA454" i="23"/>
  <c r="CZ33" i="2" s="1"/>
  <c r="AA455" i="23"/>
  <c r="FF33" i="2" s="1"/>
  <c r="AA456" i="23"/>
  <c r="DF33" i="2" s="1"/>
  <c r="AA457" i="23"/>
  <c r="AA458" i="23"/>
  <c r="AA459" i="23"/>
  <c r="AA460" i="23"/>
  <c r="AA461" i="23"/>
  <c r="AA462" i="23"/>
  <c r="AA437" i="23"/>
  <c r="AA398" i="23"/>
  <c r="D13" i="35" s="1"/>
  <c r="AA399" i="23"/>
  <c r="AA400" i="23"/>
  <c r="AA401" i="23"/>
  <c r="AA402" i="23"/>
  <c r="AA403" i="23"/>
  <c r="AA404" i="23"/>
  <c r="S13" i="35" s="1"/>
  <c r="AA405" i="23"/>
  <c r="EV32" i="2" s="1"/>
  <c r="AA406" i="23"/>
  <c r="EW32" i="2" s="1"/>
  <c r="AA407" i="23"/>
  <c r="AA408" i="23"/>
  <c r="AA409" i="23"/>
  <c r="EZ32" i="2" s="1"/>
  <c r="AA410" i="23"/>
  <c r="FA32" i="2" s="1"/>
  <c r="AA411" i="23"/>
  <c r="CQ32" i="2" s="1"/>
  <c r="AA412" i="23"/>
  <c r="FC32" i="2" s="1"/>
  <c r="AA413" i="23"/>
  <c r="CW32" i="2" s="1"/>
  <c r="AA414" i="23"/>
  <c r="FE32" i="2" s="1"/>
  <c r="AA415" i="23"/>
  <c r="DC32" i="2" s="1"/>
  <c r="AA416" i="23"/>
  <c r="AA417" i="23"/>
  <c r="AA418" i="23"/>
  <c r="AA419" i="23"/>
  <c r="AA420" i="23"/>
  <c r="AA421" i="23"/>
  <c r="AA422" i="23"/>
  <c r="AA397" i="23"/>
  <c r="BA32" i="2" s="1"/>
  <c r="AA358" i="23"/>
  <c r="AA359" i="23"/>
  <c r="AA360" i="23"/>
  <c r="AA361" i="23"/>
  <c r="AA364" i="23"/>
  <c r="AA365" i="23"/>
  <c r="AA366" i="23"/>
  <c r="AA367" i="23"/>
  <c r="AA368" i="23"/>
  <c r="CH31" i="2" s="1"/>
  <c r="AA369" i="23"/>
  <c r="T12" i="35" s="1"/>
  <c r="AA370" i="23"/>
  <c r="CN31" i="2" s="1"/>
  <c r="AA371" i="23"/>
  <c r="FB31" i="2" s="1"/>
  <c r="AA372" i="23"/>
  <c r="CT31" i="2" s="1"/>
  <c r="AA373" i="23"/>
  <c r="AA374" i="23"/>
  <c r="CZ31" i="2" s="1"/>
  <c r="AA375" i="23"/>
  <c r="AA376" i="23"/>
  <c r="DF31" i="2" s="1"/>
  <c r="AA377" i="23"/>
  <c r="AA378" i="23"/>
  <c r="AA379" i="23"/>
  <c r="AA380" i="23"/>
  <c r="AA381" i="23"/>
  <c r="AA357" i="23"/>
  <c r="EN31" i="2" s="1"/>
  <c r="AA278" i="23"/>
  <c r="EP29" i="2"/>
  <c r="BM29" i="2"/>
  <c r="AA283" i="23"/>
  <c r="BS29" i="2" s="1"/>
  <c r="AA284" i="23"/>
  <c r="AA285" i="23"/>
  <c r="EV29" i="2" s="1"/>
  <c r="AA286" i="23"/>
  <c r="AA287" i="23"/>
  <c r="CE29" i="2" s="1"/>
  <c r="AA288" i="23"/>
  <c r="CH29" i="2" s="1"/>
  <c r="AA289" i="23"/>
  <c r="CK29" i="2" s="1"/>
  <c r="AA290" i="23"/>
  <c r="FA29" i="2" s="1"/>
  <c r="AA291" i="23"/>
  <c r="FB29" i="2" s="1"/>
  <c r="AA292" i="23"/>
  <c r="AA293" i="23"/>
  <c r="CW29" i="2" s="1"/>
  <c r="AA294" i="23"/>
  <c r="AA295" i="23"/>
  <c r="DC29" i="2" s="1"/>
  <c r="AA296" i="23"/>
  <c r="DF29" i="2" s="1"/>
  <c r="AA297" i="23"/>
  <c r="AA298" i="23"/>
  <c r="AA299" i="23"/>
  <c r="AA300" i="23"/>
  <c r="AA301" i="23"/>
  <c r="AA238" i="23"/>
  <c r="AA239" i="23"/>
  <c r="E9" i="35" s="1"/>
  <c r="AA240" i="23"/>
  <c r="EQ28" i="2" s="1"/>
  <c r="AA241" i="23"/>
  <c r="AA242" i="23"/>
  <c r="ES28" i="2" s="1"/>
  <c r="AA243" i="23"/>
  <c r="AA244" i="23"/>
  <c r="EU28" i="2" s="1"/>
  <c r="AA245" i="23"/>
  <c r="EV28" i="2" s="1"/>
  <c r="AA246" i="23"/>
  <c r="EW28" i="2" s="1"/>
  <c r="AA247" i="23"/>
  <c r="AA248" i="23"/>
  <c r="AA249" i="23"/>
  <c r="CK28" i="2" s="1"/>
  <c r="AA250" i="23"/>
  <c r="U9" i="35" s="1"/>
  <c r="AA251" i="23"/>
  <c r="AA252" i="23"/>
  <c r="FC28" i="2" s="1"/>
  <c r="AA253" i="23"/>
  <c r="AA254" i="23"/>
  <c r="FE28" i="2" s="1"/>
  <c r="AA255" i="23"/>
  <c r="DC28" i="2" s="1"/>
  <c r="AA256" i="23"/>
  <c r="AA257" i="23"/>
  <c r="AA258" i="23"/>
  <c r="AA259" i="23"/>
  <c r="AA260" i="23"/>
  <c r="AA261" i="23"/>
  <c r="AA39" i="23"/>
  <c r="AA40" i="23"/>
  <c r="AA41" i="23"/>
  <c r="H4" i="35" s="1"/>
  <c r="AA42" i="23"/>
  <c r="AA43" i="23"/>
  <c r="AA45" i="23"/>
  <c r="AA46" i="23"/>
  <c r="P4" i="35" s="1"/>
  <c r="AA47" i="23"/>
  <c r="AA48" i="23"/>
  <c r="CH23" i="2" s="1"/>
  <c r="AA49" i="23"/>
  <c r="AA50" i="23"/>
  <c r="AA51" i="23"/>
  <c r="AA52" i="23"/>
  <c r="AA53" i="23"/>
  <c r="CW23" i="2" s="1"/>
  <c r="AA54" i="23"/>
  <c r="AA55" i="23"/>
  <c r="AA56" i="23"/>
  <c r="AA57" i="23"/>
  <c r="AA58" i="23"/>
  <c r="AA59" i="23"/>
  <c r="AA60" i="23"/>
  <c r="AA61" i="23"/>
  <c r="AA62" i="23"/>
  <c r="AA198" i="23"/>
  <c r="AA199" i="23"/>
  <c r="AA200" i="23"/>
  <c r="BJ27" i="2" s="1"/>
  <c r="AA201" i="23"/>
  <c r="AA202" i="23"/>
  <c r="BP27" i="2" s="1"/>
  <c r="AA203" i="23"/>
  <c r="AA204" i="23"/>
  <c r="AA205" i="23"/>
  <c r="AA206" i="23"/>
  <c r="AA207" i="23"/>
  <c r="CE27" i="2" s="1"/>
  <c r="AA208" i="23"/>
  <c r="AA209" i="23"/>
  <c r="CK27" i="2" s="1"/>
  <c r="AA210" i="23"/>
  <c r="FA27" i="2" s="1"/>
  <c r="AA211" i="23"/>
  <c r="FB27" i="2" s="1"/>
  <c r="AA212" i="23"/>
  <c r="CT27" i="2" s="1"/>
  <c r="AA213" i="23"/>
  <c r="FD27" i="2" s="1"/>
  <c r="AA214" i="23"/>
  <c r="FE27" i="2" s="1"/>
  <c r="AA215" i="23"/>
  <c r="DC27" i="2" s="1"/>
  <c r="AA216" i="23"/>
  <c r="DF27" i="2" s="1"/>
  <c r="AA217" i="23"/>
  <c r="AA218" i="23"/>
  <c r="AA219" i="23"/>
  <c r="AA220" i="23"/>
  <c r="AA221" i="23"/>
  <c r="AA222" i="23"/>
  <c r="AA197" i="23"/>
  <c r="EN27" i="2" s="1"/>
  <c r="AA159" i="23"/>
  <c r="AA160" i="23"/>
  <c r="EQ26" i="2" s="1"/>
  <c r="AA161" i="23"/>
  <c r="ER26" i="2" s="1"/>
  <c r="AA163" i="23"/>
  <c r="K7" i="35" s="1"/>
  <c r="AA164" i="23"/>
  <c r="AA165" i="23"/>
  <c r="N7" i="35" s="1"/>
  <c r="AA166" i="23"/>
  <c r="AA167" i="23"/>
  <c r="Q7" i="35" s="1"/>
  <c r="AA168" i="23"/>
  <c r="AA169" i="23"/>
  <c r="EZ26" i="2" s="1"/>
  <c r="AA170" i="23"/>
  <c r="AA171" i="23"/>
  <c r="AA172" i="23"/>
  <c r="FC26" i="2" s="1"/>
  <c r="AA173" i="23"/>
  <c r="FD26" i="2" s="1"/>
  <c r="AA174" i="23"/>
  <c r="AA175" i="23"/>
  <c r="AA176" i="23"/>
  <c r="AA177" i="23"/>
  <c r="AA178" i="23"/>
  <c r="AA179" i="23"/>
  <c r="AA180" i="23"/>
  <c r="AA181" i="23"/>
  <c r="AA182" i="23"/>
  <c r="AA157" i="23"/>
  <c r="EN26" i="2" s="1"/>
  <c r="AA138" i="23"/>
  <c r="AA139" i="23"/>
  <c r="AA140" i="23"/>
  <c r="AA141" i="23"/>
  <c r="AA142" i="23"/>
  <c r="AA91" i="23"/>
  <c r="U5" i="35" s="1"/>
  <c r="AA79" i="23"/>
  <c r="AA80" i="23"/>
  <c r="AA81" i="23"/>
  <c r="ER24" i="2" s="1"/>
  <c r="AA82" i="23"/>
  <c r="AA84" i="23"/>
  <c r="AA85" i="23"/>
  <c r="AA86" i="23"/>
  <c r="N5" i="35" s="1"/>
  <c r="AA87" i="23"/>
  <c r="P5" i="35" s="1"/>
  <c r="AA88" i="23"/>
  <c r="CH24" i="2" s="1"/>
  <c r="AA89" i="23"/>
  <c r="AA90" i="23"/>
  <c r="T5" i="35" s="1"/>
  <c r="AA92" i="23"/>
  <c r="FC24" i="2" s="1"/>
  <c r="AA93" i="23"/>
  <c r="CW24" i="2" s="1"/>
  <c r="AA94" i="23"/>
  <c r="AA95" i="23"/>
  <c r="DC24" i="2" s="1"/>
  <c r="AA96" i="23"/>
  <c r="FG24" i="2" s="1"/>
  <c r="AA97" i="23"/>
  <c r="AA98" i="23"/>
  <c r="AA99" i="23"/>
  <c r="AA100" i="23"/>
  <c r="AA101" i="23"/>
  <c r="AA102" i="23"/>
  <c r="AJ623" i="23"/>
  <c r="AI623" i="23"/>
  <c r="AJ583" i="23"/>
  <c r="AI583" i="23"/>
  <c r="AJ543" i="23"/>
  <c r="AI543" i="23"/>
  <c r="AJ503" i="23"/>
  <c r="AI503" i="23"/>
  <c r="AJ463" i="23"/>
  <c r="AI463" i="23"/>
  <c r="AJ423" i="23"/>
  <c r="AI423" i="23"/>
  <c r="AJ383" i="23"/>
  <c r="AI383" i="23"/>
  <c r="AJ343" i="23"/>
  <c r="AI343" i="23"/>
  <c r="AJ303" i="23"/>
  <c r="AI303" i="23"/>
  <c r="AJ263" i="23"/>
  <c r="AI263" i="23"/>
  <c r="AJ223" i="23"/>
  <c r="AI223" i="23"/>
  <c r="AJ183" i="23"/>
  <c r="AI183" i="23"/>
  <c r="AJ143" i="23"/>
  <c r="AI143" i="23"/>
  <c r="AJ103" i="23"/>
  <c r="AI103" i="23"/>
  <c r="AJ63" i="23"/>
  <c r="AI63" i="23"/>
  <c r="AH623" i="23"/>
  <c r="AG623" i="23"/>
  <c r="AH583" i="23"/>
  <c r="AG583" i="23"/>
  <c r="AH543" i="23"/>
  <c r="AG543" i="23"/>
  <c r="AH503" i="23"/>
  <c r="AG503" i="23"/>
  <c r="AH463" i="23"/>
  <c r="AG463" i="23"/>
  <c r="AH423" i="23"/>
  <c r="AG423" i="23"/>
  <c r="AH383" i="23"/>
  <c r="AG383" i="23"/>
  <c r="AH343" i="23"/>
  <c r="AG343" i="23"/>
  <c r="AH303" i="23"/>
  <c r="AG303" i="23"/>
  <c r="AH263" i="23"/>
  <c r="AG263" i="23"/>
  <c r="AH223" i="23"/>
  <c r="AG223" i="23"/>
  <c r="AH183" i="23"/>
  <c r="AG183" i="23"/>
  <c r="AH143" i="23"/>
  <c r="AG143" i="23"/>
  <c r="AH103" i="23"/>
  <c r="AG103" i="23"/>
  <c r="AH63" i="23"/>
  <c r="AG63" i="23"/>
  <c r="AB3" i="22"/>
  <c r="AC3" i="22"/>
  <c r="AB4" i="22"/>
  <c r="AC4" i="22"/>
  <c r="AB5" i="22"/>
  <c r="AC5" i="22"/>
  <c r="AB6" i="22"/>
  <c r="AC6" i="22"/>
  <c r="AB7" i="22"/>
  <c r="AC7" i="22"/>
  <c r="AB8" i="22"/>
  <c r="AC8" i="22"/>
  <c r="AB9" i="22"/>
  <c r="AC9" i="22"/>
  <c r="AB10" i="22"/>
  <c r="AC10" i="22"/>
  <c r="AB11" i="22"/>
  <c r="AC11" i="22"/>
  <c r="AB12" i="22"/>
  <c r="AC12" i="22"/>
  <c r="AB13" i="22"/>
  <c r="AC13" i="22"/>
  <c r="AB14" i="22"/>
  <c r="AC14" i="22"/>
  <c r="AB15" i="22"/>
  <c r="AC15" i="22"/>
  <c r="AB16" i="22"/>
  <c r="AC16" i="22"/>
  <c r="AB17" i="22"/>
  <c r="AC17" i="22"/>
  <c r="AB18" i="22"/>
  <c r="AC18" i="22"/>
  <c r="AB19" i="22"/>
  <c r="AC19" i="22"/>
  <c r="AB20" i="22"/>
  <c r="AC20" i="22"/>
  <c r="M533" i="25"/>
  <c r="AF623" i="23"/>
  <c r="AE623" i="23"/>
  <c r="AD623" i="23"/>
  <c r="AC623" i="23"/>
  <c r="AF583" i="23"/>
  <c r="AE583" i="23"/>
  <c r="AD583" i="23"/>
  <c r="AC583" i="23"/>
  <c r="AF543" i="23"/>
  <c r="AE543" i="23"/>
  <c r="AD543" i="23"/>
  <c r="AC543" i="23"/>
  <c r="AF503" i="23"/>
  <c r="AE503" i="23"/>
  <c r="AF463" i="23"/>
  <c r="AE463" i="23"/>
  <c r="AD463" i="23"/>
  <c r="AC463" i="23"/>
  <c r="AF423" i="23"/>
  <c r="AE423" i="23"/>
  <c r="AD423" i="23"/>
  <c r="AC423" i="23"/>
  <c r="AF383" i="23"/>
  <c r="AE383" i="23"/>
  <c r="AD383" i="23"/>
  <c r="AF343" i="23"/>
  <c r="AE343" i="23"/>
  <c r="AD343" i="23"/>
  <c r="AC343" i="23"/>
  <c r="AF303" i="23"/>
  <c r="AE303" i="23"/>
  <c r="AD303" i="23"/>
  <c r="AC303" i="23"/>
  <c r="AF263" i="23"/>
  <c r="AE263" i="23"/>
  <c r="AD263" i="23"/>
  <c r="AC263" i="23"/>
  <c r="AF223" i="23"/>
  <c r="AE223" i="23"/>
  <c r="AD223" i="23"/>
  <c r="AC223" i="23"/>
  <c r="AF183" i="23"/>
  <c r="AE183" i="23"/>
  <c r="AD183" i="23"/>
  <c r="AC183" i="23"/>
  <c r="AF143" i="23"/>
  <c r="AE143" i="23"/>
  <c r="AD143" i="23"/>
  <c r="AC143" i="23"/>
  <c r="AF103" i="23"/>
  <c r="AE103" i="23"/>
  <c r="AD103" i="23"/>
  <c r="AC103" i="23"/>
  <c r="AD63" i="23"/>
  <c r="AC64" i="23" s="1"/>
  <c r="AK64" i="23" s="1"/>
  <c r="AE63" i="23"/>
  <c r="AF63" i="23"/>
  <c r="AB43" i="22"/>
  <c r="AC43" i="22"/>
  <c r="AB44" i="22"/>
  <c r="AC44" i="22"/>
  <c r="AB45" i="22"/>
  <c r="AC45" i="22"/>
  <c r="AB46" i="22"/>
  <c r="AC46" i="22"/>
  <c r="AB47" i="22"/>
  <c r="AC47" i="22"/>
  <c r="AB48" i="22"/>
  <c r="AC48" i="22"/>
  <c r="AB49" i="22"/>
  <c r="AC49" i="22"/>
  <c r="AB50" i="22"/>
  <c r="AC50" i="22"/>
  <c r="AB51" i="22"/>
  <c r="AC51" i="22"/>
  <c r="AB52" i="22"/>
  <c r="AC52" i="22"/>
  <c r="AB53" i="22"/>
  <c r="AC53" i="22"/>
  <c r="AB54" i="22"/>
  <c r="AC54" i="22"/>
  <c r="AB55" i="22"/>
  <c r="AC55" i="22"/>
  <c r="AB56" i="22"/>
  <c r="AC56" i="22"/>
  <c r="AB57" i="22"/>
  <c r="AC57" i="22"/>
  <c r="AB58" i="22"/>
  <c r="AC58" i="22"/>
  <c r="AB59" i="22"/>
  <c r="AC59" i="22"/>
  <c r="AB60" i="22"/>
  <c r="AC60" i="22"/>
  <c r="AE43" i="22"/>
  <c r="AF43" i="22"/>
  <c r="AE44" i="22"/>
  <c r="AF44" i="22"/>
  <c r="AE45" i="22"/>
  <c r="AF45" i="22"/>
  <c r="AE46" i="22"/>
  <c r="AF46" i="22"/>
  <c r="AE47" i="22"/>
  <c r="AF47" i="22"/>
  <c r="AE48" i="22"/>
  <c r="AF48" i="22"/>
  <c r="AE49" i="22"/>
  <c r="AF49" i="22"/>
  <c r="AE50" i="22"/>
  <c r="AF50" i="22"/>
  <c r="AE51" i="22"/>
  <c r="AF51" i="22"/>
  <c r="AE52" i="22"/>
  <c r="AF52" i="22"/>
  <c r="AE53" i="22"/>
  <c r="AF53" i="22"/>
  <c r="AE54" i="22"/>
  <c r="AF54" i="22"/>
  <c r="AE55" i="22"/>
  <c r="AF55" i="22"/>
  <c r="AE56" i="22"/>
  <c r="AF56" i="22"/>
  <c r="AE57" i="22"/>
  <c r="AF57" i="22"/>
  <c r="AE58" i="22"/>
  <c r="AF58" i="22"/>
  <c r="AE59" i="22"/>
  <c r="AF59" i="22"/>
  <c r="AE60" i="22"/>
  <c r="AF60" i="22"/>
  <c r="AH43" i="22"/>
  <c r="AI43" i="22"/>
  <c r="AH44" i="22"/>
  <c r="AI44" i="22"/>
  <c r="AH45" i="22"/>
  <c r="AI45" i="22"/>
  <c r="AH46" i="22"/>
  <c r="AI46" i="22"/>
  <c r="AH47" i="22"/>
  <c r="AI47" i="22"/>
  <c r="AH48" i="22"/>
  <c r="AI48" i="22"/>
  <c r="AH49" i="22"/>
  <c r="AI49" i="22"/>
  <c r="AH50" i="22"/>
  <c r="AI50" i="22"/>
  <c r="AH51" i="22"/>
  <c r="AI51" i="22"/>
  <c r="AH52" i="22"/>
  <c r="AI52" i="22"/>
  <c r="AH53" i="22"/>
  <c r="AI53" i="22"/>
  <c r="AH54" i="22"/>
  <c r="AI54" i="22"/>
  <c r="AH55" i="22"/>
  <c r="AI55" i="22"/>
  <c r="AH56" i="22"/>
  <c r="AI56" i="22"/>
  <c r="AH57" i="22"/>
  <c r="AI57" i="22"/>
  <c r="AH58" i="22"/>
  <c r="AI58" i="22"/>
  <c r="AH59" i="22"/>
  <c r="AI59" i="22"/>
  <c r="AH60" i="22"/>
  <c r="AI60" i="22"/>
  <c r="AK43" i="22"/>
  <c r="AL43" i="22"/>
  <c r="AK44" i="22"/>
  <c r="AL44" i="22"/>
  <c r="AK45" i="22"/>
  <c r="AL45" i="22"/>
  <c r="AK46" i="22"/>
  <c r="AL46" i="22"/>
  <c r="AK47" i="22"/>
  <c r="AL47" i="22"/>
  <c r="AK48" i="22"/>
  <c r="AL48" i="22"/>
  <c r="AK49" i="22"/>
  <c r="AL49" i="22"/>
  <c r="AK50" i="22"/>
  <c r="AL50" i="22"/>
  <c r="AK51" i="22"/>
  <c r="AL51" i="22"/>
  <c r="AK52" i="22"/>
  <c r="AL52" i="22"/>
  <c r="AK53" i="22"/>
  <c r="AL53" i="22"/>
  <c r="AK54" i="22"/>
  <c r="AL54" i="22"/>
  <c r="AK55" i="22"/>
  <c r="AL55" i="22"/>
  <c r="AK56" i="22"/>
  <c r="AL56" i="22"/>
  <c r="AK57" i="22"/>
  <c r="AL57" i="22"/>
  <c r="AK58" i="22"/>
  <c r="AL58" i="22"/>
  <c r="AK59" i="22"/>
  <c r="AL59" i="22"/>
  <c r="AK60" i="22"/>
  <c r="AL60" i="22"/>
  <c r="AN43" i="22"/>
  <c r="AO43" i="22"/>
  <c r="AN44" i="22"/>
  <c r="AO44" i="22"/>
  <c r="AN45" i="22"/>
  <c r="AO45" i="22"/>
  <c r="AN46" i="22"/>
  <c r="AO46" i="22"/>
  <c r="AN47" i="22"/>
  <c r="AO47" i="22"/>
  <c r="AN48" i="22"/>
  <c r="AO48" i="22"/>
  <c r="AN49" i="22"/>
  <c r="AO49" i="22"/>
  <c r="AN50" i="22"/>
  <c r="AO50" i="22"/>
  <c r="AN51" i="22"/>
  <c r="AO51" i="22"/>
  <c r="AN52" i="22"/>
  <c r="AO52" i="22"/>
  <c r="AN53" i="22"/>
  <c r="AO53" i="22"/>
  <c r="AN54" i="22"/>
  <c r="AO54" i="22"/>
  <c r="AN55" i="22"/>
  <c r="AO55" i="22"/>
  <c r="AN56" i="22"/>
  <c r="AO56" i="22"/>
  <c r="AN57" i="22"/>
  <c r="AO57" i="22"/>
  <c r="AN58" i="22"/>
  <c r="AO58" i="22"/>
  <c r="AN59" i="22"/>
  <c r="AO59" i="22"/>
  <c r="AN60" i="22"/>
  <c r="AO60" i="22"/>
  <c r="AQ43" i="22"/>
  <c r="AR43" i="22"/>
  <c r="AQ44" i="22"/>
  <c r="AR44" i="22"/>
  <c r="AQ45" i="22"/>
  <c r="AR45" i="22"/>
  <c r="AQ46" i="22"/>
  <c r="AR46" i="22"/>
  <c r="AQ47" i="22"/>
  <c r="AR47" i="22"/>
  <c r="AQ48" i="22"/>
  <c r="AR48" i="22"/>
  <c r="AQ49" i="22"/>
  <c r="AR49" i="22"/>
  <c r="AQ50" i="22"/>
  <c r="AR50" i="22"/>
  <c r="AQ51" i="22"/>
  <c r="AR51" i="22"/>
  <c r="AQ52" i="22"/>
  <c r="AR52" i="22"/>
  <c r="AQ53" i="22"/>
  <c r="AR53" i="22"/>
  <c r="AQ54" i="22"/>
  <c r="AR54" i="22"/>
  <c r="AQ55" i="22"/>
  <c r="AR55" i="22"/>
  <c r="AQ56" i="22"/>
  <c r="AR56" i="22"/>
  <c r="AQ57" i="22"/>
  <c r="AR57" i="22"/>
  <c r="AQ58" i="22"/>
  <c r="AR58" i="22"/>
  <c r="AQ59" i="22"/>
  <c r="AR59" i="22"/>
  <c r="AQ60" i="22"/>
  <c r="AR60" i="22"/>
  <c r="AT43" i="22"/>
  <c r="AU43" i="22"/>
  <c r="AT44" i="22"/>
  <c r="AU44" i="22"/>
  <c r="AT45" i="22"/>
  <c r="AU45" i="22"/>
  <c r="AT46" i="22"/>
  <c r="AU46" i="22"/>
  <c r="AT47" i="22"/>
  <c r="AU47" i="22"/>
  <c r="AT48" i="22"/>
  <c r="AU48" i="22"/>
  <c r="AT49" i="22"/>
  <c r="AU49" i="22"/>
  <c r="AT50" i="22"/>
  <c r="AU50" i="22"/>
  <c r="AT51" i="22"/>
  <c r="AU51" i="22"/>
  <c r="AT52" i="22"/>
  <c r="AU52" i="22"/>
  <c r="AT53" i="22"/>
  <c r="AU53" i="22"/>
  <c r="AT54" i="22"/>
  <c r="AU54" i="22"/>
  <c r="AT55" i="22"/>
  <c r="AU55" i="22"/>
  <c r="AT56" i="22"/>
  <c r="AU56" i="22"/>
  <c r="AT57" i="22"/>
  <c r="AU57" i="22"/>
  <c r="AT58" i="22"/>
  <c r="AU58" i="22"/>
  <c r="AT59" i="22"/>
  <c r="AU59" i="22"/>
  <c r="AT60" i="22"/>
  <c r="AU60" i="22"/>
  <c r="AW43" i="22"/>
  <c r="AW44" i="22"/>
  <c r="AX44" i="22"/>
  <c r="AW45" i="22"/>
  <c r="AX45" i="22"/>
  <c r="AW46" i="22"/>
  <c r="AX46" i="22"/>
  <c r="AW47" i="22"/>
  <c r="AX47" i="22"/>
  <c r="AW48" i="22"/>
  <c r="AX48" i="22"/>
  <c r="AW49" i="22"/>
  <c r="AX49" i="22"/>
  <c r="AW50" i="22"/>
  <c r="AX50" i="22"/>
  <c r="AW51" i="22"/>
  <c r="AX51" i="22"/>
  <c r="AW52" i="22"/>
  <c r="AX52" i="22"/>
  <c r="AW53" i="22"/>
  <c r="AX53" i="22"/>
  <c r="AW54" i="22"/>
  <c r="AX54" i="22"/>
  <c r="AW55" i="22"/>
  <c r="AX55" i="22"/>
  <c r="AW56" i="22"/>
  <c r="AX56" i="22"/>
  <c r="AW57" i="22"/>
  <c r="AX57" i="22"/>
  <c r="AW58" i="22"/>
  <c r="AX58" i="22"/>
  <c r="AW59" i="22"/>
  <c r="AX59" i="22"/>
  <c r="AW60" i="22"/>
  <c r="AX60" i="22"/>
  <c r="AZ43" i="22"/>
  <c r="BA43" i="22"/>
  <c r="AZ44" i="22"/>
  <c r="BA44" i="22"/>
  <c r="AZ45" i="22"/>
  <c r="BA45" i="22"/>
  <c r="AZ46" i="22"/>
  <c r="BA46" i="22"/>
  <c r="AZ47" i="22"/>
  <c r="BA47" i="22"/>
  <c r="AZ48" i="22"/>
  <c r="BA48" i="22"/>
  <c r="AZ49" i="22"/>
  <c r="BA49" i="22"/>
  <c r="AZ50" i="22"/>
  <c r="BA50" i="22"/>
  <c r="AZ51" i="22"/>
  <c r="BA51" i="22"/>
  <c r="AZ52" i="22"/>
  <c r="BA52" i="22"/>
  <c r="AZ53" i="22"/>
  <c r="BA53" i="22"/>
  <c r="AZ54" i="22"/>
  <c r="BA54" i="22"/>
  <c r="AZ55" i="22"/>
  <c r="BA55" i="22"/>
  <c r="AZ56" i="22"/>
  <c r="BA56" i="22"/>
  <c r="AZ57" i="22"/>
  <c r="BA57" i="22"/>
  <c r="AZ58" i="22"/>
  <c r="BA58" i="22"/>
  <c r="AZ59" i="22"/>
  <c r="BA59" i="22"/>
  <c r="AZ60" i="22"/>
  <c r="BA60" i="22"/>
  <c r="BC43" i="22"/>
  <c r="BD43" i="22"/>
  <c r="BC44" i="22"/>
  <c r="BD44" i="22"/>
  <c r="BC45" i="22"/>
  <c r="BD45" i="22"/>
  <c r="BC46" i="22"/>
  <c r="BD46" i="22"/>
  <c r="BC47" i="22"/>
  <c r="BD47" i="22"/>
  <c r="BC48" i="22"/>
  <c r="BD48" i="22"/>
  <c r="BC49" i="22"/>
  <c r="BD49" i="22"/>
  <c r="BC50" i="22"/>
  <c r="BD50" i="22"/>
  <c r="BC51" i="22"/>
  <c r="BD51" i="22"/>
  <c r="BC52" i="22"/>
  <c r="BD52" i="22"/>
  <c r="BC53" i="22"/>
  <c r="BD53" i="22"/>
  <c r="BC54" i="22"/>
  <c r="BD54" i="22"/>
  <c r="BC55" i="22"/>
  <c r="BD55" i="22"/>
  <c r="BC56" i="22"/>
  <c r="BD56" i="22"/>
  <c r="BC57" i="22"/>
  <c r="BD57" i="22"/>
  <c r="BC58" i="22"/>
  <c r="BD58" i="22"/>
  <c r="BC59" i="22"/>
  <c r="BD59" i="22"/>
  <c r="BC60" i="22"/>
  <c r="BD60" i="22"/>
  <c r="BF43" i="22"/>
  <c r="BG43" i="22"/>
  <c r="BF44" i="22"/>
  <c r="BG44" i="22"/>
  <c r="BF45" i="22"/>
  <c r="BG45" i="22"/>
  <c r="BF46" i="22"/>
  <c r="BG46" i="22"/>
  <c r="BF47" i="22"/>
  <c r="BG47" i="22"/>
  <c r="BF48" i="22"/>
  <c r="BG48" i="22"/>
  <c r="BF49" i="22"/>
  <c r="BG49" i="22"/>
  <c r="BF50" i="22"/>
  <c r="BG50" i="22"/>
  <c r="BF51" i="22"/>
  <c r="BG51" i="22"/>
  <c r="BF52" i="22"/>
  <c r="BG52" i="22"/>
  <c r="BF53" i="22"/>
  <c r="BG53" i="22"/>
  <c r="BF54" i="22"/>
  <c r="BG54" i="22"/>
  <c r="BF55" i="22"/>
  <c r="BG55" i="22"/>
  <c r="BF56" i="22"/>
  <c r="BG56" i="22"/>
  <c r="BF57" i="22"/>
  <c r="BG57" i="22"/>
  <c r="BF58" i="22"/>
  <c r="BG58" i="22"/>
  <c r="BF59" i="22"/>
  <c r="BG59" i="22"/>
  <c r="BF60" i="22"/>
  <c r="BG60" i="22"/>
  <c r="BI43" i="22"/>
  <c r="BJ43" i="22"/>
  <c r="BI44" i="22"/>
  <c r="BJ44" i="22"/>
  <c r="BI45" i="22"/>
  <c r="BJ45" i="22"/>
  <c r="BI46" i="22"/>
  <c r="BJ46" i="22"/>
  <c r="BI47" i="22"/>
  <c r="BJ47" i="22"/>
  <c r="BI48" i="22"/>
  <c r="BJ48" i="22"/>
  <c r="BI49" i="22"/>
  <c r="BJ49" i="22"/>
  <c r="BI50" i="22"/>
  <c r="BJ50" i="22"/>
  <c r="BI51" i="22"/>
  <c r="BJ51" i="22"/>
  <c r="BI52" i="22"/>
  <c r="BJ52" i="22"/>
  <c r="BI53" i="22"/>
  <c r="BJ53" i="22"/>
  <c r="BI54" i="22"/>
  <c r="BJ54" i="22"/>
  <c r="BI55" i="22"/>
  <c r="BJ55" i="22"/>
  <c r="BI56" i="22"/>
  <c r="BJ56" i="22"/>
  <c r="BI57" i="22"/>
  <c r="BJ57" i="22"/>
  <c r="BI58" i="22"/>
  <c r="BJ58" i="22"/>
  <c r="BI59" i="22"/>
  <c r="BJ59" i="22"/>
  <c r="BI60" i="22"/>
  <c r="BJ60" i="22"/>
  <c r="BL43" i="22"/>
  <c r="BM43" i="22"/>
  <c r="BL44" i="22"/>
  <c r="BM44" i="22"/>
  <c r="BL45" i="22"/>
  <c r="BM45" i="22"/>
  <c r="BL46" i="22"/>
  <c r="BM46" i="22"/>
  <c r="BL47" i="22"/>
  <c r="BM47" i="22"/>
  <c r="BL48" i="22"/>
  <c r="BM48" i="22"/>
  <c r="BL49" i="22"/>
  <c r="BM49" i="22"/>
  <c r="BL50" i="22"/>
  <c r="BM50" i="22"/>
  <c r="BL51" i="22"/>
  <c r="BM51" i="22"/>
  <c r="BL52" i="22"/>
  <c r="BM52" i="22"/>
  <c r="BL53" i="22"/>
  <c r="BM53" i="22"/>
  <c r="BL54" i="22"/>
  <c r="BM54" i="22"/>
  <c r="BL55" i="22"/>
  <c r="BM55" i="22"/>
  <c r="BL56" i="22"/>
  <c r="BM56" i="22"/>
  <c r="BL57" i="22"/>
  <c r="BM57" i="22"/>
  <c r="BL58" i="22"/>
  <c r="BM58" i="22"/>
  <c r="BL59" i="22"/>
  <c r="BM59" i="22"/>
  <c r="BL60" i="22"/>
  <c r="BM60" i="22"/>
  <c r="BO43" i="22"/>
  <c r="BP43" i="22"/>
  <c r="BO44" i="22"/>
  <c r="BP44" i="22"/>
  <c r="BO45" i="22"/>
  <c r="BP45" i="22"/>
  <c r="BO46" i="22"/>
  <c r="BP46" i="22"/>
  <c r="BO47" i="22"/>
  <c r="BP47" i="22"/>
  <c r="BO48" i="22"/>
  <c r="BP48" i="22"/>
  <c r="BO49" i="22"/>
  <c r="BP49" i="22"/>
  <c r="BO50" i="22"/>
  <c r="BP50" i="22"/>
  <c r="BO51" i="22"/>
  <c r="BP51" i="22"/>
  <c r="BO52" i="22"/>
  <c r="BP52" i="22"/>
  <c r="BO53" i="22"/>
  <c r="BP53" i="22"/>
  <c r="BO54" i="22"/>
  <c r="BP54" i="22"/>
  <c r="BO55" i="22"/>
  <c r="BP55" i="22"/>
  <c r="BO56" i="22"/>
  <c r="BP56" i="22"/>
  <c r="BO57" i="22"/>
  <c r="BP57" i="22"/>
  <c r="BO58" i="22"/>
  <c r="BP58" i="22"/>
  <c r="BO59" i="22"/>
  <c r="BP59" i="22"/>
  <c r="BO60" i="22"/>
  <c r="BP60" i="22"/>
  <c r="BU43" i="22"/>
  <c r="BV43" i="22"/>
  <c r="BU44" i="22"/>
  <c r="BV44" i="22"/>
  <c r="BU45" i="22"/>
  <c r="BV45" i="22"/>
  <c r="BU46" i="22"/>
  <c r="BV46" i="22"/>
  <c r="BU47" i="22"/>
  <c r="BV47" i="22"/>
  <c r="BU48" i="22"/>
  <c r="BV48" i="22"/>
  <c r="BU49" i="22"/>
  <c r="BV49" i="22"/>
  <c r="BU50" i="22"/>
  <c r="BV50" i="22"/>
  <c r="BU51" i="22"/>
  <c r="BV51" i="22"/>
  <c r="BU52" i="22"/>
  <c r="BV52" i="22"/>
  <c r="BU53" i="22"/>
  <c r="BV53" i="22"/>
  <c r="BU54" i="22"/>
  <c r="BV54" i="22"/>
  <c r="BU55" i="22"/>
  <c r="BV55" i="22"/>
  <c r="BU56" i="22"/>
  <c r="BV56" i="22"/>
  <c r="BU57" i="22"/>
  <c r="BV57" i="22"/>
  <c r="BU58" i="22"/>
  <c r="BV58" i="22"/>
  <c r="BU59" i="22"/>
  <c r="BV59" i="22"/>
  <c r="BU60" i="22"/>
  <c r="BV60" i="22"/>
  <c r="BR43" i="22"/>
  <c r="BS43" i="22"/>
  <c r="BR44" i="22"/>
  <c r="BS44" i="22"/>
  <c r="BR45" i="22"/>
  <c r="BS45" i="22"/>
  <c r="BR46" i="22"/>
  <c r="BS46" i="22"/>
  <c r="BR47" i="22"/>
  <c r="BS47" i="22"/>
  <c r="BR48" i="22"/>
  <c r="BS48" i="22"/>
  <c r="BR49" i="22"/>
  <c r="BS49" i="22"/>
  <c r="BR50" i="22"/>
  <c r="BS50" i="22"/>
  <c r="BR51" i="22"/>
  <c r="BS51" i="22"/>
  <c r="BR52" i="22"/>
  <c r="BS52" i="22"/>
  <c r="BR53" i="22"/>
  <c r="BS53" i="22"/>
  <c r="BR54" i="22"/>
  <c r="BS54" i="22"/>
  <c r="BR55" i="22"/>
  <c r="BS55" i="22"/>
  <c r="BR56" i="22"/>
  <c r="BS56" i="22"/>
  <c r="BR57" i="22"/>
  <c r="BS57" i="22"/>
  <c r="BR58" i="22"/>
  <c r="BS58" i="22"/>
  <c r="BR59" i="22"/>
  <c r="BS59" i="22"/>
  <c r="BR60" i="22"/>
  <c r="BS60" i="22"/>
  <c r="AI42" i="22"/>
  <c r="AH42" i="22"/>
  <c r="BV42" i="22"/>
  <c r="BU42" i="22"/>
  <c r="BS42" i="22"/>
  <c r="BR42" i="22"/>
  <c r="BP42" i="22"/>
  <c r="BO42" i="22"/>
  <c r="BM42" i="22"/>
  <c r="BL42" i="22"/>
  <c r="BJ42" i="22"/>
  <c r="BI42" i="22"/>
  <c r="BG42" i="22"/>
  <c r="BF42" i="22"/>
  <c r="BD42" i="22"/>
  <c r="BC42" i="22"/>
  <c r="BA42" i="22"/>
  <c r="AZ42" i="22"/>
  <c r="AX42" i="22"/>
  <c r="AW42" i="22"/>
  <c r="AU42" i="22"/>
  <c r="AT42" i="22"/>
  <c r="AR42" i="22"/>
  <c r="AQ42" i="22"/>
  <c r="AO42" i="22"/>
  <c r="AN42" i="22"/>
  <c r="AL42" i="22"/>
  <c r="AK42" i="22"/>
  <c r="AF42" i="22"/>
  <c r="AE42" i="22"/>
  <c r="AC42" i="22"/>
  <c r="AB42" i="22"/>
  <c r="AB23" i="22"/>
  <c r="AC23" i="22"/>
  <c r="AB24" i="22"/>
  <c r="AC24" i="22"/>
  <c r="AB25" i="22"/>
  <c r="AC25" i="22"/>
  <c r="AB26" i="22"/>
  <c r="AC26" i="22"/>
  <c r="AB27" i="22"/>
  <c r="AC27" i="22"/>
  <c r="AB28" i="22"/>
  <c r="AC28" i="22"/>
  <c r="AB29" i="22"/>
  <c r="AC29" i="22"/>
  <c r="AB30" i="22"/>
  <c r="AC30" i="22"/>
  <c r="AB31" i="22"/>
  <c r="AC31" i="22"/>
  <c r="AB32" i="22"/>
  <c r="AC32" i="22"/>
  <c r="AB33" i="22"/>
  <c r="AC33" i="22"/>
  <c r="AB34" i="22"/>
  <c r="AC34" i="22"/>
  <c r="AB35" i="22"/>
  <c r="AC35" i="22"/>
  <c r="AB36" i="22"/>
  <c r="AC36" i="22"/>
  <c r="AB37" i="22"/>
  <c r="AC37" i="22"/>
  <c r="AB38" i="22"/>
  <c r="AC38" i="22"/>
  <c r="AB39" i="22"/>
  <c r="AC39" i="22"/>
  <c r="AB40" i="22"/>
  <c r="AC40" i="22"/>
  <c r="AC22" i="22"/>
  <c r="AB22" i="22"/>
  <c r="AE23" i="22"/>
  <c r="AF23" i="22"/>
  <c r="AE24" i="22"/>
  <c r="AF24" i="22"/>
  <c r="AE25" i="22"/>
  <c r="AF25" i="22"/>
  <c r="AE26" i="22"/>
  <c r="AF26" i="22"/>
  <c r="AE27" i="22"/>
  <c r="AF27" i="22"/>
  <c r="AE28" i="22"/>
  <c r="AF28" i="22"/>
  <c r="AE29" i="22"/>
  <c r="AF29" i="22"/>
  <c r="AE30" i="22"/>
  <c r="AF30" i="22"/>
  <c r="AE31" i="22"/>
  <c r="AF31" i="22"/>
  <c r="AE32" i="22"/>
  <c r="AF32" i="22"/>
  <c r="AE33" i="22"/>
  <c r="AF33" i="22"/>
  <c r="AE34" i="22"/>
  <c r="AF34" i="22"/>
  <c r="AE35" i="22"/>
  <c r="AF35" i="22"/>
  <c r="AE36" i="22"/>
  <c r="AF36" i="22"/>
  <c r="AE37" i="22"/>
  <c r="AF37" i="22"/>
  <c r="AE38" i="22"/>
  <c r="AF38" i="22"/>
  <c r="AE39" i="22"/>
  <c r="AF39" i="22"/>
  <c r="AE40" i="22"/>
  <c r="AF40" i="22"/>
  <c r="AH23" i="22"/>
  <c r="AI23" i="22"/>
  <c r="AH24" i="22"/>
  <c r="AI24" i="22"/>
  <c r="AH25" i="22"/>
  <c r="AI25" i="22"/>
  <c r="AH26" i="22"/>
  <c r="AI26" i="22"/>
  <c r="AH27" i="22"/>
  <c r="AI27" i="22"/>
  <c r="AH28" i="22"/>
  <c r="AI28" i="22"/>
  <c r="AH29" i="22"/>
  <c r="AI29" i="22"/>
  <c r="AH30" i="22"/>
  <c r="AI30" i="22"/>
  <c r="AH31" i="22"/>
  <c r="AI31" i="22"/>
  <c r="AH32" i="22"/>
  <c r="AI32" i="22"/>
  <c r="AH33" i="22"/>
  <c r="AI33" i="22"/>
  <c r="AH34" i="22"/>
  <c r="AI34" i="22"/>
  <c r="AH35" i="22"/>
  <c r="AI35" i="22"/>
  <c r="AH36" i="22"/>
  <c r="AI36" i="22"/>
  <c r="AH37" i="22"/>
  <c r="AI37" i="22"/>
  <c r="AH38" i="22"/>
  <c r="AI38" i="22"/>
  <c r="AH39" i="22"/>
  <c r="AI39" i="22"/>
  <c r="AH40" i="22"/>
  <c r="AI40" i="22"/>
  <c r="AK23" i="22"/>
  <c r="AL23" i="22"/>
  <c r="AK24" i="22"/>
  <c r="AL24" i="22"/>
  <c r="AK25" i="22"/>
  <c r="AL25" i="22"/>
  <c r="AK26" i="22"/>
  <c r="AL26" i="22"/>
  <c r="AK27" i="22"/>
  <c r="AL27" i="22"/>
  <c r="AK28" i="22"/>
  <c r="AL28" i="22"/>
  <c r="AK29" i="22"/>
  <c r="AL29" i="22"/>
  <c r="AK30" i="22"/>
  <c r="AL30" i="22"/>
  <c r="AK31" i="22"/>
  <c r="AL31" i="22"/>
  <c r="AK32" i="22"/>
  <c r="AL32" i="22"/>
  <c r="AK33" i="22"/>
  <c r="AL33" i="22"/>
  <c r="AK34" i="22"/>
  <c r="AL34" i="22"/>
  <c r="AK35" i="22"/>
  <c r="AL35" i="22"/>
  <c r="AK36" i="22"/>
  <c r="AL36" i="22"/>
  <c r="AK37" i="22"/>
  <c r="AL37" i="22"/>
  <c r="AK38" i="22"/>
  <c r="AL38" i="22"/>
  <c r="AK39" i="22"/>
  <c r="AL39" i="22"/>
  <c r="AK40" i="22"/>
  <c r="AL40" i="22"/>
  <c r="AN23" i="22"/>
  <c r="AO23" i="22"/>
  <c r="AN24" i="22"/>
  <c r="AO24" i="22"/>
  <c r="AN25" i="22"/>
  <c r="AO25" i="22"/>
  <c r="AN26" i="22"/>
  <c r="AO26" i="22"/>
  <c r="AN27" i="22"/>
  <c r="AO27" i="22"/>
  <c r="AN28" i="22"/>
  <c r="AO28" i="22"/>
  <c r="AN29" i="22"/>
  <c r="AO29" i="22"/>
  <c r="AN30" i="22"/>
  <c r="AO30" i="22"/>
  <c r="AN31" i="22"/>
  <c r="AO31" i="22"/>
  <c r="AN32" i="22"/>
  <c r="AO32" i="22"/>
  <c r="AN33" i="22"/>
  <c r="AO33" i="22"/>
  <c r="AN34" i="22"/>
  <c r="AO34" i="22"/>
  <c r="AN35" i="22"/>
  <c r="AO35" i="22"/>
  <c r="AN36" i="22"/>
  <c r="AO36" i="22"/>
  <c r="AN37" i="22"/>
  <c r="AO37" i="22"/>
  <c r="AN38" i="22"/>
  <c r="AO38" i="22"/>
  <c r="AN39" i="22"/>
  <c r="AO39" i="22"/>
  <c r="AN40" i="22"/>
  <c r="AO40" i="22"/>
  <c r="AQ23" i="22"/>
  <c r="AR23" i="22"/>
  <c r="AQ24" i="22"/>
  <c r="AR24" i="22"/>
  <c r="AQ25" i="22"/>
  <c r="AR25" i="22"/>
  <c r="AQ26" i="22"/>
  <c r="AR26" i="22"/>
  <c r="AQ27" i="22"/>
  <c r="AR27" i="22"/>
  <c r="AQ28" i="22"/>
  <c r="AR28" i="22"/>
  <c r="AQ29" i="22"/>
  <c r="AR29" i="22"/>
  <c r="AQ30" i="22"/>
  <c r="AR30" i="22"/>
  <c r="AQ31" i="22"/>
  <c r="AR31" i="22"/>
  <c r="AQ32" i="22"/>
  <c r="AR32" i="22"/>
  <c r="AQ33" i="22"/>
  <c r="AR33" i="22"/>
  <c r="AQ34" i="22"/>
  <c r="AR34" i="22"/>
  <c r="AQ35" i="22"/>
  <c r="AR35" i="22"/>
  <c r="AQ36" i="22"/>
  <c r="AR36" i="22"/>
  <c r="AQ37" i="22"/>
  <c r="AR37" i="22"/>
  <c r="AQ38" i="22"/>
  <c r="AR38" i="22"/>
  <c r="AQ39" i="22"/>
  <c r="AR39" i="22"/>
  <c r="AQ40" i="22"/>
  <c r="AR40" i="22"/>
  <c r="AT23" i="22"/>
  <c r="AU23" i="22"/>
  <c r="AT24" i="22"/>
  <c r="AU24" i="22"/>
  <c r="AT25" i="22"/>
  <c r="AU25" i="22"/>
  <c r="AT26" i="22"/>
  <c r="AU26" i="22"/>
  <c r="AT27" i="22"/>
  <c r="AU27" i="22"/>
  <c r="AT28" i="22"/>
  <c r="AU28" i="22"/>
  <c r="AT29" i="22"/>
  <c r="AU29" i="22"/>
  <c r="AT30" i="22"/>
  <c r="AU30" i="22"/>
  <c r="AT31" i="22"/>
  <c r="AU31" i="22"/>
  <c r="AT32" i="22"/>
  <c r="AU32" i="22"/>
  <c r="AT33" i="22"/>
  <c r="AU33" i="22"/>
  <c r="AT34" i="22"/>
  <c r="AU34" i="22"/>
  <c r="AT35" i="22"/>
  <c r="AU35" i="22"/>
  <c r="AT36" i="22"/>
  <c r="AU36" i="22"/>
  <c r="AT37" i="22"/>
  <c r="AU37" i="22"/>
  <c r="AT38" i="22"/>
  <c r="AU38" i="22"/>
  <c r="AT39" i="22"/>
  <c r="AU39" i="22"/>
  <c r="AT40" i="22"/>
  <c r="AU40" i="22"/>
  <c r="AX23" i="22"/>
  <c r="AW24" i="22"/>
  <c r="AX24" i="22"/>
  <c r="AW25" i="22"/>
  <c r="AX25" i="22"/>
  <c r="AW26" i="22"/>
  <c r="AX26" i="22"/>
  <c r="AW27" i="22"/>
  <c r="AX27" i="22"/>
  <c r="AW28" i="22"/>
  <c r="AX28" i="22"/>
  <c r="AW29" i="22"/>
  <c r="AX29" i="22"/>
  <c r="AW30" i="22"/>
  <c r="AX30" i="22"/>
  <c r="AW31" i="22"/>
  <c r="AX31" i="22"/>
  <c r="AW32" i="22"/>
  <c r="AX32" i="22"/>
  <c r="AW33" i="22"/>
  <c r="AX33" i="22"/>
  <c r="AW34" i="22"/>
  <c r="AX34" i="22"/>
  <c r="AW35" i="22"/>
  <c r="AX35" i="22"/>
  <c r="AW36" i="22"/>
  <c r="AX36" i="22"/>
  <c r="AW37" i="22"/>
  <c r="AX37" i="22"/>
  <c r="AW38" i="22"/>
  <c r="AX38" i="22"/>
  <c r="AW39" i="22"/>
  <c r="AX39" i="22"/>
  <c r="AW40" i="22"/>
  <c r="AX40" i="22"/>
  <c r="AZ23" i="22"/>
  <c r="BA23" i="22"/>
  <c r="AZ24" i="22"/>
  <c r="BA24" i="22"/>
  <c r="AZ25" i="22"/>
  <c r="BA25" i="22"/>
  <c r="AZ26" i="22"/>
  <c r="BA26" i="22"/>
  <c r="AZ27" i="22"/>
  <c r="BA27" i="22"/>
  <c r="AZ28" i="22"/>
  <c r="BA28" i="22"/>
  <c r="AZ29" i="22"/>
  <c r="BA29" i="22"/>
  <c r="AZ30" i="22"/>
  <c r="BA30" i="22"/>
  <c r="AZ31" i="22"/>
  <c r="BA31" i="22"/>
  <c r="AZ32" i="22"/>
  <c r="BA32" i="22"/>
  <c r="AZ33" i="22"/>
  <c r="BA33" i="22"/>
  <c r="AZ34" i="22"/>
  <c r="BA34" i="22"/>
  <c r="AZ35" i="22"/>
  <c r="BA35" i="22"/>
  <c r="AZ36" i="22"/>
  <c r="BA36" i="22"/>
  <c r="AZ37" i="22"/>
  <c r="BA37" i="22"/>
  <c r="AZ38" i="22"/>
  <c r="BA38" i="22"/>
  <c r="AZ39" i="22"/>
  <c r="BA39" i="22"/>
  <c r="AZ40" i="22"/>
  <c r="BA40" i="22"/>
  <c r="BC23" i="22"/>
  <c r="BD23" i="22"/>
  <c r="BC24" i="22"/>
  <c r="BD24" i="22"/>
  <c r="BC25" i="22"/>
  <c r="BD25" i="22"/>
  <c r="BC26" i="22"/>
  <c r="BD26" i="22"/>
  <c r="BC27" i="22"/>
  <c r="BD27" i="22"/>
  <c r="BC28" i="22"/>
  <c r="BD28" i="22"/>
  <c r="BC29" i="22"/>
  <c r="BD29" i="22"/>
  <c r="BC30" i="22"/>
  <c r="BD30" i="22"/>
  <c r="BC31" i="22"/>
  <c r="BD31" i="22"/>
  <c r="BC32" i="22"/>
  <c r="BD32" i="22"/>
  <c r="BC33" i="22"/>
  <c r="BD33" i="22"/>
  <c r="BC34" i="22"/>
  <c r="BD34" i="22"/>
  <c r="BC35" i="22"/>
  <c r="BD35" i="22"/>
  <c r="BC36" i="22"/>
  <c r="BD36" i="22"/>
  <c r="BC37" i="22"/>
  <c r="BD37" i="22"/>
  <c r="BC38" i="22"/>
  <c r="BD38" i="22"/>
  <c r="BC39" i="22"/>
  <c r="BD39" i="22"/>
  <c r="BC40" i="22"/>
  <c r="BD40" i="22"/>
  <c r="BF23" i="22"/>
  <c r="BG23" i="22"/>
  <c r="BF24" i="22"/>
  <c r="BG24" i="22"/>
  <c r="BF25" i="22"/>
  <c r="BG25" i="22"/>
  <c r="BF26" i="22"/>
  <c r="BG26" i="22"/>
  <c r="BF27" i="22"/>
  <c r="BG27" i="22"/>
  <c r="BF28" i="22"/>
  <c r="BG28" i="22"/>
  <c r="BF29" i="22"/>
  <c r="BG29" i="22"/>
  <c r="BF30" i="22"/>
  <c r="BG30" i="22"/>
  <c r="BF31" i="22"/>
  <c r="BG31" i="22"/>
  <c r="BF32" i="22"/>
  <c r="BG32" i="22"/>
  <c r="BF33" i="22"/>
  <c r="BG33" i="22"/>
  <c r="BF34" i="22"/>
  <c r="BG34" i="22"/>
  <c r="BF35" i="22"/>
  <c r="BG35" i="22"/>
  <c r="BF36" i="22"/>
  <c r="BG36" i="22"/>
  <c r="BF37" i="22"/>
  <c r="BG37" i="22"/>
  <c r="BF38" i="22"/>
  <c r="BG38" i="22"/>
  <c r="BF39" i="22"/>
  <c r="BG39" i="22"/>
  <c r="BF40" i="22"/>
  <c r="BG40" i="22"/>
  <c r="BI23" i="22"/>
  <c r="BJ23" i="22"/>
  <c r="BI24" i="22"/>
  <c r="BJ24" i="22"/>
  <c r="BI25" i="22"/>
  <c r="BJ25" i="22"/>
  <c r="BI26" i="22"/>
  <c r="BJ26" i="22"/>
  <c r="BI27" i="22"/>
  <c r="BJ27" i="22"/>
  <c r="BI28" i="22"/>
  <c r="BJ28" i="22"/>
  <c r="BI29" i="22"/>
  <c r="BJ29" i="22"/>
  <c r="BI30" i="22"/>
  <c r="BJ30" i="22"/>
  <c r="BI31" i="22"/>
  <c r="BJ31" i="22"/>
  <c r="BI32" i="22"/>
  <c r="BJ32" i="22"/>
  <c r="BI33" i="22"/>
  <c r="BJ33" i="22"/>
  <c r="BI34" i="22"/>
  <c r="BJ34" i="22"/>
  <c r="BI35" i="22"/>
  <c r="BJ35" i="22"/>
  <c r="BI36" i="22"/>
  <c r="BJ36" i="22"/>
  <c r="BI37" i="22"/>
  <c r="BJ37" i="22"/>
  <c r="BI38" i="22"/>
  <c r="BJ38" i="22"/>
  <c r="BI39" i="22"/>
  <c r="BJ39" i="22"/>
  <c r="BI40" i="22"/>
  <c r="BJ40" i="22"/>
  <c r="BL23" i="22"/>
  <c r="BM23" i="22"/>
  <c r="BL24" i="22"/>
  <c r="BM24" i="22"/>
  <c r="BL25" i="22"/>
  <c r="BM25" i="22"/>
  <c r="BL26" i="22"/>
  <c r="BM26" i="22"/>
  <c r="BL27" i="22"/>
  <c r="BM27" i="22"/>
  <c r="BL28" i="22"/>
  <c r="BM28" i="22"/>
  <c r="BL29" i="22"/>
  <c r="BM29" i="22"/>
  <c r="BL30" i="22"/>
  <c r="BM30" i="22"/>
  <c r="BL31" i="22"/>
  <c r="BM31" i="22"/>
  <c r="BL32" i="22"/>
  <c r="BM32" i="22"/>
  <c r="BL33" i="22"/>
  <c r="BM33" i="22"/>
  <c r="BL34" i="22"/>
  <c r="BM34" i="22"/>
  <c r="BL35" i="22"/>
  <c r="BM35" i="22"/>
  <c r="BL36" i="22"/>
  <c r="BM36" i="22"/>
  <c r="BL37" i="22"/>
  <c r="BM37" i="22"/>
  <c r="BL38" i="22"/>
  <c r="BM38" i="22"/>
  <c r="BL39" i="22"/>
  <c r="BM39" i="22"/>
  <c r="BL40" i="22"/>
  <c r="BM40" i="22"/>
  <c r="BO23" i="22"/>
  <c r="BP23" i="22"/>
  <c r="BO24" i="22"/>
  <c r="BP24" i="22"/>
  <c r="BO25" i="22"/>
  <c r="BP25" i="22"/>
  <c r="BO26" i="22"/>
  <c r="BP26" i="22"/>
  <c r="BO27" i="22"/>
  <c r="BP27" i="22"/>
  <c r="BO28" i="22"/>
  <c r="BP28" i="22"/>
  <c r="BO29" i="22"/>
  <c r="BP29" i="22"/>
  <c r="BO30" i="22"/>
  <c r="BP30" i="22"/>
  <c r="BO31" i="22"/>
  <c r="BP31" i="22"/>
  <c r="BO32" i="22"/>
  <c r="BP32" i="22"/>
  <c r="BO33" i="22"/>
  <c r="BP33" i="22"/>
  <c r="BO34" i="22"/>
  <c r="BP34" i="22"/>
  <c r="BO35" i="22"/>
  <c r="BP35" i="22"/>
  <c r="BO36" i="22"/>
  <c r="BP36" i="22"/>
  <c r="BO37" i="22"/>
  <c r="BP37" i="22"/>
  <c r="BO38" i="22"/>
  <c r="BP38" i="22"/>
  <c r="BO39" i="22"/>
  <c r="BP39" i="22"/>
  <c r="BO40" i="22"/>
  <c r="BP40" i="22"/>
  <c r="BR23" i="22"/>
  <c r="BS23" i="22"/>
  <c r="BR24" i="22"/>
  <c r="BS24" i="22"/>
  <c r="BR25" i="22"/>
  <c r="BS25" i="22"/>
  <c r="BR26" i="22"/>
  <c r="BS26" i="22"/>
  <c r="BR27" i="22"/>
  <c r="BS27" i="22"/>
  <c r="BR28" i="22"/>
  <c r="BS28" i="22"/>
  <c r="BR29" i="22"/>
  <c r="BS29" i="22"/>
  <c r="BR30" i="22"/>
  <c r="BS30" i="22"/>
  <c r="BR31" i="22"/>
  <c r="BS31" i="22"/>
  <c r="BR32" i="22"/>
  <c r="BS32" i="22"/>
  <c r="BR33" i="22"/>
  <c r="BS33" i="22"/>
  <c r="BR34" i="22"/>
  <c r="BS34" i="22"/>
  <c r="BR35" i="22"/>
  <c r="BS35" i="22"/>
  <c r="BR36" i="22"/>
  <c r="BS36" i="22"/>
  <c r="BR37" i="22"/>
  <c r="BS37" i="22"/>
  <c r="BR38" i="22"/>
  <c r="BS38" i="22"/>
  <c r="BR39" i="22"/>
  <c r="BS39" i="22"/>
  <c r="BR40" i="22"/>
  <c r="BS40" i="22"/>
  <c r="BU23" i="22"/>
  <c r="BV23" i="22"/>
  <c r="BU24" i="22"/>
  <c r="BV24" i="22"/>
  <c r="BU25" i="22"/>
  <c r="BV25" i="22"/>
  <c r="BU26" i="22"/>
  <c r="BV26" i="22"/>
  <c r="BU27" i="22"/>
  <c r="BV27" i="22"/>
  <c r="BU28" i="22"/>
  <c r="BV28" i="22"/>
  <c r="BU29" i="22"/>
  <c r="BV29" i="22"/>
  <c r="BU30" i="22"/>
  <c r="BV30" i="22"/>
  <c r="BU31" i="22"/>
  <c r="BV31" i="22"/>
  <c r="BU32" i="22"/>
  <c r="BV32" i="22"/>
  <c r="BU33" i="22"/>
  <c r="BV33" i="22"/>
  <c r="BU34" i="22"/>
  <c r="BV34" i="22"/>
  <c r="BU35" i="22"/>
  <c r="BV35" i="22"/>
  <c r="BU36" i="22"/>
  <c r="BV36" i="22"/>
  <c r="BU37" i="22"/>
  <c r="BV37" i="22"/>
  <c r="BU38" i="22"/>
  <c r="BV38" i="22"/>
  <c r="BU39" i="22"/>
  <c r="BV39" i="22"/>
  <c r="BU40" i="22"/>
  <c r="BV40" i="22"/>
  <c r="BV22" i="22"/>
  <c r="BU22" i="22"/>
  <c r="BS22" i="22"/>
  <c r="BR22" i="22"/>
  <c r="BP22" i="22"/>
  <c r="BO22" i="22"/>
  <c r="BM22" i="22"/>
  <c r="BL22" i="22"/>
  <c r="BJ22" i="22"/>
  <c r="BI22" i="22"/>
  <c r="BG22" i="22"/>
  <c r="BF22" i="22"/>
  <c r="BD22" i="22"/>
  <c r="BC22" i="22"/>
  <c r="BA22" i="22"/>
  <c r="AZ22" i="22"/>
  <c r="AX22" i="22"/>
  <c r="AW22" i="22"/>
  <c r="AU22" i="22"/>
  <c r="AT22" i="22"/>
  <c r="AR22" i="22"/>
  <c r="AQ22" i="22"/>
  <c r="AO22" i="22"/>
  <c r="AN22" i="22"/>
  <c r="AL22" i="22"/>
  <c r="AK22" i="22"/>
  <c r="AI22" i="22"/>
  <c r="AH22" i="22"/>
  <c r="AF22" i="22"/>
  <c r="AE22" i="22"/>
  <c r="AE3" i="22"/>
  <c r="AF3" i="22"/>
  <c r="AE4" i="22"/>
  <c r="AF4" i="22"/>
  <c r="AE5" i="22"/>
  <c r="AF5" i="22"/>
  <c r="AE6" i="22"/>
  <c r="AF6" i="22"/>
  <c r="AE7" i="22"/>
  <c r="AF7" i="22"/>
  <c r="AE8" i="22"/>
  <c r="AF8" i="22"/>
  <c r="AE9" i="22"/>
  <c r="AF9" i="22"/>
  <c r="AE10" i="22"/>
  <c r="AF10" i="22"/>
  <c r="AE11" i="22"/>
  <c r="AF11" i="22"/>
  <c r="AE12" i="22"/>
  <c r="AF12" i="22"/>
  <c r="AE13" i="22"/>
  <c r="AF13" i="22"/>
  <c r="AE14" i="22"/>
  <c r="AF14" i="22"/>
  <c r="AE15" i="22"/>
  <c r="AF15" i="22"/>
  <c r="AE16" i="22"/>
  <c r="AF16" i="22"/>
  <c r="AE17" i="22"/>
  <c r="AF17" i="22"/>
  <c r="AE18" i="22"/>
  <c r="AF18" i="22"/>
  <c r="AE19" i="22"/>
  <c r="AF19" i="22"/>
  <c r="AE20" i="22"/>
  <c r="AF20" i="22"/>
  <c r="AH3" i="22"/>
  <c r="AI3" i="22"/>
  <c r="AH4" i="22"/>
  <c r="AI4" i="22"/>
  <c r="AH5" i="22"/>
  <c r="AI5" i="22"/>
  <c r="AH6" i="22"/>
  <c r="AI6" i="22"/>
  <c r="AH7" i="22"/>
  <c r="AI7" i="22"/>
  <c r="AH8" i="22"/>
  <c r="AI8" i="22"/>
  <c r="AH9" i="22"/>
  <c r="AI9" i="22"/>
  <c r="AH10" i="22"/>
  <c r="AI10" i="22"/>
  <c r="AH11" i="22"/>
  <c r="AI11" i="22"/>
  <c r="AH12" i="22"/>
  <c r="AI12" i="22"/>
  <c r="AH13" i="22"/>
  <c r="AI13" i="22"/>
  <c r="AH14" i="22"/>
  <c r="AI14" i="22"/>
  <c r="AH15" i="22"/>
  <c r="AI15" i="22"/>
  <c r="AH16" i="22"/>
  <c r="AI16" i="22"/>
  <c r="AH17" i="22"/>
  <c r="AI17" i="22"/>
  <c r="AH18" i="22"/>
  <c r="AI18" i="22"/>
  <c r="AH19" i="22"/>
  <c r="AI19" i="22"/>
  <c r="AH20" i="22"/>
  <c r="AI20" i="22"/>
  <c r="AK3" i="22"/>
  <c r="AL3" i="22"/>
  <c r="AK4" i="22"/>
  <c r="AL4" i="22"/>
  <c r="AK5" i="22"/>
  <c r="AL5" i="22"/>
  <c r="AK6" i="22"/>
  <c r="AL6" i="22"/>
  <c r="AK7" i="22"/>
  <c r="AL7" i="22"/>
  <c r="AK8" i="22"/>
  <c r="AL8" i="22"/>
  <c r="AK9" i="22"/>
  <c r="AL9" i="22"/>
  <c r="AK10" i="22"/>
  <c r="AL10" i="22"/>
  <c r="AK11" i="22"/>
  <c r="AL11" i="22"/>
  <c r="AK12" i="22"/>
  <c r="AL12" i="22"/>
  <c r="AK13" i="22"/>
  <c r="AL13" i="22"/>
  <c r="AK14" i="22"/>
  <c r="AL14" i="22"/>
  <c r="AK15" i="22"/>
  <c r="AL15" i="22"/>
  <c r="AK16" i="22"/>
  <c r="AL16" i="22"/>
  <c r="AK17" i="22"/>
  <c r="AL17" i="22"/>
  <c r="AK18" i="22"/>
  <c r="AL18" i="22"/>
  <c r="AK19" i="22"/>
  <c r="AL19" i="22"/>
  <c r="AK20" i="22"/>
  <c r="AL20" i="22"/>
  <c r="AN3" i="22"/>
  <c r="AO3" i="22"/>
  <c r="AN4" i="22"/>
  <c r="AO4" i="22"/>
  <c r="AN5" i="22"/>
  <c r="AO5" i="22"/>
  <c r="AN6" i="22"/>
  <c r="AO6" i="22"/>
  <c r="AN7" i="22"/>
  <c r="AO7" i="22"/>
  <c r="AN8" i="22"/>
  <c r="AO8" i="22"/>
  <c r="AN9" i="22"/>
  <c r="AO9" i="22"/>
  <c r="AN10" i="22"/>
  <c r="AO10" i="22"/>
  <c r="AN11" i="22"/>
  <c r="AO11" i="22"/>
  <c r="AN12" i="22"/>
  <c r="AO12" i="22"/>
  <c r="AN13" i="22"/>
  <c r="AO13" i="22"/>
  <c r="AN14" i="22"/>
  <c r="AO14" i="22"/>
  <c r="AN15" i="22"/>
  <c r="AO15" i="22"/>
  <c r="AN16" i="22"/>
  <c r="AO16" i="22"/>
  <c r="AN17" i="22"/>
  <c r="AO17" i="22"/>
  <c r="AN18" i="22"/>
  <c r="AO18" i="22"/>
  <c r="AN19" i="22"/>
  <c r="AO19" i="22"/>
  <c r="AN20" i="22"/>
  <c r="AO20" i="22"/>
  <c r="AQ3" i="22"/>
  <c r="AR3" i="22"/>
  <c r="AQ4" i="22"/>
  <c r="AR4" i="22"/>
  <c r="AQ5" i="22"/>
  <c r="AR5" i="22"/>
  <c r="AQ6" i="22"/>
  <c r="AR6" i="22"/>
  <c r="AQ7" i="22"/>
  <c r="AR7" i="22"/>
  <c r="AQ8" i="22"/>
  <c r="AR8" i="22"/>
  <c r="AQ9" i="22"/>
  <c r="AR9" i="22"/>
  <c r="AQ10" i="22"/>
  <c r="AR10" i="22"/>
  <c r="AQ11" i="22"/>
  <c r="AR11" i="22"/>
  <c r="AQ12" i="22"/>
  <c r="AR12" i="22"/>
  <c r="AQ13" i="22"/>
  <c r="AR13" i="22"/>
  <c r="AQ14" i="22"/>
  <c r="AR14" i="22"/>
  <c r="AQ15" i="22"/>
  <c r="AR15" i="22"/>
  <c r="AQ16" i="22"/>
  <c r="AR16" i="22"/>
  <c r="AQ17" i="22"/>
  <c r="AR17" i="22"/>
  <c r="AQ18" i="22"/>
  <c r="AR18" i="22"/>
  <c r="AQ19" i="22"/>
  <c r="AR19" i="22"/>
  <c r="AQ20" i="22"/>
  <c r="AR20" i="22"/>
  <c r="AT3" i="22"/>
  <c r="AU3" i="22"/>
  <c r="AT4" i="22"/>
  <c r="AU4" i="22"/>
  <c r="AT5" i="22"/>
  <c r="AU5" i="22"/>
  <c r="AT6" i="22"/>
  <c r="AU6" i="22"/>
  <c r="AT7" i="22"/>
  <c r="AU7" i="22"/>
  <c r="AT8" i="22"/>
  <c r="AU8" i="22"/>
  <c r="AT9" i="22"/>
  <c r="AU9" i="22"/>
  <c r="AT10" i="22"/>
  <c r="AU10" i="22"/>
  <c r="AT11" i="22"/>
  <c r="AU11" i="22"/>
  <c r="AT12" i="22"/>
  <c r="AU12" i="22"/>
  <c r="AT13" i="22"/>
  <c r="AU13" i="22"/>
  <c r="AT14" i="22"/>
  <c r="AU14" i="22"/>
  <c r="AT15" i="22"/>
  <c r="AU15" i="22"/>
  <c r="AT16" i="22"/>
  <c r="AU16" i="22"/>
  <c r="AT17" i="22"/>
  <c r="AU17" i="22"/>
  <c r="AT18" i="22"/>
  <c r="AU18" i="22"/>
  <c r="AT19" i="22"/>
  <c r="AU19" i="22"/>
  <c r="AT20" i="22"/>
  <c r="AU20" i="22"/>
  <c r="AW3" i="22"/>
  <c r="AX3" i="22"/>
  <c r="AW4" i="22"/>
  <c r="AX4" i="22"/>
  <c r="AW5" i="22"/>
  <c r="AX5" i="22"/>
  <c r="AW6" i="22"/>
  <c r="AX6" i="22"/>
  <c r="AW7" i="22"/>
  <c r="AX7" i="22"/>
  <c r="AW8" i="22"/>
  <c r="AX8" i="22"/>
  <c r="AW9" i="22"/>
  <c r="AX9" i="22"/>
  <c r="AW10" i="22"/>
  <c r="AX10" i="22"/>
  <c r="AW11" i="22"/>
  <c r="AX11" i="22"/>
  <c r="AW12" i="22"/>
  <c r="AX12" i="22"/>
  <c r="AW13" i="22"/>
  <c r="AX13" i="22"/>
  <c r="AW14" i="22"/>
  <c r="AX14" i="22"/>
  <c r="AW15" i="22"/>
  <c r="AX15" i="22"/>
  <c r="AW16" i="22"/>
  <c r="AX16" i="22"/>
  <c r="AW17" i="22"/>
  <c r="AX17" i="22"/>
  <c r="AW18" i="22"/>
  <c r="AX18" i="22"/>
  <c r="AW19" i="22"/>
  <c r="AX19" i="22"/>
  <c r="AW20" i="22"/>
  <c r="AX20" i="22"/>
  <c r="AZ3" i="22"/>
  <c r="BA3" i="22"/>
  <c r="AZ4" i="22"/>
  <c r="BA4" i="22"/>
  <c r="AZ5" i="22"/>
  <c r="BA5" i="22"/>
  <c r="AZ6" i="22"/>
  <c r="BA6" i="22"/>
  <c r="AZ7" i="22"/>
  <c r="BA7" i="22"/>
  <c r="AZ8" i="22"/>
  <c r="BA8" i="22"/>
  <c r="AZ9" i="22"/>
  <c r="BA9" i="22"/>
  <c r="AZ10" i="22"/>
  <c r="BA10" i="22"/>
  <c r="AZ11" i="22"/>
  <c r="BA11" i="22"/>
  <c r="AZ12" i="22"/>
  <c r="BA12" i="22"/>
  <c r="AZ13" i="22"/>
  <c r="BA13" i="22"/>
  <c r="AZ14" i="22"/>
  <c r="BA14" i="22"/>
  <c r="AZ15" i="22"/>
  <c r="BA15" i="22"/>
  <c r="AZ16" i="22"/>
  <c r="BA16" i="22"/>
  <c r="AZ17" i="22"/>
  <c r="BA17" i="22"/>
  <c r="AZ18" i="22"/>
  <c r="BA18" i="22"/>
  <c r="AZ19" i="22"/>
  <c r="BA19" i="22"/>
  <c r="AZ20" i="22"/>
  <c r="BA20" i="22"/>
  <c r="BC3" i="22"/>
  <c r="BD3" i="22"/>
  <c r="BC4" i="22"/>
  <c r="BD4" i="22"/>
  <c r="BC5" i="22"/>
  <c r="BD5" i="22"/>
  <c r="BC6" i="22"/>
  <c r="BD6" i="22"/>
  <c r="BC7" i="22"/>
  <c r="BD7" i="22"/>
  <c r="BC8" i="22"/>
  <c r="BD8" i="22"/>
  <c r="BC9" i="22"/>
  <c r="BD9" i="22"/>
  <c r="BC10" i="22"/>
  <c r="BD10" i="22"/>
  <c r="BC11" i="22"/>
  <c r="BD11" i="22"/>
  <c r="BC12" i="22"/>
  <c r="BD12" i="22"/>
  <c r="BC13" i="22"/>
  <c r="BD13" i="22"/>
  <c r="BC14" i="22"/>
  <c r="BD14" i="22"/>
  <c r="BC15" i="22"/>
  <c r="BD15" i="22"/>
  <c r="BC16" i="22"/>
  <c r="BD16" i="22"/>
  <c r="BC17" i="22"/>
  <c r="BD17" i="22"/>
  <c r="BC18" i="22"/>
  <c r="BD18" i="22"/>
  <c r="BC19" i="22"/>
  <c r="BD19" i="22"/>
  <c r="BC20" i="22"/>
  <c r="BD20" i="22"/>
  <c r="BF3" i="22"/>
  <c r="BG3" i="22"/>
  <c r="BF4" i="22"/>
  <c r="BG4" i="22"/>
  <c r="BF5" i="22"/>
  <c r="BG5" i="22"/>
  <c r="BF6" i="22"/>
  <c r="BG6" i="22"/>
  <c r="BF7" i="22"/>
  <c r="BG7" i="22"/>
  <c r="BF8" i="22"/>
  <c r="BG8" i="22"/>
  <c r="BF9" i="22"/>
  <c r="BG9" i="22"/>
  <c r="BF10" i="22"/>
  <c r="BG10" i="22"/>
  <c r="BF11" i="22"/>
  <c r="BG11" i="22"/>
  <c r="BF12" i="22"/>
  <c r="BG12" i="22"/>
  <c r="BF13" i="22"/>
  <c r="BG13" i="22"/>
  <c r="BF14" i="22"/>
  <c r="BG14" i="22"/>
  <c r="BF15" i="22"/>
  <c r="BG15" i="22"/>
  <c r="BF16" i="22"/>
  <c r="BG16" i="22"/>
  <c r="BF17" i="22"/>
  <c r="BG17" i="22"/>
  <c r="BF18" i="22"/>
  <c r="BG18" i="22"/>
  <c r="BF19" i="22"/>
  <c r="BG19" i="22"/>
  <c r="BF20" i="22"/>
  <c r="BG20" i="22"/>
  <c r="BI3" i="22"/>
  <c r="BJ3" i="22"/>
  <c r="BI4" i="22"/>
  <c r="BJ4" i="22"/>
  <c r="BI5" i="22"/>
  <c r="BJ5" i="22"/>
  <c r="BI6" i="22"/>
  <c r="BJ6" i="22"/>
  <c r="BI7" i="22"/>
  <c r="BJ7" i="22"/>
  <c r="BI8" i="22"/>
  <c r="BJ8" i="22"/>
  <c r="BI9" i="22"/>
  <c r="BJ9" i="22"/>
  <c r="BI10" i="22"/>
  <c r="BJ10" i="22"/>
  <c r="BI11" i="22"/>
  <c r="BJ11" i="22"/>
  <c r="BI12" i="22"/>
  <c r="BJ12" i="22"/>
  <c r="BI13" i="22"/>
  <c r="BJ13" i="22"/>
  <c r="BI14" i="22"/>
  <c r="BJ14" i="22"/>
  <c r="BI15" i="22"/>
  <c r="BJ15" i="22"/>
  <c r="BI16" i="22"/>
  <c r="BJ16" i="22"/>
  <c r="BI17" i="22"/>
  <c r="BJ17" i="22"/>
  <c r="BI18" i="22"/>
  <c r="BJ18" i="22"/>
  <c r="BI19" i="22"/>
  <c r="BJ19" i="22"/>
  <c r="BI20" i="22"/>
  <c r="BJ20" i="22"/>
  <c r="BL3" i="22"/>
  <c r="BM3" i="22"/>
  <c r="BL4" i="22"/>
  <c r="BM4" i="22"/>
  <c r="BL5" i="22"/>
  <c r="BM5" i="22"/>
  <c r="BL6" i="22"/>
  <c r="BM6" i="22"/>
  <c r="BL7" i="22"/>
  <c r="BM7" i="22"/>
  <c r="BL8" i="22"/>
  <c r="BM8" i="22"/>
  <c r="BL9" i="22"/>
  <c r="BM9" i="22"/>
  <c r="BL10" i="22"/>
  <c r="BM10" i="22"/>
  <c r="BL11" i="22"/>
  <c r="BM11" i="22"/>
  <c r="BL12" i="22"/>
  <c r="BM12" i="22"/>
  <c r="BL13" i="22"/>
  <c r="BM13" i="22"/>
  <c r="BL14" i="22"/>
  <c r="BM14" i="22"/>
  <c r="BL15" i="22"/>
  <c r="BM15" i="22"/>
  <c r="BL16" i="22"/>
  <c r="BM16" i="22"/>
  <c r="BL17" i="22"/>
  <c r="BM17" i="22"/>
  <c r="BL18" i="22"/>
  <c r="BM18" i="22"/>
  <c r="BL19" i="22"/>
  <c r="BM19" i="22"/>
  <c r="BL20" i="22"/>
  <c r="BM20" i="22"/>
  <c r="BO3" i="22"/>
  <c r="BP3" i="22"/>
  <c r="BO4" i="22"/>
  <c r="BP4" i="22"/>
  <c r="BO5" i="22"/>
  <c r="BP5" i="22"/>
  <c r="BO6" i="22"/>
  <c r="BP6" i="22"/>
  <c r="BO7" i="22"/>
  <c r="BP7" i="22"/>
  <c r="BO8" i="22"/>
  <c r="BP8" i="22"/>
  <c r="BO9" i="22"/>
  <c r="BP9" i="22"/>
  <c r="BO10" i="22"/>
  <c r="BP10" i="22"/>
  <c r="BO11" i="22"/>
  <c r="BP11" i="22"/>
  <c r="BO12" i="22"/>
  <c r="BP12" i="22"/>
  <c r="BO13" i="22"/>
  <c r="BP13" i="22"/>
  <c r="BO14" i="22"/>
  <c r="BP14" i="22"/>
  <c r="BO15" i="22"/>
  <c r="BP15" i="22"/>
  <c r="BO16" i="22"/>
  <c r="BP16" i="22"/>
  <c r="BO17" i="22"/>
  <c r="BP17" i="22"/>
  <c r="BO18" i="22"/>
  <c r="BP18" i="22"/>
  <c r="BO19" i="22"/>
  <c r="BP19" i="22"/>
  <c r="BO20" i="22"/>
  <c r="BP20" i="22"/>
  <c r="BR3" i="22"/>
  <c r="BS3" i="22"/>
  <c r="BR4" i="22"/>
  <c r="BS4" i="22"/>
  <c r="BR5" i="22"/>
  <c r="BS5" i="22"/>
  <c r="BR6" i="22"/>
  <c r="BS6" i="22"/>
  <c r="BR7" i="22"/>
  <c r="BS7" i="22"/>
  <c r="BR8" i="22"/>
  <c r="BS8" i="22"/>
  <c r="BR9" i="22"/>
  <c r="BS9" i="22"/>
  <c r="BR10" i="22"/>
  <c r="BS10" i="22"/>
  <c r="BR11" i="22"/>
  <c r="BS11" i="22"/>
  <c r="BR12" i="22"/>
  <c r="BS12" i="22"/>
  <c r="BR13" i="22"/>
  <c r="BS13" i="22"/>
  <c r="BR14" i="22"/>
  <c r="BS14" i="22"/>
  <c r="BR15" i="22"/>
  <c r="BS15" i="22"/>
  <c r="BR16" i="22"/>
  <c r="BS16" i="22"/>
  <c r="BR17" i="22"/>
  <c r="BS17" i="22"/>
  <c r="BR18" i="22"/>
  <c r="BS18" i="22"/>
  <c r="BR19" i="22"/>
  <c r="BS19" i="22"/>
  <c r="BR20" i="22"/>
  <c r="BS20" i="22"/>
  <c r="BU3" i="22"/>
  <c r="BV3" i="22"/>
  <c r="BU4" i="22"/>
  <c r="BV4" i="22"/>
  <c r="BU5" i="22"/>
  <c r="BV5" i="22"/>
  <c r="BU6" i="22"/>
  <c r="BV6" i="22"/>
  <c r="BU7" i="22"/>
  <c r="BV7" i="22"/>
  <c r="BU8" i="22"/>
  <c r="BV8" i="22"/>
  <c r="BU9" i="22"/>
  <c r="BV9" i="22"/>
  <c r="BU10" i="22"/>
  <c r="BV10" i="22"/>
  <c r="BU11" i="22"/>
  <c r="BV11" i="22"/>
  <c r="BU12" i="22"/>
  <c r="BV12" i="22"/>
  <c r="BU13" i="22"/>
  <c r="BV13" i="22"/>
  <c r="BU14" i="22"/>
  <c r="BV14" i="22"/>
  <c r="BU15" i="22"/>
  <c r="BV15" i="22"/>
  <c r="BU16" i="22"/>
  <c r="BV16" i="22"/>
  <c r="BU17" i="22"/>
  <c r="BV17" i="22"/>
  <c r="BU18" i="22"/>
  <c r="BV18" i="22"/>
  <c r="BU19" i="22"/>
  <c r="BV19" i="22"/>
  <c r="BU20" i="22"/>
  <c r="BV20" i="22"/>
  <c r="BS2" i="22"/>
  <c r="BR2" i="22"/>
  <c r="BP2" i="22"/>
  <c r="BO2" i="22"/>
  <c r="BM2" i="22"/>
  <c r="BL2" i="22"/>
  <c r="BV2" i="22"/>
  <c r="BU2" i="22"/>
  <c r="BJ2" i="22"/>
  <c r="BI2" i="22"/>
  <c r="BG2" i="22"/>
  <c r="BF2" i="22"/>
  <c r="BD2" i="22"/>
  <c r="BC2" i="22"/>
  <c r="BA2" i="22"/>
  <c r="AZ2" i="22"/>
  <c r="AX2" i="22"/>
  <c r="AW2" i="22"/>
  <c r="AU2" i="22"/>
  <c r="AT2" i="22"/>
  <c r="AR2" i="22"/>
  <c r="AQ2" i="22"/>
  <c r="AO2" i="22"/>
  <c r="AN2" i="22"/>
  <c r="AL2" i="22"/>
  <c r="AK2" i="22"/>
  <c r="AI2" i="22"/>
  <c r="AH2" i="22"/>
  <c r="AF2" i="22"/>
  <c r="AE2" i="22"/>
  <c r="AC2" i="22"/>
  <c r="AB2" i="22"/>
  <c r="BT43" i="22"/>
  <c r="BT44" i="22"/>
  <c r="BT45" i="22"/>
  <c r="BT46" i="22"/>
  <c r="BT47" i="22"/>
  <c r="BT48" i="22"/>
  <c r="BT49" i="22"/>
  <c r="BT50" i="22"/>
  <c r="BT51" i="22"/>
  <c r="BT52" i="22"/>
  <c r="BT53" i="22"/>
  <c r="BT54" i="22"/>
  <c r="BT55" i="22"/>
  <c r="BT56" i="22"/>
  <c r="BT57" i="22"/>
  <c r="BT58" i="22"/>
  <c r="BT59" i="22"/>
  <c r="BT60" i="22"/>
  <c r="BT42" i="22"/>
  <c r="BT22" i="22"/>
  <c r="BQ43" i="22"/>
  <c r="BQ44" i="22"/>
  <c r="BQ45" i="22"/>
  <c r="BQ46" i="22"/>
  <c r="BQ47" i="22"/>
  <c r="BQ48" i="22"/>
  <c r="BQ49" i="22"/>
  <c r="BQ50" i="22"/>
  <c r="BQ51" i="22"/>
  <c r="BQ52" i="22"/>
  <c r="BQ53" i="22"/>
  <c r="BQ54" i="22"/>
  <c r="BQ55" i="22"/>
  <c r="BQ56" i="22"/>
  <c r="BQ57" i="22"/>
  <c r="BQ58" i="22"/>
  <c r="BQ59" i="22"/>
  <c r="BQ60" i="22"/>
  <c r="BQ42" i="22"/>
  <c r="BQ22" i="22"/>
  <c r="BN43" i="22"/>
  <c r="BN44" i="22"/>
  <c r="BN45" i="22"/>
  <c r="BN46" i="22"/>
  <c r="BN47" i="22"/>
  <c r="BN48" i="22"/>
  <c r="BN49" i="22"/>
  <c r="BN50" i="22"/>
  <c r="BN51" i="22"/>
  <c r="BN52" i="22"/>
  <c r="BN53" i="22"/>
  <c r="BN54" i="22"/>
  <c r="BN55" i="22"/>
  <c r="BN56" i="22"/>
  <c r="BN57" i="22"/>
  <c r="BN58" i="22"/>
  <c r="BN59" i="22"/>
  <c r="BN60" i="22"/>
  <c r="BN42" i="22"/>
  <c r="BN22" i="22"/>
  <c r="BK43" i="22"/>
  <c r="BK44" i="22"/>
  <c r="BK45" i="22"/>
  <c r="BK46" i="22"/>
  <c r="BK47" i="22"/>
  <c r="BK48" i="22"/>
  <c r="BK49" i="22"/>
  <c r="BK50" i="22"/>
  <c r="BK51" i="22"/>
  <c r="BK52" i="22"/>
  <c r="BK53" i="22"/>
  <c r="BK54" i="22"/>
  <c r="BK55" i="22"/>
  <c r="BK56" i="22"/>
  <c r="BK57" i="22"/>
  <c r="BK58" i="22"/>
  <c r="BK59" i="22"/>
  <c r="BK60" i="22"/>
  <c r="BK42" i="22"/>
  <c r="BK22" i="22"/>
  <c r="BH43" i="22"/>
  <c r="BH44" i="22"/>
  <c r="BH45" i="22"/>
  <c r="BH46" i="22"/>
  <c r="BH47" i="22"/>
  <c r="BH48" i="22"/>
  <c r="BH49" i="22"/>
  <c r="BH50" i="22"/>
  <c r="BH51" i="22"/>
  <c r="BH52" i="22"/>
  <c r="BH53" i="22"/>
  <c r="BH54" i="22"/>
  <c r="BH55" i="22"/>
  <c r="BH56" i="22"/>
  <c r="BH57" i="22"/>
  <c r="BH58" i="22"/>
  <c r="BH59" i="22"/>
  <c r="BH60" i="22"/>
  <c r="BH42" i="22"/>
  <c r="BH22" i="22"/>
  <c r="BE43" i="22"/>
  <c r="BE44" i="22"/>
  <c r="BE45" i="22"/>
  <c r="BE46" i="22"/>
  <c r="BE47" i="22"/>
  <c r="BE48" i="22"/>
  <c r="BE49" i="22"/>
  <c r="BE50" i="22"/>
  <c r="BE51" i="22"/>
  <c r="BE52" i="22"/>
  <c r="BE53" i="22"/>
  <c r="BE54" i="22"/>
  <c r="BE55" i="22"/>
  <c r="BE56" i="22"/>
  <c r="BE57" i="22"/>
  <c r="BE58" i="22"/>
  <c r="BE59" i="22"/>
  <c r="BE60" i="22"/>
  <c r="BE42" i="22"/>
  <c r="BE22" i="22"/>
  <c r="BB43" i="22"/>
  <c r="BB44" i="22"/>
  <c r="BB45" i="22"/>
  <c r="BB46" i="22"/>
  <c r="BB47" i="22"/>
  <c r="BB48" i="22"/>
  <c r="BB49" i="22"/>
  <c r="BB50" i="22"/>
  <c r="BB51" i="22"/>
  <c r="BB52" i="22"/>
  <c r="BB53" i="22"/>
  <c r="BB54" i="22"/>
  <c r="BB55" i="22"/>
  <c r="BB56" i="22"/>
  <c r="BB57" i="22"/>
  <c r="BB58" i="22"/>
  <c r="BB59" i="22"/>
  <c r="BB60" i="22"/>
  <c r="BB42" i="22"/>
  <c r="BB22" i="22"/>
  <c r="AY43" i="22"/>
  <c r="AY44" i="22"/>
  <c r="AY45" i="22"/>
  <c r="AY46" i="22"/>
  <c r="AY47" i="22"/>
  <c r="AY48" i="22"/>
  <c r="AY49" i="22"/>
  <c r="AY50" i="22"/>
  <c r="AY51" i="22"/>
  <c r="AY52" i="22"/>
  <c r="AY53" i="22"/>
  <c r="AY54" i="22"/>
  <c r="AY55" i="22"/>
  <c r="AY56" i="22"/>
  <c r="AY57" i="22"/>
  <c r="AY58" i="22"/>
  <c r="AY59" i="22"/>
  <c r="AY60" i="22"/>
  <c r="AY42" i="22"/>
  <c r="AY23" i="22"/>
  <c r="AY24" i="22"/>
  <c r="AY25" i="22"/>
  <c r="AY26" i="22"/>
  <c r="AY27" i="22"/>
  <c r="AY28" i="22"/>
  <c r="AY29" i="22"/>
  <c r="AY30" i="22"/>
  <c r="AY31" i="22"/>
  <c r="AY32" i="22"/>
  <c r="AY33" i="22"/>
  <c r="AY34" i="22"/>
  <c r="AY35" i="22"/>
  <c r="AY36" i="22"/>
  <c r="AY37" i="22"/>
  <c r="AY38" i="22"/>
  <c r="AY39" i="22"/>
  <c r="AY22" i="22"/>
  <c r="AY3" i="22"/>
  <c r="AY4" i="22"/>
  <c r="AY5" i="22"/>
  <c r="AY6" i="22"/>
  <c r="AY7" i="22"/>
  <c r="AY8" i="22"/>
  <c r="AY9" i="22"/>
  <c r="AY10" i="22"/>
  <c r="AY11" i="22"/>
  <c r="AY12" i="22"/>
  <c r="AY13" i="22"/>
  <c r="AY14" i="22"/>
  <c r="AY15" i="22"/>
  <c r="AY16" i="22"/>
  <c r="AY17" i="22"/>
  <c r="AY18" i="22"/>
  <c r="AY19" i="22"/>
  <c r="AY20" i="22"/>
  <c r="AY2" i="22"/>
  <c r="AV43" i="22"/>
  <c r="AV44" i="22"/>
  <c r="AV45" i="22"/>
  <c r="AV46" i="22"/>
  <c r="AV47" i="22"/>
  <c r="AV48" i="22"/>
  <c r="AV49" i="22"/>
  <c r="AV50" i="22"/>
  <c r="AV51" i="22"/>
  <c r="AV52" i="22"/>
  <c r="AV53" i="22"/>
  <c r="AV54" i="22"/>
  <c r="AV55" i="22"/>
  <c r="AV56" i="22"/>
  <c r="AV57" i="22"/>
  <c r="AV58" i="22"/>
  <c r="AV59" i="22"/>
  <c r="AV60" i="22"/>
  <c r="AS43" i="22"/>
  <c r="AS44" i="22"/>
  <c r="AS45" i="22"/>
  <c r="AS46" i="22"/>
  <c r="AS47" i="22"/>
  <c r="AS48" i="22"/>
  <c r="AS49" i="22"/>
  <c r="AS50" i="22"/>
  <c r="AS51" i="22"/>
  <c r="AS52" i="22"/>
  <c r="AS53" i="22"/>
  <c r="AS54" i="22"/>
  <c r="AS55" i="22"/>
  <c r="AS56" i="22"/>
  <c r="AS57" i="22"/>
  <c r="AS58" i="22"/>
  <c r="AS59" i="22"/>
  <c r="AS60" i="22"/>
  <c r="AP43" i="22"/>
  <c r="AP44" i="22"/>
  <c r="AP45" i="22"/>
  <c r="AP46" i="22"/>
  <c r="AP47" i="22"/>
  <c r="AP48" i="22"/>
  <c r="AP49" i="22"/>
  <c r="AP50" i="22"/>
  <c r="AP51" i="22"/>
  <c r="AP52" i="22"/>
  <c r="AP53" i="22"/>
  <c r="AP54" i="22"/>
  <c r="AP55" i="22"/>
  <c r="AP56" i="22"/>
  <c r="AP57" i="22"/>
  <c r="AP58" i="22"/>
  <c r="AP59" i="22"/>
  <c r="AP60" i="22"/>
  <c r="AV42" i="22"/>
  <c r="AV22" i="22"/>
  <c r="AS42" i="22"/>
  <c r="AS22" i="22"/>
  <c r="AP42" i="22"/>
  <c r="AP22" i="22"/>
  <c r="AM43" i="22"/>
  <c r="AM44" i="22"/>
  <c r="AM45" i="22"/>
  <c r="AM46" i="22"/>
  <c r="AM47" i="22"/>
  <c r="AM48" i="22"/>
  <c r="AM49" i="22"/>
  <c r="AM50" i="22"/>
  <c r="AM51" i="22"/>
  <c r="AM52" i="22"/>
  <c r="AM53" i="22"/>
  <c r="AM54" i="22"/>
  <c r="AM55" i="22"/>
  <c r="AM56" i="22"/>
  <c r="AM57" i="22"/>
  <c r="AM58" i="22"/>
  <c r="AM59" i="22"/>
  <c r="AM60" i="22"/>
  <c r="AM42" i="22"/>
  <c r="AM22" i="22"/>
  <c r="AJ43" i="22"/>
  <c r="AJ44" i="22"/>
  <c r="AJ45" i="22"/>
  <c r="AJ46" i="22"/>
  <c r="AJ47" i="22"/>
  <c r="AJ48" i="22"/>
  <c r="AJ49" i="22"/>
  <c r="AJ50" i="22"/>
  <c r="AJ51" i="22"/>
  <c r="AJ52" i="22"/>
  <c r="AJ53" i="22"/>
  <c r="AJ54" i="22"/>
  <c r="AJ55" i="22"/>
  <c r="AJ56" i="22"/>
  <c r="AJ57" i="22"/>
  <c r="AJ58" i="22"/>
  <c r="AJ59" i="22"/>
  <c r="AJ60" i="22"/>
  <c r="AJ42" i="22"/>
  <c r="AJ22" i="22"/>
  <c r="AG43" i="22"/>
  <c r="AG44" i="22"/>
  <c r="AG45" i="22"/>
  <c r="AG46" i="22"/>
  <c r="AG47" i="22"/>
  <c r="AG48" i="22"/>
  <c r="AG49" i="22"/>
  <c r="AG50" i="22"/>
  <c r="AG51" i="22"/>
  <c r="AG52" i="22"/>
  <c r="AG53" i="22"/>
  <c r="AG54" i="22"/>
  <c r="AG55" i="22"/>
  <c r="AG56" i="22"/>
  <c r="AG57" i="22"/>
  <c r="AG58" i="22"/>
  <c r="AG59" i="22"/>
  <c r="AG60" i="22"/>
  <c r="AG42" i="22"/>
  <c r="AG22" i="22"/>
  <c r="AD43" i="22"/>
  <c r="AD44" i="22"/>
  <c r="AD45" i="22"/>
  <c r="AD46" i="22"/>
  <c r="AD47" i="22"/>
  <c r="AD48" i="22"/>
  <c r="AD49" i="22"/>
  <c r="AD50" i="22"/>
  <c r="AD51" i="22"/>
  <c r="AD52" i="22"/>
  <c r="AD53" i="22"/>
  <c r="AD54" i="22"/>
  <c r="AD55" i="22"/>
  <c r="AD56" i="22"/>
  <c r="AD57" i="22"/>
  <c r="AD58" i="22"/>
  <c r="AD59" i="22"/>
  <c r="AD60" i="22"/>
  <c r="AD42" i="22"/>
  <c r="AD22" i="22"/>
  <c r="AA43" i="22"/>
  <c r="AA44" i="22"/>
  <c r="AA45" i="22"/>
  <c r="AA46" i="22"/>
  <c r="AA47" i="22"/>
  <c r="AA48" i="22"/>
  <c r="AA49" i="22"/>
  <c r="AA50" i="22"/>
  <c r="AA51" i="22"/>
  <c r="AA52" i="22"/>
  <c r="AA53" i="22"/>
  <c r="AA54" i="22"/>
  <c r="AA55" i="22"/>
  <c r="AA56" i="22"/>
  <c r="AA57" i="22"/>
  <c r="AA58" i="22"/>
  <c r="AA59" i="22"/>
  <c r="AA60" i="22"/>
  <c r="AA42" i="22"/>
  <c r="AA2" i="22"/>
  <c r="AY40" i="22"/>
  <c r="BT3" i="22"/>
  <c r="BT4" i="22"/>
  <c r="BT5" i="22"/>
  <c r="BT6" i="22"/>
  <c r="BT7" i="22"/>
  <c r="BT8" i="22"/>
  <c r="BT9" i="22"/>
  <c r="BT10" i="22"/>
  <c r="BT11" i="22"/>
  <c r="BT12" i="22"/>
  <c r="BT13" i="22"/>
  <c r="BT14" i="22"/>
  <c r="BT15" i="22"/>
  <c r="BT16" i="22"/>
  <c r="BT17" i="22"/>
  <c r="BT18" i="22"/>
  <c r="BT19" i="22"/>
  <c r="BT20" i="22"/>
  <c r="BT2" i="22"/>
  <c r="BQ3" i="22"/>
  <c r="BQ4" i="22"/>
  <c r="BQ5" i="22"/>
  <c r="BQ6" i="22"/>
  <c r="BQ7" i="22"/>
  <c r="BQ8" i="22"/>
  <c r="BQ9" i="22"/>
  <c r="BQ10" i="22"/>
  <c r="BQ11" i="22"/>
  <c r="BQ12" i="22"/>
  <c r="BQ13" i="22"/>
  <c r="BQ14" i="22"/>
  <c r="BQ15" i="22"/>
  <c r="BQ16" i="22"/>
  <c r="BQ17" i="22"/>
  <c r="BQ18" i="22"/>
  <c r="BQ19" i="22"/>
  <c r="BQ20" i="22"/>
  <c r="BQ2" i="22"/>
  <c r="BN3" i="22"/>
  <c r="BN4" i="22"/>
  <c r="BN5" i="22"/>
  <c r="BN6" i="22"/>
  <c r="BN7" i="22"/>
  <c r="BN8" i="22"/>
  <c r="BN9" i="22"/>
  <c r="BN10" i="22"/>
  <c r="BN11" i="22"/>
  <c r="BN12" i="22"/>
  <c r="BN13" i="22"/>
  <c r="BN14" i="22"/>
  <c r="BN15" i="22"/>
  <c r="BN16" i="22"/>
  <c r="BN17" i="22"/>
  <c r="BN18" i="22"/>
  <c r="BN19" i="22"/>
  <c r="BN20" i="22"/>
  <c r="BN2" i="22"/>
  <c r="BK3" i="22"/>
  <c r="BK4" i="22"/>
  <c r="BK5" i="22"/>
  <c r="BK6" i="22"/>
  <c r="BK7" i="22"/>
  <c r="BK8" i="22"/>
  <c r="BK9" i="22"/>
  <c r="BK10" i="22"/>
  <c r="BK11" i="22"/>
  <c r="BK12" i="22"/>
  <c r="BK13" i="22"/>
  <c r="BK14" i="22"/>
  <c r="BK15" i="22"/>
  <c r="BK16" i="22"/>
  <c r="BK17" i="22"/>
  <c r="BK18" i="22"/>
  <c r="BK19" i="22"/>
  <c r="BK20" i="22"/>
  <c r="BK2" i="22"/>
  <c r="BB3" i="22"/>
  <c r="BB4" i="22"/>
  <c r="BB5" i="22"/>
  <c r="BB6" i="22"/>
  <c r="BB7" i="22"/>
  <c r="BB8" i="22"/>
  <c r="BB9" i="22"/>
  <c r="BB10" i="22"/>
  <c r="BB11" i="22"/>
  <c r="BB12" i="22"/>
  <c r="BB13" i="22"/>
  <c r="BB14" i="22"/>
  <c r="BB15" i="22"/>
  <c r="BB16" i="22"/>
  <c r="BB17" i="22"/>
  <c r="BB18" i="22"/>
  <c r="BB19" i="22"/>
  <c r="BB20" i="22"/>
  <c r="BB2" i="22"/>
  <c r="BE3" i="22"/>
  <c r="BE4" i="22"/>
  <c r="BE5" i="22"/>
  <c r="BE6" i="22"/>
  <c r="BE7" i="22"/>
  <c r="BE8" i="22"/>
  <c r="BE9" i="22"/>
  <c r="BE10" i="22"/>
  <c r="BE11" i="22"/>
  <c r="BE12" i="22"/>
  <c r="BE13" i="22"/>
  <c r="BE14" i="22"/>
  <c r="BE15" i="22"/>
  <c r="BE16" i="22"/>
  <c r="BE17" i="22"/>
  <c r="BE18" i="22"/>
  <c r="BE19" i="22"/>
  <c r="BE20" i="22"/>
  <c r="BE2" i="22"/>
  <c r="BH3" i="22"/>
  <c r="BH4" i="22"/>
  <c r="BH5" i="22"/>
  <c r="BH6" i="22"/>
  <c r="BH7" i="22"/>
  <c r="BH8" i="22"/>
  <c r="BH9" i="22"/>
  <c r="BH10" i="22"/>
  <c r="BH11" i="22"/>
  <c r="BH12" i="22"/>
  <c r="BH13" i="22"/>
  <c r="BH14" i="22"/>
  <c r="BH15" i="22"/>
  <c r="BH16" i="22"/>
  <c r="BH17" i="22"/>
  <c r="BH18" i="22"/>
  <c r="BH19" i="22"/>
  <c r="BH20" i="22"/>
  <c r="BH2" i="22"/>
  <c r="AV3" i="22"/>
  <c r="AV4" i="22"/>
  <c r="AV5" i="22"/>
  <c r="AV6" i="22"/>
  <c r="AV7" i="22"/>
  <c r="AV8" i="22"/>
  <c r="AV9" i="22"/>
  <c r="AV10" i="22"/>
  <c r="AV11" i="22"/>
  <c r="AV12" i="22"/>
  <c r="AV13" i="22"/>
  <c r="AV14" i="22"/>
  <c r="AV15" i="22"/>
  <c r="AV16" i="22"/>
  <c r="AV17" i="22"/>
  <c r="AV18" i="22"/>
  <c r="AV19" i="22"/>
  <c r="AV20" i="22"/>
  <c r="AV2" i="22"/>
  <c r="AS3" i="22"/>
  <c r="AS4" i="22"/>
  <c r="AS5" i="22"/>
  <c r="AS6" i="22"/>
  <c r="AS7" i="22"/>
  <c r="AS8" i="22"/>
  <c r="AS9" i="22"/>
  <c r="AS10" i="22"/>
  <c r="AS11" i="22"/>
  <c r="AS12" i="22"/>
  <c r="AS13" i="22"/>
  <c r="AS14" i="22"/>
  <c r="AS15" i="22"/>
  <c r="AS16" i="22"/>
  <c r="AS17" i="22"/>
  <c r="AS18" i="22"/>
  <c r="AS19" i="22"/>
  <c r="AS20" i="22"/>
  <c r="AS2" i="22"/>
  <c r="AP3" i="22"/>
  <c r="AP4" i="22"/>
  <c r="AP5" i="22"/>
  <c r="AP6" i="22"/>
  <c r="AP7" i="22"/>
  <c r="AP8" i="22"/>
  <c r="AP9" i="22"/>
  <c r="AP10" i="22"/>
  <c r="AP11" i="22"/>
  <c r="AP12" i="22"/>
  <c r="AP13" i="22"/>
  <c r="AP14" i="22"/>
  <c r="AP15" i="22"/>
  <c r="AP16" i="22"/>
  <c r="AP17" i="22"/>
  <c r="AP18" i="22"/>
  <c r="AP19" i="22"/>
  <c r="AP20" i="22"/>
  <c r="AP2" i="22"/>
  <c r="AM3" i="22"/>
  <c r="AM4" i="22"/>
  <c r="AM5" i="22"/>
  <c r="AM6" i="22"/>
  <c r="AM7" i="22"/>
  <c r="AM8" i="22"/>
  <c r="AM9" i="22"/>
  <c r="AM10" i="22"/>
  <c r="AM11" i="22"/>
  <c r="AM12" i="22"/>
  <c r="AM13" i="22"/>
  <c r="AM14" i="22"/>
  <c r="AM15" i="22"/>
  <c r="AM16" i="22"/>
  <c r="AM17" i="22"/>
  <c r="AM18" i="22"/>
  <c r="AM19" i="22"/>
  <c r="AM20" i="22"/>
  <c r="AM2" i="22"/>
  <c r="AJ3" i="22"/>
  <c r="AJ4" i="22"/>
  <c r="AJ5" i="22"/>
  <c r="AJ6" i="22"/>
  <c r="AJ7" i="22"/>
  <c r="AJ8" i="22"/>
  <c r="AJ9" i="22"/>
  <c r="AJ10" i="22"/>
  <c r="AJ11" i="22"/>
  <c r="AJ12" i="22"/>
  <c r="AJ13" i="22"/>
  <c r="AJ14" i="22"/>
  <c r="AJ15" i="22"/>
  <c r="AJ16" i="22"/>
  <c r="AJ17" i="22"/>
  <c r="AJ18" i="22"/>
  <c r="AJ19" i="22"/>
  <c r="AJ20" i="22"/>
  <c r="AJ2" i="22"/>
  <c r="AG3" i="22"/>
  <c r="AG4" i="22"/>
  <c r="AG5" i="22"/>
  <c r="AG6" i="22"/>
  <c r="AG7" i="22"/>
  <c r="AG8" i="22"/>
  <c r="AG9" i="22"/>
  <c r="AG10" i="22"/>
  <c r="AG11" i="22"/>
  <c r="AG12" i="22"/>
  <c r="AG13" i="22"/>
  <c r="AG14" i="22"/>
  <c r="AG15" i="22"/>
  <c r="AG16" i="22"/>
  <c r="AG17" i="22"/>
  <c r="AG18" i="22"/>
  <c r="AG19" i="22"/>
  <c r="AG20" i="22"/>
  <c r="AG2" i="22"/>
  <c r="AD3" i="22"/>
  <c r="AD4" i="22"/>
  <c r="AD5" i="22"/>
  <c r="AD6" i="22"/>
  <c r="AD7" i="22"/>
  <c r="AD8" i="22"/>
  <c r="AD9" i="22"/>
  <c r="AD10" i="22"/>
  <c r="AD11" i="22"/>
  <c r="AD12" i="22"/>
  <c r="AD13" i="22"/>
  <c r="AD14" i="22"/>
  <c r="AD15" i="22"/>
  <c r="AD16" i="22"/>
  <c r="AD17" i="22"/>
  <c r="AD18" i="22"/>
  <c r="AD19" i="22"/>
  <c r="AD20" i="22"/>
  <c r="AD2" i="22"/>
  <c r="AA3" i="22"/>
  <c r="AA4" i="22"/>
  <c r="AA5" i="22"/>
  <c r="AA6" i="22"/>
  <c r="AA7" i="22"/>
  <c r="AA8" i="22"/>
  <c r="AA9" i="22"/>
  <c r="AA10" i="22"/>
  <c r="AA11" i="22"/>
  <c r="AA12" i="22"/>
  <c r="AA13" i="22"/>
  <c r="AA14" i="22"/>
  <c r="AA15" i="22"/>
  <c r="AA16" i="22"/>
  <c r="AA17" i="22"/>
  <c r="AA18" i="22"/>
  <c r="AA19" i="22"/>
  <c r="AA20" i="22"/>
  <c r="AX43" i="22"/>
  <c r="AA23" i="22"/>
  <c r="AD23" i="22"/>
  <c r="AG23" i="22"/>
  <c r="AJ23" i="22"/>
  <c r="AM23" i="22"/>
  <c r="AP23" i="22"/>
  <c r="AS23" i="22"/>
  <c r="AV23" i="22"/>
  <c r="BB23" i="22"/>
  <c r="BE23" i="22"/>
  <c r="BH23" i="22"/>
  <c r="BK23" i="22"/>
  <c r="BN23" i="22"/>
  <c r="BQ23" i="22"/>
  <c r="BT23" i="22"/>
  <c r="AA24" i="22"/>
  <c r="AD24" i="22"/>
  <c r="AG24" i="22"/>
  <c r="AJ24" i="22"/>
  <c r="AM24" i="22"/>
  <c r="AP24" i="22"/>
  <c r="AS24" i="22"/>
  <c r="AV24" i="22"/>
  <c r="BB24" i="22"/>
  <c r="BE24" i="22"/>
  <c r="BH24" i="22"/>
  <c r="BK24" i="22"/>
  <c r="BN24" i="22"/>
  <c r="BQ24" i="22"/>
  <c r="BT24" i="22"/>
  <c r="AA25" i="22"/>
  <c r="AD25" i="22"/>
  <c r="AG25" i="22"/>
  <c r="AJ25" i="22"/>
  <c r="AM25" i="22"/>
  <c r="AP25" i="22"/>
  <c r="AS25" i="22"/>
  <c r="AV25" i="22"/>
  <c r="BB25" i="22"/>
  <c r="BE25" i="22"/>
  <c r="BH25" i="22"/>
  <c r="BK25" i="22"/>
  <c r="BN25" i="22"/>
  <c r="BQ25" i="22"/>
  <c r="BT25" i="22"/>
  <c r="AA26" i="22"/>
  <c r="AD26" i="22"/>
  <c r="AG26" i="22"/>
  <c r="AJ26" i="22"/>
  <c r="AM26" i="22"/>
  <c r="AP26" i="22"/>
  <c r="AS26" i="22"/>
  <c r="AV26" i="22"/>
  <c r="BB26" i="22"/>
  <c r="BE26" i="22"/>
  <c r="BH26" i="22"/>
  <c r="BK26" i="22"/>
  <c r="BN26" i="22"/>
  <c r="BQ26" i="22"/>
  <c r="BT26" i="22"/>
  <c r="AA27" i="22"/>
  <c r="AD27" i="22"/>
  <c r="AG27" i="22"/>
  <c r="AJ27" i="22"/>
  <c r="AM27" i="22"/>
  <c r="AP27" i="22"/>
  <c r="AS27" i="22"/>
  <c r="AV27" i="22"/>
  <c r="BB27" i="22"/>
  <c r="BE27" i="22"/>
  <c r="BH27" i="22"/>
  <c r="BK27" i="22"/>
  <c r="BN27" i="22"/>
  <c r="BQ27" i="22"/>
  <c r="BT27" i="22"/>
  <c r="AA28" i="22"/>
  <c r="AD28" i="22"/>
  <c r="AG28" i="22"/>
  <c r="AJ28" i="22"/>
  <c r="AM28" i="22"/>
  <c r="AP28" i="22"/>
  <c r="AS28" i="22"/>
  <c r="AV28" i="22"/>
  <c r="BB28" i="22"/>
  <c r="BE28" i="22"/>
  <c r="BH28" i="22"/>
  <c r="BK28" i="22"/>
  <c r="BN28" i="22"/>
  <c r="BQ28" i="22"/>
  <c r="BT28" i="22"/>
  <c r="AA29" i="22"/>
  <c r="AD29" i="22"/>
  <c r="AG29" i="22"/>
  <c r="AJ29" i="22"/>
  <c r="AM29" i="22"/>
  <c r="AP29" i="22"/>
  <c r="AS29" i="22"/>
  <c r="AV29" i="22"/>
  <c r="BB29" i="22"/>
  <c r="BE29" i="22"/>
  <c r="BH29" i="22"/>
  <c r="BK29" i="22"/>
  <c r="BN29" i="22"/>
  <c r="BQ29" i="22"/>
  <c r="BT29" i="22"/>
  <c r="AA30" i="22"/>
  <c r="AD30" i="22"/>
  <c r="AG30" i="22"/>
  <c r="AJ30" i="22"/>
  <c r="AM30" i="22"/>
  <c r="AP30" i="22"/>
  <c r="AS30" i="22"/>
  <c r="AV30" i="22"/>
  <c r="BB30" i="22"/>
  <c r="BE30" i="22"/>
  <c r="BH30" i="22"/>
  <c r="BK30" i="22"/>
  <c r="BN30" i="22"/>
  <c r="BQ30" i="22"/>
  <c r="BT30" i="22"/>
  <c r="AA31" i="22"/>
  <c r="AD31" i="22"/>
  <c r="AG31" i="22"/>
  <c r="AJ31" i="22"/>
  <c r="AM31" i="22"/>
  <c r="AP31" i="22"/>
  <c r="AS31" i="22"/>
  <c r="AV31" i="22"/>
  <c r="BB31" i="22"/>
  <c r="BE31" i="22"/>
  <c r="BH31" i="22"/>
  <c r="BK31" i="22"/>
  <c r="BN31" i="22"/>
  <c r="BQ31" i="22"/>
  <c r="BT31" i="22"/>
  <c r="AA32" i="22"/>
  <c r="AD32" i="22"/>
  <c r="AG32" i="22"/>
  <c r="AJ32" i="22"/>
  <c r="AM32" i="22"/>
  <c r="AP32" i="22"/>
  <c r="AS32" i="22"/>
  <c r="AV32" i="22"/>
  <c r="BB32" i="22"/>
  <c r="BE32" i="22"/>
  <c r="BH32" i="22"/>
  <c r="BK32" i="22"/>
  <c r="BN32" i="22"/>
  <c r="BQ32" i="22"/>
  <c r="BT32" i="22"/>
  <c r="AA33" i="22"/>
  <c r="AD33" i="22"/>
  <c r="AG33" i="22"/>
  <c r="AJ33" i="22"/>
  <c r="AM33" i="22"/>
  <c r="AP33" i="22"/>
  <c r="AS33" i="22"/>
  <c r="AV33" i="22"/>
  <c r="BB33" i="22"/>
  <c r="BE33" i="22"/>
  <c r="BH33" i="22"/>
  <c r="BK33" i="22"/>
  <c r="BN33" i="22"/>
  <c r="BQ33" i="22"/>
  <c r="BT33" i="22"/>
  <c r="AA34" i="22"/>
  <c r="AD34" i="22"/>
  <c r="AG34" i="22"/>
  <c r="AJ34" i="22"/>
  <c r="AM34" i="22"/>
  <c r="AP34" i="22"/>
  <c r="AS34" i="22"/>
  <c r="AV34" i="22"/>
  <c r="BB34" i="22"/>
  <c r="BE34" i="22"/>
  <c r="BH34" i="22"/>
  <c r="BK34" i="22"/>
  <c r="BN34" i="22"/>
  <c r="BQ34" i="22"/>
  <c r="BT34" i="22"/>
  <c r="AA35" i="22"/>
  <c r="AD35" i="22"/>
  <c r="AG35" i="22"/>
  <c r="AJ35" i="22"/>
  <c r="AM35" i="22"/>
  <c r="AP35" i="22"/>
  <c r="AS35" i="22"/>
  <c r="AV35" i="22"/>
  <c r="BB35" i="22"/>
  <c r="BE35" i="22"/>
  <c r="BH35" i="22"/>
  <c r="BK35" i="22"/>
  <c r="BN35" i="22"/>
  <c r="BQ35" i="22"/>
  <c r="BT35" i="22"/>
  <c r="AA36" i="22"/>
  <c r="AD36" i="22"/>
  <c r="AG36" i="22"/>
  <c r="AJ36" i="22"/>
  <c r="AM36" i="22"/>
  <c r="AP36" i="22"/>
  <c r="AS36" i="22"/>
  <c r="AV36" i="22"/>
  <c r="BB36" i="22"/>
  <c r="BE36" i="22"/>
  <c r="BH36" i="22"/>
  <c r="BK36" i="22"/>
  <c r="BN36" i="22"/>
  <c r="BQ36" i="22"/>
  <c r="BT36" i="22"/>
  <c r="AA37" i="22"/>
  <c r="AD37" i="22"/>
  <c r="AG37" i="22"/>
  <c r="AJ37" i="22"/>
  <c r="AM37" i="22"/>
  <c r="AP37" i="22"/>
  <c r="AS37" i="22"/>
  <c r="AV37" i="22"/>
  <c r="BB37" i="22"/>
  <c r="BE37" i="22"/>
  <c r="BH37" i="22"/>
  <c r="BK37" i="22"/>
  <c r="BN37" i="22"/>
  <c r="BQ37" i="22"/>
  <c r="BT37" i="22"/>
  <c r="AA38" i="22"/>
  <c r="AD38" i="22"/>
  <c r="AG38" i="22"/>
  <c r="AJ38" i="22"/>
  <c r="AM38" i="22"/>
  <c r="AP38" i="22"/>
  <c r="AS38" i="22"/>
  <c r="AV38" i="22"/>
  <c r="BB38" i="22"/>
  <c r="BE38" i="22"/>
  <c r="BH38" i="22"/>
  <c r="BK38" i="22"/>
  <c r="BN38" i="22"/>
  <c r="BQ38" i="22"/>
  <c r="BT38" i="22"/>
  <c r="AA39" i="22"/>
  <c r="AD39" i="22"/>
  <c r="AG39" i="22"/>
  <c r="AJ39" i="22"/>
  <c r="AM39" i="22"/>
  <c r="AP39" i="22"/>
  <c r="AS39" i="22"/>
  <c r="AV39" i="22"/>
  <c r="BB39" i="22"/>
  <c r="BE39" i="22"/>
  <c r="BH39" i="22"/>
  <c r="BK39" i="22"/>
  <c r="BN39" i="22"/>
  <c r="BQ39" i="22"/>
  <c r="BT39" i="22"/>
  <c r="AA40" i="22"/>
  <c r="AD40" i="22"/>
  <c r="AG40" i="22"/>
  <c r="AJ40" i="22"/>
  <c r="AM40" i="22"/>
  <c r="AP40" i="22"/>
  <c r="AS40" i="22"/>
  <c r="AV40" i="22"/>
  <c r="BB40" i="22"/>
  <c r="BE40" i="22"/>
  <c r="BH40" i="22"/>
  <c r="BK40" i="22"/>
  <c r="BN40" i="22"/>
  <c r="BQ40" i="22"/>
  <c r="BT40" i="22"/>
  <c r="AA22" i="22"/>
  <c r="AW23" i="22"/>
  <c r="R592" i="25"/>
  <c r="K592" i="25"/>
  <c r="J592" i="25"/>
  <c r="G592" i="25"/>
  <c r="F592" i="25"/>
  <c r="B592" i="25"/>
  <c r="B589" i="25"/>
  <c r="H551" i="25"/>
  <c r="N551" i="25" s="1"/>
  <c r="L610" i="25" s="1"/>
  <c r="N533" i="25"/>
  <c r="H533" i="25"/>
  <c r="I531" i="25"/>
  <c r="L531" i="25" s="1"/>
  <c r="O531" i="25" s="1"/>
  <c r="Q531" i="25" s="1"/>
  <c r="F479" i="25"/>
  <c r="F478" i="25"/>
  <c r="F477" i="25"/>
  <c r="F476" i="25"/>
  <c r="H436" i="25"/>
  <c r="O434" i="25"/>
  <c r="I434" i="25"/>
  <c r="L434" i="25" s="1"/>
  <c r="F387" i="25"/>
  <c r="F482" i="25" s="1"/>
  <c r="F384" i="25"/>
  <c r="F383" i="25"/>
  <c r="F382" i="25"/>
  <c r="F381" i="25"/>
  <c r="H341" i="25"/>
  <c r="O339" i="25"/>
  <c r="I339" i="25"/>
  <c r="L339" i="25" s="1"/>
  <c r="F289" i="25"/>
  <c r="F288" i="25"/>
  <c r="F287" i="25"/>
  <c r="F286" i="25"/>
  <c r="H246" i="25"/>
  <c r="O244" i="25"/>
  <c r="I244" i="25"/>
  <c r="L244" i="25" s="1"/>
  <c r="Q244" i="25" s="1"/>
  <c r="F194" i="25"/>
  <c r="F193" i="25"/>
  <c r="F192" i="25"/>
  <c r="F191" i="25"/>
  <c r="M175" i="25"/>
  <c r="M270" i="25" s="1"/>
  <c r="E175" i="25"/>
  <c r="E270" i="25" s="1"/>
  <c r="E365" i="25" s="1"/>
  <c r="E460" i="25" s="1"/>
  <c r="C557" i="25" s="1"/>
  <c r="E616" i="25" s="1"/>
  <c r="D169" i="25"/>
  <c r="D264" i="25" s="1"/>
  <c r="H151" i="25"/>
  <c r="O149" i="25"/>
  <c r="I149" i="25"/>
  <c r="L149" i="25" s="1"/>
  <c r="M149" i="25" s="1"/>
  <c r="C149" i="25"/>
  <c r="C244" i="25"/>
  <c r="C339" i="25" s="1"/>
  <c r="C434" i="25" s="1"/>
  <c r="C531" i="25" s="1"/>
  <c r="O101" i="25"/>
  <c r="O196" i="25" s="1"/>
  <c r="O291" i="25" s="1"/>
  <c r="O386" i="25" s="1"/>
  <c r="O481" i="25" s="1"/>
  <c r="F102" i="25"/>
  <c r="F197" i="25" s="1"/>
  <c r="F99" i="25"/>
  <c r="F98" i="25"/>
  <c r="F97" i="25"/>
  <c r="F96" i="25"/>
  <c r="L74" i="25"/>
  <c r="D68" i="25"/>
  <c r="L68" i="25" s="1"/>
  <c r="D163" i="25" s="1"/>
  <c r="L163" i="25" s="1"/>
  <c r="D258" i="25" s="1"/>
  <c r="L258" i="25" s="1"/>
  <c r="D353" i="25" s="1"/>
  <c r="L353" i="25" s="1"/>
  <c r="D448" i="25" s="1"/>
  <c r="H56" i="25"/>
  <c r="O54" i="25"/>
  <c r="I54" i="25"/>
  <c r="L54" i="25" s="1"/>
  <c r="L169" i="25"/>
  <c r="HE25" i="2"/>
  <c r="HD40" i="2"/>
  <c r="HD38" i="2"/>
  <c r="HD36" i="2"/>
  <c r="HD34" i="2"/>
  <c r="HD32" i="2"/>
  <c r="HD30" i="2"/>
  <c r="HD28" i="2"/>
  <c r="HD26" i="2"/>
  <c r="HD24" i="2"/>
  <c r="HC40" i="2"/>
  <c r="HC38" i="2"/>
  <c r="HC36" i="2"/>
  <c r="HC34" i="2"/>
  <c r="HC32" i="2"/>
  <c r="HC30" i="2"/>
  <c r="HC28" i="2"/>
  <c r="HC26" i="2"/>
  <c r="HC24" i="2"/>
  <c r="HB40" i="2"/>
  <c r="HB38" i="2"/>
  <c r="HB36" i="2"/>
  <c r="HB34" i="2"/>
  <c r="HB32" i="2"/>
  <c r="HB30" i="2"/>
  <c r="HB28" i="2"/>
  <c r="HE41" i="2"/>
  <c r="HE40" i="2"/>
  <c r="HE39" i="2"/>
  <c r="HE38" i="2"/>
  <c r="HE37" i="2"/>
  <c r="HE36" i="2"/>
  <c r="HE35" i="2"/>
  <c r="HE34" i="2"/>
  <c r="HE33" i="2"/>
  <c r="HE32" i="2"/>
  <c r="HE31" i="2"/>
  <c r="HE30" i="2"/>
  <c r="HE29" i="2"/>
  <c r="HE28" i="2"/>
  <c r="HE27" i="2"/>
  <c r="HE26" i="2"/>
  <c r="HE24" i="2"/>
  <c r="HE23" i="2"/>
  <c r="HD41" i="2"/>
  <c r="HD39" i="2"/>
  <c r="HD37" i="2"/>
  <c r="HD35" i="2"/>
  <c r="HD33" i="2"/>
  <c r="HD31" i="2"/>
  <c r="HD29" i="2"/>
  <c r="HD27" i="2"/>
  <c r="HD25" i="2"/>
  <c r="HD23" i="2"/>
  <c r="HC41" i="2"/>
  <c r="HC39" i="2"/>
  <c r="HC37" i="2"/>
  <c r="HC35" i="2"/>
  <c r="HC33" i="2"/>
  <c r="HC31" i="2"/>
  <c r="HC29" i="2"/>
  <c r="HC27" i="2"/>
  <c r="HC25" i="2"/>
  <c r="HC23" i="2"/>
  <c r="HB41" i="2"/>
  <c r="HB39" i="2"/>
  <c r="HB37" i="2"/>
  <c r="HB35" i="2"/>
  <c r="HB33" i="2"/>
  <c r="HB31" i="2"/>
  <c r="HB29" i="2"/>
  <c r="HB27" i="2"/>
  <c r="HB26" i="2"/>
  <c r="HB25" i="2"/>
  <c r="HB24" i="2"/>
  <c r="HB23" i="2"/>
  <c r="HA41" i="2"/>
  <c r="HA40" i="2"/>
  <c r="HA39" i="2"/>
  <c r="HA38" i="2"/>
  <c r="HA37" i="2"/>
  <c r="HA36" i="2"/>
  <c r="HA35" i="2"/>
  <c r="HA34" i="2"/>
  <c r="HA33" i="2"/>
  <c r="HA32" i="2"/>
  <c r="HA31" i="2"/>
  <c r="HA30" i="2"/>
  <c r="HA29" i="2"/>
  <c r="HA28" i="2"/>
  <c r="HA27" i="2"/>
  <c r="HA26" i="2"/>
  <c r="HA25" i="2"/>
  <c r="HA24" i="2"/>
  <c r="HA23" i="2"/>
  <c r="GY41" i="2"/>
  <c r="GY40" i="2"/>
  <c r="GY39" i="2"/>
  <c r="GY38" i="2"/>
  <c r="GY37" i="2"/>
  <c r="GY36" i="2"/>
  <c r="GY35" i="2"/>
  <c r="GY34" i="2"/>
  <c r="GY33" i="2"/>
  <c r="GY32" i="2"/>
  <c r="GY31" i="2"/>
  <c r="GY30" i="2"/>
  <c r="GY29" i="2"/>
  <c r="GY28" i="2"/>
  <c r="GY27" i="2"/>
  <c r="GY26" i="2"/>
  <c r="GY25" i="2"/>
  <c r="GY24" i="2"/>
  <c r="GY23" i="2"/>
  <c r="GW41" i="2"/>
  <c r="GW40" i="2"/>
  <c r="GW39" i="2"/>
  <c r="GW38" i="2"/>
  <c r="GW37" i="2"/>
  <c r="GW36" i="2"/>
  <c r="GW35" i="2"/>
  <c r="GW34" i="2"/>
  <c r="GW33" i="2"/>
  <c r="GW32" i="2"/>
  <c r="GW31" i="2"/>
  <c r="GW30" i="2"/>
  <c r="GW29" i="2"/>
  <c r="GW28" i="2"/>
  <c r="GW27" i="2"/>
  <c r="GW26" i="2"/>
  <c r="GW25" i="2"/>
  <c r="GW24" i="2"/>
  <c r="GW23" i="2"/>
  <c r="HF41" i="2"/>
  <c r="HF40" i="2"/>
  <c r="HF39" i="2"/>
  <c r="HF38" i="2"/>
  <c r="HF37" i="2"/>
  <c r="HF36" i="2"/>
  <c r="HF35" i="2"/>
  <c r="HF34" i="2"/>
  <c r="HF33" i="2"/>
  <c r="HF32" i="2"/>
  <c r="HF31" i="2"/>
  <c r="HF30" i="2"/>
  <c r="HF29" i="2"/>
  <c r="HF28" i="2"/>
  <c r="HF27" i="2"/>
  <c r="HF26" i="2"/>
  <c r="HF25" i="2"/>
  <c r="HF24" i="2"/>
  <c r="HF23" i="2"/>
  <c r="GZ41" i="2"/>
  <c r="GZ40" i="2"/>
  <c r="GZ39" i="2"/>
  <c r="GZ38" i="2"/>
  <c r="GZ37" i="2"/>
  <c r="GZ36" i="2"/>
  <c r="GZ35" i="2"/>
  <c r="GZ34" i="2"/>
  <c r="GZ33" i="2"/>
  <c r="GZ32" i="2"/>
  <c r="GZ31" i="2"/>
  <c r="GZ30" i="2"/>
  <c r="GZ29" i="2"/>
  <c r="GZ28" i="2"/>
  <c r="GZ27" i="2"/>
  <c r="GZ26" i="2"/>
  <c r="GZ25" i="2"/>
  <c r="GZ24" i="2"/>
  <c r="GZ23" i="2"/>
  <c r="GX41" i="2"/>
  <c r="GX40" i="2"/>
  <c r="GX39" i="2"/>
  <c r="GX38" i="2"/>
  <c r="GX37" i="2"/>
  <c r="GX36" i="2"/>
  <c r="GX35" i="2"/>
  <c r="GX34" i="2"/>
  <c r="GX33" i="2"/>
  <c r="GX32" i="2"/>
  <c r="GX31" i="2"/>
  <c r="GX30" i="2"/>
  <c r="GX29" i="2"/>
  <c r="GX28" i="2"/>
  <c r="GX27" i="2"/>
  <c r="GX26" i="2"/>
  <c r="GX25" i="2"/>
  <c r="GX24" i="2"/>
  <c r="GX23" i="2"/>
  <c r="GV41" i="2"/>
  <c r="GV40" i="2"/>
  <c r="GV39" i="2"/>
  <c r="GV38" i="2"/>
  <c r="GV37" i="2"/>
  <c r="GV36" i="2"/>
  <c r="GV35" i="2"/>
  <c r="GV34" i="2"/>
  <c r="GV33" i="2"/>
  <c r="GV32" i="2"/>
  <c r="GV31" i="2"/>
  <c r="GV30" i="2"/>
  <c r="GV29" i="2"/>
  <c r="GV28" i="2"/>
  <c r="GV27" i="2"/>
  <c r="GV26" i="2"/>
  <c r="GV25" i="2"/>
  <c r="GV24" i="2"/>
  <c r="GV23" i="2"/>
  <c r="GU41" i="2"/>
  <c r="GU40" i="2"/>
  <c r="GU39" i="2"/>
  <c r="GU38" i="2"/>
  <c r="GU37" i="2"/>
  <c r="GU36" i="2"/>
  <c r="GU35" i="2"/>
  <c r="GU34" i="2"/>
  <c r="GU33" i="2"/>
  <c r="GU32" i="2"/>
  <c r="GU31" i="2"/>
  <c r="GU30" i="2"/>
  <c r="GU29" i="2"/>
  <c r="GU28" i="2"/>
  <c r="GU27" i="2"/>
  <c r="GU26" i="2"/>
  <c r="GU25" i="2"/>
  <c r="GU24" i="2"/>
  <c r="GU23" i="2"/>
  <c r="HF21" i="2"/>
  <c r="HF20" i="2"/>
  <c r="HF19" i="2"/>
  <c r="HF18" i="2"/>
  <c r="HF17" i="2"/>
  <c r="HF16" i="2"/>
  <c r="HF15" i="2"/>
  <c r="HF14" i="2"/>
  <c r="HF13" i="2"/>
  <c r="HF12" i="2"/>
  <c r="HF11" i="2"/>
  <c r="HF10" i="2"/>
  <c r="HF9" i="2"/>
  <c r="HF8" i="2"/>
  <c r="HF7" i="2"/>
  <c r="HF6" i="2"/>
  <c r="HF5" i="2"/>
  <c r="HF4" i="2"/>
  <c r="HF3" i="2"/>
  <c r="HF2" i="2"/>
  <c r="HE21" i="2"/>
  <c r="HE20" i="2"/>
  <c r="HE19" i="2"/>
  <c r="HE18" i="2"/>
  <c r="HE17" i="2"/>
  <c r="HE16" i="2"/>
  <c r="HE15" i="2"/>
  <c r="HE14" i="2"/>
  <c r="HE13" i="2"/>
  <c r="HE12" i="2"/>
  <c r="HE11" i="2"/>
  <c r="HE10" i="2"/>
  <c r="HE9" i="2"/>
  <c r="HE8" i="2"/>
  <c r="HE7" i="2"/>
  <c r="HE6" i="2"/>
  <c r="HE5" i="2"/>
  <c r="HE4" i="2"/>
  <c r="HE3" i="2"/>
  <c r="HE2" i="2"/>
  <c r="HD21" i="2"/>
  <c r="HD20" i="2"/>
  <c r="HD19" i="2"/>
  <c r="HD18" i="2"/>
  <c r="HD17" i="2"/>
  <c r="HD16" i="2"/>
  <c r="HD15" i="2"/>
  <c r="HD14" i="2"/>
  <c r="HD13" i="2"/>
  <c r="HD12" i="2"/>
  <c r="HD11" i="2"/>
  <c r="HD10" i="2"/>
  <c r="HD9" i="2"/>
  <c r="HD8" i="2"/>
  <c r="HD7" i="2"/>
  <c r="HD6" i="2"/>
  <c r="HD5" i="2"/>
  <c r="HD4" i="2"/>
  <c r="HD3" i="2"/>
  <c r="HD2" i="2"/>
  <c r="HC21" i="2"/>
  <c r="HC20" i="2"/>
  <c r="HC19" i="2"/>
  <c r="HC18" i="2"/>
  <c r="HC17" i="2"/>
  <c r="HC16" i="2"/>
  <c r="HC15" i="2"/>
  <c r="HC14" i="2"/>
  <c r="HC13" i="2"/>
  <c r="HC12" i="2"/>
  <c r="HC11" i="2"/>
  <c r="HC10" i="2"/>
  <c r="HC9" i="2"/>
  <c r="HC8" i="2"/>
  <c r="HC7" i="2"/>
  <c r="HC6" i="2"/>
  <c r="HC5" i="2"/>
  <c r="HC4" i="2"/>
  <c r="HC3" i="2"/>
  <c r="HC2" i="2"/>
  <c r="HB21" i="2"/>
  <c r="HB20" i="2"/>
  <c r="HB19" i="2"/>
  <c r="HB18" i="2"/>
  <c r="HB17" i="2"/>
  <c r="HB16" i="2"/>
  <c r="HB15" i="2"/>
  <c r="HB14" i="2"/>
  <c r="HB13" i="2"/>
  <c r="HB12" i="2"/>
  <c r="HB11" i="2"/>
  <c r="HB10" i="2"/>
  <c r="HB9" i="2"/>
  <c r="HB8" i="2"/>
  <c r="HB7" i="2"/>
  <c r="HB6" i="2"/>
  <c r="HB5" i="2"/>
  <c r="HB4" i="2"/>
  <c r="HB3" i="2"/>
  <c r="HB2" i="2"/>
  <c r="HA21" i="2"/>
  <c r="HA20" i="2"/>
  <c r="HA19" i="2"/>
  <c r="HA18" i="2"/>
  <c r="HA17" i="2"/>
  <c r="HA16" i="2"/>
  <c r="HA15" i="2"/>
  <c r="HA14" i="2"/>
  <c r="HA13" i="2"/>
  <c r="HA12" i="2"/>
  <c r="HA11" i="2"/>
  <c r="HA10" i="2"/>
  <c r="HA9" i="2"/>
  <c r="HA8" i="2"/>
  <c r="HA7" i="2"/>
  <c r="HA6" i="2"/>
  <c r="HA5" i="2"/>
  <c r="HA4" i="2"/>
  <c r="HA3" i="2"/>
  <c r="HA2" i="2"/>
  <c r="GZ21" i="2"/>
  <c r="GZ20" i="2"/>
  <c r="GZ19" i="2"/>
  <c r="GZ18" i="2"/>
  <c r="GZ17" i="2"/>
  <c r="GZ16" i="2"/>
  <c r="GZ15" i="2"/>
  <c r="GZ14" i="2"/>
  <c r="GZ13" i="2"/>
  <c r="GZ12" i="2"/>
  <c r="GZ11" i="2"/>
  <c r="GZ10" i="2"/>
  <c r="GZ9" i="2"/>
  <c r="GZ8" i="2"/>
  <c r="GZ7" i="2"/>
  <c r="GZ6" i="2"/>
  <c r="GZ5" i="2"/>
  <c r="GZ4" i="2"/>
  <c r="GZ3" i="2"/>
  <c r="GZ2" i="2"/>
  <c r="GY21" i="2"/>
  <c r="GY20" i="2"/>
  <c r="GY19" i="2"/>
  <c r="GY18" i="2"/>
  <c r="GY17" i="2"/>
  <c r="GY16" i="2"/>
  <c r="GY15" i="2"/>
  <c r="GY14" i="2"/>
  <c r="GY13" i="2"/>
  <c r="GY12" i="2"/>
  <c r="GY11" i="2"/>
  <c r="GY10" i="2"/>
  <c r="GY9" i="2"/>
  <c r="GY8" i="2"/>
  <c r="GY7" i="2"/>
  <c r="GY6" i="2"/>
  <c r="GY5" i="2"/>
  <c r="GY4" i="2"/>
  <c r="GY3" i="2"/>
  <c r="GY2" i="2"/>
  <c r="GX21" i="2"/>
  <c r="GX20" i="2"/>
  <c r="GX19" i="2"/>
  <c r="GX18" i="2"/>
  <c r="GX17" i="2"/>
  <c r="GX16" i="2"/>
  <c r="GX15" i="2"/>
  <c r="GX14" i="2"/>
  <c r="GX13" i="2"/>
  <c r="GX12" i="2"/>
  <c r="GX11" i="2"/>
  <c r="GX10" i="2"/>
  <c r="GX9" i="2"/>
  <c r="GX8" i="2"/>
  <c r="GX7" i="2"/>
  <c r="GX6" i="2"/>
  <c r="GX5" i="2"/>
  <c r="GX4" i="2"/>
  <c r="GX3" i="2"/>
  <c r="GX2" i="2"/>
  <c r="GW21" i="2"/>
  <c r="GW20" i="2"/>
  <c r="GW19" i="2"/>
  <c r="GW18" i="2"/>
  <c r="GW17" i="2"/>
  <c r="GW16" i="2"/>
  <c r="GW15" i="2"/>
  <c r="GW14" i="2"/>
  <c r="GW13" i="2"/>
  <c r="GW12" i="2"/>
  <c r="GW11" i="2"/>
  <c r="GW10" i="2"/>
  <c r="GW9" i="2"/>
  <c r="GW8" i="2"/>
  <c r="GW7" i="2"/>
  <c r="GW6" i="2"/>
  <c r="GW5" i="2"/>
  <c r="GW4" i="2"/>
  <c r="GW3" i="2"/>
  <c r="GW2" i="2"/>
  <c r="GV21" i="2"/>
  <c r="GV20" i="2"/>
  <c r="GV19" i="2"/>
  <c r="GV18" i="2"/>
  <c r="GV17" i="2"/>
  <c r="GV16" i="2"/>
  <c r="GV15" i="2"/>
  <c r="GV14" i="2"/>
  <c r="GV13" i="2"/>
  <c r="GV12" i="2"/>
  <c r="GV11" i="2"/>
  <c r="GV10" i="2"/>
  <c r="GV9" i="2"/>
  <c r="GV8" i="2"/>
  <c r="GV7" i="2"/>
  <c r="GV6" i="2"/>
  <c r="GV5" i="2"/>
  <c r="GV4" i="2"/>
  <c r="GV3" i="2"/>
  <c r="GV2" i="2"/>
  <c r="GU21" i="2"/>
  <c r="GU20" i="2"/>
  <c r="GU19" i="2"/>
  <c r="GU18" i="2"/>
  <c r="GU17" i="2"/>
  <c r="GU16" i="2"/>
  <c r="GU15" i="2"/>
  <c r="GU14" i="2"/>
  <c r="GU13" i="2"/>
  <c r="GU12" i="2"/>
  <c r="GU11" i="2"/>
  <c r="GU10" i="2"/>
  <c r="GU9" i="2"/>
  <c r="GU8" i="2"/>
  <c r="GU7" i="2"/>
  <c r="GU6" i="2"/>
  <c r="GU5" i="2"/>
  <c r="GU4" i="2"/>
  <c r="GU3" i="2"/>
  <c r="GU2" i="2"/>
  <c r="GT21" i="2"/>
  <c r="GT20" i="2"/>
  <c r="GT19" i="2"/>
  <c r="GT18" i="2"/>
  <c r="GT17" i="2"/>
  <c r="GT16" i="2"/>
  <c r="GT15" i="2"/>
  <c r="GT14" i="2"/>
  <c r="GT13" i="2"/>
  <c r="GT12" i="2"/>
  <c r="GT11" i="2"/>
  <c r="GT10" i="2"/>
  <c r="GT9" i="2"/>
  <c r="GT8" i="2"/>
  <c r="GT7" i="2"/>
  <c r="GT6" i="2"/>
  <c r="GT5" i="2"/>
  <c r="GT4" i="2"/>
  <c r="GT3" i="2"/>
  <c r="GT2" i="2"/>
  <c r="GT41" i="2"/>
  <c r="GT40" i="2"/>
  <c r="GT39" i="2"/>
  <c r="GT38" i="2"/>
  <c r="GT37" i="2"/>
  <c r="GT36" i="2"/>
  <c r="GT35" i="2"/>
  <c r="GT34" i="2"/>
  <c r="GT33" i="2"/>
  <c r="GT32" i="2"/>
  <c r="GT31" i="2"/>
  <c r="GT30" i="2"/>
  <c r="GT29" i="2"/>
  <c r="GT28" i="2"/>
  <c r="GT27" i="2"/>
  <c r="GT26" i="2"/>
  <c r="GT25" i="2"/>
  <c r="GT24" i="2"/>
  <c r="GT23" i="2"/>
  <c r="GS41" i="2"/>
  <c r="GS40" i="2"/>
  <c r="GS39" i="2"/>
  <c r="GS38" i="2"/>
  <c r="GS37" i="2"/>
  <c r="GS36" i="2"/>
  <c r="GS35" i="2"/>
  <c r="GS34" i="2"/>
  <c r="GS33" i="2"/>
  <c r="GS32" i="2"/>
  <c r="GS31" i="2"/>
  <c r="GS30" i="2"/>
  <c r="GS29" i="2"/>
  <c r="GS28" i="2"/>
  <c r="GS27" i="2"/>
  <c r="GS26" i="2"/>
  <c r="GS25" i="2"/>
  <c r="GS24" i="2"/>
  <c r="GS23" i="2"/>
  <c r="GR41" i="2"/>
  <c r="GR40" i="2"/>
  <c r="GR39" i="2"/>
  <c r="GR38" i="2"/>
  <c r="GR37" i="2"/>
  <c r="GR36" i="2"/>
  <c r="GR35" i="2"/>
  <c r="GR34" i="2"/>
  <c r="GR33" i="2"/>
  <c r="GR32" i="2"/>
  <c r="GR31" i="2"/>
  <c r="GR30" i="2"/>
  <c r="GR29" i="2"/>
  <c r="GR28" i="2"/>
  <c r="GR27" i="2"/>
  <c r="GR26" i="2"/>
  <c r="GR25" i="2"/>
  <c r="GR24" i="2"/>
  <c r="GR23" i="2"/>
  <c r="GQ41" i="2"/>
  <c r="GQ40" i="2"/>
  <c r="GQ39" i="2"/>
  <c r="GQ38" i="2"/>
  <c r="GQ37" i="2"/>
  <c r="GQ36" i="2"/>
  <c r="GQ35" i="2"/>
  <c r="GQ34" i="2"/>
  <c r="GQ33" i="2"/>
  <c r="GQ32" i="2"/>
  <c r="GQ31" i="2"/>
  <c r="GQ30" i="2"/>
  <c r="GQ29" i="2"/>
  <c r="GQ28" i="2"/>
  <c r="GQ27" i="2"/>
  <c r="GQ26" i="2"/>
  <c r="GQ25" i="2"/>
  <c r="GQ24" i="2"/>
  <c r="GQ23" i="2"/>
  <c r="GS21" i="2"/>
  <c r="GS20" i="2"/>
  <c r="GS19" i="2"/>
  <c r="GS18" i="2"/>
  <c r="GS17" i="2"/>
  <c r="GS16" i="2"/>
  <c r="GS15" i="2"/>
  <c r="GS14" i="2"/>
  <c r="GS13" i="2"/>
  <c r="GS12" i="2"/>
  <c r="GS11" i="2"/>
  <c r="GS10" i="2"/>
  <c r="GS9" i="2"/>
  <c r="GS8" i="2"/>
  <c r="GS7" i="2"/>
  <c r="GS6" i="2"/>
  <c r="GS5" i="2"/>
  <c r="GS4" i="2"/>
  <c r="GS3" i="2"/>
  <c r="GS2" i="2"/>
  <c r="GR21" i="2"/>
  <c r="GR20" i="2"/>
  <c r="GR19" i="2"/>
  <c r="GR18" i="2"/>
  <c r="GR17" i="2"/>
  <c r="GR16" i="2"/>
  <c r="GR15" i="2"/>
  <c r="GR14" i="2"/>
  <c r="GR13" i="2"/>
  <c r="GR12" i="2"/>
  <c r="GR11" i="2"/>
  <c r="GR10" i="2"/>
  <c r="GR9" i="2"/>
  <c r="GR8" i="2"/>
  <c r="GR7" i="2"/>
  <c r="GR6" i="2"/>
  <c r="GR5" i="2"/>
  <c r="GR4" i="2"/>
  <c r="GR3" i="2"/>
  <c r="GR2" i="2"/>
  <c r="GQ21" i="2"/>
  <c r="GQ20" i="2"/>
  <c r="GQ19" i="2"/>
  <c r="GQ18" i="2"/>
  <c r="GQ17" i="2"/>
  <c r="GQ16" i="2"/>
  <c r="GQ15" i="2"/>
  <c r="GQ14" i="2"/>
  <c r="GQ13" i="2"/>
  <c r="GQ12" i="2"/>
  <c r="GQ11" i="2"/>
  <c r="GQ10" i="2"/>
  <c r="GQ9" i="2"/>
  <c r="GQ8" i="2"/>
  <c r="GQ7" i="2"/>
  <c r="GQ6" i="2"/>
  <c r="GQ5" i="2"/>
  <c r="GQ4" i="2"/>
  <c r="GQ3" i="2"/>
  <c r="GQ2" i="2"/>
  <c r="GP12" i="2"/>
  <c r="T25" i="23"/>
  <c r="T26" i="23"/>
  <c r="T503" i="23"/>
  <c r="GP41" i="2"/>
  <c r="GP40" i="2"/>
  <c r="GP39" i="2"/>
  <c r="GP38" i="2"/>
  <c r="GP37" i="2"/>
  <c r="GP36" i="2"/>
  <c r="GP35" i="2"/>
  <c r="GP34" i="2"/>
  <c r="GP33" i="2"/>
  <c r="GP32" i="2"/>
  <c r="GP31" i="2"/>
  <c r="GP30" i="2"/>
  <c r="GP29" i="2"/>
  <c r="GP28" i="2"/>
  <c r="GP27" i="2"/>
  <c r="GP26" i="2"/>
  <c r="GP25" i="2"/>
  <c r="GP24" i="2"/>
  <c r="GP23" i="2"/>
  <c r="GP21" i="2"/>
  <c r="GP20" i="2"/>
  <c r="GP19" i="2"/>
  <c r="GP18" i="2"/>
  <c r="GP17" i="2"/>
  <c r="GP16" i="2"/>
  <c r="GP15" i="2"/>
  <c r="GP14" i="2"/>
  <c r="GP13" i="2"/>
  <c r="GP11" i="2"/>
  <c r="GP10" i="2"/>
  <c r="GP9" i="2"/>
  <c r="GP8" i="2"/>
  <c r="GP7" i="2"/>
  <c r="GP6" i="2"/>
  <c r="GP5" i="2"/>
  <c r="GP4" i="2"/>
  <c r="GP3" i="2"/>
  <c r="GP2" i="2"/>
  <c r="GO41" i="2"/>
  <c r="GO40" i="2"/>
  <c r="GO39" i="2"/>
  <c r="GO38" i="2"/>
  <c r="GO37" i="2"/>
  <c r="GO36" i="2"/>
  <c r="GO35" i="2"/>
  <c r="GO34" i="2"/>
  <c r="GO33" i="2"/>
  <c r="GO32" i="2"/>
  <c r="GO31" i="2"/>
  <c r="GO30" i="2"/>
  <c r="GO29" i="2"/>
  <c r="GO28" i="2"/>
  <c r="GO27" i="2"/>
  <c r="GO26" i="2"/>
  <c r="GO25" i="2"/>
  <c r="GO24" i="2"/>
  <c r="GO23" i="2"/>
  <c r="GO21" i="2"/>
  <c r="GO20" i="2"/>
  <c r="GO19" i="2"/>
  <c r="GO18" i="2"/>
  <c r="GO17" i="2"/>
  <c r="GO16" i="2"/>
  <c r="GO15" i="2"/>
  <c r="GO14" i="2"/>
  <c r="GO13" i="2"/>
  <c r="GO12" i="2"/>
  <c r="GO11" i="2"/>
  <c r="GO10" i="2"/>
  <c r="GO9" i="2"/>
  <c r="GO8" i="2"/>
  <c r="GO7" i="2"/>
  <c r="GO6" i="2"/>
  <c r="GO5" i="2"/>
  <c r="GO4" i="2"/>
  <c r="GO3" i="2"/>
  <c r="GO2" i="2"/>
  <c r="GN41" i="2"/>
  <c r="GN40" i="2"/>
  <c r="GN39" i="2"/>
  <c r="GN38" i="2"/>
  <c r="GN37" i="2"/>
  <c r="GN36" i="2"/>
  <c r="GN35" i="2"/>
  <c r="GN34" i="2"/>
  <c r="GN33" i="2"/>
  <c r="GN32" i="2"/>
  <c r="GN31" i="2"/>
  <c r="GN30" i="2"/>
  <c r="GN29" i="2"/>
  <c r="GN28" i="2"/>
  <c r="GN27" i="2"/>
  <c r="GN26" i="2"/>
  <c r="GN25" i="2"/>
  <c r="GN24" i="2"/>
  <c r="GN23" i="2"/>
  <c r="GN21" i="2"/>
  <c r="GN20" i="2"/>
  <c r="GN19" i="2"/>
  <c r="GN18" i="2"/>
  <c r="GN17" i="2"/>
  <c r="GN16" i="2"/>
  <c r="GN15" i="2"/>
  <c r="GN14" i="2"/>
  <c r="GN13" i="2"/>
  <c r="GN12" i="2"/>
  <c r="GN11" i="2"/>
  <c r="GN10" i="2"/>
  <c r="GN9" i="2"/>
  <c r="GN8" i="2"/>
  <c r="GN7" i="2"/>
  <c r="GN6" i="2"/>
  <c r="GN5" i="2"/>
  <c r="GN4" i="2"/>
  <c r="GN3" i="2"/>
  <c r="GN2" i="2"/>
  <c r="GM41" i="2"/>
  <c r="GM40" i="2"/>
  <c r="GM39" i="2"/>
  <c r="GM38" i="2"/>
  <c r="GM37" i="2"/>
  <c r="GM36" i="2"/>
  <c r="GM35" i="2"/>
  <c r="GM34" i="2"/>
  <c r="GM33" i="2"/>
  <c r="GM32" i="2"/>
  <c r="GM31" i="2"/>
  <c r="GM30" i="2"/>
  <c r="GM29" i="2"/>
  <c r="GM28" i="2"/>
  <c r="GM27" i="2"/>
  <c r="GM26" i="2"/>
  <c r="GM25" i="2"/>
  <c r="GM24" i="2"/>
  <c r="GM23" i="2"/>
  <c r="GM21" i="2"/>
  <c r="GM20" i="2"/>
  <c r="GM19" i="2"/>
  <c r="GM18" i="2"/>
  <c r="GM17" i="2"/>
  <c r="GM16" i="2"/>
  <c r="GM15" i="2"/>
  <c r="GM14" i="2"/>
  <c r="GM13" i="2"/>
  <c r="GM12" i="2"/>
  <c r="GM11" i="2"/>
  <c r="GM10" i="2"/>
  <c r="GM9" i="2"/>
  <c r="GM8" i="2"/>
  <c r="GM7" i="2"/>
  <c r="GM6" i="2"/>
  <c r="GM5" i="2"/>
  <c r="GM4" i="2"/>
  <c r="GM3" i="2"/>
  <c r="GM2" i="2"/>
  <c r="GB21" i="2"/>
  <c r="GB20" i="2"/>
  <c r="GB19" i="2"/>
  <c r="GB18" i="2"/>
  <c r="GA21" i="2"/>
  <c r="GA20" i="2"/>
  <c r="GA19" i="2"/>
  <c r="GA18" i="2"/>
  <c r="FZ21" i="2"/>
  <c r="FZ20" i="2"/>
  <c r="FZ19" i="2"/>
  <c r="FZ18" i="2"/>
  <c r="FY21" i="2"/>
  <c r="FY20" i="2"/>
  <c r="FY19" i="2"/>
  <c r="FY18" i="2"/>
  <c r="FX21" i="2"/>
  <c r="FX20" i="2"/>
  <c r="FX19" i="2"/>
  <c r="FX18" i="2"/>
  <c r="FW21" i="2"/>
  <c r="FW20" i="2"/>
  <c r="FW19" i="2"/>
  <c r="FW18" i="2"/>
  <c r="FV21" i="2"/>
  <c r="FV20" i="2"/>
  <c r="FV19" i="2"/>
  <c r="FV18" i="2"/>
  <c r="FU21" i="2"/>
  <c r="FU20" i="2"/>
  <c r="FU19" i="2"/>
  <c r="FU18" i="2"/>
  <c r="FT21" i="2"/>
  <c r="FT20" i="2"/>
  <c r="FT19" i="2"/>
  <c r="FT18" i="2"/>
  <c r="FS21" i="2"/>
  <c r="FS20" i="2"/>
  <c r="FS19" i="2"/>
  <c r="FS18" i="2"/>
  <c r="FR21" i="2"/>
  <c r="FR20" i="2"/>
  <c r="FR19" i="2"/>
  <c r="FR18" i="2"/>
  <c r="FQ21" i="2"/>
  <c r="FQ20" i="2"/>
  <c r="FQ19" i="2"/>
  <c r="FQ18" i="2"/>
  <c r="FP21" i="2"/>
  <c r="FP20" i="2"/>
  <c r="FP19" i="2"/>
  <c r="FP18" i="2"/>
  <c r="FO21" i="2"/>
  <c r="FO20" i="2"/>
  <c r="FO19" i="2"/>
  <c r="FO18" i="2"/>
  <c r="FN21" i="2"/>
  <c r="FN20" i="2"/>
  <c r="FN19" i="2"/>
  <c r="FN18" i="2"/>
  <c r="FM21" i="2"/>
  <c r="FM20" i="2"/>
  <c r="FM19" i="2"/>
  <c r="FM18" i="2"/>
  <c r="FL21" i="2"/>
  <c r="FL20" i="2"/>
  <c r="FL19" i="2"/>
  <c r="FL18" i="2"/>
  <c r="FK21" i="2"/>
  <c r="FK20" i="2"/>
  <c r="FK19" i="2"/>
  <c r="FK18" i="2"/>
  <c r="FJ21" i="2"/>
  <c r="FJ20" i="2"/>
  <c r="FJ19" i="2"/>
  <c r="FJ18" i="2"/>
  <c r="FI21" i="2"/>
  <c r="FI20" i="2"/>
  <c r="FI19" i="2"/>
  <c r="FI18" i="2"/>
  <c r="GB17" i="2"/>
  <c r="GB16" i="2"/>
  <c r="GB15" i="2"/>
  <c r="GB14" i="2"/>
  <c r="GB13" i="2"/>
  <c r="GA17" i="2"/>
  <c r="GA16" i="2"/>
  <c r="GA15" i="2"/>
  <c r="GA14" i="2"/>
  <c r="GA13" i="2"/>
  <c r="FZ17" i="2"/>
  <c r="FZ16" i="2"/>
  <c r="FZ15" i="2"/>
  <c r="FZ14" i="2"/>
  <c r="FZ13" i="2"/>
  <c r="FY17" i="2"/>
  <c r="FY16" i="2"/>
  <c r="FY15" i="2"/>
  <c r="FY14" i="2"/>
  <c r="FY13" i="2"/>
  <c r="FX17" i="2"/>
  <c r="FX16" i="2"/>
  <c r="FX15" i="2"/>
  <c r="FX14" i="2"/>
  <c r="FX13" i="2"/>
  <c r="FW17" i="2"/>
  <c r="FW16" i="2"/>
  <c r="FW15" i="2"/>
  <c r="FW14" i="2"/>
  <c r="FW13" i="2"/>
  <c r="FV17" i="2"/>
  <c r="FV16" i="2"/>
  <c r="FV15" i="2"/>
  <c r="FV14" i="2"/>
  <c r="FV13" i="2"/>
  <c r="FU17" i="2"/>
  <c r="FU16" i="2"/>
  <c r="FU15" i="2"/>
  <c r="FU14" i="2"/>
  <c r="FU13" i="2"/>
  <c r="FT17" i="2"/>
  <c r="FT16" i="2"/>
  <c r="FT15" i="2"/>
  <c r="FT14" i="2"/>
  <c r="FT13" i="2"/>
  <c r="FS17" i="2"/>
  <c r="FS16" i="2"/>
  <c r="FS15" i="2"/>
  <c r="FS14" i="2"/>
  <c r="FS13" i="2"/>
  <c r="FR17" i="2"/>
  <c r="FR16" i="2"/>
  <c r="FR15" i="2"/>
  <c r="FR14" i="2"/>
  <c r="FR13" i="2"/>
  <c r="FQ17" i="2"/>
  <c r="FQ16" i="2"/>
  <c r="FQ15" i="2"/>
  <c r="FQ14" i="2"/>
  <c r="FQ13" i="2"/>
  <c r="FP17" i="2"/>
  <c r="FP16" i="2"/>
  <c r="FP15" i="2"/>
  <c r="FP14" i="2"/>
  <c r="FP13" i="2"/>
  <c r="FO17" i="2"/>
  <c r="FO16" i="2"/>
  <c r="FO15" i="2"/>
  <c r="FO14" i="2"/>
  <c r="FO13" i="2"/>
  <c r="FN17" i="2"/>
  <c r="FN16" i="2"/>
  <c r="FN15" i="2"/>
  <c r="FN14" i="2"/>
  <c r="FN13" i="2"/>
  <c r="FM17" i="2"/>
  <c r="FM16" i="2"/>
  <c r="FM15" i="2"/>
  <c r="FM14" i="2"/>
  <c r="FM13" i="2"/>
  <c r="FL17" i="2"/>
  <c r="FL16" i="2"/>
  <c r="FL15" i="2"/>
  <c r="FL14" i="2"/>
  <c r="FL13" i="2"/>
  <c r="FK17" i="2"/>
  <c r="FK16" i="2"/>
  <c r="FK15" i="2"/>
  <c r="FK14" i="2"/>
  <c r="FK13" i="2"/>
  <c r="FJ17" i="2"/>
  <c r="FJ16" i="2"/>
  <c r="FJ15" i="2"/>
  <c r="FJ14" i="2"/>
  <c r="FJ13" i="2"/>
  <c r="FI17" i="2"/>
  <c r="FI16" i="2"/>
  <c r="FI15" i="2"/>
  <c r="FI14" i="2"/>
  <c r="FI13" i="2"/>
  <c r="GB12" i="2"/>
  <c r="GB11" i="2"/>
  <c r="GB10" i="2"/>
  <c r="GB9" i="2"/>
  <c r="GB8" i="2"/>
  <c r="GB7" i="2"/>
  <c r="GB6" i="2"/>
  <c r="GA12" i="2"/>
  <c r="GA11" i="2"/>
  <c r="GA10" i="2"/>
  <c r="GA9" i="2"/>
  <c r="GA8" i="2"/>
  <c r="GA7" i="2"/>
  <c r="GA6" i="2"/>
  <c r="FZ12" i="2"/>
  <c r="FZ11" i="2"/>
  <c r="FZ10" i="2"/>
  <c r="FZ9" i="2"/>
  <c r="FZ8" i="2"/>
  <c r="FZ7" i="2"/>
  <c r="FZ6" i="2"/>
  <c r="FY12" i="2"/>
  <c r="FY11" i="2"/>
  <c r="FY10" i="2"/>
  <c r="FY9" i="2"/>
  <c r="FY8" i="2"/>
  <c r="FY7" i="2"/>
  <c r="FY6" i="2"/>
  <c r="FX12" i="2"/>
  <c r="FX11" i="2"/>
  <c r="FX10" i="2"/>
  <c r="FX9" i="2"/>
  <c r="FX8" i="2"/>
  <c r="FX7" i="2"/>
  <c r="FX6" i="2"/>
  <c r="FW12" i="2"/>
  <c r="FW11" i="2"/>
  <c r="FW10" i="2"/>
  <c r="FW9" i="2"/>
  <c r="FW8" i="2"/>
  <c r="FW7" i="2"/>
  <c r="FW6" i="2"/>
  <c r="FV12" i="2"/>
  <c r="FV11" i="2"/>
  <c r="FV10" i="2"/>
  <c r="FV9" i="2"/>
  <c r="FV8" i="2"/>
  <c r="FV7" i="2"/>
  <c r="FV6" i="2"/>
  <c r="FU12" i="2"/>
  <c r="FU11" i="2"/>
  <c r="FU10" i="2"/>
  <c r="FU9" i="2"/>
  <c r="FU8" i="2"/>
  <c r="FU7" i="2"/>
  <c r="FU6" i="2"/>
  <c r="FT12" i="2"/>
  <c r="FT11" i="2"/>
  <c r="FT10" i="2"/>
  <c r="FT9" i="2"/>
  <c r="FT8" i="2"/>
  <c r="FT7" i="2"/>
  <c r="FT6" i="2"/>
  <c r="FS12" i="2"/>
  <c r="FS11" i="2"/>
  <c r="FS10" i="2"/>
  <c r="FS9" i="2"/>
  <c r="FS8" i="2"/>
  <c r="FS7" i="2"/>
  <c r="FS6" i="2"/>
  <c r="FR12" i="2"/>
  <c r="FR11" i="2"/>
  <c r="FR10" i="2"/>
  <c r="FR9" i="2"/>
  <c r="FR8" i="2"/>
  <c r="FR7" i="2"/>
  <c r="FR6" i="2"/>
  <c r="FQ12" i="2"/>
  <c r="FQ11" i="2"/>
  <c r="FQ10" i="2"/>
  <c r="FQ9" i="2"/>
  <c r="FQ8" i="2"/>
  <c r="FQ7" i="2"/>
  <c r="FQ6" i="2"/>
  <c r="FP12" i="2"/>
  <c r="FP11" i="2"/>
  <c r="FP10" i="2"/>
  <c r="FP9" i="2"/>
  <c r="FP8" i="2"/>
  <c r="FP7" i="2"/>
  <c r="FP6" i="2"/>
  <c r="FO12" i="2"/>
  <c r="FO11" i="2"/>
  <c r="FO10" i="2"/>
  <c r="FO9" i="2"/>
  <c r="FO8" i="2"/>
  <c r="FO7" i="2"/>
  <c r="FO6" i="2"/>
  <c r="FN12" i="2"/>
  <c r="FN11" i="2"/>
  <c r="FN10" i="2"/>
  <c r="FN9" i="2"/>
  <c r="FN8" i="2"/>
  <c r="FN7" i="2"/>
  <c r="FN6" i="2"/>
  <c r="FM12" i="2"/>
  <c r="FM11" i="2"/>
  <c r="FM10" i="2"/>
  <c r="FM9" i="2"/>
  <c r="FM8" i="2"/>
  <c r="FM7" i="2"/>
  <c r="FM6" i="2"/>
  <c r="FL12" i="2"/>
  <c r="FL11" i="2"/>
  <c r="FL10" i="2"/>
  <c r="FL9" i="2"/>
  <c r="FL8" i="2"/>
  <c r="FL7" i="2"/>
  <c r="FL6" i="2"/>
  <c r="FK12" i="2"/>
  <c r="FK11" i="2"/>
  <c r="FK10" i="2"/>
  <c r="FK9" i="2"/>
  <c r="FK8" i="2"/>
  <c r="FK7" i="2"/>
  <c r="FK6" i="2"/>
  <c r="FJ12" i="2"/>
  <c r="FJ11" i="2"/>
  <c r="FJ10" i="2"/>
  <c r="FJ9" i="2"/>
  <c r="FJ8" i="2"/>
  <c r="FJ7" i="2"/>
  <c r="FJ6" i="2"/>
  <c r="FI12" i="2"/>
  <c r="FI11" i="2"/>
  <c r="FI10" i="2"/>
  <c r="FI9" i="2"/>
  <c r="FI8" i="2"/>
  <c r="FI7" i="2"/>
  <c r="FI6" i="2"/>
  <c r="GB5" i="2"/>
  <c r="GB4" i="2"/>
  <c r="GB3" i="2"/>
  <c r="GB2" i="2"/>
  <c r="GA5" i="2"/>
  <c r="GA4" i="2"/>
  <c r="GA3" i="2"/>
  <c r="GA2" i="2"/>
  <c r="FZ5" i="2"/>
  <c r="FZ4" i="2"/>
  <c r="FZ3" i="2"/>
  <c r="FZ2" i="2"/>
  <c r="FY5" i="2"/>
  <c r="FY4" i="2"/>
  <c r="FY3" i="2"/>
  <c r="FY2" i="2"/>
  <c r="FX5" i="2"/>
  <c r="FX4" i="2"/>
  <c r="FX3" i="2"/>
  <c r="FX2" i="2"/>
  <c r="FW5" i="2"/>
  <c r="FW4" i="2"/>
  <c r="FW3" i="2"/>
  <c r="FW2" i="2"/>
  <c r="FV5" i="2"/>
  <c r="FV4" i="2"/>
  <c r="FV3" i="2"/>
  <c r="FV2" i="2"/>
  <c r="FU5" i="2"/>
  <c r="FU4" i="2"/>
  <c r="FU3" i="2"/>
  <c r="FU2" i="2"/>
  <c r="FT5" i="2"/>
  <c r="FT4" i="2"/>
  <c r="FT3" i="2"/>
  <c r="FT2" i="2"/>
  <c r="FS5" i="2"/>
  <c r="FS4" i="2"/>
  <c r="FS3" i="2"/>
  <c r="FS2" i="2"/>
  <c r="FR5" i="2"/>
  <c r="FR4" i="2"/>
  <c r="FR3" i="2"/>
  <c r="FR2" i="2"/>
  <c r="FQ5" i="2"/>
  <c r="FQ4" i="2"/>
  <c r="FQ3" i="2"/>
  <c r="FQ2" i="2"/>
  <c r="FP5" i="2"/>
  <c r="FP4" i="2"/>
  <c r="FP3" i="2"/>
  <c r="FP2" i="2"/>
  <c r="FO5" i="2"/>
  <c r="FO4" i="2"/>
  <c r="FO3" i="2"/>
  <c r="FO2" i="2"/>
  <c r="FN5" i="2"/>
  <c r="FN4" i="2"/>
  <c r="FN3" i="2"/>
  <c r="FN2" i="2"/>
  <c r="FM5" i="2"/>
  <c r="FM4" i="2"/>
  <c r="FM3" i="2"/>
  <c r="FM2" i="2"/>
  <c r="FL5" i="2"/>
  <c r="FL4" i="2"/>
  <c r="FL3" i="2"/>
  <c r="FL2" i="2"/>
  <c r="FK5" i="2"/>
  <c r="FK4" i="2"/>
  <c r="FK3" i="2"/>
  <c r="FK2" i="2"/>
  <c r="FJ5" i="2"/>
  <c r="FJ4" i="2"/>
  <c r="FJ3" i="2"/>
  <c r="FJ2" i="2"/>
  <c r="FI5" i="2"/>
  <c r="FI4" i="2"/>
  <c r="FI3" i="2"/>
  <c r="FI2" i="2"/>
  <c r="GB41" i="2"/>
  <c r="GB40" i="2"/>
  <c r="GB39" i="2"/>
  <c r="GA41" i="2"/>
  <c r="GA40" i="2"/>
  <c r="GA39" i="2"/>
  <c r="FZ41" i="2"/>
  <c r="FZ40" i="2"/>
  <c r="FZ39" i="2"/>
  <c r="FY41" i="2"/>
  <c r="FY40" i="2"/>
  <c r="FY39" i="2"/>
  <c r="FX41" i="2"/>
  <c r="FX40" i="2"/>
  <c r="FX39" i="2"/>
  <c r="FW41" i="2"/>
  <c r="FW40" i="2"/>
  <c r="FW39" i="2"/>
  <c r="FV41" i="2"/>
  <c r="FV40" i="2"/>
  <c r="FV39" i="2"/>
  <c r="FU41" i="2"/>
  <c r="FU40" i="2"/>
  <c r="FU39" i="2"/>
  <c r="FT41" i="2"/>
  <c r="FT40" i="2"/>
  <c r="FT39" i="2"/>
  <c r="FS41" i="2"/>
  <c r="FS40" i="2"/>
  <c r="FS39" i="2"/>
  <c r="FR41" i="2"/>
  <c r="FR40" i="2"/>
  <c r="FR39" i="2"/>
  <c r="FQ41" i="2"/>
  <c r="FQ40" i="2"/>
  <c r="FQ39" i="2"/>
  <c r="FP41" i="2"/>
  <c r="FP40" i="2"/>
  <c r="FP39" i="2"/>
  <c r="FO41" i="2"/>
  <c r="FO40" i="2"/>
  <c r="FO39" i="2"/>
  <c r="FN41" i="2"/>
  <c r="FN40" i="2"/>
  <c r="FN39" i="2"/>
  <c r="FM41" i="2"/>
  <c r="FM40" i="2"/>
  <c r="FM39" i="2"/>
  <c r="FL41" i="2"/>
  <c r="FL40" i="2"/>
  <c r="FL39" i="2"/>
  <c r="FK41" i="2"/>
  <c r="FK40" i="2"/>
  <c r="FK39" i="2"/>
  <c r="FJ41" i="2"/>
  <c r="FJ40" i="2"/>
  <c r="FJ39" i="2"/>
  <c r="FI41" i="2"/>
  <c r="FI40" i="2"/>
  <c r="FI39" i="2"/>
  <c r="GB38" i="2"/>
  <c r="GB37" i="2"/>
  <c r="GB36" i="2"/>
  <c r="GB35" i="2"/>
  <c r="GB34" i="2"/>
  <c r="GA38" i="2"/>
  <c r="GA37" i="2"/>
  <c r="GA36" i="2"/>
  <c r="GA35" i="2"/>
  <c r="GA34" i="2"/>
  <c r="FZ38" i="2"/>
  <c r="FZ37" i="2"/>
  <c r="FZ36" i="2"/>
  <c r="FZ35" i="2"/>
  <c r="FZ34" i="2"/>
  <c r="FY38" i="2"/>
  <c r="FY37" i="2"/>
  <c r="FY36" i="2"/>
  <c r="FY35" i="2"/>
  <c r="FY34" i="2"/>
  <c r="FX38" i="2"/>
  <c r="FX37" i="2"/>
  <c r="FX36" i="2"/>
  <c r="FX35" i="2"/>
  <c r="FX34" i="2"/>
  <c r="FW38" i="2"/>
  <c r="FW37" i="2"/>
  <c r="FW36" i="2"/>
  <c r="FW35" i="2"/>
  <c r="FW34" i="2"/>
  <c r="FV38" i="2"/>
  <c r="FV37" i="2"/>
  <c r="FV36" i="2"/>
  <c r="FV35" i="2"/>
  <c r="FV34" i="2"/>
  <c r="FU38" i="2"/>
  <c r="FU37" i="2"/>
  <c r="FU36" i="2"/>
  <c r="FU35" i="2"/>
  <c r="FU34" i="2"/>
  <c r="FT38" i="2"/>
  <c r="FT37" i="2"/>
  <c r="FT36" i="2"/>
  <c r="FT35" i="2"/>
  <c r="FT34" i="2"/>
  <c r="FS38" i="2"/>
  <c r="FS37" i="2"/>
  <c r="FS36" i="2"/>
  <c r="FS35" i="2"/>
  <c r="FS34" i="2"/>
  <c r="FR38" i="2"/>
  <c r="FR37" i="2"/>
  <c r="FR36" i="2"/>
  <c r="FR35" i="2"/>
  <c r="FR34" i="2"/>
  <c r="FQ38" i="2"/>
  <c r="FQ37" i="2"/>
  <c r="FQ36" i="2"/>
  <c r="FQ35" i="2"/>
  <c r="FQ34" i="2"/>
  <c r="FP38" i="2"/>
  <c r="FP37" i="2"/>
  <c r="FP36" i="2"/>
  <c r="FP35" i="2"/>
  <c r="FP34" i="2"/>
  <c r="FO38" i="2"/>
  <c r="FO37" i="2"/>
  <c r="FO36" i="2"/>
  <c r="FO35" i="2"/>
  <c r="FO34" i="2"/>
  <c r="FN38" i="2"/>
  <c r="FN37" i="2"/>
  <c r="FN36" i="2"/>
  <c r="FN35" i="2"/>
  <c r="FN34" i="2"/>
  <c r="FM38" i="2"/>
  <c r="FM37" i="2"/>
  <c r="FM36" i="2"/>
  <c r="FM35" i="2"/>
  <c r="FM34" i="2"/>
  <c r="FL38" i="2"/>
  <c r="FL37" i="2"/>
  <c r="FL36" i="2"/>
  <c r="FL35" i="2"/>
  <c r="FL34" i="2"/>
  <c r="FK38" i="2"/>
  <c r="FK37" i="2"/>
  <c r="FK36" i="2"/>
  <c r="FK35" i="2"/>
  <c r="FK34" i="2"/>
  <c r="FJ38" i="2"/>
  <c r="FJ37" i="2"/>
  <c r="FJ36" i="2"/>
  <c r="FJ35" i="2"/>
  <c r="FJ34" i="2"/>
  <c r="FI38" i="2"/>
  <c r="FI37" i="2"/>
  <c r="FI36" i="2"/>
  <c r="FI35" i="2"/>
  <c r="FI34" i="2"/>
  <c r="GB33" i="2"/>
  <c r="GB32" i="2"/>
  <c r="GB31" i="2"/>
  <c r="GB30" i="2"/>
  <c r="GB29" i="2"/>
  <c r="GB28" i="2"/>
  <c r="GB27" i="2"/>
  <c r="GB26" i="2"/>
  <c r="GB25" i="2"/>
  <c r="GB24" i="2"/>
  <c r="GB23" i="2"/>
  <c r="GA33" i="2"/>
  <c r="GA32" i="2"/>
  <c r="GA31" i="2"/>
  <c r="GA30" i="2"/>
  <c r="GA29" i="2"/>
  <c r="GA28" i="2"/>
  <c r="GA27" i="2"/>
  <c r="GA26" i="2"/>
  <c r="GA25" i="2"/>
  <c r="GA24" i="2"/>
  <c r="GA23" i="2"/>
  <c r="FZ33" i="2"/>
  <c r="FZ32" i="2"/>
  <c r="FZ31" i="2"/>
  <c r="FZ30" i="2"/>
  <c r="FZ29" i="2"/>
  <c r="FZ28" i="2"/>
  <c r="FZ27" i="2"/>
  <c r="FZ26" i="2"/>
  <c r="FZ25" i="2"/>
  <c r="FZ24" i="2"/>
  <c r="FZ23" i="2"/>
  <c r="FY33" i="2"/>
  <c r="FY32" i="2"/>
  <c r="FY31" i="2"/>
  <c r="FY30" i="2"/>
  <c r="FY29" i="2"/>
  <c r="FY28" i="2"/>
  <c r="FY27" i="2"/>
  <c r="FY26" i="2"/>
  <c r="FY25" i="2"/>
  <c r="FY24" i="2"/>
  <c r="FY23" i="2"/>
  <c r="FX33" i="2"/>
  <c r="FX32" i="2"/>
  <c r="FX31" i="2"/>
  <c r="FX30" i="2"/>
  <c r="FX29" i="2"/>
  <c r="FX28" i="2"/>
  <c r="FX27" i="2"/>
  <c r="FX26" i="2"/>
  <c r="FX25" i="2"/>
  <c r="FX23" i="2"/>
  <c r="FW33" i="2"/>
  <c r="FW32" i="2"/>
  <c r="FW31" i="2"/>
  <c r="FW30" i="2"/>
  <c r="FW29" i="2"/>
  <c r="FW28" i="2"/>
  <c r="FW27" i="2"/>
  <c r="FW26" i="2"/>
  <c r="FW25" i="2"/>
  <c r="FW24" i="2"/>
  <c r="FW23" i="2"/>
  <c r="FV33" i="2"/>
  <c r="FV32" i="2"/>
  <c r="FV31" i="2"/>
  <c r="FV30" i="2"/>
  <c r="FV29" i="2"/>
  <c r="FV28" i="2"/>
  <c r="FV27" i="2"/>
  <c r="FV26" i="2"/>
  <c r="FV25" i="2"/>
  <c r="FV24" i="2"/>
  <c r="FV23" i="2"/>
  <c r="FU33" i="2"/>
  <c r="FU32" i="2"/>
  <c r="FU31" i="2"/>
  <c r="FU30" i="2"/>
  <c r="FU29" i="2"/>
  <c r="FU28" i="2"/>
  <c r="FU27" i="2"/>
  <c r="FU26" i="2"/>
  <c r="FU25" i="2"/>
  <c r="FU24" i="2"/>
  <c r="FU23" i="2"/>
  <c r="FT33" i="2"/>
  <c r="FT32" i="2"/>
  <c r="FT31" i="2"/>
  <c r="FT30" i="2"/>
  <c r="FT29" i="2"/>
  <c r="FT28" i="2"/>
  <c r="FT27" i="2"/>
  <c r="FT26" i="2"/>
  <c r="FT25" i="2"/>
  <c r="FT24" i="2"/>
  <c r="FT23" i="2"/>
  <c r="FS33" i="2"/>
  <c r="FS32" i="2"/>
  <c r="FS31" i="2"/>
  <c r="FS30" i="2"/>
  <c r="FS29" i="2"/>
  <c r="FS28" i="2"/>
  <c r="FS27" i="2"/>
  <c r="FS26" i="2"/>
  <c r="FS25" i="2"/>
  <c r="FS24" i="2"/>
  <c r="FS23" i="2"/>
  <c r="FR33" i="2"/>
  <c r="FR32" i="2"/>
  <c r="FR31" i="2"/>
  <c r="FR30" i="2"/>
  <c r="FR29" i="2"/>
  <c r="FR28" i="2"/>
  <c r="FR27" i="2"/>
  <c r="FR26" i="2"/>
  <c r="FR25" i="2"/>
  <c r="FR24" i="2"/>
  <c r="FR23" i="2"/>
  <c r="FQ33" i="2"/>
  <c r="FQ32" i="2"/>
  <c r="FQ31" i="2"/>
  <c r="FQ30" i="2"/>
  <c r="FQ29" i="2"/>
  <c r="FQ28" i="2"/>
  <c r="FQ27" i="2"/>
  <c r="FQ26" i="2"/>
  <c r="FQ25" i="2"/>
  <c r="FQ24" i="2"/>
  <c r="FQ23" i="2"/>
  <c r="FP33" i="2"/>
  <c r="FP32" i="2"/>
  <c r="FP31" i="2"/>
  <c r="FP30" i="2"/>
  <c r="FP29" i="2"/>
  <c r="FP28" i="2"/>
  <c r="FP27" i="2"/>
  <c r="FP26" i="2"/>
  <c r="FP25" i="2"/>
  <c r="FP24" i="2"/>
  <c r="FP23" i="2"/>
  <c r="FO33" i="2"/>
  <c r="FO32" i="2"/>
  <c r="FO31" i="2"/>
  <c r="FO30" i="2"/>
  <c r="FO29" i="2"/>
  <c r="FO28" i="2"/>
  <c r="FO27" i="2"/>
  <c r="FO26" i="2"/>
  <c r="FO25" i="2"/>
  <c r="FO24" i="2"/>
  <c r="FO23" i="2"/>
  <c r="FN33" i="2"/>
  <c r="FN32" i="2"/>
  <c r="FN31" i="2"/>
  <c r="FN30" i="2"/>
  <c r="FN29" i="2"/>
  <c r="FN28" i="2"/>
  <c r="FN27" i="2"/>
  <c r="FN26" i="2"/>
  <c r="FN25" i="2"/>
  <c r="FN24" i="2"/>
  <c r="FN23" i="2"/>
  <c r="FM33" i="2"/>
  <c r="FM32" i="2"/>
  <c r="FM31" i="2"/>
  <c r="FM30" i="2"/>
  <c r="FM29" i="2"/>
  <c r="FM28" i="2"/>
  <c r="FM27" i="2"/>
  <c r="FM26" i="2"/>
  <c r="FM25" i="2"/>
  <c r="FM24" i="2"/>
  <c r="FM23" i="2"/>
  <c r="FL33" i="2"/>
  <c r="FL32" i="2"/>
  <c r="FL31" i="2"/>
  <c r="FL30" i="2"/>
  <c r="FL29" i="2"/>
  <c r="FL28" i="2"/>
  <c r="FL27" i="2"/>
  <c r="FL26" i="2"/>
  <c r="FL25" i="2"/>
  <c r="FL24" i="2"/>
  <c r="FL23" i="2"/>
  <c r="FK33" i="2"/>
  <c r="FK32" i="2"/>
  <c r="FK31" i="2"/>
  <c r="FK30" i="2"/>
  <c r="FK29" i="2"/>
  <c r="FK28" i="2"/>
  <c r="FK27" i="2"/>
  <c r="FK26" i="2"/>
  <c r="FK25" i="2"/>
  <c r="FK24" i="2"/>
  <c r="FK23" i="2"/>
  <c r="FJ33" i="2"/>
  <c r="FJ32" i="2"/>
  <c r="FJ31" i="2"/>
  <c r="FJ30" i="2"/>
  <c r="FJ29" i="2"/>
  <c r="FJ28" i="2"/>
  <c r="FJ27" i="2"/>
  <c r="FJ26" i="2"/>
  <c r="FJ25" i="2"/>
  <c r="FJ24" i="2"/>
  <c r="FJ23" i="2"/>
  <c r="FI33" i="2"/>
  <c r="FI32" i="2"/>
  <c r="FI31" i="2"/>
  <c r="FI30" i="2"/>
  <c r="FI29" i="2"/>
  <c r="FI28" i="2"/>
  <c r="FI27" i="2"/>
  <c r="FI26" i="2"/>
  <c r="FI25" i="2"/>
  <c r="FI24" i="2"/>
  <c r="FI23" i="2"/>
  <c r="FG21" i="2"/>
  <c r="FG20" i="2"/>
  <c r="FG19" i="2"/>
  <c r="FG18" i="2"/>
  <c r="FG12" i="2"/>
  <c r="FG11" i="2"/>
  <c r="FG10" i="2"/>
  <c r="FG9" i="2"/>
  <c r="FG8" i="2"/>
  <c r="FG7" i="2"/>
  <c r="FG6" i="2"/>
  <c r="FG5" i="2"/>
  <c r="FG4" i="2"/>
  <c r="FG3" i="2"/>
  <c r="FG2" i="2"/>
  <c r="FF21" i="2"/>
  <c r="FF20" i="2"/>
  <c r="FF19" i="2"/>
  <c r="FF18" i="2"/>
  <c r="FF12" i="2"/>
  <c r="FF11" i="2"/>
  <c r="FF10" i="2"/>
  <c r="FF9" i="2"/>
  <c r="FF8" i="2"/>
  <c r="FF7" i="2"/>
  <c r="FF6" i="2"/>
  <c r="FF5" i="2"/>
  <c r="FF4" i="2"/>
  <c r="FF3" i="2"/>
  <c r="FF2" i="2"/>
  <c r="FE21" i="2"/>
  <c r="FE20" i="2"/>
  <c r="FE19" i="2"/>
  <c r="FE18" i="2"/>
  <c r="FE12" i="2"/>
  <c r="FE11" i="2"/>
  <c r="FE10" i="2"/>
  <c r="FE9" i="2"/>
  <c r="FE8" i="2"/>
  <c r="FE7" i="2"/>
  <c r="FE6" i="2"/>
  <c r="FE5" i="2"/>
  <c r="FE4" i="2"/>
  <c r="FE3" i="2"/>
  <c r="FE2" i="2"/>
  <c r="FD21" i="2"/>
  <c r="FD20" i="2"/>
  <c r="FD19" i="2"/>
  <c r="FD18" i="2"/>
  <c r="FD12" i="2"/>
  <c r="FD11" i="2"/>
  <c r="FD10" i="2"/>
  <c r="FD9" i="2"/>
  <c r="FD8" i="2"/>
  <c r="FD7" i="2"/>
  <c r="FD6" i="2"/>
  <c r="FD5" i="2"/>
  <c r="FD4" i="2"/>
  <c r="FD3" i="2"/>
  <c r="FD2" i="2"/>
  <c r="FC21" i="2"/>
  <c r="FC20" i="2"/>
  <c r="FC19" i="2"/>
  <c r="FC18" i="2"/>
  <c r="FC12" i="2"/>
  <c r="FC11" i="2"/>
  <c r="FC10" i="2"/>
  <c r="FC9" i="2"/>
  <c r="FC8" i="2"/>
  <c r="FC7" i="2"/>
  <c r="FC6" i="2"/>
  <c r="FC5" i="2"/>
  <c r="FC4" i="2"/>
  <c r="FC3" i="2"/>
  <c r="FC2" i="2"/>
  <c r="FB21" i="2"/>
  <c r="FB20" i="2"/>
  <c r="FB19" i="2"/>
  <c r="FB18" i="2"/>
  <c r="FB12" i="2"/>
  <c r="FB11" i="2"/>
  <c r="FB10" i="2"/>
  <c r="FB9" i="2"/>
  <c r="FB8" i="2"/>
  <c r="FB7" i="2"/>
  <c r="FB6" i="2"/>
  <c r="FB5" i="2"/>
  <c r="FB4" i="2"/>
  <c r="FB3" i="2"/>
  <c r="FB2" i="2"/>
  <c r="FA21" i="2"/>
  <c r="FA20" i="2"/>
  <c r="FA19" i="2"/>
  <c r="FA18" i="2"/>
  <c r="FA12" i="2"/>
  <c r="FA11" i="2"/>
  <c r="FA10" i="2"/>
  <c r="FA9" i="2"/>
  <c r="FA8" i="2"/>
  <c r="FA7" i="2"/>
  <c r="FA6" i="2"/>
  <c r="FA5" i="2"/>
  <c r="FA4" i="2"/>
  <c r="FA3" i="2"/>
  <c r="FA2" i="2"/>
  <c r="EZ21" i="2"/>
  <c r="EZ20" i="2"/>
  <c r="EZ19" i="2"/>
  <c r="EZ18" i="2"/>
  <c r="EZ12" i="2"/>
  <c r="EZ11" i="2"/>
  <c r="EZ10" i="2"/>
  <c r="EZ9" i="2"/>
  <c r="EZ8" i="2"/>
  <c r="EZ7" i="2"/>
  <c r="EZ6" i="2"/>
  <c r="EZ5" i="2"/>
  <c r="EZ4" i="2"/>
  <c r="EZ3" i="2"/>
  <c r="EZ2" i="2"/>
  <c r="EY21" i="2"/>
  <c r="EY20" i="2"/>
  <c r="EY19" i="2"/>
  <c r="EY18" i="2"/>
  <c r="EY12" i="2"/>
  <c r="EY11" i="2"/>
  <c r="EY10" i="2"/>
  <c r="EY9" i="2"/>
  <c r="EY8" i="2"/>
  <c r="EY7" i="2"/>
  <c r="EY6" i="2"/>
  <c r="EY5" i="2"/>
  <c r="EY4" i="2"/>
  <c r="EY3" i="2"/>
  <c r="EY2" i="2"/>
  <c r="EX21" i="2"/>
  <c r="EX20" i="2"/>
  <c r="EX19" i="2"/>
  <c r="EX18" i="2"/>
  <c r="EX12" i="2"/>
  <c r="EX11" i="2"/>
  <c r="EX10" i="2"/>
  <c r="EX9" i="2"/>
  <c r="EX8" i="2"/>
  <c r="EX7" i="2"/>
  <c r="EX6" i="2"/>
  <c r="EX5" i="2"/>
  <c r="EX4" i="2"/>
  <c r="EX3" i="2"/>
  <c r="EX2" i="2"/>
  <c r="EW21" i="2"/>
  <c r="EW20" i="2"/>
  <c r="EW19" i="2"/>
  <c r="EW18" i="2"/>
  <c r="EW12" i="2"/>
  <c r="EW11" i="2"/>
  <c r="EW10" i="2"/>
  <c r="EW9" i="2"/>
  <c r="EW8" i="2"/>
  <c r="EW7" i="2"/>
  <c r="EW6" i="2"/>
  <c r="EW5" i="2"/>
  <c r="EW4" i="2"/>
  <c r="EW3" i="2"/>
  <c r="EW2" i="2"/>
  <c r="EV21" i="2"/>
  <c r="EV20" i="2"/>
  <c r="EV19" i="2"/>
  <c r="EV18" i="2"/>
  <c r="EV12" i="2"/>
  <c r="EV11" i="2"/>
  <c r="EV10" i="2"/>
  <c r="EV9" i="2"/>
  <c r="EV8" i="2"/>
  <c r="EV7" i="2"/>
  <c r="EV6" i="2"/>
  <c r="EV5" i="2"/>
  <c r="EV4" i="2"/>
  <c r="EV3" i="2"/>
  <c r="EV2" i="2"/>
  <c r="EU21" i="2"/>
  <c r="EU20" i="2"/>
  <c r="EU19" i="2"/>
  <c r="EU18" i="2"/>
  <c r="EU12" i="2"/>
  <c r="EU11" i="2"/>
  <c r="EU10" i="2"/>
  <c r="EU9" i="2"/>
  <c r="EU8" i="2"/>
  <c r="EU7" i="2"/>
  <c r="EU6" i="2"/>
  <c r="EU5" i="2"/>
  <c r="EU4" i="2"/>
  <c r="EU3" i="2"/>
  <c r="EU2" i="2"/>
  <c r="ET21" i="2"/>
  <c r="ET20" i="2"/>
  <c r="ET19" i="2"/>
  <c r="ET18" i="2"/>
  <c r="ET12" i="2"/>
  <c r="ET11" i="2"/>
  <c r="ET10" i="2"/>
  <c r="ET9" i="2"/>
  <c r="ET8" i="2"/>
  <c r="ET7" i="2"/>
  <c r="ET6" i="2"/>
  <c r="ET5" i="2"/>
  <c r="ET4" i="2"/>
  <c r="ET3" i="2"/>
  <c r="ET2" i="2"/>
  <c r="ES21" i="2"/>
  <c r="ES20" i="2"/>
  <c r="ES19" i="2"/>
  <c r="ES18" i="2"/>
  <c r="ES12" i="2"/>
  <c r="ES11" i="2"/>
  <c r="ES10" i="2"/>
  <c r="ES9" i="2"/>
  <c r="ES8" i="2"/>
  <c r="ES7" i="2"/>
  <c r="ES6" i="2"/>
  <c r="ES5" i="2"/>
  <c r="ES4" i="2"/>
  <c r="ES3" i="2"/>
  <c r="ES2" i="2"/>
  <c r="ER21" i="2"/>
  <c r="ER20" i="2"/>
  <c r="ER19" i="2"/>
  <c r="ER18" i="2"/>
  <c r="ER12" i="2"/>
  <c r="ER11" i="2"/>
  <c r="ER10" i="2"/>
  <c r="ER9" i="2"/>
  <c r="ER8" i="2"/>
  <c r="ER7" i="2"/>
  <c r="ER6" i="2"/>
  <c r="ER5" i="2"/>
  <c r="ER4" i="2"/>
  <c r="ER3" i="2"/>
  <c r="ER2" i="2"/>
  <c r="EQ21" i="2"/>
  <c r="EQ20" i="2"/>
  <c r="EQ19" i="2"/>
  <c r="EQ18" i="2"/>
  <c r="EQ12" i="2"/>
  <c r="EQ11" i="2"/>
  <c r="EQ10" i="2"/>
  <c r="EQ9" i="2"/>
  <c r="EQ8" i="2"/>
  <c r="EQ7" i="2"/>
  <c r="EQ6" i="2"/>
  <c r="EQ5" i="2"/>
  <c r="EQ4" i="2"/>
  <c r="EQ3" i="2"/>
  <c r="EQ2" i="2"/>
  <c r="EP21" i="2"/>
  <c r="EP20" i="2"/>
  <c r="EP19" i="2"/>
  <c r="EP18" i="2"/>
  <c r="EP12" i="2"/>
  <c r="EP11" i="2"/>
  <c r="EP10" i="2"/>
  <c r="EP9" i="2"/>
  <c r="EP8" i="2"/>
  <c r="EP7" i="2"/>
  <c r="EP6" i="2"/>
  <c r="EP5" i="2"/>
  <c r="EP4" i="2"/>
  <c r="EP3" i="2"/>
  <c r="EP2" i="2"/>
  <c r="EO21" i="2"/>
  <c r="EO20" i="2"/>
  <c r="EO19" i="2"/>
  <c r="EO18" i="2"/>
  <c r="EO12" i="2"/>
  <c r="EO11" i="2"/>
  <c r="EO10" i="2"/>
  <c r="EO9" i="2"/>
  <c r="EO8" i="2"/>
  <c r="EO7" i="2"/>
  <c r="EO6" i="2"/>
  <c r="EO5" i="2"/>
  <c r="EO4" i="2"/>
  <c r="EO3" i="2"/>
  <c r="EO2" i="2"/>
  <c r="EN2" i="2"/>
  <c r="EN20" i="2"/>
  <c r="EN19" i="2"/>
  <c r="EN18" i="2"/>
  <c r="EN12" i="2"/>
  <c r="EN11" i="2"/>
  <c r="EN10" i="2"/>
  <c r="EN9" i="2"/>
  <c r="EN8" i="2"/>
  <c r="EN7" i="2"/>
  <c r="EN6" i="2"/>
  <c r="EN5" i="2"/>
  <c r="EN4" i="2"/>
  <c r="EN3" i="2"/>
  <c r="EN21" i="2"/>
  <c r="FF41" i="2"/>
  <c r="FF40" i="2"/>
  <c r="FF39" i="2"/>
  <c r="FE41" i="2"/>
  <c r="FE40" i="2"/>
  <c r="FE39" i="2"/>
  <c r="FD41" i="2"/>
  <c r="FD40" i="2"/>
  <c r="FD39" i="2"/>
  <c r="FC41" i="2"/>
  <c r="FC40" i="2"/>
  <c r="FC39" i="2"/>
  <c r="FB41" i="2"/>
  <c r="FB40" i="2"/>
  <c r="FB39" i="2"/>
  <c r="FA41" i="2"/>
  <c r="FA40" i="2"/>
  <c r="FA39" i="2"/>
  <c r="EZ41" i="2"/>
  <c r="EZ40" i="2"/>
  <c r="EZ39" i="2"/>
  <c r="EY41" i="2"/>
  <c r="EY40" i="2"/>
  <c r="EY39" i="2"/>
  <c r="EX41" i="2"/>
  <c r="EX40" i="2"/>
  <c r="EX39" i="2"/>
  <c r="EW41" i="2"/>
  <c r="EW40" i="2"/>
  <c r="EW39" i="2"/>
  <c r="EV41" i="2"/>
  <c r="EV40" i="2"/>
  <c r="EV39" i="2"/>
  <c r="EU41" i="2"/>
  <c r="EU40" i="2"/>
  <c r="EU39" i="2"/>
  <c r="ET41" i="2"/>
  <c r="ET40" i="2"/>
  <c r="ET39" i="2"/>
  <c r="ES41" i="2"/>
  <c r="ES40" i="2"/>
  <c r="ES39" i="2"/>
  <c r="ER41" i="2"/>
  <c r="ER40" i="2"/>
  <c r="ER39" i="2"/>
  <c r="EQ41" i="2"/>
  <c r="EQ40" i="2"/>
  <c r="EQ39" i="2"/>
  <c r="EP41" i="2"/>
  <c r="EP40" i="2"/>
  <c r="EP39" i="2"/>
  <c r="FG41" i="2"/>
  <c r="FG40" i="2"/>
  <c r="FG39" i="2"/>
  <c r="FG33" i="2"/>
  <c r="FG30" i="2"/>
  <c r="FF28" i="2"/>
  <c r="FD32" i="2"/>
  <c r="EX33" i="2"/>
  <c r="FG27" i="2"/>
  <c r="FG25" i="2"/>
  <c r="FC25" i="2"/>
  <c r="FB25" i="2"/>
  <c r="EY25" i="2"/>
  <c r="FD36" i="2"/>
  <c r="EZ36" i="2"/>
  <c r="EO41" i="2"/>
  <c r="EO40" i="2"/>
  <c r="EO39" i="2"/>
  <c r="EN41" i="2"/>
  <c r="EN40" i="2"/>
  <c r="EN39" i="2"/>
  <c r="EN24" i="2"/>
  <c r="ED39" i="2"/>
  <c r="EL41" i="2"/>
  <c r="EL40" i="2"/>
  <c r="EL39" i="2"/>
  <c r="EK41" i="2"/>
  <c r="EK40" i="2"/>
  <c r="EK39" i="2"/>
  <c r="EJ41" i="2"/>
  <c r="EJ40" i="2"/>
  <c r="EJ39" i="2"/>
  <c r="EI41" i="2"/>
  <c r="EI40" i="2"/>
  <c r="EI39" i="2"/>
  <c r="EH41" i="2"/>
  <c r="EH40" i="2"/>
  <c r="EH39" i="2"/>
  <c r="EG41" i="2"/>
  <c r="EG40" i="2"/>
  <c r="EG39" i="2"/>
  <c r="EF41" i="2"/>
  <c r="EF40" i="2"/>
  <c r="EF39" i="2"/>
  <c r="EE41" i="2"/>
  <c r="EE40" i="2"/>
  <c r="EE39" i="2"/>
  <c r="ED41" i="2"/>
  <c r="ED40" i="2"/>
  <c r="EC41" i="2"/>
  <c r="EC40" i="2"/>
  <c r="EC39" i="2"/>
  <c r="EB41" i="2"/>
  <c r="EB40" i="2"/>
  <c r="EB39" i="2"/>
  <c r="EA41" i="2"/>
  <c r="EA40" i="2"/>
  <c r="EA39" i="2"/>
  <c r="DZ41" i="2"/>
  <c r="DZ40" i="2"/>
  <c r="DZ39" i="2"/>
  <c r="DY41" i="2"/>
  <c r="DY40" i="2"/>
  <c r="DY39" i="2"/>
  <c r="DX41" i="2"/>
  <c r="DX40" i="2"/>
  <c r="DX39" i="2"/>
  <c r="DW41" i="2"/>
  <c r="DW40" i="2"/>
  <c r="DW39" i="2"/>
  <c r="DV41" i="2"/>
  <c r="DV40" i="2"/>
  <c r="DV39" i="2"/>
  <c r="DU41" i="2"/>
  <c r="DU40" i="2"/>
  <c r="DU39" i="2"/>
  <c r="DT41" i="2"/>
  <c r="DT40" i="2"/>
  <c r="DT39" i="2"/>
  <c r="EB37" i="2"/>
  <c r="DT37" i="2"/>
  <c r="EL38" i="2"/>
  <c r="EL37" i="2"/>
  <c r="EK38" i="2"/>
  <c r="EK37" i="2"/>
  <c r="EJ38" i="2"/>
  <c r="EJ37" i="2"/>
  <c r="EI38" i="2"/>
  <c r="EI37" i="2"/>
  <c r="EH38" i="2"/>
  <c r="EH37" i="2"/>
  <c r="EG38" i="2"/>
  <c r="EG37" i="2"/>
  <c r="EF38" i="2"/>
  <c r="EF37" i="2"/>
  <c r="EE38" i="2"/>
  <c r="EE37" i="2"/>
  <c r="ED38" i="2"/>
  <c r="ED37" i="2"/>
  <c r="EC38" i="2"/>
  <c r="EC37" i="2"/>
  <c r="EB38" i="2"/>
  <c r="EK36" i="2"/>
  <c r="EK35" i="2"/>
  <c r="EJ36" i="2"/>
  <c r="EJ35" i="2"/>
  <c r="EI36" i="2"/>
  <c r="EI35" i="2"/>
  <c r="EH36" i="2"/>
  <c r="EH35" i="2"/>
  <c r="EG36" i="2"/>
  <c r="EG35" i="2"/>
  <c r="EF36" i="2"/>
  <c r="EF35" i="2"/>
  <c r="EE36" i="2"/>
  <c r="EE35" i="2"/>
  <c r="ED36" i="2"/>
  <c r="ED35" i="2"/>
  <c r="EC36" i="2"/>
  <c r="EC35" i="2"/>
  <c r="EB36" i="2"/>
  <c r="EB35" i="2"/>
  <c r="EL36" i="2"/>
  <c r="EL35" i="2"/>
  <c r="DS41" i="2"/>
  <c r="DS40" i="2"/>
  <c r="DS39" i="2"/>
  <c r="DT38" i="2"/>
  <c r="EA38" i="2"/>
  <c r="EA37" i="2"/>
  <c r="EA36" i="2"/>
  <c r="EA35" i="2"/>
  <c r="DZ38" i="2"/>
  <c r="DZ37" i="2"/>
  <c r="DZ36" i="2"/>
  <c r="DZ35" i="2"/>
  <c r="DY38" i="2"/>
  <c r="DY37" i="2"/>
  <c r="DY36" i="2"/>
  <c r="DY35" i="2"/>
  <c r="DX38" i="2"/>
  <c r="DX37" i="2"/>
  <c r="DX36" i="2"/>
  <c r="DX35" i="2"/>
  <c r="DW38" i="2"/>
  <c r="DW37" i="2"/>
  <c r="DW36" i="2"/>
  <c r="DW35" i="2"/>
  <c r="DV38" i="2"/>
  <c r="DV37" i="2"/>
  <c r="DV36" i="2"/>
  <c r="DV35" i="2"/>
  <c r="DU38" i="2"/>
  <c r="DU37" i="2"/>
  <c r="DU36" i="2"/>
  <c r="DU35" i="2"/>
  <c r="DT36" i="2"/>
  <c r="DT35" i="2"/>
  <c r="DS38" i="2"/>
  <c r="DS37" i="2"/>
  <c r="DS36" i="2"/>
  <c r="DS35" i="2"/>
  <c r="EL34" i="2"/>
  <c r="EL33" i="2"/>
  <c r="EK34" i="2"/>
  <c r="EK33" i="2"/>
  <c r="EJ34" i="2"/>
  <c r="EJ33" i="2"/>
  <c r="EI34" i="2"/>
  <c r="EI33" i="2"/>
  <c r="EH34" i="2"/>
  <c r="EH33" i="2"/>
  <c r="EG34" i="2"/>
  <c r="EG33" i="2"/>
  <c r="EF34" i="2"/>
  <c r="EF33" i="2"/>
  <c r="EE34" i="2"/>
  <c r="EE33" i="2"/>
  <c r="ED34" i="2"/>
  <c r="ED33" i="2"/>
  <c r="EC34" i="2"/>
  <c r="EC33" i="2"/>
  <c r="EB34" i="2"/>
  <c r="EB33" i="2"/>
  <c r="EA34" i="2"/>
  <c r="EA33" i="2"/>
  <c r="DZ34" i="2"/>
  <c r="DZ33" i="2"/>
  <c r="DY34" i="2"/>
  <c r="DY33" i="2"/>
  <c r="DX34" i="2"/>
  <c r="DX33" i="2"/>
  <c r="DW34" i="2"/>
  <c r="DW33" i="2"/>
  <c r="DV34" i="2"/>
  <c r="DV33" i="2"/>
  <c r="DU34" i="2"/>
  <c r="DU33" i="2"/>
  <c r="DT34" i="2"/>
  <c r="DT33" i="2"/>
  <c r="DS34" i="2"/>
  <c r="DS33" i="2"/>
  <c r="EL32" i="2"/>
  <c r="EL31" i="2"/>
  <c r="EL30" i="2"/>
  <c r="EL29" i="2"/>
  <c r="EL28" i="2"/>
  <c r="EK32" i="2"/>
  <c r="EK31" i="2"/>
  <c r="EK30" i="2"/>
  <c r="EK29" i="2"/>
  <c r="EK28" i="2"/>
  <c r="EJ32" i="2"/>
  <c r="EJ31" i="2"/>
  <c r="EJ30" i="2"/>
  <c r="EJ29" i="2"/>
  <c r="EJ28" i="2"/>
  <c r="EI32" i="2"/>
  <c r="EI31" i="2"/>
  <c r="EI30" i="2"/>
  <c r="EI29" i="2"/>
  <c r="EI28" i="2"/>
  <c r="EH32" i="2"/>
  <c r="EH31" i="2"/>
  <c r="EH30" i="2"/>
  <c r="DS28" i="2"/>
  <c r="DT28" i="2"/>
  <c r="DU28" i="2"/>
  <c r="DV28" i="2"/>
  <c r="DW28" i="2"/>
  <c r="DX28" i="2"/>
  <c r="DY28" i="2"/>
  <c r="DZ28" i="2"/>
  <c r="EA28" i="2"/>
  <c r="EB28" i="2"/>
  <c r="EC28" i="2"/>
  <c r="ED28" i="2"/>
  <c r="EE28" i="2"/>
  <c r="EF28" i="2"/>
  <c r="EG28" i="2"/>
  <c r="EH28" i="2"/>
  <c r="DS29" i="2"/>
  <c r="DT29" i="2"/>
  <c r="DU29" i="2"/>
  <c r="DV29" i="2"/>
  <c r="DW29" i="2"/>
  <c r="DX29" i="2"/>
  <c r="DY29" i="2"/>
  <c r="DZ29" i="2"/>
  <c r="EA29" i="2"/>
  <c r="EB29" i="2"/>
  <c r="EC29" i="2"/>
  <c r="ED29" i="2"/>
  <c r="EE29" i="2"/>
  <c r="EF29" i="2"/>
  <c r="EG29" i="2"/>
  <c r="EH29" i="2"/>
  <c r="DS30" i="2"/>
  <c r="DT30" i="2"/>
  <c r="DU30" i="2"/>
  <c r="DV30" i="2"/>
  <c r="DW30" i="2"/>
  <c r="DX30" i="2"/>
  <c r="DY30" i="2"/>
  <c r="DZ30" i="2"/>
  <c r="EA30" i="2"/>
  <c r="EB30" i="2"/>
  <c r="EC30" i="2"/>
  <c r="ED30" i="2"/>
  <c r="EE30" i="2"/>
  <c r="EF30" i="2"/>
  <c r="EG30" i="2"/>
  <c r="DS31" i="2"/>
  <c r="DT31" i="2"/>
  <c r="DU31" i="2"/>
  <c r="DV31" i="2"/>
  <c r="DW31" i="2"/>
  <c r="DX31" i="2"/>
  <c r="DY31" i="2"/>
  <c r="DZ31" i="2"/>
  <c r="EA31" i="2"/>
  <c r="EB31" i="2"/>
  <c r="EC31" i="2"/>
  <c r="ED31" i="2"/>
  <c r="EE31" i="2"/>
  <c r="EF31" i="2"/>
  <c r="EG31" i="2"/>
  <c r="DS32" i="2"/>
  <c r="DT32" i="2"/>
  <c r="DU32" i="2"/>
  <c r="DV32" i="2"/>
  <c r="DW32" i="2"/>
  <c r="DX32" i="2"/>
  <c r="DY32" i="2"/>
  <c r="DZ32" i="2"/>
  <c r="EA32" i="2"/>
  <c r="EB32" i="2"/>
  <c r="EC32" i="2"/>
  <c r="ED32" i="2"/>
  <c r="EE32" i="2"/>
  <c r="EF32" i="2"/>
  <c r="EG32" i="2"/>
  <c r="EL27" i="2"/>
  <c r="EL26" i="2"/>
  <c r="EL25" i="2"/>
  <c r="EL24" i="2"/>
  <c r="EL23" i="2"/>
  <c r="DO42" i="2" s="1"/>
  <c r="EK27" i="2"/>
  <c r="EK26" i="2"/>
  <c r="EK25" i="2"/>
  <c r="EK24" i="2"/>
  <c r="EK23" i="2"/>
  <c r="EJ27" i="2"/>
  <c r="EJ26" i="2"/>
  <c r="EJ25" i="2"/>
  <c r="EJ24" i="2"/>
  <c r="EJ23" i="2"/>
  <c r="EI27" i="2"/>
  <c r="EI26" i="2"/>
  <c r="EI25" i="2"/>
  <c r="EI24" i="2"/>
  <c r="EI23" i="2"/>
  <c r="EH27" i="2"/>
  <c r="EH26" i="2"/>
  <c r="EH25" i="2"/>
  <c r="EH24" i="2"/>
  <c r="EH23" i="2"/>
  <c r="EG27" i="2"/>
  <c r="EG26" i="2"/>
  <c r="EG25" i="2"/>
  <c r="EG24" i="2"/>
  <c r="EG23" i="2"/>
  <c r="EF27" i="2"/>
  <c r="EF26" i="2"/>
  <c r="EF25" i="2"/>
  <c r="EF24" i="2"/>
  <c r="EF23" i="2"/>
  <c r="EE27" i="2"/>
  <c r="EE26" i="2"/>
  <c r="EE25" i="2"/>
  <c r="EE24" i="2"/>
  <c r="EE23" i="2"/>
  <c r="ED27" i="2"/>
  <c r="ED26" i="2"/>
  <c r="ED25" i="2"/>
  <c r="ED24" i="2"/>
  <c r="ED23" i="2"/>
  <c r="EC27" i="2"/>
  <c r="EC26" i="2"/>
  <c r="EC25" i="2"/>
  <c r="EC24" i="2"/>
  <c r="EC23" i="2"/>
  <c r="EB27" i="2"/>
  <c r="EB26" i="2"/>
  <c r="EB25" i="2"/>
  <c r="EB24" i="2"/>
  <c r="EB23" i="2"/>
  <c r="EA27" i="2"/>
  <c r="EA26" i="2"/>
  <c r="EA25" i="2"/>
  <c r="EA24" i="2"/>
  <c r="EA23" i="2"/>
  <c r="DZ27" i="2"/>
  <c r="DZ26" i="2"/>
  <c r="DZ25" i="2"/>
  <c r="DZ24" i="2"/>
  <c r="DZ23" i="2"/>
  <c r="DY27" i="2"/>
  <c r="DY26" i="2"/>
  <c r="DY25" i="2"/>
  <c r="DY24" i="2"/>
  <c r="DY23" i="2"/>
  <c r="DX27" i="2"/>
  <c r="DX26" i="2"/>
  <c r="DX25" i="2"/>
  <c r="DX24" i="2"/>
  <c r="DX23" i="2"/>
  <c r="DW27" i="2"/>
  <c r="DW26" i="2"/>
  <c r="DW25" i="2"/>
  <c r="DW24" i="2"/>
  <c r="DW23" i="2"/>
  <c r="DV27" i="2"/>
  <c r="DV26" i="2"/>
  <c r="DV25" i="2"/>
  <c r="DV24" i="2"/>
  <c r="DV23" i="2"/>
  <c r="DU27" i="2"/>
  <c r="DU26" i="2"/>
  <c r="DU25" i="2"/>
  <c r="DU24" i="2"/>
  <c r="DU23" i="2"/>
  <c r="DT27" i="2"/>
  <c r="DT26" i="2"/>
  <c r="DT25" i="2"/>
  <c r="DT24" i="2"/>
  <c r="DT23" i="2"/>
  <c r="DS27" i="2"/>
  <c r="DS26" i="2"/>
  <c r="DS25" i="2"/>
  <c r="DS24" i="2"/>
  <c r="DS23" i="2"/>
  <c r="EG20" i="2"/>
  <c r="EG19" i="2"/>
  <c r="EG18" i="2"/>
  <c r="EG17" i="2"/>
  <c r="EG16" i="2"/>
  <c r="EG15" i="2"/>
  <c r="EG14" i="2"/>
  <c r="EG13" i="2"/>
  <c r="EG12" i="2"/>
  <c r="EG11" i="2"/>
  <c r="EG10" i="2"/>
  <c r="EG9" i="2"/>
  <c r="EG8" i="2"/>
  <c r="EG7" i="2"/>
  <c r="EG6" i="2"/>
  <c r="EG5" i="2"/>
  <c r="EG4" i="2"/>
  <c r="EG3" i="2"/>
  <c r="EG2" i="2"/>
  <c r="EF20" i="2"/>
  <c r="EF19" i="2"/>
  <c r="EF18" i="2"/>
  <c r="EF17" i="2"/>
  <c r="EF16" i="2"/>
  <c r="EF15" i="2"/>
  <c r="EF14" i="2"/>
  <c r="EF13" i="2"/>
  <c r="EF12" i="2"/>
  <c r="EF11" i="2"/>
  <c r="EF10" i="2"/>
  <c r="EF9" i="2"/>
  <c r="EF8" i="2"/>
  <c r="EF7" i="2"/>
  <c r="EF6" i="2"/>
  <c r="EF5" i="2"/>
  <c r="EF4" i="2"/>
  <c r="EF3" i="2"/>
  <c r="EF2" i="2"/>
  <c r="EE20" i="2"/>
  <c r="EE19" i="2"/>
  <c r="EE18" i="2"/>
  <c r="EE17" i="2"/>
  <c r="EE16" i="2"/>
  <c r="EE15" i="2"/>
  <c r="EE14" i="2"/>
  <c r="EE13" i="2"/>
  <c r="EE12" i="2"/>
  <c r="EE11" i="2"/>
  <c r="EE10" i="2"/>
  <c r="EE9" i="2"/>
  <c r="EE8" i="2"/>
  <c r="EE7" i="2"/>
  <c r="EE6" i="2"/>
  <c r="EE5" i="2"/>
  <c r="EE4" i="2"/>
  <c r="EE3" i="2"/>
  <c r="EE2" i="2"/>
  <c r="ED20" i="2"/>
  <c r="ED19" i="2"/>
  <c r="ED18" i="2"/>
  <c r="ED16" i="2"/>
  <c r="ED15" i="2"/>
  <c r="ED14" i="2"/>
  <c r="ED13" i="2"/>
  <c r="ED12" i="2"/>
  <c r="ED11" i="2"/>
  <c r="ED10" i="2"/>
  <c r="ED9" i="2"/>
  <c r="ED8" i="2"/>
  <c r="ED7" i="2"/>
  <c r="ED6" i="2"/>
  <c r="ED5" i="2"/>
  <c r="ED4" i="2"/>
  <c r="ED3" i="2"/>
  <c r="ED2" i="2"/>
  <c r="EL20" i="2"/>
  <c r="EL19" i="2"/>
  <c r="EL18" i="2"/>
  <c r="EL17" i="2"/>
  <c r="EL16" i="2"/>
  <c r="EL15" i="2"/>
  <c r="EL14" i="2"/>
  <c r="EL13" i="2"/>
  <c r="EL12" i="2"/>
  <c r="EL11" i="2"/>
  <c r="EL10" i="2"/>
  <c r="EL9" i="2"/>
  <c r="EL8" i="2"/>
  <c r="EL7" i="2"/>
  <c r="EL6" i="2"/>
  <c r="EL5" i="2"/>
  <c r="EL4" i="2"/>
  <c r="EL3" i="2"/>
  <c r="EL2" i="2"/>
  <c r="EK20" i="2"/>
  <c r="EK19" i="2"/>
  <c r="EK18" i="2"/>
  <c r="EK17" i="2"/>
  <c r="EK16" i="2"/>
  <c r="EK15" i="2"/>
  <c r="EK14" i="2"/>
  <c r="EK13" i="2"/>
  <c r="EK12" i="2"/>
  <c r="EK11" i="2"/>
  <c r="EK10" i="2"/>
  <c r="EK9" i="2"/>
  <c r="EK8" i="2"/>
  <c r="EK7" i="2"/>
  <c r="EK6" i="2"/>
  <c r="EK5" i="2"/>
  <c r="EK4" i="2"/>
  <c r="EK3" i="2"/>
  <c r="EK2" i="2"/>
  <c r="EJ20" i="2"/>
  <c r="EJ19" i="2"/>
  <c r="EJ18" i="2"/>
  <c r="EJ17" i="2"/>
  <c r="EJ16" i="2"/>
  <c r="EJ15" i="2"/>
  <c r="EJ14" i="2"/>
  <c r="EJ13" i="2"/>
  <c r="EJ12" i="2"/>
  <c r="EJ11" i="2"/>
  <c r="EJ10" i="2"/>
  <c r="EJ9" i="2"/>
  <c r="EJ8" i="2"/>
  <c r="EJ7" i="2"/>
  <c r="EJ6" i="2"/>
  <c r="EJ5" i="2"/>
  <c r="EJ4" i="2"/>
  <c r="EJ3" i="2"/>
  <c r="EJ2" i="2"/>
  <c r="EI20" i="2"/>
  <c r="EI19" i="2"/>
  <c r="EI18" i="2"/>
  <c r="EI17" i="2"/>
  <c r="EI16" i="2"/>
  <c r="EI15" i="2"/>
  <c r="EI14" i="2"/>
  <c r="EI13" i="2"/>
  <c r="EI12" i="2"/>
  <c r="EI11" i="2"/>
  <c r="EI10" i="2"/>
  <c r="EI9" i="2"/>
  <c r="EI8" i="2"/>
  <c r="EI7" i="2"/>
  <c r="EI6" i="2"/>
  <c r="EI5" i="2"/>
  <c r="EI4" i="2"/>
  <c r="EI3" i="2"/>
  <c r="EI2" i="2"/>
  <c r="EH20" i="2"/>
  <c r="EH19" i="2"/>
  <c r="EH18" i="2"/>
  <c r="EH16" i="2"/>
  <c r="EH15" i="2"/>
  <c r="EH14" i="2"/>
  <c r="EH13" i="2"/>
  <c r="EH12" i="2"/>
  <c r="EH11" i="2"/>
  <c r="EH10" i="2"/>
  <c r="EH9" i="2"/>
  <c r="EH8" i="2"/>
  <c r="EH7" i="2"/>
  <c r="EH6" i="2"/>
  <c r="EH5" i="2"/>
  <c r="EH4" i="2"/>
  <c r="EH3" i="2"/>
  <c r="EH2" i="2"/>
  <c r="EC20" i="2"/>
  <c r="EC19" i="2"/>
  <c r="EC18" i="2"/>
  <c r="EC17" i="2"/>
  <c r="EC16" i="2"/>
  <c r="EC15" i="2"/>
  <c r="EC14" i="2"/>
  <c r="EC13" i="2"/>
  <c r="EC12" i="2"/>
  <c r="EC11" i="2"/>
  <c r="EC10" i="2"/>
  <c r="EC9" i="2"/>
  <c r="EC8" i="2"/>
  <c r="EC7" i="2"/>
  <c r="EC6" i="2"/>
  <c r="EC5" i="2"/>
  <c r="EC4" i="2"/>
  <c r="EC3" i="2"/>
  <c r="EC2" i="2"/>
  <c r="EB20" i="2"/>
  <c r="EB19" i="2"/>
  <c r="EB18" i="2"/>
  <c r="EB17" i="2"/>
  <c r="EB16" i="2"/>
  <c r="EB15" i="2"/>
  <c r="EB14" i="2"/>
  <c r="EB13" i="2"/>
  <c r="EB12" i="2"/>
  <c r="EB11" i="2"/>
  <c r="EB10" i="2"/>
  <c r="EB9" i="2"/>
  <c r="EB8" i="2"/>
  <c r="EB7" i="2"/>
  <c r="EB6" i="2"/>
  <c r="EB5" i="2"/>
  <c r="EB4" i="2"/>
  <c r="EB3" i="2"/>
  <c r="EB2" i="2"/>
  <c r="EA20" i="2"/>
  <c r="EA19" i="2"/>
  <c r="EA18" i="2"/>
  <c r="EA17" i="2"/>
  <c r="EA16" i="2"/>
  <c r="EA15" i="2"/>
  <c r="EA14" i="2"/>
  <c r="EA13" i="2"/>
  <c r="EA12" i="2"/>
  <c r="EA11" i="2"/>
  <c r="EA10" i="2"/>
  <c r="EA9" i="2"/>
  <c r="EA8" i="2"/>
  <c r="EA7" i="2"/>
  <c r="EA6" i="2"/>
  <c r="EA5" i="2"/>
  <c r="EA4" i="2"/>
  <c r="EA3" i="2"/>
  <c r="EA2" i="2"/>
  <c r="DZ20" i="2"/>
  <c r="DZ19" i="2"/>
  <c r="DZ18" i="2"/>
  <c r="DZ17" i="2"/>
  <c r="DZ16" i="2"/>
  <c r="DZ15" i="2"/>
  <c r="DZ14" i="2"/>
  <c r="DZ13" i="2"/>
  <c r="DZ12" i="2"/>
  <c r="DZ11" i="2"/>
  <c r="DZ10" i="2"/>
  <c r="DZ9" i="2"/>
  <c r="DZ8" i="2"/>
  <c r="DZ7" i="2"/>
  <c r="DZ6" i="2"/>
  <c r="DZ5" i="2"/>
  <c r="DZ4" i="2"/>
  <c r="DZ3" i="2"/>
  <c r="DZ2" i="2"/>
  <c r="DY20" i="2"/>
  <c r="DY19" i="2"/>
  <c r="DY18" i="2"/>
  <c r="DY17" i="2"/>
  <c r="DY16" i="2"/>
  <c r="DY15" i="2"/>
  <c r="DY14" i="2"/>
  <c r="DY13" i="2"/>
  <c r="DY12" i="2"/>
  <c r="DY11" i="2"/>
  <c r="DY10" i="2"/>
  <c r="DY9" i="2"/>
  <c r="DY8" i="2"/>
  <c r="DY7" i="2"/>
  <c r="DY6" i="2"/>
  <c r="DY5" i="2"/>
  <c r="DY4" i="2"/>
  <c r="DY3" i="2"/>
  <c r="DY2" i="2"/>
  <c r="DX20" i="2"/>
  <c r="DX19" i="2"/>
  <c r="DX18" i="2"/>
  <c r="DX17" i="2"/>
  <c r="DX16" i="2"/>
  <c r="DX15" i="2"/>
  <c r="DX14" i="2"/>
  <c r="DX13" i="2"/>
  <c r="DX12" i="2"/>
  <c r="DX11" i="2"/>
  <c r="DX10" i="2"/>
  <c r="DX9" i="2"/>
  <c r="DX8" i="2"/>
  <c r="DX7" i="2"/>
  <c r="DX6" i="2"/>
  <c r="DX5" i="2"/>
  <c r="DX4" i="2"/>
  <c r="DX3" i="2"/>
  <c r="DX2" i="2"/>
  <c r="DW20" i="2"/>
  <c r="DW19" i="2"/>
  <c r="DW18" i="2"/>
  <c r="DW17" i="2"/>
  <c r="DW16" i="2"/>
  <c r="DW15" i="2"/>
  <c r="DW14" i="2"/>
  <c r="DW13" i="2"/>
  <c r="DW12" i="2"/>
  <c r="DW11" i="2"/>
  <c r="DW10" i="2"/>
  <c r="DW9" i="2"/>
  <c r="DW8" i="2"/>
  <c r="DW7" i="2"/>
  <c r="DW6" i="2"/>
  <c r="DW5" i="2"/>
  <c r="DW4" i="2"/>
  <c r="DW3" i="2"/>
  <c r="DW2" i="2"/>
  <c r="DS2" i="2"/>
  <c r="DV21" i="2" s="1"/>
  <c r="FX24" i="2"/>
  <c r="AB37" i="2"/>
  <c r="Y424" i="23"/>
  <c r="DH21" i="2"/>
  <c r="DH20" i="2"/>
  <c r="DH19" i="2"/>
  <c r="DH18" i="2"/>
  <c r="DH17" i="2"/>
  <c r="DH16" i="2"/>
  <c r="DH15" i="2"/>
  <c r="DH14" i="2"/>
  <c r="DH13" i="2"/>
  <c r="DH12" i="2"/>
  <c r="DH11" i="2"/>
  <c r="DH10" i="2"/>
  <c r="DH9" i="2"/>
  <c r="DH8" i="2"/>
  <c r="DH7" i="2"/>
  <c r="DH6" i="2"/>
  <c r="DH5" i="2"/>
  <c r="DH4" i="2"/>
  <c r="DH3" i="2"/>
  <c r="DH2" i="2"/>
  <c r="DG21" i="2"/>
  <c r="DG20" i="2"/>
  <c r="DG19" i="2"/>
  <c r="DG18" i="2"/>
  <c r="DG17" i="2"/>
  <c r="DG16" i="2"/>
  <c r="DG15" i="2"/>
  <c r="DG14" i="2"/>
  <c r="DG13" i="2"/>
  <c r="DG12" i="2"/>
  <c r="DG11" i="2"/>
  <c r="DG10" i="2"/>
  <c r="DG9" i="2"/>
  <c r="DG8" i="2"/>
  <c r="DG7" i="2"/>
  <c r="DG6" i="2"/>
  <c r="DG5" i="2"/>
  <c r="DG4" i="2"/>
  <c r="DG3" i="2"/>
  <c r="DG2" i="2"/>
  <c r="DF21" i="2"/>
  <c r="DF20" i="2"/>
  <c r="DF19" i="2"/>
  <c r="DF18" i="2"/>
  <c r="DF17" i="2"/>
  <c r="DF16" i="2"/>
  <c r="DF15" i="2"/>
  <c r="DF14" i="2"/>
  <c r="DF13" i="2"/>
  <c r="DF12" i="2"/>
  <c r="DF11" i="2"/>
  <c r="DF10" i="2"/>
  <c r="DF9" i="2"/>
  <c r="DF8" i="2"/>
  <c r="DF7" i="2"/>
  <c r="DF6" i="2"/>
  <c r="DF5" i="2"/>
  <c r="DF4" i="2"/>
  <c r="DF3" i="2"/>
  <c r="DF2" i="2"/>
  <c r="DE21" i="2"/>
  <c r="DE20" i="2"/>
  <c r="DE19" i="2"/>
  <c r="DE18" i="2"/>
  <c r="DE17" i="2"/>
  <c r="DE16" i="2"/>
  <c r="DE15" i="2"/>
  <c r="DE14" i="2"/>
  <c r="DE13" i="2"/>
  <c r="DE12" i="2"/>
  <c r="DE11" i="2"/>
  <c r="DE10" i="2"/>
  <c r="DE9" i="2"/>
  <c r="DE8" i="2"/>
  <c r="DE7" i="2"/>
  <c r="DE6" i="2"/>
  <c r="DE5" i="2"/>
  <c r="DE4" i="2"/>
  <c r="DE3" i="2"/>
  <c r="DE2" i="2"/>
  <c r="DD21" i="2"/>
  <c r="DD20" i="2"/>
  <c r="DD19" i="2"/>
  <c r="DD18" i="2"/>
  <c r="DD17" i="2"/>
  <c r="DD16" i="2"/>
  <c r="DD15" i="2"/>
  <c r="DD14" i="2"/>
  <c r="DD13" i="2"/>
  <c r="DD12" i="2"/>
  <c r="DD11" i="2"/>
  <c r="DD10" i="2"/>
  <c r="DD9" i="2"/>
  <c r="DD8" i="2"/>
  <c r="DD7" i="2"/>
  <c r="DD6" i="2"/>
  <c r="DD5" i="2"/>
  <c r="DD4" i="2"/>
  <c r="DD3" i="2"/>
  <c r="DD2" i="2"/>
  <c r="DC2" i="2"/>
  <c r="DC21" i="2"/>
  <c r="DC20" i="2"/>
  <c r="DC19" i="2"/>
  <c r="DC18" i="2"/>
  <c r="DC17" i="2"/>
  <c r="DC16" i="2"/>
  <c r="DC15" i="2"/>
  <c r="DC14" i="2"/>
  <c r="DC13" i="2"/>
  <c r="DC12" i="2"/>
  <c r="DC11" i="2"/>
  <c r="DC10" i="2"/>
  <c r="DC9" i="2"/>
  <c r="DC8" i="2"/>
  <c r="DC7" i="2"/>
  <c r="DC6" i="2"/>
  <c r="DC5" i="2"/>
  <c r="DC4" i="2"/>
  <c r="DB21" i="2"/>
  <c r="DB20" i="2"/>
  <c r="DB19" i="2"/>
  <c r="DB18" i="2"/>
  <c r="DB17" i="2"/>
  <c r="DB16" i="2"/>
  <c r="DB15" i="2"/>
  <c r="DB14" i="2"/>
  <c r="DB13" i="2"/>
  <c r="DB12" i="2"/>
  <c r="DB11" i="2"/>
  <c r="DB10" i="2"/>
  <c r="DB9" i="2"/>
  <c r="DB8" i="2"/>
  <c r="DB7" i="2"/>
  <c r="DB6" i="2"/>
  <c r="DB5" i="2"/>
  <c r="DB4" i="2"/>
  <c r="DB3" i="2"/>
  <c r="DB2" i="2"/>
  <c r="DA21" i="2"/>
  <c r="DA20" i="2"/>
  <c r="DA19" i="2"/>
  <c r="DA18" i="2"/>
  <c r="DA17" i="2"/>
  <c r="DA16" i="2"/>
  <c r="DA15" i="2"/>
  <c r="DA14" i="2"/>
  <c r="DA13" i="2"/>
  <c r="DA12" i="2"/>
  <c r="DA11" i="2"/>
  <c r="DA10" i="2"/>
  <c r="DA9" i="2"/>
  <c r="DA8" i="2"/>
  <c r="DA7" i="2"/>
  <c r="DA6" i="2"/>
  <c r="DA5" i="2"/>
  <c r="DA4" i="2"/>
  <c r="DA3" i="2"/>
  <c r="DA2" i="2"/>
  <c r="CZ20" i="2"/>
  <c r="CZ19" i="2"/>
  <c r="CZ18" i="2"/>
  <c r="CZ17" i="2"/>
  <c r="CZ16" i="2"/>
  <c r="CZ15" i="2"/>
  <c r="CZ14" i="2"/>
  <c r="CZ13" i="2"/>
  <c r="CZ12" i="2"/>
  <c r="CZ11" i="2"/>
  <c r="CZ10" i="2"/>
  <c r="CZ9" i="2"/>
  <c r="CZ8" i="2"/>
  <c r="CZ7" i="2"/>
  <c r="CZ6" i="2"/>
  <c r="CZ5" i="2"/>
  <c r="CZ4" i="2"/>
  <c r="CZ3" i="2"/>
  <c r="CZ2" i="2"/>
  <c r="CY21" i="2"/>
  <c r="CY20" i="2"/>
  <c r="CY19" i="2"/>
  <c r="CY18" i="2"/>
  <c r="CY17" i="2"/>
  <c r="CY16" i="2"/>
  <c r="CY15" i="2"/>
  <c r="CY14" i="2"/>
  <c r="CY13" i="2"/>
  <c r="CY12" i="2"/>
  <c r="CY11" i="2"/>
  <c r="CY10" i="2"/>
  <c r="CY9" i="2"/>
  <c r="CY8" i="2"/>
  <c r="CY7" i="2"/>
  <c r="CY6" i="2"/>
  <c r="CY5" i="2"/>
  <c r="CY4" i="2"/>
  <c r="CY3" i="2"/>
  <c r="CY2" i="2"/>
  <c r="CX21" i="2"/>
  <c r="CX20" i="2"/>
  <c r="CX19" i="2"/>
  <c r="CX18" i="2"/>
  <c r="CX17" i="2"/>
  <c r="CX12" i="2"/>
  <c r="CX11" i="2"/>
  <c r="CX10" i="2"/>
  <c r="CX9" i="2"/>
  <c r="CX8" i="2"/>
  <c r="CX7" i="2"/>
  <c r="CX6" i="2"/>
  <c r="CX5" i="2"/>
  <c r="CX4" i="2"/>
  <c r="CX3" i="2"/>
  <c r="CX2" i="2"/>
  <c r="DV20" i="2"/>
  <c r="DV19" i="2"/>
  <c r="DV18" i="2"/>
  <c r="DV17" i="2"/>
  <c r="DV16" i="2"/>
  <c r="DV15" i="2"/>
  <c r="DV14" i="2"/>
  <c r="DV13" i="2"/>
  <c r="DV12" i="2"/>
  <c r="DV11" i="2"/>
  <c r="DV10" i="2"/>
  <c r="DV9" i="2"/>
  <c r="DV8" i="2"/>
  <c r="DV7" i="2"/>
  <c r="DV6" i="2"/>
  <c r="DV5" i="2"/>
  <c r="DV4" i="2"/>
  <c r="DV3" i="2"/>
  <c r="DV2" i="2"/>
  <c r="DU20" i="2"/>
  <c r="DU19" i="2"/>
  <c r="DU18" i="2"/>
  <c r="DU17" i="2"/>
  <c r="DU16" i="2"/>
  <c r="DU15" i="2"/>
  <c r="DU14" i="2"/>
  <c r="DU13" i="2"/>
  <c r="DU12" i="2"/>
  <c r="DU11" i="2"/>
  <c r="DU10" i="2"/>
  <c r="DU9" i="2"/>
  <c r="DU8" i="2"/>
  <c r="DU7" i="2"/>
  <c r="DU6" i="2"/>
  <c r="DU5" i="2"/>
  <c r="DU4" i="2"/>
  <c r="DU3" i="2"/>
  <c r="DU2" i="2"/>
  <c r="CX16" i="2"/>
  <c r="CX15" i="2"/>
  <c r="CX14" i="2"/>
  <c r="CX13" i="2"/>
  <c r="DH37" i="2"/>
  <c r="DG37" i="2"/>
  <c r="DE37" i="2"/>
  <c r="DD37" i="2"/>
  <c r="DA37" i="2"/>
  <c r="DB37" i="2"/>
  <c r="CZ41" i="2"/>
  <c r="CZ40" i="2"/>
  <c r="CZ39" i="2"/>
  <c r="CW41" i="2"/>
  <c r="CW40" i="2"/>
  <c r="CW39" i="2"/>
  <c r="DF40" i="2"/>
  <c r="DF41" i="2"/>
  <c r="DF39" i="2"/>
  <c r="DF25" i="2"/>
  <c r="DC41" i="2"/>
  <c r="DC40" i="2"/>
  <c r="DC39" i="2"/>
  <c r="BY37" i="2"/>
  <c r="DG41" i="2"/>
  <c r="DG40" i="2"/>
  <c r="DG39" i="2"/>
  <c r="DG38" i="2"/>
  <c r="DG36" i="2"/>
  <c r="DG35" i="2"/>
  <c r="DG34" i="2"/>
  <c r="DG33" i="2"/>
  <c r="DG32" i="2"/>
  <c r="DG31" i="2"/>
  <c r="DG30" i="2"/>
  <c r="DG29" i="2"/>
  <c r="DG27" i="2"/>
  <c r="DG26" i="2"/>
  <c r="DG25" i="2"/>
  <c r="DG24" i="2"/>
  <c r="DG23" i="2"/>
  <c r="DE41" i="2"/>
  <c r="DE40" i="2"/>
  <c r="DE39" i="2"/>
  <c r="DE38" i="2"/>
  <c r="DE36" i="2"/>
  <c r="DE35" i="2"/>
  <c r="DE34" i="2"/>
  <c r="DE33" i="2"/>
  <c r="DE32" i="2"/>
  <c r="DE31" i="2"/>
  <c r="DE30" i="2"/>
  <c r="DE29" i="2"/>
  <c r="DE27" i="2"/>
  <c r="DE26" i="2"/>
  <c r="DE25" i="2"/>
  <c r="DE24" i="2"/>
  <c r="DE23" i="2"/>
  <c r="DD41" i="2"/>
  <c r="DD40" i="2"/>
  <c r="DD39" i="2"/>
  <c r="DD38" i="2"/>
  <c r="DD36" i="2"/>
  <c r="DD35" i="2"/>
  <c r="DD34" i="2"/>
  <c r="DD33" i="2"/>
  <c r="DD32" i="2"/>
  <c r="DD31" i="2"/>
  <c r="DD30" i="2"/>
  <c r="DD29" i="2"/>
  <c r="DD27" i="2"/>
  <c r="DD26" i="2"/>
  <c r="DD25" i="2"/>
  <c r="DD24" i="2"/>
  <c r="DD23" i="2"/>
  <c r="DB41" i="2"/>
  <c r="DB40" i="2"/>
  <c r="DB39" i="2"/>
  <c r="DB38" i="2"/>
  <c r="DB36" i="2"/>
  <c r="DB35" i="2"/>
  <c r="DB34" i="2"/>
  <c r="DB33" i="2"/>
  <c r="DB32" i="2"/>
  <c r="DB31" i="2"/>
  <c r="DB30" i="2"/>
  <c r="DB29" i="2"/>
  <c r="DB27" i="2"/>
  <c r="DB26" i="2"/>
  <c r="DB25" i="2"/>
  <c r="DB24" i="2"/>
  <c r="DB23" i="2"/>
  <c r="DA41" i="2"/>
  <c r="DA40" i="2"/>
  <c r="DA39" i="2"/>
  <c r="DA38" i="2"/>
  <c r="DA36" i="2"/>
  <c r="DA35" i="2"/>
  <c r="DA34" i="2"/>
  <c r="DA33" i="2"/>
  <c r="DA32" i="2"/>
  <c r="DA31" i="2"/>
  <c r="DA30" i="2"/>
  <c r="DA29" i="2"/>
  <c r="DA27" i="2"/>
  <c r="DA26" i="2"/>
  <c r="DA25" i="2"/>
  <c r="DA24" i="2"/>
  <c r="DA23" i="2"/>
  <c r="CY41" i="2"/>
  <c r="CY40" i="2"/>
  <c r="CY39" i="2"/>
  <c r="CY38" i="2"/>
  <c r="CY37" i="2"/>
  <c r="CY36" i="2"/>
  <c r="CY35" i="2"/>
  <c r="CY34" i="2"/>
  <c r="CY33" i="2"/>
  <c r="CY32" i="2"/>
  <c r="CY31" i="2"/>
  <c r="CY30" i="2"/>
  <c r="CY29" i="2"/>
  <c r="CY27" i="2"/>
  <c r="CY26" i="2"/>
  <c r="CY25" i="2"/>
  <c r="CY24" i="2"/>
  <c r="CY23" i="2"/>
  <c r="CX41" i="2"/>
  <c r="CX40" i="2"/>
  <c r="CX39" i="2"/>
  <c r="CX38" i="2"/>
  <c r="CX37" i="2"/>
  <c r="CX36" i="2"/>
  <c r="CX35" i="2"/>
  <c r="CX34" i="2"/>
  <c r="CX33" i="2"/>
  <c r="CX32" i="2"/>
  <c r="CX31" i="2"/>
  <c r="CX30" i="2"/>
  <c r="CX29" i="2"/>
  <c r="CX27" i="2"/>
  <c r="CX26" i="2"/>
  <c r="CX25" i="2"/>
  <c r="CX24" i="2"/>
  <c r="CX23" i="2"/>
  <c r="CV41" i="2"/>
  <c r="CV40" i="2"/>
  <c r="CV39" i="2"/>
  <c r="CV38" i="2"/>
  <c r="CV37" i="2"/>
  <c r="CV36" i="2"/>
  <c r="CV35" i="2"/>
  <c r="CV34" i="2"/>
  <c r="CV33" i="2"/>
  <c r="CV32" i="2"/>
  <c r="CV31" i="2"/>
  <c r="CV30" i="2"/>
  <c r="CV29" i="2"/>
  <c r="CV28" i="2"/>
  <c r="CV27" i="2"/>
  <c r="CV26" i="2"/>
  <c r="CV25" i="2"/>
  <c r="CV24" i="2"/>
  <c r="CV23" i="2"/>
  <c r="CU41" i="2"/>
  <c r="CU40" i="2"/>
  <c r="CU39" i="2"/>
  <c r="CU38" i="2"/>
  <c r="CU37" i="2"/>
  <c r="CU36" i="2"/>
  <c r="CU35" i="2"/>
  <c r="CU34" i="2"/>
  <c r="CU33" i="2"/>
  <c r="CU32" i="2"/>
  <c r="CU31" i="2"/>
  <c r="CU30" i="2"/>
  <c r="CU29" i="2"/>
  <c r="CU28" i="2"/>
  <c r="CU27" i="2"/>
  <c r="CU26" i="2"/>
  <c r="CU25" i="2"/>
  <c r="CU24" i="2"/>
  <c r="CU23" i="2"/>
  <c r="BS31" i="2"/>
  <c r="CB30" i="2"/>
  <c r="DG28" i="2"/>
  <c r="DE28" i="2"/>
  <c r="DD28" i="2"/>
  <c r="DB28" i="2"/>
  <c r="DA28" i="2"/>
  <c r="CY28" i="2"/>
  <c r="CX28" i="2"/>
  <c r="CF25" i="2"/>
  <c r="AY23" i="2"/>
  <c r="GI21" i="2"/>
  <c r="GH21" i="2"/>
  <c r="GG21" i="2"/>
  <c r="GF21" i="2"/>
  <c r="GE21" i="2"/>
  <c r="GD21" i="2"/>
  <c r="S29" i="17" s="1"/>
  <c r="GK20" i="2"/>
  <c r="U28" i="17" s="1"/>
  <c r="GI20" i="2"/>
  <c r="GH20" i="2"/>
  <c r="GG20" i="2"/>
  <c r="GF20" i="2"/>
  <c r="GE20" i="2"/>
  <c r="GD20" i="2"/>
  <c r="S28" i="17" s="1"/>
  <c r="GI19" i="2"/>
  <c r="GH19" i="2"/>
  <c r="GG19" i="2"/>
  <c r="GF19" i="2"/>
  <c r="GE19" i="2"/>
  <c r="GD19" i="2"/>
  <c r="S27" i="17" s="1"/>
  <c r="GK19" i="2"/>
  <c r="U27" i="17" s="1"/>
  <c r="GK18" i="2"/>
  <c r="U26" i="17" s="1"/>
  <c r="GI18" i="2"/>
  <c r="GH18" i="2"/>
  <c r="GG18" i="2"/>
  <c r="GF18" i="2"/>
  <c r="GE18" i="2"/>
  <c r="GD18" i="2"/>
  <c r="S26" i="17" s="1"/>
  <c r="GK21" i="2"/>
  <c r="U29" i="17" s="1"/>
  <c r="FG17" i="2"/>
  <c r="FG16" i="2"/>
  <c r="FG15" i="2"/>
  <c r="FG14" i="2"/>
  <c r="FG13" i="2"/>
  <c r="FF17" i="2"/>
  <c r="FF16" i="2"/>
  <c r="FF15" i="2"/>
  <c r="FF14" i="2"/>
  <c r="FF13" i="2"/>
  <c r="FE17" i="2"/>
  <c r="FE16" i="2"/>
  <c r="FE15" i="2"/>
  <c r="FE14" i="2"/>
  <c r="FE13" i="2"/>
  <c r="FD17" i="2"/>
  <c r="FD16" i="2"/>
  <c r="FD15" i="2"/>
  <c r="FD14" i="2"/>
  <c r="FD13" i="2"/>
  <c r="FC17" i="2"/>
  <c r="FC16" i="2"/>
  <c r="FC15" i="2"/>
  <c r="FC14" i="2"/>
  <c r="FC13" i="2"/>
  <c r="FB17" i="2"/>
  <c r="FB16" i="2"/>
  <c r="FB15" i="2"/>
  <c r="FB14" i="2"/>
  <c r="FB13" i="2"/>
  <c r="FA17" i="2"/>
  <c r="FA16" i="2"/>
  <c r="FA15" i="2"/>
  <c r="FA14" i="2"/>
  <c r="FA13" i="2"/>
  <c r="EZ17" i="2"/>
  <c r="EZ16" i="2"/>
  <c r="EZ15" i="2"/>
  <c r="EZ14" i="2"/>
  <c r="EZ13" i="2"/>
  <c r="EY17" i="2"/>
  <c r="EY16" i="2"/>
  <c r="EY15" i="2"/>
  <c r="EY14" i="2"/>
  <c r="EY13" i="2"/>
  <c r="EX17" i="2"/>
  <c r="EX16" i="2"/>
  <c r="EX15" i="2"/>
  <c r="EX14" i="2"/>
  <c r="EX13" i="2"/>
  <c r="EW17" i="2"/>
  <c r="EW16" i="2"/>
  <c r="EW15" i="2"/>
  <c r="EW14" i="2"/>
  <c r="EW13" i="2"/>
  <c r="EV17" i="2"/>
  <c r="EV16" i="2"/>
  <c r="EV15" i="2"/>
  <c r="EV14" i="2"/>
  <c r="EV13" i="2"/>
  <c r="EU17" i="2"/>
  <c r="EU16" i="2"/>
  <c r="EU15" i="2"/>
  <c r="EU14" i="2"/>
  <c r="EU13" i="2"/>
  <c r="ET17" i="2"/>
  <c r="ET16" i="2"/>
  <c r="ET15" i="2"/>
  <c r="ET14" i="2"/>
  <c r="ET13" i="2"/>
  <c r="ES17" i="2"/>
  <c r="ES16" i="2"/>
  <c r="ES15" i="2"/>
  <c r="ES14" i="2"/>
  <c r="ES13" i="2"/>
  <c r="ER17" i="2"/>
  <c r="ER16" i="2"/>
  <c r="ER15" i="2"/>
  <c r="ER14" i="2"/>
  <c r="ER13" i="2"/>
  <c r="EQ17" i="2"/>
  <c r="EQ16" i="2"/>
  <c r="EQ15" i="2"/>
  <c r="EQ14" i="2"/>
  <c r="EQ13" i="2"/>
  <c r="EP17" i="2"/>
  <c r="EP16" i="2"/>
  <c r="EP15" i="2"/>
  <c r="EP14" i="2"/>
  <c r="EP13" i="2"/>
  <c r="EO17" i="2"/>
  <c r="EO16" i="2"/>
  <c r="EO15" i="2"/>
  <c r="EO14" i="2"/>
  <c r="EO13" i="2"/>
  <c r="EN17" i="2"/>
  <c r="EN16" i="2"/>
  <c r="EN15" i="2"/>
  <c r="EN14" i="2"/>
  <c r="EN13" i="2"/>
  <c r="DT21" i="2"/>
  <c r="DT20" i="2"/>
  <c r="DT19" i="2"/>
  <c r="DT18" i="2"/>
  <c r="DT17" i="2"/>
  <c r="DT16" i="2"/>
  <c r="DT15" i="2"/>
  <c r="DT14" i="2"/>
  <c r="DT13" i="2"/>
  <c r="DT12" i="2"/>
  <c r="DT11" i="2"/>
  <c r="DT10" i="2"/>
  <c r="DT9" i="2"/>
  <c r="DT8" i="2"/>
  <c r="DT7" i="2"/>
  <c r="DT6" i="2"/>
  <c r="DT5" i="2"/>
  <c r="DT4" i="2"/>
  <c r="DT3" i="2"/>
  <c r="DT2" i="2"/>
  <c r="DS21" i="2"/>
  <c r="DS20" i="2"/>
  <c r="DS19" i="2"/>
  <c r="DS18" i="2"/>
  <c r="EL21" i="2" s="1"/>
  <c r="DN42" i="2" s="1"/>
  <c r="DS17" i="2"/>
  <c r="EK21" i="2" s="1"/>
  <c r="DS16" i="2"/>
  <c r="EJ21" i="2" s="1"/>
  <c r="DS15" i="2"/>
  <c r="EI21" i="2" s="1"/>
  <c r="DS14" i="2"/>
  <c r="EH21" i="2" s="1"/>
  <c r="DS13" i="2"/>
  <c r="EG21" i="2" s="1"/>
  <c r="DS12" i="2"/>
  <c r="EF21" i="2" s="1"/>
  <c r="DS11" i="2"/>
  <c r="EE21" i="2" s="1"/>
  <c r="DS10" i="2"/>
  <c r="ED21" i="2" s="1"/>
  <c r="DS9" i="2"/>
  <c r="EC21" i="2" s="1"/>
  <c r="DS8" i="2"/>
  <c r="EB21" i="2" s="1"/>
  <c r="DS7" i="2"/>
  <c r="EA21" i="2" s="1"/>
  <c r="DS6" i="2"/>
  <c r="DZ21" i="2" s="1"/>
  <c r="DS5" i="2"/>
  <c r="DY21" i="2" s="1"/>
  <c r="DK6" i="2"/>
  <c r="DS4" i="2"/>
  <c r="DX21" i="2" s="1"/>
  <c r="DS3" i="2"/>
  <c r="DW21" i="2" s="1"/>
  <c r="DQ21" i="2"/>
  <c r="DQ20" i="2"/>
  <c r="DQ19" i="2"/>
  <c r="DQ18" i="2"/>
  <c r="DQ17" i="2"/>
  <c r="DQ16" i="2"/>
  <c r="DQ15" i="2"/>
  <c r="DQ14" i="2"/>
  <c r="DQ13" i="2"/>
  <c r="DQ12" i="2"/>
  <c r="DQ11" i="2"/>
  <c r="DQ10" i="2"/>
  <c r="DQ9" i="2"/>
  <c r="DQ8" i="2"/>
  <c r="DQ7" i="2"/>
  <c r="DQ6" i="2"/>
  <c r="DQ5" i="2"/>
  <c r="DQ4" i="2"/>
  <c r="DQ3" i="2"/>
  <c r="DQ2" i="2"/>
  <c r="DP21" i="2"/>
  <c r="DP20" i="2"/>
  <c r="DP19" i="2"/>
  <c r="DP18" i="2"/>
  <c r="DP17" i="2"/>
  <c r="DP16" i="2"/>
  <c r="DP15" i="2"/>
  <c r="DP14" i="2"/>
  <c r="DP13" i="2"/>
  <c r="DP12" i="2"/>
  <c r="DP11" i="2"/>
  <c r="DP10" i="2"/>
  <c r="DP9" i="2"/>
  <c r="DP8" i="2"/>
  <c r="DP7" i="2"/>
  <c r="DP6" i="2"/>
  <c r="DP5" i="2"/>
  <c r="DP4" i="2"/>
  <c r="DP3" i="2"/>
  <c r="DP2" i="2"/>
  <c r="DO21" i="2"/>
  <c r="DO20" i="2"/>
  <c r="DO19" i="2"/>
  <c r="DO18" i="2"/>
  <c r="DO17" i="2"/>
  <c r="DO16" i="2"/>
  <c r="DO15" i="2"/>
  <c r="DO14" i="2"/>
  <c r="DO13" i="2"/>
  <c r="DO12" i="2"/>
  <c r="DO11" i="2"/>
  <c r="DO10" i="2"/>
  <c r="DO9" i="2"/>
  <c r="DO8" i="2"/>
  <c r="DO7" i="2"/>
  <c r="DO6" i="2"/>
  <c r="DO5" i="2"/>
  <c r="DO4" i="2"/>
  <c r="DO3" i="2"/>
  <c r="DO2" i="2"/>
  <c r="DN21" i="2"/>
  <c r="DN20" i="2"/>
  <c r="DN19" i="2"/>
  <c r="DN18" i="2"/>
  <c r="DN17" i="2"/>
  <c r="DN16" i="2"/>
  <c r="DN15" i="2"/>
  <c r="DN14" i="2"/>
  <c r="DN13" i="2"/>
  <c r="DN12" i="2"/>
  <c r="DN11" i="2"/>
  <c r="DN10" i="2"/>
  <c r="DN9" i="2"/>
  <c r="DN8" i="2"/>
  <c r="DN7" i="2"/>
  <c r="DN6" i="2"/>
  <c r="DN5" i="2"/>
  <c r="DN4" i="2"/>
  <c r="DN3" i="2"/>
  <c r="DN2" i="2"/>
  <c r="DM21" i="2"/>
  <c r="DM20" i="2"/>
  <c r="DM19" i="2"/>
  <c r="DM18" i="2"/>
  <c r="DM17" i="2"/>
  <c r="DM16" i="2"/>
  <c r="DM15" i="2"/>
  <c r="DM14" i="2"/>
  <c r="DM13" i="2"/>
  <c r="DM12" i="2"/>
  <c r="DM11" i="2"/>
  <c r="DM10" i="2"/>
  <c r="DM9" i="2"/>
  <c r="DM8" i="2"/>
  <c r="DM7" i="2"/>
  <c r="DM6" i="2"/>
  <c r="DM5" i="2"/>
  <c r="DM4" i="2"/>
  <c r="DM3" i="2"/>
  <c r="DM2" i="2"/>
  <c r="DL21" i="2"/>
  <c r="DL20" i="2"/>
  <c r="DL19" i="2"/>
  <c r="DL18" i="2"/>
  <c r="DL17" i="2"/>
  <c r="DL16" i="2"/>
  <c r="DL15" i="2"/>
  <c r="DL14" i="2"/>
  <c r="DL13" i="2"/>
  <c r="DL12" i="2"/>
  <c r="DL11" i="2"/>
  <c r="DL10" i="2"/>
  <c r="DL9" i="2"/>
  <c r="DL8" i="2"/>
  <c r="DL7" i="2"/>
  <c r="DL6" i="2"/>
  <c r="DL5" i="2"/>
  <c r="DL4" i="2"/>
  <c r="DL3" i="2"/>
  <c r="DL2" i="2"/>
  <c r="DK21" i="2"/>
  <c r="DK20" i="2"/>
  <c r="DK19" i="2"/>
  <c r="DK18" i="2"/>
  <c r="DK17" i="2"/>
  <c r="DK16" i="2"/>
  <c r="DK15" i="2"/>
  <c r="DK14" i="2"/>
  <c r="DK13" i="2"/>
  <c r="DK12" i="2"/>
  <c r="DK11" i="2"/>
  <c r="DK10" i="2"/>
  <c r="DK9" i="2"/>
  <c r="DK8" i="2"/>
  <c r="DK7" i="2"/>
  <c r="DK5" i="2"/>
  <c r="DK4" i="2"/>
  <c r="DK3" i="2"/>
  <c r="DK2" i="2"/>
  <c r="DJ21" i="2"/>
  <c r="DJ20" i="2"/>
  <c r="DJ19" i="2"/>
  <c r="DJ18" i="2"/>
  <c r="DJ17" i="2"/>
  <c r="DJ16" i="2"/>
  <c r="DJ15" i="2"/>
  <c r="DJ14" i="2"/>
  <c r="DJ13" i="2"/>
  <c r="DJ12" i="2"/>
  <c r="DJ11" i="2"/>
  <c r="DJ10" i="2"/>
  <c r="DJ9" i="2"/>
  <c r="DJ8" i="2"/>
  <c r="DJ7" i="2"/>
  <c r="DJ6" i="2"/>
  <c r="DJ5" i="2"/>
  <c r="DJ4" i="2"/>
  <c r="DJ3" i="2"/>
  <c r="DJ2" i="2"/>
  <c r="DI21" i="2"/>
  <c r="DI20" i="2"/>
  <c r="DI19" i="2"/>
  <c r="DI18" i="2"/>
  <c r="DI17" i="2"/>
  <c r="DI16" i="2"/>
  <c r="DI15" i="2"/>
  <c r="DI14" i="2"/>
  <c r="DI13" i="2"/>
  <c r="DI12" i="2"/>
  <c r="DI11" i="2"/>
  <c r="DI10" i="2"/>
  <c r="DI9" i="2"/>
  <c r="DI8" i="2"/>
  <c r="DI7" i="2"/>
  <c r="DI6" i="2"/>
  <c r="DI5" i="2"/>
  <c r="DI4" i="2"/>
  <c r="DI3" i="2"/>
  <c r="DI2" i="2"/>
  <c r="CV20" i="2"/>
  <c r="CV19" i="2"/>
  <c r="CV18" i="2"/>
  <c r="CV17" i="2"/>
  <c r="CV16" i="2"/>
  <c r="CV15" i="2"/>
  <c r="CV14" i="2"/>
  <c r="CV13" i="2"/>
  <c r="CV12" i="2"/>
  <c r="CV11" i="2"/>
  <c r="CV10" i="2"/>
  <c r="CV9" i="2"/>
  <c r="CV8" i="2"/>
  <c r="CV7" i="2"/>
  <c r="CV6" i="2"/>
  <c r="CV5" i="2"/>
  <c r="CV4" i="2"/>
  <c r="CV3" i="2"/>
  <c r="CV2" i="2"/>
  <c r="CU20" i="2"/>
  <c r="CU19" i="2"/>
  <c r="CU18" i="2"/>
  <c r="CU17" i="2"/>
  <c r="CU16" i="2"/>
  <c r="CU15" i="2"/>
  <c r="CU14" i="2"/>
  <c r="CU13" i="2"/>
  <c r="CU12" i="2"/>
  <c r="CU11" i="2"/>
  <c r="CU10" i="2"/>
  <c r="CU9" i="2"/>
  <c r="CU8" i="2"/>
  <c r="CU7" i="2"/>
  <c r="CU6" i="2"/>
  <c r="CU5" i="2"/>
  <c r="CU4" i="2"/>
  <c r="CU3" i="2"/>
  <c r="CU2" i="2"/>
  <c r="CT20" i="2"/>
  <c r="CT19" i="2"/>
  <c r="CT18" i="2"/>
  <c r="CT17" i="2"/>
  <c r="CT16" i="2"/>
  <c r="CT15" i="2"/>
  <c r="CT14" i="2"/>
  <c r="CT12" i="2"/>
  <c r="CT11" i="2"/>
  <c r="CT10" i="2"/>
  <c r="CT9" i="2"/>
  <c r="CT8" i="2"/>
  <c r="CT7" i="2"/>
  <c r="CT6" i="2"/>
  <c r="CT5" i="2"/>
  <c r="CT4" i="2"/>
  <c r="CT3" i="2"/>
  <c r="CT2" i="2"/>
  <c r="CS20" i="2"/>
  <c r="CS19" i="2"/>
  <c r="CS18" i="2"/>
  <c r="CS17" i="2"/>
  <c r="CS16" i="2"/>
  <c r="CS15" i="2"/>
  <c r="CS14" i="2"/>
  <c r="CS13" i="2"/>
  <c r="CS12" i="2"/>
  <c r="CS11" i="2"/>
  <c r="CS10" i="2"/>
  <c r="CS9" i="2"/>
  <c r="CS8" i="2"/>
  <c r="CS7" i="2"/>
  <c r="CS6" i="2"/>
  <c r="CS5" i="2"/>
  <c r="CS4" i="2"/>
  <c r="CS3" i="2"/>
  <c r="CS2" i="2"/>
  <c r="CR20" i="2"/>
  <c r="CR19" i="2"/>
  <c r="CR18" i="2"/>
  <c r="CR17" i="2"/>
  <c r="CR16" i="2"/>
  <c r="CR15" i="2"/>
  <c r="CR14" i="2"/>
  <c r="CR13" i="2"/>
  <c r="CR12" i="2"/>
  <c r="CR11" i="2"/>
  <c r="CR10" i="2"/>
  <c r="CR9" i="2"/>
  <c r="CR8" i="2"/>
  <c r="CR7" i="2"/>
  <c r="CR6" i="2"/>
  <c r="CR5" i="2"/>
  <c r="CR4" i="2"/>
  <c r="CR3" i="2"/>
  <c r="CR2" i="2"/>
  <c r="CQ20" i="2"/>
  <c r="CQ19" i="2"/>
  <c r="CQ18" i="2"/>
  <c r="CQ17" i="2"/>
  <c r="CQ16" i="2"/>
  <c r="CQ15" i="2"/>
  <c r="CQ14" i="2"/>
  <c r="CQ13" i="2"/>
  <c r="CQ12" i="2"/>
  <c r="CQ11" i="2"/>
  <c r="CQ10" i="2"/>
  <c r="CQ9" i="2"/>
  <c r="CQ8" i="2"/>
  <c r="CQ7" i="2"/>
  <c r="CQ6" i="2"/>
  <c r="CQ5" i="2"/>
  <c r="CQ4" i="2"/>
  <c r="CQ3" i="2"/>
  <c r="CQ2" i="2"/>
  <c r="CP20" i="2"/>
  <c r="CP19" i="2"/>
  <c r="CP18" i="2"/>
  <c r="CP17" i="2"/>
  <c r="CP16" i="2"/>
  <c r="CP15" i="2"/>
  <c r="CP14" i="2"/>
  <c r="CP13" i="2"/>
  <c r="CP12" i="2"/>
  <c r="CP11" i="2"/>
  <c r="CP10" i="2"/>
  <c r="CP9" i="2"/>
  <c r="CP8" i="2"/>
  <c r="CP7" i="2"/>
  <c r="CP6" i="2"/>
  <c r="CP5" i="2"/>
  <c r="CP4" i="2"/>
  <c r="CP3" i="2"/>
  <c r="CP2" i="2"/>
  <c r="CO20" i="2"/>
  <c r="CO19" i="2"/>
  <c r="CO18" i="2"/>
  <c r="CO17" i="2"/>
  <c r="CO16" i="2"/>
  <c r="CO15" i="2"/>
  <c r="CO14" i="2"/>
  <c r="CO13" i="2"/>
  <c r="CO12" i="2"/>
  <c r="CO11" i="2"/>
  <c r="CO10" i="2"/>
  <c r="CO9" i="2"/>
  <c r="CO8" i="2"/>
  <c r="CO7" i="2"/>
  <c r="CO6" i="2"/>
  <c r="CO5" i="2"/>
  <c r="CO4" i="2"/>
  <c r="CO3" i="2"/>
  <c r="CO2" i="2"/>
  <c r="CN20" i="2"/>
  <c r="CN19" i="2"/>
  <c r="CN18" i="2"/>
  <c r="CN17" i="2"/>
  <c r="CN16" i="2"/>
  <c r="CN15" i="2"/>
  <c r="CN14" i="2"/>
  <c r="CN13" i="2"/>
  <c r="CN12" i="2"/>
  <c r="CN11" i="2"/>
  <c r="CN10" i="2"/>
  <c r="CN9" i="2"/>
  <c r="CN8" i="2"/>
  <c r="CN7" i="2"/>
  <c r="CN6" i="2"/>
  <c r="CN5" i="2"/>
  <c r="CN4" i="2"/>
  <c r="CN3" i="2"/>
  <c r="CN2" i="2"/>
  <c r="CM20" i="2"/>
  <c r="CM19" i="2"/>
  <c r="CM18" i="2"/>
  <c r="CM17" i="2"/>
  <c r="CM16" i="2"/>
  <c r="CM15" i="2"/>
  <c r="CM14" i="2"/>
  <c r="CM13" i="2"/>
  <c r="CM12" i="2"/>
  <c r="CM11" i="2"/>
  <c r="CM10" i="2"/>
  <c r="CM9" i="2"/>
  <c r="CM8" i="2"/>
  <c r="CM7" i="2"/>
  <c r="CM6" i="2"/>
  <c r="CM5" i="2"/>
  <c r="CM4" i="2"/>
  <c r="CM3" i="2"/>
  <c r="CM2" i="2"/>
  <c r="CL20" i="2"/>
  <c r="CL19" i="2"/>
  <c r="CL18" i="2"/>
  <c r="CL17" i="2"/>
  <c r="CL16" i="2"/>
  <c r="CL15" i="2"/>
  <c r="CL14" i="2"/>
  <c r="CL13" i="2"/>
  <c r="CL12" i="2"/>
  <c r="CL11" i="2"/>
  <c r="CL10" i="2"/>
  <c r="CL9" i="2"/>
  <c r="CL8" i="2"/>
  <c r="CL7" i="2"/>
  <c r="CL6" i="2"/>
  <c r="CL5" i="2"/>
  <c r="CL4" i="2"/>
  <c r="CL3" i="2"/>
  <c r="CL2" i="2"/>
  <c r="CK20" i="2"/>
  <c r="CK19" i="2"/>
  <c r="CK18" i="2"/>
  <c r="CK17" i="2"/>
  <c r="CK16" i="2"/>
  <c r="CK15" i="2"/>
  <c r="CK14" i="2"/>
  <c r="CK13" i="2"/>
  <c r="CK12" i="2"/>
  <c r="CK11" i="2"/>
  <c r="CK10" i="2"/>
  <c r="CK9" i="2"/>
  <c r="CK8" i="2"/>
  <c r="CK7" i="2"/>
  <c r="CK6" i="2"/>
  <c r="CK5" i="2"/>
  <c r="CK4" i="2"/>
  <c r="CK3" i="2"/>
  <c r="CK2" i="2"/>
  <c r="CJ20" i="2"/>
  <c r="CJ19" i="2"/>
  <c r="CJ18" i="2"/>
  <c r="CJ17" i="2"/>
  <c r="CJ16" i="2"/>
  <c r="CJ15" i="2"/>
  <c r="CJ14" i="2"/>
  <c r="CJ13" i="2"/>
  <c r="CJ12" i="2"/>
  <c r="CJ11" i="2"/>
  <c r="CJ10" i="2"/>
  <c r="CJ9" i="2"/>
  <c r="CJ8" i="2"/>
  <c r="CJ7" i="2"/>
  <c r="CJ6" i="2"/>
  <c r="CJ5" i="2"/>
  <c r="CJ4" i="2"/>
  <c r="CJ3" i="2"/>
  <c r="CJ2" i="2"/>
  <c r="CI20" i="2"/>
  <c r="CI19" i="2"/>
  <c r="CI18" i="2"/>
  <c r="CI17" i="2"/>
  <c r="CI16" i="2"/>
  <c r="CI15" i="2"/>
  <c r="CI14" i="2"/>
  <c r="CI13" i="2"/>
  <c r="CI12" i="2"/>
  <c r="CI11" i="2"/>
  <c r="CI10" i="2"/>
  <c r="CI9" i="2"/>
  <c r="CI8" i="2"/>
  <c r="CI7" i="2"/>
  <c r="CI6" i="2"/>
  <c r="CI5" i="2"/>
  <c r="CI4" i="2"/>
  <c r="CI3" i="2"/>
  <c r="CI2" i="2"/>
  <c r="CH20" i="2"/>
  <c r="CH19" i="2"/>
  <c r="CH18" i="2"/>
  <c r="CH17" i="2"/>
  <c r="CH16" i="2"/>
  <c r="CH15" i="2"/>
  <c r="CH14" i="2"/>
  <c r="CH13" i="2"/>
  <c r="CH12" i="2"/>
  <c r="CH11" i="2"/>
  <c r="CH10" i="2"/>
  <c r="CH9" i="2"/>
  <c r="CH8" i="2"/>
  <c r="CH7" i="2"/>
  <c r="CH6" i="2"/>
  <c r="CH5" i="2"/>
  <c r="CH4" i="2"/>
  <c r="CH3" i="2"/>
  <c r="CH2" i="2"/>
  <c r="CG20" i="2"/>
  <c r="CG19" i="2"/>
  <c r="CG18" i="2"/>
  <c r="CG17" i="2"/>
  <c r="CG16" i="2"/>
  <c r="CG15" i="2"/>
  <c r="CG14" i="2"/>
  <c r="CG13" i="2"/>
  <c r="CG12" i="2"/>
  <c r="CG11" i="2"/>
  <c r="CG10" i="2"/>
  <c r="CG9" i="2"/>
  <c r="CG8" i="2"/>
  <c r="CG7" i="2"/>
  <c r="CG6" i="2"/>
  <c r="CG5" i="2"/>
  <c r="CG4" i="2"/>
  <c r="CG3" i="2"/>
  <c r="CG2" i="2"/>
  <c r="CF20" i="2"/>
  <c r="CF19" i="2"/>
  <c r="CF18" i="2"/>
  <c r="CF17" i="2"/>
  <c r="CF16" i="2"/>
  <c r="CF15" i="2"/>
  <c r="CF14" i="2"/>
  <c r="CF13" i="2"/>
  <c r="CF12" i="2"/>
  <c r="CF11" i="2"/>
  <c r="CF10" i="2"/>
  <c r="CF9" i="2"/>
  <c r="CF8" i="2"/>
  <c r="CF7" i="2"/>
  <c r="CF6" i="2"/>
  <c r="CF5" i="2"/>
  <c r="CF4" i="2"/>
  <c r="CF3" i="2"/>
  <c r="CF2" i="2"/>
  <c r="CE20" i="2"/>
  <c r="CE19" i="2"/>
  <c r="CE18" i="2"/>
  <c r="CE17" i="2"/>
  <c r="CE16" i="2"/>
  <c r="CE15" i="2"/>
  <c r="CE14" i="2"/>
  <c r="CE13" i="2"/>
  <c r="CE12" i="2"/>
  <c r="CE11" i="2"/>
  <c r="CE10" i="2"/>
  <c r="CE9" i="2"/>
  <c r="CE8" i="2"/>
  <c r="CE7" i="2"/>
  <c r="CE6" i="2"/>
  <c r="CE5" i="2"/>
  <c r="CE4" i="2"/>
  <c r="CE3" i="2"/>
  <c r="CE2" i="2"/>
  <c r="CD21" i="2"/>
  <c r="CD20" i="2"/>
  <c r="CD19" i="2"/>
  <c r="CD18" i="2"/>
  <c r="CD17" i="2"/>
  <c r="CD16" i="2"/>
  <c r="CD15" i="2"/>
  <c r="CD14" i="2"/>
  <c r="CD13" i="2"/>
  <c r="CD12" i="2"/>
  <c r="CD11" i="2"/>
  <c r="CD10" i="2"/>
  <c r="CD9" i="2"/>
  <c r="CD8" i="2"/>
  <c r="CD7" i="2"/>
  <c r="CD6" i="2"/>
  <c r="CD5" i="2"/>
  <c r="CD4" i="2"/>
  <c r="CD3" i="2"/>
  <c r="CD2" i="2"/>
  <c r="CC21" i="2"/>
  <c r="CC20" i="2"/>
  <c r="CC19" i="2"/>
  <c r="CC18" i="2"/>
  <c r="CV21" i="2" s="1"/>
  <c r="CC17" i="2"/>
  <c r="CU21" i="2" s="1"/>
  <c r="CC16" i="2"/>
  <c r="CT21" i="2" s="1"/>
  <c r="CC15" i="2"/>
  <c r="CS21" i="2" s="1"/>
  <c r="CC14" i="2"/>
  <c r="CR21" i="2" s="1"/>
  <c r="CC13" i="2"/>
  <c r="CQ21" i="2" s="1"/>
  <c r="CC12" i="2"/>
  <c r="CP21" i="2" s="1"/>
  <c r="CC11" i="2"/>
  <c r="CO21" i="2" s="1"/>
  <c r="CC10" i="2"/>
  <c r="CN21" i="2" s="1"/>
  <c r="CC9" i="2"/>
  <c r="CM21" i="2" s="1"/>
  <c r="CC8" i="2"/>
  <c r="CL21" i="2" s="1"/>
  <c r="CC7" i="2"/>
  <c r="CK21" i="2" s="1"/>
  <c r="CC6" i="2"/>
  <c r="CJ21" i="2" s="1"/>
  <c r="CC5" i="2"/>
  <c r="CI21" i="2" s="1"/>
  <c r="CC4" i="2"/>
  <c r="CH21" i="2" s="1"/>
  <c r="CC3" i="2"/>
  <c r="CG21" i="2" s="1"/>
  <c r="CC2" i="2"/>
  <c r="CF21" i="2" s="1"/>
  <c r="BB21" i="2"/>
  <c r="BA21" i="2"/>
  <c r="AA26" i="33" s="1"/>
  <c r="BC20" i="2"/>
  <c r="BC19" i="2"/>
  <c r="BC18" i="2"/>
  <c r="BA20" i="2"/>
  <c r="AA25" i="33" s="1"/>
  <c r="BA19" i="2"/>
  <c r="AA24" i="33" s="1"/>
  <c r="BA18" i="2"/>
  <c r="AA23" i="33" s="1"/>
  <c r="CA20" i="2"/>
  <c r="CA19" i="2"/>
  <c r="CA18" i="2"/>
  <c r="CA17" i="2"/>
  <c r="CA16" i="2"/>
  <c r="CA15" i="2"/>
  <c r="CA14" i="2"/>
  <c r="CA12" i="2"/>
  <c r="CA11" i="2"/>
  <c r="CA10" i="2"/>
  <c r="CA9" i="2"/>
  <c r="CA8" i="2"/>
  <c r="CA7" i="2"/>
  <c r="CA6" i="2"/>
  <c r="CA5" i="2"/>
  <c r="CA4" i="2"/>
  <c r="BZ20" i="2"/>
  <c r="BZ19" i="2"/>
  <c r="BZ18" i="2"/>
  <c r="BZ17" i="2"/>
  <c r="BZ16" i="2"/>
  <c r="BZ15" i="2"/>
  <c r="BZ14" i="2"/>
  <c r="BZ12" i="2"/>
  <c r="BZ11" i="2"/>
  <c r="BZ10" i="2"/>
  <c r="BZ9" i="2"/>
  <c r="BZ8" i="2"/>
  <c r="BZ7" i="2"/>
  <c r="BZ6" i="2"/>
  <c r="BZ5" i="2"/>
  <c r="BZ4" i="2"/>
  <c r="BY20" i="2"/>
  <c r="BY19" i="2"/>
  <c r="BY18" i="2"/>
  <c r="BY17" i="2"/>
  <c r="BY16" i="2"/>
  <c r="BY15" i="2"/>
  <c r="BY14" i="2"/>
  <c r="BY12" i="2"/>
  <c r="BY11" i="2"/>
  <c r="BY10" i="2"/>
  <c r="BY9" i="2"/>
  <c r="BY8" i="2"/>
  <c r="BY7" i="2"/>
  <c r="BY6" i="2"/>
  <c r="BY5" i="2"/>
  <c r="BY4" i="2"/>
  <c r="BX20" i="2"/>
  <c r="BX19" i="2"/>
  <c r="BX18" i="2"/>
  <c r="BX17" i="2"/>
  <c r="BX16" i="2"/>
  <c r="BX15" i="2"/>
  <c r="BX14" i="2"/>
  <c r="BX12" i="2"/>
  <c r="BX11" i="2"/>
  <c r="BX10" i="2"/>
  <c r="BX9" i="2"/>
  <c r="BX8" i="2"/>
  <c r="BX7" i="2"/>
  <c r="BX6" i="2"/>
  <c r="BX5" i="2"/>
  <c r="BX4" i="2"/>
  <c r="BX2" i="2"/>
  <c r="BW20" i="2"/>
  <c r="BW19" i="2"/>
  <c r="BW18" i="2"/>
  <c r="BW17" i="2"/>
  <c r="BW16" i="2"/>
  <c r="BW15" i="2"/>
  <c r="BW14" i="2"/>
  <c r="BW12" i="2"/>
  <c r="BW11" i="2"/>
  <c r="BW10" i="2"/>
  <c r="BW9" i="2"/>
  <c r="BW8" i="2"/>
  <c r="BW7" i="2"/>
  <c r="BW6" i="2"/>
  <c r="BW5" i="2"/>
  <c r="BW4" i="2"/>
  <c r="BV20" i="2"/>
  <c r="BV19" i="2"/>
  <c r="BV18" i="2"/>
  <c r="BV17" i="2"/>
  <c r="BV16" i="2"/>
  <c r="BV15" i="2"/>
  <c r="BV14" i="2"/>
  <c r="BV12" i="2"/>
  <c r="BV11" i="2"/>
  <c r="BV10" i="2"/>
  <c r="BV9" i="2"/>
  <c r="BV8" i="2"/>
  <c r="BV7" i="2"/>
  <c r="BV6" i="2"/>
  <c r="BV5" i="2"/>
  <c r="BV4" i="2"/>
  <c r="BU20" i="2"/>
  <c r="BU19" i="2"/>
  <c r="BU18" i="2"/>
  <c r="BU17" i="2"/>
  <c r="BU16" i="2"/>
  <c r="BU15" i="2"/>
  <c r="BU14" i="2"/>
  <c r="BU12" i="2"/>
  <c r="BU11" i="2"/>
  <c r="BU10" i="2"/>
  <c r="BU9" i="2"/>
  <c r="BU8" i="2"/>
  <c r="BU7" i="2"/>
  <c r="BU6" i="2"/>
  <c r="BU5" i="2"/>
  <c r="BU4" i="2"/>
  <c r="BT20" i="2"/>
  <c r="BT19" i="2"/>
  <c r="BT18" i="2"/>
  <c r="BT17" i="2"/>
  <c r="BT16" i="2"/>
  <c r="BT15" i="2"/>
  <c r="BT14" i="2"/>
  <c r="BT12" i="2"/>
  <c r="BT11" i="2"/>
  <c r="BT10" i="2"/>
  <c r="BT9" i="2"/>
  <c r="BT8" i="2"/>
  <c r="BT7" i="2"/>
  <c r="BT6" i="2"/>
  <c r="BT5" i="2"/>
  <c r="BT4" i="2"/>
  <c r="BS20" i="2"/>
  <c r="BS19" i="2"/>
  <c r="BS18" i="2"/>
  <c r="BS17" i="2"/>
  <c r="BS16" i="2"/>
  <c r="BS15" i="2"/>
  <c r="BS14" i="2"/>
  <c r="BS12" i="2"/>
  <c r="BS11" i="2"/>
  <c r="BS10" i="2"/>
  <c r="BS9" i="2"/>
  <c r="BS8" i="2"/>
  <c r="BS7" i="2"/>
  <c r="BS6" i="2"/>
  <c r="BS5" i="2"/>
  <c r="BS4" i="2"/>
  <c r="BR20" i="2"/>
  <c r="BR19" i="2"/>
  <c r="BR18" i="2"/>
  <c r="BR17" i="2"/>
  <c r="BR16" i="2"/>
  <c r="BR15" i="2"/>
  <c r="BR14" i="2"/>
  <c r="BR12" i="2"/>
  <c r="BR11" i="2"/>
  <c r="BR10" i="2"/>
  <c r="BR9" i="2"/>
  <c r="BR8" i="2"/>
  <c r="BR7" i="2"/>
  <c r="BR6" i="2"/>
  <c r="BR5" i="2"/>
  <c r="BR4" i="2"/>
  <c r="BQ20" i="2"/>
  <c r="BQ19" i="2"/>
  <c r="BQ18" i="2"/>
  <c r="BQ17" i="2"/>
  <c r="BQ16" i="2"/>
  <c r="BQ15" i="2"/>
  <c r="BQ14" i="2"/>
  <c r="BQ12" i="2"/>
  <c r="BQ11" i="2"/>
  <c r="BQ10" i="2"/>
  <c r="BQ9" i="2"/>
  <c r="BQ8" i="2"/>
  <c r="BQ7" i="2"/>
  <c r="BQ6" i="2"/>
  <c r="BQ5" i="2"/>
  <c r="BQ4" i="2"/>
  <c r="BP20" i="2"/>
  <c r="BP19" i="2"/>
  <c r="BP18" i="2"/>
  <c r="BP17" i="2"/>
  <c r="BP16" i="2"/>
  <c r="BP15" i="2"/>
  <c r="BP14" i="2"/>
  <c r="BP12" i="2"/>
  <c r="BP11" i="2"/>
  <c r="D25" i="2" s="1"/>
  <c r="BP10" i="2"/>
  <c r="BP9" i="2"/>
  <c r="BP8" i="2"/>
  <c r="BP7" i="2"/>
  <c r="BP6" i="2"/>
  <c r="BP5" i="2"/>
  <c r="BP4" i="2"/>
  <c r="BO20" i="2"/>
  <c r="BO19" i="2"/>
  <c r="BO18" i="2"/>
  <c r="BO17" i="2"/>
  <c r="BO16" i="2"/>
  <c r="BO15" i="2"/>
  <c r="BO14" i="2"/>
  <c r="BO12" i="2"/>
  <c r="BO11" i="2"/>
  <c r="BO10" i="2"/>
  <c r="BO9" i="2"/>
  <c r="BO8" i="2"/>
  <c r="BO7" i="2"/>
  <c r="BO6" i="2"/>
  <c r="BO5" i="2"/>
  <c r="BO4" i="2"/>
  <c r="BN20" i="2"/>
  <c r="BN19" i="2"/>
  <c r="BN18" i="2"/>
  <c r="BN17" i="2"/>
  <c r="BN16" i="2"/>
  <c r="BN15" i="2"/>
  <c r="BN14" i="2"/>
  <c r="BN12" i="2"/>
  <c r="BN11" i="2"/>
  <c r="BN10" i="2"/>
  <c r="BN9" i="2"/>
  <c r="BN8" i="2"/>
  <c r="BN7" i="2"/>
  <c r="BN6" i="2"/>
  <c r="BN5" i="2"/>
  <c r="BN4" i="2"/>
  <c r="BM20" i="2"/>
  <c r="BM19" i="2"/>
  <c r="BM18" i="2"/>
  <c r="BM17" i="2"/>
  <c r="BM16" i="2"/>
  <c r="BM15" i="2"/>
  <c r="BM14" i="2"/>
  <c r="BM12" i="2"/>
  <c r="BM11" i="2"/>
  <c r="BM10" i="2"/>
  <c r="BM9" i="2"/>
  <c r="BM8" i="2"/>
  <c r="BM7" i="2"/>
  <c r="BM6" i="2"/>
  <c r="BM5" i="2"/>
  <c r="BM4" i="2"/>
  <c r="BL20" i="2"/>
  <c r="BL19" i="2"/>
  <c r="BL18" i="2"/>
  <c r="BL17" i="2"/>
  <c r="BL16" i="2"/>
  <c r="BL15" i="2"/>
  <c r="BL14" i="2"/>
  <c r="BL12" i="2"/>
  <c r="BL11" i="2"/>
  <c r="BL10" i="2"/>
  <c r="BL9" i="2"/>
  <c r="BL8" i="2"/>
  <c r="BL7" i="2"/>
  <c r="BL6" i="2"/>
  <c r="BL5" i="2"/>
  <c r="BL4" i="2"/>
  <c r="BL3" i="2"/>
  <c r="BK20" i="2"/>
  <c r="BK19" i="2"/>
  <c r="BK18" i="2"/>
  <c r="BK17" i="2"/>
  <c r="BK16" i="2"/>
  <c r="BK15" i="2"/>
  <c r="BK14" i="2"/>
  <c r="BK12" i="2"/>
  <c r="BK11" i="2"/>
  <c r="BK10" i="2"/>
  <c r="BK9" i="2"/>
  <c r="BK8" i="2"/>
  <c r="BK7" i="2"/>
  <c r="BK6" i="2"/>
  <c r="BK5" i="2"/>
  <c r="BK4" i="2"/>
  <c r="BK3" i="2"/>
  <c r="BJ20" i="2"/>
  <c r="BJ19" i="2"/>
  <c r="BJ18" i="2"/>
  <c r="BJ17" i="2"/>
  <c r="BJ16" i="2"/>
  <c r="BJ15" i="2"/>
  <c r="BJ14" i="2"/>
  <c r="BJ12" i="2"/>
  <c r="BJ11" i="2"/>
  <c r="BJ10" i="2"/>
  <c r="BJ9" i="2"/>
  <c r="BJ8" i="2"/>
  <c r="BJ7" i="2"/>
  <c r="BJ6" i="2"/>
  <c r="BJ5" i="2"/>
  <c r="BJ4" i="2"/>
  <c r="BJ3" i="2"/>
  <c r="BI20" i="2"/>
  <c r="BI19" i="2"/>
  <c r="BI18" i="2"/>
  <c r="BI17" i="2"/>
  <c r="BI16" i="2"/>
  <c r="BI15" i="2"/>
  <c r="BI14" i="2"/>
  <c r="BI12" i="2"/>
  <c r="BI11" i="2"/>
  <c r="BI10" i="2"/>
  <c r="BI9" i="2"/>
  <c r="BI8" i="2"/>
  <c r="BI7" i="2"/>
  <c r="BI6" i="2"/>
  <c r="BI5" i="2"/>
  <c r="BI4" i="2"/>
  <c r="BI3" i="2"/>
  <c r="BH20" i="2"/>
  <c r="BH19" i="2"/>
  <c r="BH18" i="2"/>
  <c r="CA21" i="2" s="1"/>
  <c r="BH17" i="2"/>
  <c r="BZ21" i="2" s="1"/>
  <c r="BH16" i="2"/>
  <c r="BY21" i="2" s="1"/>
  <c r="BH15" i="2"/>
  <c r="BH14" i="2"/>
  <c r="BW21" i="2" s="1"/>
  <c r="BH12" i="2"/>
  <c r="BU21" i="2" s="1"/>
  <c r="BH11" i="2"/>
  <c r="BT21" i="2" s="1"/>
  <c r="BH10" i="2"/>
  <c r="BS21" i="2" s="1"/>
  <c r="BH9" i="2"/>
  <c r="BR21" i="2" s="1"/>
  <c r="BH8" i="2"/>
  <c r="BQ21" i="2" s="1"/>
  <c r="BH7" i="2"/>
  <c r="BP21" i="2" s="1"/>
  <c r="BH6" i="2"/>
  <c r="BO21" i="2" s="1"/>
  <c r="BH5" i="2"/>
  <c r="BN21" i="2" s="1"/>
  <c r="BH4" i="2"/>
  <c r="BM21" i="2" s="1"/>
  <c r="BH3" i="2"/>
  <c r="BL21" i="2" s="1"/>
  <c r="BJ2" i="2"/>
  <c r="BA17" i="2"/>
  <c r="AA22" i="33" s="1"/>
  <c r="BA15" i="2"/>
  <c r="AA20" i="33" s="1"/>
  <c r="BI21" i="2"/>
  <c r="BH21" i="2"/>
  <c r="CA13" i="2"/>
  <c r="BZ13" i="2"/>
  <c r="BY13" i="2"/>
  <c r="BX13" i="2"/>
  <c r="BW13" i="2"/>
  <c r="BV13" i="2"/>
  <c r="BU13" i="2"/>
  <c r="BT13" i="2"/>
  <c r="BS13" i="2"/>
  <c r="BR13" i="2"/>
  <c r="BQ13" i="2"/>
  <c r="BP13" i="2"/>
  <c r="BO13" i="2"/>
  <c r="BN13" i="2"/>
  <c r="BM13" i="2"/>
  <c r="BL13" i="2"/>
  <c r="BK13" i="2"/>
  <c r="BJ13" i="2"/>
  <c r="BI13" i="2"/>
  <c r="BH13" i="2"/>
  <c r="BV21" i="2" s="1"/>
  <c r="CA2" i="2"/>
  <c r="BZ2" i="2"/>
  <c r="BY2" i="2"/>
  <c r="BW2" i="2"/>
  <c r="BV2" i="2"/>
  <c r="BU2" i="2"/>
  <c r="BT2" i="2"/>
  <c r="BS2" i="2"/>
  <c r="BR2" i="2"/>
  <c r="BQ2" i="2"/>
  <c r="BP2" i="2"/>
  <c r="BO2" i="2"/>
  <c r="BN2" i="2"/>
  <c r="BM2" i="2"/>
  <c r="BL2" i="2"/>
  <c r="BK2" i="2"/>
  <c r="BI2" i="2"/>
  <c r="BE21" i="2"/>
  <c r="AL26" i="33" s="1"/>
  <c r="I11" i="32" s="1"/>
  <c r="BE20" i="2"/>
  <c r="AL25" i="33" s="1"/>
  <c r="BD21" i="2"/>
  <c r="BD20" i="2"/>
  <c r="BD19" i="2"/>
  <c r="BD18" i="2"/>
  <c r="BC21" i="2"/>
  <c r="BA16" i="2"/>
  <c r="K24" i="17" s="1"/>
  <c r="BA14" i="2"/>
  <c r="D17" i="16" s="1"/>
  <c r="BA13" i="2"/>
  <c r="D16" i="16" s="1"/>
  <c r="BA12" i="2"/>
  <c r="O20" i="13" s="1"/>
  <c r="BA11" i="2"/>
  <c r="D14" i="16" s="1"/>
  <c r="BA10" i="2"/>
  <c r="D13" i="16" s="1"/>
  <c r="BA9" i="2"/>
  <c r="K17" i="17" s="1"/>
  <c r="BA8" i="2"/>
  <c r="BA7" i="2"/>
  <c r="K15" i="17" s="1"/>
  <c r="BA6" i="2"/>
  <c r="O14" i="13" s="1"/>
  <c r="BA5" i="2"/>
  <c r="D8" i="16" s="1"/>
  <c r="BA4" i="2"/>
  <c r="D7" i="16" s="1"/>
  <c r="BA3" i="2"/>
  <c r="BA2" i="2"/>
  <c r="D5" i="16" s="1"/>
  <c r="AZ21" i="2"/>
  <c r="Y26" i="33" s="1"/>
  <c r="AZ20" i="2"/>
  <c r="Y25" i="33" s="1"/>
  <c r="AZ19" i="2"/>
  <c r="Y24" i="33" s="1"/>
  <c r="AZ18" i="2"/>
  <c r="S26" i="13" s="1"/>
  <c r="AY21" i="2"/>
  <c r="AY20" i="2"/>
  <c r="X25" i="33" s="1"/>
  <c r="AY19" i="2"/>
  <c r="X24" i="33" s="1"/>
  <c r="AY18" i="2"/>
  <c r="CT13" i="2"/>
  <c r="CS41" i="2"/>
  <c r="CS40" i="2"/>
  <c r="CS39" i="2"/>
  <c r="CS38" i="2"/>
  <c r="CS37" i="2"/>
  <c r="CS36" i="2"/>
  <c r="CS35" i="2"/>
  <c r="CS34" i="2"/>
  <c r="CS33" i="2"/>
  <c r="CS32" i="2"/>
  <c r="CS31" i="2"/>
  <c r="CS30" i="2"/>
  <c r="CS29" i="2"/>
  <c r="CS28" i="2"/>
  <c r="CS27" i="2"/>
  <c r="CS26" i="2"/>
  <c r="CS25" i="2"/>
  <c r="CS24" i="2"/>
  <c r="CS23" i="2"/>
  <c r="CR41" i="2"/>
  <c r="CR40" i="2"/>
  <c r="CR39" i="2"/>
  <c r="CR38" i="2"/>
  <c r="CR37" i="2"/>
  <c r="CR36" i="2"/>
  <c r="CR35" i="2"/>
  <c r="CR34" i="2"/>
  <c r="CR33" i="2"/>
  <c r="CR32" i="2"/>
  <c r="CR31" i="2"/>
  <c r="CR30" i="2"/>
  <c r="CR29" i="2"/>
  <c r="CR28" i="2"/>
  <c r="CR27" i="2"/>
  <c r="CR26" i="2"/>
  <c r="CR25" i="2"/>
  <c r="CR24" i="2"/>
  <c r="CR23" i="2"/>
  <c r="CP41" i="2"/>
  <c r="CP40" i="2"/>
  <c r="CP39" i="2"/>
  <c r="CP38" i="2"/>
  <c r="CP37" i="2"/>
  <c r="CP36" i="2"/>
  <c r="CP35" i="2"/>
  <c r="CP34" i="2"/>
  <c r="CP33" i="2"/>
  <c r="CP32" i="2"/>
  <c r="CP31" i="2"/>
  <c r="CP30" i="2"/>
  <c r="CP29" i="2"/>
  <c r="CP28" i="2"/>
  <c r="CP27" i="2"/>
  <c r="CP26" i="2"/>
  <c r="CP25" i="2"/>
  <c r="CP24" i="2"/>
  <c r="CP23" i="2"/>
  <c r="CO41" i="2"/>
  <c r="CO40" i="2"/>
  <c r="CO39" i="2"/>
  <c r="CO38" i="2"/>
  <c r="CO37" i="2"/>
  <c r="CO36" i="2"/>
  <c r="CO35" i="2"/>
  <c r="CO34" i="2"/>
  <c r="CO33" i="2"/>
  <c r="CO32" i="2"/>
  <c r="CO31" i="2"/>
  <c r="CO30" i="2"/>
  <c r="CO29" i="2"/>
  <c r="CO28" i="2"/>
  <c r="CO27" i="2"/>
  <c r="CO26" i="2"/>
  <c r="CO25" i="2"/>
  <c r="CO24" i="2"/>
  <c r="CO23" i="2"/>
  <c r="CM41" i="2"/>
  <c r="CM40" i="2"/>
  <c r="CM39" i="2"/>
  <c r="CM38" i="2"/>
  <c r="CM37" i="2"/>
  <c r="CM36" i="2"/>
  <c r="CM35" i="2"/>
  <c r="CM34" i="2"/>
  <c r="CM33" i="2"/>
  <c r="CM32" i="2"/>
  <c r="CM31" i="2"/>
  <c r="CM30" i="2"/>
  <c r="CM29" i="2"/>
  <c r="CM28" i="2"/>
  <c r="CM27" i="2"/>
  <c r="CM26" i="2"/>
  <c r="CM25" i="2"/>
  <c r="CM24" i="2"/>
  <c r="CL41" i="2"/>
  <c r="CL40" i="2"/>
  <c r="CL39" i="2"/>
  <c r="CL38" i="2"/>
  <c r="CL37" i="2"/>
  <c r="CL36" i="2"/>
  <c r="CL35" i="2"/>
  <c r="CL34" i="2"/>
  <c r="CL33" i="2"/>
  <c r="CL32" i="2"/>
  <c r="CL31" i="2"/>
  <c r="CL30" i="2"/>
  <c r="CL29" i="2"/>
  <c r="CL28" i="2"/>
  <c r="CL27" i="2"/>
  <c r="CL26" i="2"/>
  <c r="CQ41" i="2"/>
  <c r="CQ40" i="2"/>
  <c r="CQ39" i="2"/>
  <c r="CQ31" i="2"/>
  <c r="CT41" i="2"/>
  <c r="CT40" i="2"/>
  <c r="CT39" i="2"/>
  <c r="CT37" i="2"/>
  <c r="CT25" i="2"/>
  <c r="CQ25" i="2"/>
  <c r="CN41" i="2"/>
  <c r="CN40" i="2"/>
  <c r="CN39" i="2"/>
  <c r="CH41" i="2"/>
  <c r="CH40" i="2"/>
  <c r="CH39" i="2"/>
  <c r="CH25" i="2"/>
  <c r="CK41" i="2"/>
  <c r="CK40" i="2"/>
  <c r="CK39" i="2"/>
  <c r="CK37" i="2"/>
  <c r="CK32" i="2"/>
  <c r="DH38" i="2"/>
  <c r="DH36" i="2"/>
  <c r="DH35" i="2"/>
  <c r="DH41" i="2"/>
  <c r="DH40" i="2"/>
  <c r="DH39" i="2"/>
  <c r="CM23" i="2"/>
  <c r="CL25" i="2"/>
  <c r="CL24" i="2"/>
  <c r="CL23" i="2"/>
  <c r="CJ41" i="2"/>
  <c r="CJ40" i="2"/>
  <c r="CJ39" i="2"/>
  <c r="CJ38" i="2"/>
  <c r="CJ37" i="2"/>
  <c r="CJ36" i="2"/>
  <c r="CJ35" i="2"/>
  <c r="CJ34" i="2"/>
  <c r="CJ33" i="2"/>
  <c r="CJ32" i="2"/>
  <c r="CJ31" i="2"/>
  <c r="CJ30" i="2"/>
  <c r="CJ29" i="2"/>
  <c r="CJ28" i="2"/>
  <c r="CJ27" i="2"/>
  <c r="CJ26" i="2"/>
  <c r="CJ25" i="2"/>
  <c r="CJ24" i="2"/>
  <c r="CJ23" i="2"/>
  <c r="CI41" i="2"/>
  <c r="CI40" i="2"/>
  <c r="CI39" i="2"/>
  <c r="CI38" i="2"/>
  <c r="CI37" i="2"/>
  <c r="CI36" i="2"/>
  <c r="CI35" i="2"/>
  <c r="CI34" i="2"/>
  <c r="CI33" i="2"/>
  <c r="CI32" i="2"/>
  <c r="CI31" i="2"/>
  <c r="CI30" i="2"/>
  <c r="CI29" i="2"/>
  <c r="CI28" i="2"/>
  <c r="CI27" i="2"/>
  <c r="CI26" i="2"/>
  <c r="CI25" i="2"/>
  <c r="CI24" i="2"/>
  <c r="CI23" i="2"/>
  <c r="CG41" i="2"/>
  <c r="CG40" i="2"/>
  <c r="CG39" i="2"/>
  <c r="CG38" i="2"/>
  <c r="CG37" i="2"/>
  <c r="CG36" i="2"/>
  <c r="CG35" i="2"/>
  <c r="CG34" i="2"/>
  <c r="CG33" i="2"/>
  <c r="CG32" i="2"/>
  <c r="CG31" i="2"/>
  <c r="CG30" i="2"/>
  <c r="CG29" i="2"/>
  <c r="CG28" i="2"/>
  <c r="CG27" i="2"/>
  <c r="CG26" i="2"/>
  <c r="CG25" i="2"/>
  <c r="CG24" i="2"/>
  <c r="CG23" i="2"/>
  <c r="CF41" i="2"/>
  <c r="CF40" i="2"/>
  <c r="CF39" i="2"/>
  <c r="CF38" i="2"/>
  <c r="CF37" i="2"/>
  <c r="CF36" i="2"/>
  <c r="CF35" i="2"/>
  <c r="CF34" i="2"/>
  <c r="CF33" i="2"/>
  <c r="CF32" i="2"/>
  <c r="CF31" i="2"/>
  <c r="CF30" i="2"/>
  <c r="CF29" i="2"/>
  <c r="CF28" i="2"/>
  <c r="CF27" i="2"/>
  <c r="CF26" i="2"/>
  <c r="CB41" i="2"/>
  <c r="CB40" i="2"/>
  <c r="CB39" i="2"/>
  <c r="BY41" i="2"/>
  <c r="BY40" i="2"/>
  <c r="BY39" i="2"/>
  <c r="BW23" i="2"/>
  <c r="CF24" i="2"/>
  <c r="CF23" i="2"/>
  <c r="CE41" i="2"/>
  <c r="CE40" i="2"/>
  <c r="CE39" i="2"/>
  <c r="CD41" i="2"/>
  <c r="CD40" i="2"/>
  <c r="CD39" i="2"/>
  <c r="CD38" i="2"/>
  <c r="CD37" i="2"/>
  <c r="CD36" i="2"/>
  <c r="CD35" i="2"/>
  <c r="CD34" i="2"/>
  <c r="CD33" i="2"/>
  <c r="CD32" i="2"/>
  <c r="CD31" i="2"/>
  <c r="CD30" i="2"/>
  <c r="CD29" i="2"/>
  <c r="CD28" i="2"/>
  <c r="CD27" i="2"/>
  <c r="CD26" i="2"/>
  <c r="CD25" i="2"/>
  <c r="CD24" i="2"/>
  <c r="CD23" i="2"/>
  <c r="CC41" i="2"/>
  <c r="CC40" i="2"/>
  <c r="CC39" i="2"/>
  <c r="CC38" i="2"/>
  <c r="CC37" i="2"/>
  <c r="CC36" i="2"/>
  <c r="CC35" i="2"/>
  <c r="CC34" i="2"/>
  <c r="CC33" i="2"/>
  <c r="CC32" i="2"/>
  <c r="CC31" i="2"/>
  <c r="CC30" i="2"/>
  <c r="CC29" i="2"/>
  <c r="CC28" i="2"/>
  <c r="CC27" i="2"/>
  <c r="CC26" i="2"/>
  <c r="CC25" i="2"/>
  <c r="CC24" i="2"/>
  <c r="CC23" i="2"/>
  <c r="CA41" i="2"/>
  <c r="CA40" i="2"/>
  <c r="CA39" i="2"/>
  <c r="CA38" i="2"/>
  <c r="CA37" i="2"/>
  <c r="CA36" i="2"/>
  <c r="CA35" i="2"/>
  <c r="CA34" i="2"/>
  <c r="CA33" i="2"/>
  <c r="CA32" i="2"/>
  <c r="CA31" i="2"/>
  <c r="CA30" i="2"/>
  <c r="CA29" i="2"/>
  <c r="CA28" i="2"/>
  <c r="CA27" i="2"/>
  <c r="CA26" i="2"/>
  <c r="CA25" i="2"/>
  <c r="CA24" i="2"/>
  <c r="CA23" i="2"/>
  <c r="BZ41" i="2"/>
  <c r="BZ40" i="2"/>
  <c r="BZ39" i="2"/>
  <c r="BZ38" i="2"/>
  <c r="BZ37" i="2"/>
  <c r="BZ36" i="2"/>
  <c r="BZ35" i="2"/>
  <c r="BZ34" i="2"/>
  <c r="BZ33" i="2"/>
  <c r="BZ32" i="2"/>
  <c r="BZ31" i="2"/>
  <c r="BZ30" i="2"/>
  <c r="BZ29" i="2"/>
  <c r="BZ28" i="2"/>
  <c r="BZ27" i="2"/>
  <c r="BZ26" i="2"/>
  <c r="BZ25" i="2"/>
  <c r="BZ24" i="2"/>
  <c r="BZ23" i="2"/>
  <c r="BX41" i="2"/>
  <c r="BX40" i="2"/>
  <c r="BX39" i="2"/>
  <c r="BX38" i="2"/>
  <c r="BX37" i="2"/>
  <c r="BX36" i="2"/>
  <c r="BX35" i="2"/>
  <c r="BX34" i="2"/>
  <c r="BX33" i="2"/>
  <c r="BX32" i="2"/>
  <c r="BX31" i="2"/>
  <c r="BX30" i="2"/>
  <c r="BX29" i="2"/>
  <c r="BX28" i="2"/>
  <c r="BX27" i="2"/>
  <c r="BX26" i="2"/>
  <c r="BX25" i="2"/>
  <c r="BX24" i="2"/>
  <c r="BX23" i="2"/>
  <c r="BW41" i="2"/>
  <c r="BW40" i="2"/>
  <c r="BW39" i="2"/>
  <c r="BW38" i="2"/>
  <c r="BW37" i="2"/>
  <c r="BW36" i="2"/>
  <c r="BW35" i="2"/>
  <c r="BW34" i="2"/>
  <c r="BW33" i="2"/>
  <c r="BW32" i="2"/>
  <c r="BW31" i="2"/>
  <c r="BW30" i="2"/>
  <c r="BW29" i="2"/>
  <c r="BW28" i="2"/>
  <c r="BW27" i="2"/>
  <c r="BW26" i="2"/>
  <c r="BW25" i="2"/>
  <c r="BW24" i="2"/>
  <c r="BT41" i="2"/>
  <c r="BT40" i="2"/>
  <c r="BT39" i="2"/>
  <c r="BT38" i="2"/>
  <c r="BT37" i="2"/>
  <c r="BT36" i="2"/>
  <c r="BT35" i="2"/>
  <c r="BT34" i="2"/>
  <c r="BT33" i="2"/>
  <c r="BT32" i="2"/>
  <c r="BT31" i="2"/>
  <c r="BT30" i="2"/>
  <c r="BT29" i="2"/>
  <c r="BT28" i="2"/>
  <c r="BT27" i="2"/>
  <c r="BT26" i="2"/>
  <c r="BT25" i="2"/>
  <c r="BU41" i="2"/>
  <c r="BU40" i="2"/>
  <c r="BU39" i="2"/>
  <c r="BU38" i="2"/>
  <c r="BU37" i="2"/>
  <c r="BU36" i="2"/>
  <c r="BU35" i="2"/>
  <c r="BU34" i="2"/>
  <c r="BU33" i="2"/>
  <c r="BU32" i="2"/>
  <c r="BU31" i="2"/>
  <c r="BU30" i="2"/>
  <c r="BU29" i="2"/>
  <c r="BU28" i="2"/>
  <c r="BU27" i="2"/>
  <c r="BU26" i="2"/>
  <c r="BU25" i="2"/>
  <c r="BU24" i="2"/>
  <c r="BU23" i="2"/>
  <c r="BV41" i="2"/>
  <c r="BV40" i="2"/>
  <c r="BV39" i="2"/>
  <c r="BM41" i="2"/>
  <c r="BM40" i="2"/>
  <c r="BM39" i="2"/>
  <c r="BP41" i="2"/>
  <c r="BP40" i="2"/>
  <c r="BP39" i="2"/>
  <c r="BS41" i="2"/>
  <c r="BS40" i="2"/>
  <c r="BS39" i="2"/>
  <c r="BT23" i="2"/>
  <c r="BT24" i="2"/>
  <c r="BR41" i="2"/>
  <c r="BR40" i="2"/>
  <c r="BR39" i="2"/>
  <c r="BR38" i="2"/>
  <c r="BR37" i="2"/>
  <c r="BR36" i="2"/>
  <c r="BR35" i="2"/>
  <c r="BR34" i="2"/>
  <c r="BR33" i="2"/>
  <c r="BR32" i="2"/>
  <c r="BR31" i="2"/>
  <c r="BR30" i="2"/>
  <c r="BR29" i="2"/>
  <c r="BR28" i="2"/>
  <c r="BR27" i="2"/>
  <c r="BR26" i="2"/>
  <c r="BR25" i="2"/>
  <c r="BR24" i="2"/>
  <c r="BR23" i="2"/>
  <c r="BQ41" i="2"/>
  <c r="BQ40" i="2"/>
  <c r="BQ39" i="2"/>
  <c r="BQ38" i="2"/>
  <c r="BQ37" i="2"/>
  <c r="BQ36" i="2"/>
  <c r="BQ35" i="2"/>
  <c r="BQ34" i="2"/>
  <c r="BQ33" i="2"/>
  <c r="BQ32" i="2"/>
  <c r="BQ31" i="2"/>
  <c r="BQ30" i="2"/>
  <c r="BQ29" i="2"/>
  <c r="BQ28" i="2"/>
  <c r="BQ27" i="2"/>
  <c r="BQ26" i="2"/>
  <c r="BQ25" i="2"/>
  <c r="BQ24" i="2"/>
  <c r="BQ23" i="2"/>
  <c r="BO23" i="2"/>
  <c r="BO41" i="2"/>
  <c r="BO40" i="2"/>
  <c r="BO39" i="2"/>
  <c r="BO38" i="2"/>
  <c r="BO37" i="2"/>
  <c r="BO36" i="2"/>
  <c r="BO35" i="2"/>
  <c r="BO34" i="2"/>
  <c r="BO33" i="2"/>
  <c r="BO32" i="2"/>
  <c r="BO31" i="2"/>
  <c r="BO30" i="2"/>
  <c r="BO29" i="2"/>
  <c r="BO28" i="2"/>
  <c r="BO27" i="2"/>
  <c r="BO26" i="2"/>
  <c r="BO25" i="2"/>
  <c r="BO24" i="2"/>
  <c r="BN41" i="2"/>
  <c r="BN40" i="2"/>
  <c r="BN39" i="2"/>
  <c r="BN38" i="2"/>
  <c r="BN37" i="2"/>
  <c r="BN36" i="2"/>
  <c r="BN35" i="2"/>
  <c r="BN34" i="2"/>
  <c r="BN33" i="2"/>
  <c r="BN32" i="2"/>
  <c r="BN31" i="2"/>
  <c r="BN30" i="2"/>
  <c r="BN29" i="2"/>
  <c r="BN28" i="2"/>
  <c r="BN27" i="2"/>
  <c r="BN26" i="2"/>
  <c r="BN25" i="2"/>
  <c r="BN24" i="2"/>
  <c r="BN23" i="2"/>
  <c r="BL41" i="2"/>
  <c r="BL40" i="2"/>
  <c r="BL39" i="2"/>
  <c r="BL38" i="2"/>
  <c r="BL37" i="2"/>
  <c r="BL36" i="2"/>
  <c r="BL35" i="2"/>
  <c r="BL34" i="2"/>
  <c r="BL33" i="2"/>
  <c r="BL32" i="2"/>
  <c r="BL31" i="2"/>
  <c r="BL30" i="2"/>
  <c r="BL29" i="2"/>
  <c r="BL28" i="2"/>
  <c r="BL27" i="2"/>
  <c r="BL26" i="2"/>
  <c r="BL25" i="2"/>
  <c r="BL24" i="2"/>
  <c r="BL23" i="2"/>
  <c r="BK41" i="2"/>
  <c r="BK40" i="2"/>
  <c r="BK39" i="2"/>
  <c r="BK38" i="2"/>
  <c r="BK37" i="2"/>
  <c r="BK36" i="2"/>
  <c r="BK35" i="2"/>
  <c r="BK34" i="2"/>
  <c r="BK33" i="2"/>
  <c r="BK32" i="2"/>
  <c r="BK31" i="2"/>
  <c r="BK30" i="2"/>
  <c r="BK29" i="2"/>
  <c r="BK28" i="2"/>
  <c r="BK27" i="2"/>
  <c r="BK26" i="2"/>
  <c r="BK25" i="2"/>
  <c r="BK24" i="2"/>
  <c r="BK23" i="2"/>
  <c r="BJ41" i="2"/>
  <c r="BJ40" i="2"/>
  <c r="BJ39" i="2"/>
  <c r="BJ37" i="2"/>
  <c r="BI41" i="2"/>
  <c r="BI40" i="2"/>
  <c r="BI39" i="2"/>
  <c r="BI38" i="2"/>
  <c r="BI37" i="2"/>
  <c r="BI36" i="2"/>
  <c r="BI35" i="2"/>
  <c r="BI34" i="2"/>
  <c r="BI33" i="2"/>
  <c r="BI32" i="2"/>
  <c r="BI31" i="2"/>
  <c r="BI30" i="2"/>
  <c r="BI29" i="2"/>
  <c r="BI28" i="2"/>
  <c r="BI27" i="2"/>
  <c r="BI26" i="2"/>
  <c r="BI25" i="2"/>
  <c r="BI24" i="2"/>
  <c r="BI23" i="2"/>
  <c r="BH41" i="2"/>
  <c r="BH40" i="2"/>
  <c r="BH39" i="2"/>
  <c r="BH38" i="2"/>
  <c r="BH37" i="2"/>
  <c r="BH36" i="2"/>
  <c r="BH35" i="2"/>
  <c r="BH34" i="2"/>
  <c r="BH33" i="2"/>
  <c r="BH32" i="2"/>
  <c r="BH31" i="2"/>
  <c r="BH30" i="2"/>
  <c r="BH29" i="2"/>
  <c r="BH28" i="2"/>
  <c r="BH27" i="2"/>
  <c r="BH26" i="2"/>
  <c r="BH25" i="2"/>
  <c r="BH24" i="2"/>
  <c r="BH23" i="2"/>
  <c r="BC23" i="2"/>
  <c r="BF24" i="2"/>
  <c r="BF23" i="2"/>
  <c r="BE24" i="2"/>
  <c r="BE23" i="2"/>
  <c r="BC24" i="2"/>
  <c r="BG41" i="2"/>
  <c r="BG40" i="2"/>
  <c r="BG39" i="2"/>
  <c r="BF41" i="2"/>
  <c r="BF40" i="2"/>
  <c r="BF39" i="2"/>
  <c r="BF38" i="2"/>
  <c r="BF37" i="2"/>
  <c r="BF36" i="2"/>
  <c r="BF35" i="2"/>
  <c r="BF34" i="2"/>
  <c r="BF33" i="2"/>
  <c r="BF32" i="2"/>
  <c r="BF31" i="2"/>
  <c r="BF30" i="2"/>
  <c r="BF29" i="2"/>
  <c r="BF28" i="2"/>
  <c r="BF27" i="2"/>
  <c r="BF26" i="2"/>
  <c r="BF25" i="2"/>
  <c r="BE41" i="2"/>
  <c r="BE40" i="2"/>
  <c r="BE39" i="2"/>
  <c r="BE38" i="2"/>
  <c r="BE37" i="2"/>
  <c r="BE36" i="2"/>
  <c r="BE35" i="2"/>
  <c r="BE34" i="2"/>
  <c r="BE33" i="2"/>
  <c r="BE32" i="2"/>
  <c r="BE31" i="2"/>
  <c r="BE30" i="2"/>
  <c r="BE29" i="2"/>
  <c r="BE28" i="2"/>
  <c r="BE27" i="2"/>
  <c r="BE26" i="2"/>
  <c r="BE25" i="2"/>
  <c r="BD41" i="2"/>
  <c r="BD40" i="2"/>
  <c r="BD39" i="2"/>
  <c r="BD26" i="2"/>
  <c r="BC41" i="2"/>
  <c r="BC40" i="2"/>
  <c r="BC39" i="2"/>
  <c r="BC38" i="2"/>
  <c r="BC37" i="2"/>
  <c r="BC36" i="2"/>
  <c r="BC35" i="2"/>
  <c r="BC34" i="2"/>
  <c r="BC33" i="2"/>
  <c r="BC32" i="2"/>
  <c r="BC31" i="2"/>
  <c r="BC30" i="2"/>
  <c r="BC29" i="2"/>
  <c r="BC28" i="2"/>
  <c r="BC27" i="2"/>
  <c r="BC26" i="2"/>
  <c r="BC25" i="2"/>
  <c r="BB41" i="2"/>
  <c r="BB40" i="2"/>
  <c r="BB39" i="2"/>
  <c r="BB38" i="2"/>
  <c r="BB37" i="2"/>
  <c r="BB36" i="2"/>
  <c r="BB35" i="2"/>
  <c r="BB34" i="2"/>
  <c r="BB33" i="2"/>
  <c r="BB32" i="2"/>
  <c r="BB31" i="2"/>
  <c r="BB30" i="2"/>
  <c r="BB29" i="2"/>
  <c r="BB28" i="2"/>
  <c r="BB27" i="2"/>
  <c r="BB26" i="2"/>
  <c r="BB25" i="2"/>
  <c r="BB24" i="2"/>
  <c r="BB23" i="2"/>
  <c r="BA41" i="2"/>
  <c r="BA40" i="2"/>
  <c r="BA39" i="2"/>
  <c r="BA34" i="2"/>
  <c r="BA26" i="2"/>
  <c r="BA24" i="2"/>
  <c r="AZ41" i="2"/>
  <c r="AZ40" i="2"/>
  <c r="AZ39" i="2"/>
  <c r="AZ38" i="2"/>
  <c r="AZ37" i="2"/>
  <c r="AZ36" i="2"/>
  <c r="AZ35" i="2"/>
  <c r="AZ34" i="2"/>
  <c r="AZ33" i="2"/>
  <c r="AZ32" i="2"/>
  <c r="AZ31" i="2"/>
  <c r="AZ30" i="2"/>
  <c r="AZ29" i="2"/>
  <c r="AZ28" i="2"/>
  <c r="AZ27" i="2"/>
  <c r="AZ26" i="2"/>
  <c r="AZ25" i="2"/>
  <c r="AZ24" i="2"/>
  <c r="AZ23" i="2"/>
  <c r="AY41" i="2"/>
  <c r="AY40" i="2"/>
  <c r="AY39" i="2"/>
  <c r="AY38" i="2"/>
  <c r="AY37" i="2"/>
  <c r="AY36" i="2"/>
  <c r="AY35" i="2"/>
  <c r="AY34" i="2"/>
  <c r="AY33" i="2"/>
  <c r="AY32" i="2"/>
  <c r="AY31" i="2"/>
  <c r="AY30" i="2"/>
  <c r="AY29" i="2"/>
  <c r="AY28" i="2"/>
  <c r="AY27" i="2"/>
  <c r="AY26" i="2"/>
  <c r="AY25" i="2"/>
  <c r="AY24" i="2"/>
  <c r="E827" i="23"/>
  <c r="AA824" i="23"/>
  <c r="T824" i="23"/>
  <c r="O824" i="23"/>
  <c r="I824" i="23"/>
  <c r="H824" i="23"/>
  <c r="B824" i="23"/>
  <c r="AA823" i="23"/>
  <c r="BF21" i="2" s="1"/>
  <c r="Z823" i="23"/>
  <c r="H823" i="23"/>
  <c r="E787" i="23"/>
  <c r="AA784" i="23"/>
  <c r="T784" i="23"/>
  <c r="O784" i="23"/>
  <c r="I784" i="23"/>
  <c r="H784" i="23"/>
  <c r="B784" i="23"/>
  <c r="AA783" i="23"/>
  <c r="BF20" i="2" s="1"/>
  <c r="Z783" i="23"/>
  <c r="BB20" i="2" s="1"/>
  <c r="H783" i="23"/>
  <c r="E747" i="23"/>
  <c r="BE19" i="2" s="1"/>
  <c r="AL24" i="33" s="1"/>
  <c r="AA744" i="23"/>
  <c r="T744" i="23"/>
  <c r="O744" i="23"/>
  <c r="I744" i="23"/>
  <c r="H744" i="23"/>
  <c r="B744" i="23"/>
  <c r="AA743" i="23"/>
  <c r="BF19" i="2" s="1"/>
  <c r="Z743" i="23"/>
  <c r="BB19" i="2" s="1"/>
  <c r="H743" i="23"/>
  <c r="E707" i="23"/>
  <c r="BE18" i="2" s="1"/>
  <c r="AL23" i="33" s="1"/>
  <c r="AA704" i="23"/>
  <c r="T704" i="23"/>
  <c r="O704" i="23"/>
  <c r="I704" i="23"/>
  <c r="H704" i="23"/>
  <c r="B704" i="23"/>
  <c r="AA703" i="23"/>
  <c r="BF18" i="2" s="1"/>
  <c r="Z703" i="23"/>
  <c r="BB18" i="2" s="1"/>
  <c r="H703" i="23"/>
  <c r="GI17" i="2"/>
  <c r="GH17" i="2"/>
  <c r="GG17" i="2"/>
  <c r="GF17" i="2"/>
  <c r="GE17" i="2"/>
  <c r="GK17" i="2"/>
  <c r="U25" i="17" s="1"/>
  <c r="U665" i="23"/>
  <c r="T663" i="23"/>
  <c r="A663" i="23"/>
  <c r="Z663" i="23"/>
  <c r="BB17" i="2" s="1"/>
  <c r="E663" i="23"/>
  <c r="BD17" i="2"/>
  <c r="L20" i="16" s="1"/>
  <c r="BC17" i="2"/>
  <c r="J20" i="16" s="1"/>
  <c r="AY17" i="2"/>
  <c r="C19" i="35" s="1"/>
  <c r="GI16" i="2"/>
  <c r="GH16" i="2"/>
  <c r="GG16" i="2"/>
  <c r="GF16" i="2"/>
  <c r="GE16" i="2"/>
  <c r="GD16" i="2"/>
  <c r="S24" i="17" s="1"/>
  <c r="GK16" i="2"/>
  <c r="U24" i="17" s="1"/>
  <c r="U625" i="23"/>
  <c r="Y624" i="23"/>
  <c r="T623" i="23"/>
  <c r="A623" i="23"/>
  <c r="Z623" i="23"/>
  <c r="BB16" i="2" s="1"/>
  <c r="BD16" i="2"/>
  <c r="L19" i="16" s="1"/>
  <c r="BC16" i="2"/>
  <c r="J19" i="16" s="1"/>
  <c r="GI15" i="2"/>
  <c r="GH15" i="2"/>
  <c r="GG15" i="2"/>
  <c r="GF15" i="2"/>
  <c r="GE15" i="2"/>
  <c r="GD15" i="2"/>
  <c r="S23" i="17" s="1"/>
  <c r="GK15" i="2"/>
  <c r="U23" i="17" s="1"/>
  <c r="U585" i="23"/>
  <c r="Y584" i="23"/>
  <c r="T583" i="23"/>
  <c r="A583" i="23"/>
  <c r="Z583" i="23"/>
  <c r="BB15" i="2" s="1"/>
  <c r="BD15" i="2"/>
  <c r="L18" i="16" s="1"/>
  <c r="BC15" i="2"/>
  <c r="J18" i="16" s="1"/>
  <c r="AY15" i="2"/>
  <c r="E547" i="23"/>
  <c r="BE14" i="2" s="1"/>
  <c r="GI14" i="2"/>
  <c r="GH14" i="2"/>
  <c r="GG14" i="2"/>
  <c r="GF14" i="2"/>
  <c r="GE14" i="2"/>
  <c r="GD14" i="2"/>
  <c r="S22" i="17" s="1"/>
  <c r="GK14" i="2"/>
  <c r="U22" i="17" s="1"/>
  <c r="U545" i="23"/>
  <c r="Y544" i="23"/>
  <c r="T543" i="23"/>
  <c r="A543" i="23"/>
  <c r="Z543" i="23"/>
  <c r="BB14" i="2" s="1"/>
  <c r="BD14" i="2"/>
  <c r="L17" i="16" s="1"/>
  <c r="BC14" i="2"/>
  <c r="J17" i="16" s="1"/>
  <c r="AC513" i="23"/>
  <c r="E507" i="23"/>
  <c r="BE13" i="2" s="1"/>
  <c r="GI13" i="2"/>
  <c r="GG13" i="2"/>
  <c r="GF13" i="2"/>
  <c r="GE13" i="2"/>
  <c r="GD13" i="2"/>
  <c r="GK13" i="2"/>
  <c r="U505" i="23"/>
  <c r="Y504" i="23"/>
  <c r="X504" i="23"/>
  <c r="W504" i="23"/>
  <c r="V504" i="23"/>
  <c r="U504" i="23"/>
  <c r="A503" i="23"/>
  <c r="Z503" i="23"/>
  <c r="BB13" i="2" s="1"/>
  <c r="BD13" i="2"/>
  <c r="L16" i="16" s="1"/>
  <c r="BC13" i="2"/>
  <c r="J16" i="16" s="1"/>
  <c r="E467" i="23"/>
  <c r="BE12" i="2" s="1"/>
  <c r="I15" i="16" s="1"/>
  <c r="D39" i="16" s="1"/>
  <c r="D62" i="16" s="1"/>
  <c r="GI12" i="2"/>
  <c r="GH12" i="2"/>
  <c r="GG12" i="2"/>
  <c r="GF12" i="2"/>
  <c r="GD12" i="2"/>
  <c r="S20" i="17" s="1"/>
  <c r="GK12" i="2"/>
  <c r="U20" i="17" s="1"/>
  <c r="U465" i="23"/>
  <c r="Y464" i="23"/>
  <c r="T463" i="23"/>
  <c r="A463" i="23"/>
  <c r="Z463" i="23"/>
  <c r="BB12" i="2" s="1"/>
  <c r="BD12" i="2"/>
  <c r="L15" i="16" s="1"/>
  <c r="BC12" i="2"/>
  <c r="J15" i="16" s="1"/>
  <c r="E427" i="23"/>
  <c r="BE11" i="2" s="1"/>
  <c r="GI11" i="2"/>
  <c r="GH11" i="2"/>
  <c r="GG11" i="2"/>
  <c r="GF11" i="2"/>
  <c r="GE11" i="2"/>
  <c r="GK11" i="2"/>
  <c r="U19" i="17" s="1"/>
  <c r="U425" i="23"/>
  <c r="T423" i="23"/>
  <c r="A423" i="23"/>
  <c r="Z423" i="23"/>
  <c r="BB11" i="2" s="1"/>
  <c r="E423" i="23"/>
  <c r="BD11" i="2"/>
  <c r="L14" i="16" s="1"/>
  <c r="BC11" i="2"/>
  <c r="J14" i="16" s="1"/>
  <c r="AZ11" i="2"/>
  <c r="B17" i="43" s="1"/>
  <c r="E387" i="23"/>
  <c r="BE10" i="2" s="1"/>
  <c r="GI10" i="2"/>
  <c r="GH10" i="2"/>
  <c r="GG10" i="2"/>
  <c r="GF10" i="2"/>
  <c r="GD10" i="2"/>
  <c r="GK10" i="2"/>
  <c r="U385" i="23"/>
  <c r="Y384" i="23"/>
  <c r="T383" i="23"/>
  <c r="A383" i="23"/>
  <c r="Z383" i="23"/>
  <c r="BB10" i="2" s="1"/>
  <c r="E383" i="23"/>
  <c r="BD10" i="2"/>
  <c r="BC10" i="2"/>
  <c r="AZ10" i="2"/>
  <c r="B16" i="43" s="1"/>
  <c r="E347" i="23"/>
  <c r="BE9" i="2" s="1"/>
  <c r="I57" i="22" s="1"/>
  <c r="GI9" i="2"/>
  <c r="GH9" i="2"/>
  <c r="GG9" i="2"/>
  <c r="GF9" i="2"/>
  <c r="GE9" i="2"/>
  <c r="GD9" i="2"/>
  <c r="S17" i="17" s="1"/>
  <c r="GK9" i="2"/>
  <c r="U17" i="17" s="1"/>
  <c r="U345" i="23"/>
  <c r="Y344" i="23"/>
  <c r="T343" i="23"/>
  <c r="A343" i="23"/>
  <c r="Z343" i="23"/>
  <c r="BB9" i="2" s="1"/>
  <c r="E343" i="23"/>
  <c r="BD9" i="2"/>
  <c r="L12" i="16" s="1"/>
  <c r="BC9" i="2"/>
  <c r="J12" i="16" s="1"/>
  <c r="AI313" i="23"/>
  <c r="AY9" i="2"/>
  <c r="C11" i="35" s="1"/>
  <c r="E307" i="23"/>
  <c r="BE8" i="2" s="1"/>
  <c r="AL13" i="33" s="1"/>
  <c r="GI8" i="2"/>
  <c r="GH8" i="2"/>
  <c r="GG8" i="2"/>
  <c r="GF8" i="2"/>
  <c r="GE8" i="2"/>
  <c r="GK8" i="2"/>
  <c r="U16" i="17" s="1"/>
  <c r="U305" i="23"/>
  <c r="Y304" i="23"/>
  <c r="T303" i="23"/>
  <c r="A303" i="23"/>
  <c r="Z303" i="23"/>
  <c r="BB8" i="2" s="1"/>
  <c r="E303" i="23"/>
  <c r="BD8" i="2"/>
  <c r="L11" i="16" s="1"/>
  <c r="BC8" i="2"/>
  <c r="J11" i="16" s="1"/>
  <c r="E267" i="23"/>
  <c r="BE7" i="2" s="1"/>
  <c r="I10" i="16" s="1"/>
  <c r="D34" i="16" s="1"/>
  <c r="D57" i="16" s="1"/>
  <c r="GI7" i="2"/>
  <c r="GH7" i="2"/>
  <c r="GG7" i="2"/>
  <c r="GF7" i="2"/>
  <c r="GE7" i="2"/>
  <c r="GD7" i="2"/>
  <c r="S15" i="17" s="1"/>
  <c r="GK7" i="2"/>
  <c r="U15" i="17" s="1"/>
  <c r="U265" i="23"/>
  <c r="Y264" i="23"/>
  <c r="T263" i="23"/>
  <c r="A263" i="23"/>
  <c r="Z263" i="23"/>
  <c r="BB7" i="2" s="1"/>
  <c r="E263" i="23"/>
  <c r="BD7" i="2"/>
  <c r="L10" i="16" s="1"/>
  <c r="BC7" i="2"/>
  <c r="J10" i="16" s="1"/>
  <c r="AC233" i="23"/>
  <c r="E227" i="23"/>
  <c r="BE6" i="2" s="1"/>
  <c r="AL11" i="33" s="1"/>
  <c r="GI6" i="2"/>
  <c r="GH6" i="2"/>
  <c r="GG6" i="2"/>
  <c r="GF6" i="2"/>
  <c r="GE6" i="2"/>
  <c r="GK6" i="2"/>
  <c r="U14" i="17" s="1"/>
  <c r="U225" i="23"/>
  <c r="Y224" i="23"/>
  <c r="T223" i="23"/>
  <c r="A223" i="23"/>
  <c r="Z223" i="23"/>
  <c r="BB6" i="2" s="1"/>
  <c r="E223" i="23"/>
  <c r="BD6" i="2"/>
  <c r="L9" i="16" s="1"/>
  <c r="BC6" i="2"/>
  <c r="J9" i="16" s="1"/>
  <c r="AI193" i="23"/>
  <c r="AC193" i="23"/>
  <c r="E187" i="23"/>
  <c r="BE5" i="2" s="1"/>
  <c r="AL10" i="33" s="1"/>
  <c r="GI5" i="2"/>
  <c r="GH5" i="2"/>
  <c r="GG5" i="2"/>
  <c r="GF5" i="2"/>
  <c r="GE5" i="2"/>
  <c r="GD5" i="2"/>
  <c r="S13" i="17" s="1"/>
  <c r="GK5" i="2"/>
  <c r="U13" i="17" s="1"/>
  <c r="U185" i="23"/>
  <c r="Y184" i="23"/>
  <c r="A183" i="23"/>
  <c r="Z183" i="23"/>
  <c r="BB5" i="2" s="1"/>
  <c r="T183" i="23"/>
  <c r="E183" i="23"/>
  <c r="BD5" i="2"/>
  <c r="L8" i="16" s="1"/>
  <c r="BC5" i="2"/>
  <c r="J8" i="16" s="1"/>
  <c r="AY5" i="2"/>
  <c r="E147" i="23"/>
  <c r="BE4" i="2" s="1"/>
  <c r="I52" i="22" s="1"/>
  <c r="GI4" i="2"/>
  <c r="GH4" i="2"/>
  <c r="GG4" i="2"/>
  <c r="GF4" i="2"/>
  <c r="GD4" i="2"/>
  <c r="S12" i="17" s="1"/>
  <c r="U145" i="23"/>
  <c r="Y144" i="23"/>
  <c r="T143" i="23"/>
  <c r="A143" i="23"/>
  <c r="Z143" i="23"/>
  <c r="BB4" i="2" s="1"/>
  <c r="E143" i="23"/>
  <c r="BD4" i="2"/>
  <c r="L7" i="16" s="1"/>
  <c r="BC4" i="2"/>
  <c r="J7" i="16" s="1"/>
  <c r="AY4" i="2"/>
  <c r="E107" i="23"/>
  <c r="BE3" i="2" s="1"/>
  <c r="AL8" i="33" s="1"/>
  <c r="GI3" i="2"/>
  <c r="GH3" i="2"/>
  <c r="GG3" i="2"/>
  <c r="GF3" i="2"/>
  <c r="GD3" i="2"/>
  <c r="S11" i="17" s="1"/>
  <c r="GK3" i="2"/>
  <c r="U11" i="17" s="1"/>
  <c r="U105" i="23"/>
  <c r="Y104" i="23"/>
  <c r="T103" i="23"/>
  <c r="A103" i="23"/>
  <c r="Z103" i="23"/>
  <c r="BB3" i="2" s="1"/>
  <c r="E103" i="23"/>
  <c r="BD3" i="2"/>
  <c r="L6" i="16" s="1"/>
  <c r="BC3" i="2"/>
  <c r="J6" i="16" s="1"/>
  <c r="W67" i="23"/>
  <c r="W107" i="23" s="1"/>
  <c r="W147" i="23" s="1"/>
  <c r="W187" i="23" s="1"/>
  <c r="W227" i="23" s="1"/>
  <c r="W267" i="23" s="1"/>
  <c r="W307" i="23" s="1"/>
  <c r="W347" i="23" s="1"/>
  <c r="W387" i="23" s="1"/>
  <c r="W427" i="23" s="1"/>
  <c r="W467" i="23" s="1"/>
  <c r="W507" i="23" s="1"/>
  <c r="W547" i="23" s="1"/>
  <c r="W587" i="23" s="1"/>
  <c r="W627" i="23" s="1"/>
  <c r="W667" i="23" s="1"/>
  <c r="W707" i="23" s="1"/>
  <c r="W747" i="23" s="1"/>
  <c r="W787" i="23" s="1"/>
  <c r="W827" i="23" s="1"/>
  <c r="N67" i="23"/>
  <c r="N107" i="23" s="1"/>
  <c r="N147" i="23" s="1"/>
  <c r="N187" i="23" s="1"/>
  <c r="N227" i="23" s="1"/>
  <c r="N267" i="23" s="1"/>
  <c r="N307" i="23" s="1"/>
  <c r="N347" i="23" s="1"/>
  <c r="N387" i="23" s="1"/>
  <c r="N427" i="23" s="1"/>
  <c r="N467" i="23" s="1"/>
  <c r="N507" i="23" s="1"/>
  <c r="N547" i="23" s="1"/>
  <c r="N587" i="23" s="1"/>
  <c r="N627" i="23" s="1"/>
  <c r="N667" i="23" s="1"/>
  <c r="N707" i="23" s="1"/>
  <c r="N747" i="23" s="1"/>
  <c r="N787" i="23" s="1"/>
  <c r="N827" i="23" s="1"/>
  <c r="E67" i="23"/>
  <c r="BE2" i="2" s="1"/>
  <c r="GI2" i="2"/>
  <c r="GH2" i="2"/>
  <c r="GG2" i="2"/>
  <c r="GF2" i="2"/>
  <c r="GE2" i="2"/>
  <c r="GK2" i="2"/>
  <c r="Z63" i="23"/>
  <c r="BB2" i="2" s="1"/>
  <c r="BD2" i="2"/>
  <c r="L5" i="16" s="1"/>
  <c r="BC2" i="2"/>
  <c r="J5" i="16" s="1"/>
  <c r="AI33" i="23"/>
  <c r="R31" i="23"/>
  <c r="R71" i="23" s="1"/>
  <c r="R111" i="23" s="1"/>
  <c r="R151" i="23" s="1"/>
  <c r="R191" i="23" s="1"/>
  <c r="R231" i="23" s="1"/>
  <c r="R271" i="23" s="1"/>
  <c r="R311" i="23" s="1"/>
  <c r="R351" i="23" s="1"/>
  <c r="R391" i="23" s="1"/>
  <c r="R431" i="23" s="1"/>
  <c r="R471" i="23" s="1"/>
  <c r="R511" i="23" s="1"/>
  <c r="R551" i="23" s="1"/>
  <c r="R591" i="23" s="1"/>
  <c r="R631" i="23" s="1"/>
  <c r="R671" i="23" s="1"/>
  <c r="R711" i="23" s="1"/>
  <c r="R751" i="23" s="1"/>
  <c r="R791" i="23" s="1"/>
  <c r="O31" i="23"/>
  <c r="O71" i="23" s="1"/>
  <c r="O111" i="23" s="1"/>
  <c r="O151" i="23" s="1"/>
  <c r="O191" i="23" s="1"/>
  <c r="O231" i="23" s="1"/>
  <c r="O271" i="23" s="1"/>
  <c r="O311" i="23" s="1"/>
  <c r="O351" i="23" s="1"/>
  <c r="O391" i="23" s="1"/>
  <c r="O431" i="23" s="1"/>
  <c r="O471" i="23" s="1"/>
  <c r="O511" i="23" s="1"/>
  <c r="O551" i="23" s="1"/>
  <c r="O591" i="23" s="1"/>
  <c r="O631" i="23" s="1"/>
  <c r="O671" i="23" s="1"/>
  <c r="O711" i="23" s="1"/>
  <c r="O751" i="23" s="1"/>
  <c r="O791" i="23" s="1"/>
  <c r="M31" i="23"/>
  <c r="M71" i="23" s="1"/>
  <c r="M111" i="23" s="1"/>
  <c r="M151" i="23" s="1"/>
  <c r="M191" i="23" s="1"/>
  <c r="M231" i="23" s="1"/>
  <c r="M271" i="23" s="1"/>
  <c r="M311" i="23" s="1"/>
  <c r="M351" i="23" s="1"/>
  <c r="M391" i="23" s="1"/>
  <c r="M431" i="23" s="1"/>
  <c r="M471" i="23" s="1"/>
  <c r="M511" i="23" s="1"/>
  <c r="M551" i="23" s="1"/>
  <c r="M591" i="23" s="1"/>
  <c r="M631" i="23" s="1"/>
  <c r="M671" i="23" s="1"/>
  <c r="M711" i="23" s="1"/>
  <c r="M751" i="23" s="1"/>
  <c r="M791" i="23" s="1"/>
  <c r="X6" i="23"/>
  <c r="X33" i="23" s="1"/>
  <c r="X73" i="23" s="1"/>
  <c r="X113" i="23" s="1"/>
  <c r="X153" i="23" s="1"/>
  <c r="X193" i="23" s="1"/>
  <c r="X233" i="23" s="1"/>
  <c r="X273" i="23" s="1"/>
  <c r="X313" i="23" s="1"/>
  <c r="X353" i="23" s="1"/>
  <c r="X393" i="23" s="1"/>
  <c r="X433" i="23" s="1"/>
  <c r="X473" i="23" s="1"/>
  <c r="X513" i="23" s="1"/>
  <c r="X553" i="23" s="1"/>
  <c r="X593" i="23" s="1"/>
  <c r="X633" i="23" s="1"/>
  <c r="X673" i="23" s="1"/>
  <c r="X713" i="23" s="1"/>
  <c r="X753" i="23" s="1"/>
  <c r="X793" i="23" s="1"/>
  <c r="U25" i="16"/>
  <c r="A6" i="16"/>
  <c r="A30" i="16" s="1"/>
  <c r="A53" i="16" s="1"/>
  <c r="A7" i="16"/>
  <c r="A31" i="16" s="1"/>
  <c r="A54" i="16" s="1"/>
  <c r="A8" i="16"/>
  <c r="A32" i="16" s="1"/>
  <c r="A55" i="16" s="1"/>
  <c r="A9" i="16"/>
  <c r="A33" i="16" s="1"/>
  <c r="A56" i="16" s="1"/>
  <c r="A10" i="16"/>
  <c r="A34" i="16" s="1"/>
  <c r="A57" i="16" s="1"/>
  <c r="A11" i="16"/>
  <c r="A35" i="16" s="1"/>
  <c r="A58" i="16" s="1"/>
  <c r="A12" i="16"/>
  <c r="A36" i="16" s="1"/>
  <c r="A59" i="16" s="1"/>
  <c r="A13" i="16"/>
  <c r="A37" i="16" s="1"/>
  <c r="A60" i="16" s="1"/>
  <c r="A14" i="16"/>
  <c r="A38" i="16" s="1"/>
  <c r="A61" i="16" s="1"/>
  <c r="A15" i="16"/>
  <c r="A39" i="16" s="1"/>
  <c r="A62" i="16" s="1"/>
  <c r="A16" i="16"/>
  <c r="A40" i="16" s="1"/>
  <c r="A63" i="16" s="1"/>
  <c r="A17" i="16"/>
  <c r="A41" i="16" s="1"/>
  <c r="A64" i="16" s="1"/>
  <c r="A18" i="16"/>
  <c r="A42" i="16" s="1"/>
  <c r="A65" i="16" s="1"/>
  <c r="A19" i="16"/>
  <c r="A43" i="16" s="1"/>
  <c r="A66" i="16" s="1"/>
  <c r="A20" i="16"/>
  <c r="A44" i="16" s="1"/>
  <c r="A67" i="16" s="1"/>
  <c r="A21" i="16"/>
  <c r="A45" i="16" s="1"/>
  <c r="A68" i="16" s="1"/>
  <c r="A22" i="16"/>
  <c r="A23" i="16"/>
  <c r="A24" i="16"/>
  <c r="A5" i="16"/>
  <c r="A29" i="16" s="1"/>
  <c r="A52" i="16" s="1"/>
  <c r="P10" i="21"/>
  <c r="E29" i="10"/>
  <c r="Q154" i="21"/>
  <c r="J37" i="2"/>
  <c r="P10" i="20"/>
  <c r="B6" i="10"/>
  <c r="D7" i="6"/>
  <c r="D24" i="6" s="1"/>
  <c r="D41" i="6" s="1"/>
  <c r="D58" i="6" s="1"/>
  <c r="E21" i="7"/>
  <c r="AQ23" i="7"/>
  <c r="AQ22" i="7"/>
  <c r="E19" i="7"/>
  <c r="M10" i="8"/>
  <c r="T50" i="18"/>
  <c r="T49" i="18"/>
  <c r="T48" i="18"/>
  <c r="T47" i="18"/>
  <c r="T46" i="18"/>
  <c r="T45" i="18"/>
  <c r="T44" i="18"/>
  <c r="T43" i="18"/>
  <c r="T42" i="18"/>
  <c r="T41" i="18"/>
  <c r="T40" i="18"/>
  <c r="T39" i="18"/>
  <c r="T38" i="18"/>
  <c r="T35" i="18"/>
  <c r="U5" i="18"/>
  <c r="Z5" i="18"/>
  <c r="Q5" i="17"/>
  <c r="AE66" i="15"/>
  <c r="Z37" i="2"/>
  <c r="Z45" i="15"/>
  <c r="E26" i="10"/>
  <c r="R9" i="10"/>
  <c r="E47" i="10"/>
  <c r="E51" i="10"/>
  <c r="E41" i="10"/>
  <c r="E40" i="10"/>
  <c r="E39" i="10"/>
  <c r="E38" i="10"/>
  <c r="E35" i="10"/>
  <c r="E34" i="10"/>
  <c r="E33" i="10"/>
  <c r="E32" i="10"/>
  <c r="E28" i="10"/>
  <c r="E27" i="10"/>
  <c r="M20" i="10"/>
  <c r="R20" i="10"/>
  <c r="P20" i="10"/>
  <c r="P17" i="10"/>
  <c r="I17" i="10"/>
  <c r="H20" i="10"/>
  <c r="C23" i="10"/>
  <c r="C20" i="10"/>
  <c r="C17" i="10"/>
  <c r="C14" i="10"/>
  <c r="I14" i="10"/>
  <c r="N11" i="10"/>
  <c r="H11" i="10"/>
  <c r="AA63" i="14"/>
  <c r="AA323" i="14"/>
  <c r="AA353" i="14"/>
  <c r="AA383" i="14"/>
  <c r="AA413" i="14"/>
  <c r="AA443" i="14"/>
  <c r="AA473" i="14"/>
  <c r="AA503" i="14"/>
  <c r="AA533" i="14"/>
  <c r="AA563" i="14"/>
  <c r="AA593" i="14"/>
  <c r="AA23" i="14"/>
  <c r="G16" i="14"/>
  <c r="G46" i="14" s="1"/>
  <c r="G76" i="14" s="1"/>
  <c r="G106" i="14" s="1"/>
  <c r="G136" i="14" s="1"/>
  <c r="G166" i="14" s="1"/>
  <c r="G196" i="14" s="1"/>
  <c r="G226" i="14" s="1"/>
  <c r="G256" i="14" s="1"/>
  <c r="G286" i="14" s="1"/>
  <c r="G316" i="14" s="1"/>
  <c r="G346" i="14" s="1"/>
  <c r="G376" i="14" s="1"/>
  <c r="G406" i="14" s="1"/>
  <c r="G436" i="14" s="1"/>
  <c r="G466" i="14" s="1"/>
  <c r="G496" i="14" s="1"/>
  <c r="G526" i="14" s="1"/>
  <c r="G556" i="14" s="1"/>
  <c r="G586" i="14" s="1"/>
  <c r="J5" i="14"/>
  <c r="AA5" i="14" s="1"/>
  <c r="S319" i="14"/>
  <c r="S349" i="14"/>
  <c r="S379" i="14"/>
  <c r="S409" i="14"/>
  <c r="S439" i="14"/>
  <c r="S469" i="14"/>
  <c r="S499" i="14"/>
  <c r="S529" i="14"/>
  <c r="S559" i="14"/>
  <c r="S589" i="14"/>
  <c r="S19" i="14"/>
  <c r="S588" i="14"/>
  <c r="S558" i="14"/>
  <c r="S528" i="14"/>
  <c r="S498" i="14"/>
  <c r="S468" i="14"/>
  <c r="S438" i="14"/>
  <c r="S408" i="14"/>
  <c r="S378" i="14"/>
  <c r="S348" i="14"/>
  <c r="S318" i="14"/>
  <c r="S108" i="14"/>
  <c r="S18" i="14"/>
  <c r="S587" i="14"/>
  <c r="S557" i="14"/>
  <c r="S527" i="14"/>
  <c r="S497" i="14"/>
  <c r="S467" i="14"/>
  <c r="S437" i="14"/>
  <c r="S407" i="14"/>
  <c r="S377" i="14"/>
  <c r="S347" i="14"/>
  <c r="S317" i="14"/>
  <c r="S17" i="14"/>
  <c r="S586" i="14"/>
  <c r="S556" i="14"/>
  <c r="S526" i="14"/>
  <c r="S496" i="14"/>
  <c r="S466" i="14"/>
  <c r="S436" i="14"/>
  <c r="S406" i="14"/>
  <c r="S376" i="14"/>
  <c r="S346" i="14"/>
  <c r="S316" i="14"/>
  <c r="S106" i="14"/>
  <c r="S16" i="14"/>
  <c r="S585" i="14"/>
  <c r="S555" i="14"/>
  <c r="S525" i="14"/>
  <c r="S495" i="14"/>
  <c r="S465" i="14"/>
  <c r="S435" i="14"/>
  <c r="S405" i="14"/>
  <c r="S375" i="14"/>
  <c r="S345" i="14"/>
  <c r="S315" i="14"/>
  <c r="S15" i="14"/>
  <c r="G602" i="14"/>
  <c r="G572" i="14"/>
  <c r="G542" i="14"/>
  <c r="G512" i="14"/>
  <c r="G482" i="14"/>
  <c r="G452" i="14"/>
  <c r="G422" i="14"/>
  <c r="G392" i="14"/>
  <c r="G362" i="14"/>
  <c r="G332" i="14"/>
  <c r="G32" i="14"/>
  <c r="G590" i="14"/>
  <c r="G560" i="14"/>
  <c r="G530" i="14"/>
  <c r="G500" i="14"/>
  <c r="G470" i="14"/>
  <c r="G440" i="14"/>
  <c r="G410" i="14"/>
  <c r="G380" i="14"/>
  <c r="G350" i="14"/>
  <c r="G320" i="14"/>
  <c r="G20" i="14"/>
  <c r="G589" i="14"/>
  <c r="G559" i="14"/>
  <c r="G529" i="14"/>
  <c r="G499" i="14"/>
  <c r="G469" i="14"/>
  <c r="G439" i="14"/>
  <c r="G409" i="14"/>
  <c r="AQ50" i="14" s="1"/>
  <c r="AU50" i="14" s="1"/>
  <c r="G379" i="14"/>
  <c r="G349" i="14"/>
  <c r="G319" i="14"/>
  <c r="G19" i="14"/>
  <c r="S89" i="14"/>
  <c r="Y12" i="14"/>
  <c r="Y11" i="14"/>
  <c r="Y5" i="14"/>
  <c r="C30" i="14" s="1"/>
  <c r="K30" i="14" s="1"/>
  <c r="S30" i="14" s="1"/>
  <c r="Y602" i="14"/>
  <c r="X602" i="14"/>
  <c r="W602" i="14"/>
  <c r="AA597" i="14"/>
  <c r="AA595" i="14"/>
  <c r="M589" i="14"/>
  <c r="Y586" i="14"/>
  <c r="J584" i="14"/>
  <c r="AA601" i="14" s="1"/>
  <c r="W583" i="14"/>
  <c r="AA603" i="14" s="1"/>
  <c r="T583" i="14"/>
  <c r="N583" i="14"/>
  <c r="J583" i="14"/>
  <c r="AA599" i="14" s="1"/>
  <c r="E583" i="14"/>
  <c r="Y582" i="14"/>
  <c r="J582" i="14"/>
  <c r="AA587" i="14" s="1"/>
  <c r="E582" i="14"/>
  <c r="Y581" i="14"/>
  <c r="E581" i="14"/>
  <c r="J580" i="14"/>
  <c r="E580" i="14"/>
  <c r="J579" i="14"/>
  <c r="E579" i="14"/>
  <c r="E578" i="14"/>
  <c r="Y575" i="14"/>
  <c r="C600" i="14" s="1"/>
  <c r="K600" i="14" s="1"/>
  <c r="S600" i="14" s="1"/>
  <c r="J575" i="14"/>
  <c r="AA575" i="14" s="1"/>
  <c r="J574" i="14"/>
  <c r="Y572" i="14"/>
  <c r="X572" i="14"/>
  <c r="W572" i="14"/>
  <c r="AA567" i="14"/>
  <c r="AA565" i="14"/>
  <c r="M559" i="14"/>
  <c r="Y556" i="14"/>
  <c r="J554" i="14"/>
  <c r="AA571" i="14" s="1"/>
  <c r="W553" i="14"/>
  <c r="AA573" i="14" s="1"/>
  <c r="T553" i="14"/>
  <c r="N553" i="14"/>
  <c r="J553" i="14"/>
  <c r="AA569" i="14" s="1"/>
  <c r="E553" i="14"/>
  <c r="Y552" i="14"/>
  <c r="J552" i="14"/>
  <c r="AA557" i="14" s="1"/>
  <c r="E552" i="14"/>
  <c r="Y551" i="14"/>
  <c r="E551" i="14"/>
  <c r="J550" i="14"/>
  <c r="E550" i="14"/>
  <c r="J549" i="14"/>
  <c r="E549" i="14"/>
  <c r="E548" i="14"/>
  <c r="Y545" i="14"/>
  <c r="C570" i="14" s="1"/>
  <c r="K570" i="14" s="1"/>
  <c r="S570" i="14" s="1"/>
  <c r="J545" i="14"/>
  <c r="AA545" i="14" s="1"/>
  <c r="J544" i="14"/>
  <c r="Y542" i="14"/>
  <c r="X542" i="14"/>
  <c r="W542" i="14"/>
  <c r="AA537" i="14"/>
  <c r="AA535" i="14"/>
  <c r="M529" i="14"/>
  <c r="Y526" i="14"/>
  <c r="J524" i="14"/>
  <c r="W523" i="14"/>
  <c r="AA543" i="14" s="1"/>
  <c r="T523" i="14"/>
  <c r="N523" i="14"/>
  <c r="J523" i="14"/>
  <c r="AA539" i="14" s="1"/>
  <c r="E523" i="14"/>
  <c r="Y522" i="14"/>
  <c r="J522" i="14"/>
  <c r="AA527" i="14" s="1"/>
  <c r="E522" i="14"/>
  <c r="Y521" i="14"/>
  <c r="E521" i="14"/>
  <c r="J520" i="14"/>
  <c r="E520" i="14"/>
  <c r="J519" i="14"/>
  <c r="E519" i="14"/>
  <c r="E518" i="14"/>
  <c r="Y515" i="14"/>
  <c r="C540" i="14" s="1"/>
  <c r="K540" i="14" s="1"/>
  <c r="S540" i="14" s="1"/>
  <c r="J515" i="14"/>
  <c r="AA515" i="14" s="1"/>
  <c r="J514" i="14"/>
  <c r="Y512" i="14"/>
  <c r="X512" i="14"/>
  <c r="W512" i="14"/>
  <c r="AA507" i="14"/>
  <c r="AA505" i="14"/>
  <c r="M499" i="14"/>
  <c r="Y496" i="14"/>
  <c r="J494" i="14"/>
  <c r="AA511" i="14" s="1"/>
  <c r="W493" i="14"/>
  <c r="AA513" i="14" s="1"/>
  <c r="T493" i="14"/>
  <c r="N493" i="14"/>
  <c r="J493" i="14"/>
  <c r="AA509" i="14" s="1"/>
  <c r="E493" i="14"/>
  <c r="Y492" i="14"/>
  <c r="J492" i="14"/>
  <c r="AA497" i="14" s="1"/>
  <c r="E492" i="14"/>
  <c r="E494" i="14" s="1"/>
  <c r="Y491" i="14"/>
  <c r="E491" i="14"/>
  <c r="J490" i="14"/>
  <c r="E490" i="14"/>
  <c r="J489" i="14"/>
  <c r="E489" i="14"/>
  <c r="E488" i="14"/>
  <c r="Y485" i="14"/>
  <c r="C510" i="14" s="1"/>
  <c r="K510" i="14" s="1"/>
  <c r="S510" i="14" s="1"/>
  <c r="J485" i="14"/>
  <c r="AA485" i="14"/>
  <c r="J484" i="14"/>
  <c r="Y482" i="14"/>
  <c r="X482" i="14"/>
  <c r="W482" i="14"/>
  <c r="AA477" i="14"/>
  <c r="AA475" i="14"/>
  <c r="M469" i="14"/>
  <c r="Y466" i="14"/>
  <c r="J464" i="14"/>
  <c r="AA481" i="14" s="1"/>
  <c r="W463" i="14"/>
  <c r="AA483" i="14" s="1"/>
  <c r="T463" i="14"/>
  <c r="N463" i="14"/>
  <c r="J463" i="14"/>
  <c r="AA479" i="14" s="1"/>
  <c r="E463" i="14"/>
  <c r="Y462" i="14"/>
  <c r="J462" i="14"/>
  <c r="AA467" i="14" s="1"/>
  <c r="E462" i="14"/>
  <c r="Y461" i="14"/>
  <c r="E461" i="14"/>
  <c r="J460" i="14"/>
  <c r="E460" i="14"/>
  <c r="J459" i="14"/>
  <c r="E459" i="14"/>
  <c r="E458" i="14"/>
  <c r="Y455" i="14"/>
  <c r="C480" i="14" s="1"/>
  <c r="K480" i="14" s="1"/>
  <c r="S480" i="14" s="1"/>
  <c r="J455" i="14"/>
  <c r="AA455" i="14" s="1"/>
  <c r="J454" i="14"/>
  <c r="Y452" i="14"/>
  <c r="X452" i="14"/>
  <c r="W452" i="14"/>
  <c r="AA447" i="14"/>
  <c r="AA445" i="14"/>
  <c r="M439" i="14"/>
  <c r="Y436" i="14"/>
  <c r="J434" i="14"/>
  <c r="AA451" i="14"/>
  <c r="W433" i="14"/>
  <c r="AA453" i="14" s="1"/>
  <c r="T433" i="14"/>
  <c r="N433" i="14"/>
  <c r="J433" i="14"/>
  <c r="AA449" i="14" s="1"/>
  <c r="E433" i="14"/>
  <c r="Y432" i="14"/>
  <c r="J432" i="14"/>
  <c r="AA437" i="14" s="1"/>
  <c r="E432" i="14"/>
  <c r="E434" i="14" s="1"/>
  <c r="Y431" i="14"/>
  <c r="E431" i="14"/>
  <c r="J430" i="14"/>
  <c r="E430" i="14"/>
  <c r="J429" i="14"/>
  <c r="E429" i="14"/>
  <c r="E428" i="14"/>
  <c r="Y425" i="14"/>
  <c r="C450" i="14" s="1"/>
  <c r="K450" i="14" s="1"/>
  <c r="S450" i="14" s="1"/>
  <c r="J425" i="14"/>
  <c r="AA425" i="14" s="1"/>
  <c r="J424" i="14"/>
  <c r="Y422" i="14"/>
  <c r="X422" i="14"/>
  <c r="W422" i="14"/>
  <c r="AA417" i="14"/>
  <c r="AA415" i="14"/>
  <c r="M409" i="14"/>
  <c r="Y406" i="14"/>
  <c r="J404" i="14"/>
  <c r="W403" i="14"/>
  <c r="AA423" i="14" s="1"/>
  <c r="T403" i="14"/>
  <c r="N403" i="14"/>
  <c r="J403" i="14"/>
  <c r="AA419" i="14" s="1"/>
  <c r="E403" i="14"/>
  <c r="Y402" i="14"/>
  <c r="J402" i="14"/>
  <c r="AA407" i="14" s="1"/>
  <c r="E402" i="14"/>
  <c r="E404" i="14" s="1"/>
  <c r="Y401" i="14"/>
  <c r="E401" i="14"/>
  <c r="J400" i="14"/>
  <c r="E400" i="14"/>
  <c r="J399" i="14"/>
  <c r="E399" i="14"/>
  <c r="E398" i="14"/>
  <c r="Y395" i="14"/>
  <c r="C420" i="14" s="1"/>
  <c r="K420" i="14" s="1"/>
  <c r="S420" i="14" s="1"/>
  <c r="J395" i="14"/>
  <c r="AA395" i="14" s="1"/>
  <c r="J394" i="14"/>
  <c r="Y392" i="14"/>
  <c r="X392" i="14"/>
  <c r="W392" i="14"/>
  <c r="AA387" i="14"/>
  <c r="AA385" i="14"/>
  <c r="M379" i="14"/>
  <c r="Y376" i="14"/>
  <c r="J374" i="14"/>
  <c r="AA391" i="14" s="1"/>
  <c r="W373" i="14"/>
  <c r="AA393" i="14" s="1"/>
  <c r="T373" i="14"/>
  <c r="N373" i="14"/>
  <c r="J373" i="14"/>
  <c r="AA389" i="14" s="1"/>
  <c r="E373" i="14"/>
  <c r="Y372" i="14"/>
  <c r="J372" i="14"/>
  <c r="AA377" i="14" s="1"/>
  <c r="E372" i="14"/>
  <c r="E374" i="14" s="1"/>
  <c r="Y371" i="14"/>
  <c r="E371" i="14"/>
  <c r="J370" i="14"/>
  <c r="E370" i="14"/>
  <c r="J369" i="14"/>
  <c r="E369" i="14"/>
  <c r="E368" i="14"/>
  <c r="Y365" i="14"/>
  <c r="C390" i="14" s="1"/>
  <c r="K390" i="14" s="1"/>
  <c r="S390" i="14" s="1"/>
  <c r="J365" i="14"/>
  <c r="AA365" i="14" s="1"/>
  <c r="J364" i="14"/>
  <c r="Y362" i="14"/>
  <c r="X362" i="14"/>
  <c r="W362" i="14"/>
  <c r="AA357" i="14"/>
  <c r="AA355" i="14"/>
  <c r="M349" i="14"/>
  <c r="Y346" i="14"/>
  <c r="J344" i="14"/>
  <c r="AA361" i="14" s="1"/>
  <c r="W343" i="14"/>
  <c r="AA363" i="14" s="1"/>
  <c r="T343" i="14"/>
  <c r="N343" i="14"/>
  <c r="J343" i="14"/>
  <c r="AA359" i="14" s="1"/>
  <c r="E343" i="14"/>
  <c r="Y342" i="14"/>
  <c r="J342" i="14"/>
  <c r="AA347" i="14" s="1"/>
  <c r="E342" i="14"/>
  <c r="E344" i="14" s="1"/>
  <c r="Y341" i="14"/>
  <c r="E341" i="14"/>
  <c r="J340" i="14"/>
  <c r="J341" i="14" s="1"/>
  <c r="E340" i="14"/>
  <c r="J339" i="14"/>
  <c r="E339" i="14"/>
  <c r="E338" i="14"/>
  <c r="Y335" i="14"/>
  <c r="C360" i="14" s="1"/>
  <c r="K360" i="14" s="1"/>
  <c r="S360" i="14" s="1"/>
  <c r="J335" i="14"/>
  <c r="AA335" i="14" s="1"/>
  <c r="J334" i="14"/>
  <c r="Y332" i="14"/>
  <c r="X332" i="14"/>
  <c r="W332" i="14"/>
  <c r="AA327" i="14"/>
  <c r="AA325" i="14"/>
  <c r="M319" i="14"/>
  <c r="Y316" i="14"/>
  <c r="J314" i="14"/>
  <c r="AA331" i="14" s="1"/>
  <c r="W313" i="14"/>
  <c r="AA333" i="14" s="1"/>
  <c r="T313" i="14"/>
  <c r="N313" i="14"/>
  <c r="J313" i="14"/>
  <c r="AA329" i="14" s="1"/>
  <c r="E313" i="14"/>
  <c r="Y312" i="14"/>
  <c r="J312" i="14"/>
  <c r="AA317" i="14" s="1"/>
  <c r="E312" i="14"/>
  <c r="Y311" i="14"/>
  <c r="E311" i="14"/>
  <c r="J310" i="14"/>
  <c r="E310" i="14"/>
  <c r="J309" i="14"/>
  <c r="E309" i="14"/>
  <c r="E308" i="14"/>
  <c r="Y305" i="14"/>
  <c r="C330" i="14" s="1"/>
  <c r="K330" i="14" s="1"/>
  <c r="S330" i="14" s="1"/>
  <c r="J305" i="14"/>
  <c r="AA305" i="14" s="1"/>
  <c r="J304" i="14"/>
  <c r="Y302" i="14"/>
  <c r="X302" i="14"/>
  <c r="W302" i="14"/>
  <c r="G302" i="14"/>
  <c r="AA297" i="14"/>
  <c r="AA295" i="14"/>
  <c r="AA293" i="14"/>
  <c r="G290" i="14"/>
  <c r="S289" i="14"/>
  <c r="M289" i="14"/>
  <c r="G289" i="14"/>
  <c r="S288" i="14"/>
  <c r="S287" i="14"/>
  <c r="Y286" i="14"/>
  <c r="S286" i="14"/>
  <c r="S285" i="14"/>
  <c r="J284" i="14"/>
  <c r="AA301" i="14"/>
  <c r="W283" i="14"/>
  <c r="AA303" i="14" s="1"/>
  <c r="T283" i="14"/>
  <c r="N283" i="14"/>
  <c r="J283" i="14"/>
  <c r="AA299" i="14" s="1"/>
  <c r="E283" i="14"/>
  <c r="Y282" i="14"/>
  <c r="J282" i="14"/>
  <c r="AA287" i="14" s="1"/>
  <c r="E282" i="14"/>
  <c r="E284" i="14" s="1"/>
  <c r="Y281" i="14"/>
  <c r="E281" i="14"/>
  <c r="J280" i="14"/>
  <c r="E280" i="14"/>
  <c r="J279" i="14"/>
  <c r="E279" i="14"/>
  <c r="E278" i="14"/>
  <c r="Y275" i="14"/>
  <c r="C300" i="14" s="1"/>
  <c r="K300" i="14" s="1"/>
  <c r="S300" i="14" s="1"/>
  <c r="J275" i="14"/>
  <c r="AA275" i="14" s="1"/>
  <c r="J274" i="14"/>
  <c r="X272" i="14"/>
  <c r="W272" i="14"/>
  <c r="G272" i="14"/>
  <c r="AA267" i="14"/>
  <c r="AA265" i="14"/>
  <c r="AA263" i="14"/>
  <c r="G260" i="14"/>
  <c r="S259" i="14"/>
  <c r="M259" i="14"/>
  <c r="G259" i="14"/>
  <c r="S258" i="14"/>
  <c r="S257" i="14"/>
  <c r="Y256" i="14"/>
  <c r="S256" i="14"/>
  <c r="S255" i="14"/>
  <c r="J254" i="14"/>
  <c r="W253" i="14"/>
  <c r="AA273" i="14" s="1"/>
  <c r="T253" i="14"/>
  <c r="N253" i="14"/>
  <c r="J253" i="14"/>
  <c r="AA269" i="14" s="1"/>
  <c r="E253" i="14"/>
  <c r="Y252" i="14"/>
  <c r="J252" i="14"/>
  <c r="AA257" i="14" s="1"/>
  <c r="E252" i="14"/>
  <c r="E254" i="14" s="1"/>
  <c r="Y251" i="14"/>
  <c r="E251" i="14"/>
  <c r="J250" i="14"/>
  <c r="E250" i="14"/>
  <c r="J249" i="14"/>
  <c r="E249" i="14"/>
  <c r="E248" i="14"/>
  <c r="Y245" i="14"/>
  <c r="C270" i="14" s="1"/>
  <c r="K270" i="14" s="1"/>
  <c r="S270" i="14" s="1"/>
  <c r="J245" i="14"/>
  <c r="AA245" i="14" s="1"/>
  <c r="J244" i="14"/>
  <c r="Y242" i="14"/>
  <c r="X242" i="14"/>
  <c r="W242" i="14"/>
  <c r="G242" i="14"/>
  <c r="AA237" i="14"/>
  <c r="AA235" i="14"/>
  <c r="AA233" i="14"/>
  <c r="G230" i="14"/>
  <c r="S229" i="14"/>
  <c r="M229" i="14"/>
  <c r="G229" i="14"/>
  <c r="S228" i="14"/>
  <c r="S227" i="14"/>
  <c r="Y226" i="14"/>
  <c r="S226" i="14"/>
  <c r="S225" i="14"/>
  <c r="J224" i="14"/>
  <c r="AA241" i="14" s="1"/>
  <c r="W223" i="14"/>
  <c r="AA243" i="14" s="1"/>
  <c r="T223" i="14"/>
  <c r="N223" i="14"/>
  <c r="J223" i="14"/>
  <c r="AA239" i="14" s="1"/>
  <c r="E223" i="14"/>
  <c r="Y222" i="14"/>
  <c r="J222" i="14"/>
  <c r="AA227" i="14" s="1"/>
  <c r="E222" i="14"/>
  <c r="Y221" i="14"/>
  <c r="E221" i="14"/>
  <c r="J220" i="14"/>
  <c r="E220" i="14"/>
  <c r="J219" i="14"/>
  <c r="E219" i="14"/>
  <c r="E218" i="14"/>
  <c r="Y215" i="14"/>
  <c r="C240" i="14" s="1"/>
  <c r="K240" i="14" s="1"/>
  <c r="S240" i="14" s="1"/>
  <c r="J215" i="14"/>
  <c r="AA215" i="14" s="1"/>
  <c r="J214" i="14"/>
  <c r="Y212" i="14"/>
  <c r="X212" i="14"/>
  <c r="W212" i="14"/>
  <c r="G212" i="14"/>
  <c r="AA207" i="14"/>
  <c r="AA205" i="14"/>
  <c r="AA203" i="14"/>
  <c r="G200" i="14"/>
  <c r="S199" i="14"/>
  <c r="M199" i="14"/>
  <c r="G199" i="14"/>
  <c r="S198" i="14"/>
  <c r="S197" i="14"/>
  <c r="Y196" i="14"/>
  <c r="S196" i="14"/>
  <c r="S195" i="14"/>
  <c r="J194" i="14"/>
  <c r="W193" i="14"/>
  <c r="AA213" i="14" s="1"/>
  <c r="T193" i="14"/>
  <c r="N193" i="14"/>
  <c r="J193" i="14"/>
  <c r="AA209" i="14" s="1"/>
  <c r="E193" i="14"/>
  <c r="Y192" i="14"/>
  <c r="J192" i="14"/>
  <c r="AA197" i="14" s="1"/>
  <c r="E192" i="14"/>
  <c r="Y191" i="14"/>
  <c r="E191" i="14"/>
  <c r="J190" i="14"/>
  <c r="E190" i="14"/>
  <c r="J189" i="14"/>
  <c r="E189" i="14"/>
  <c r="E188" i="14"/>
  <c r="Y185" i="14"/>
  <c r="J185" i="14"/>
  <c r="AA185" i="14" s="1"/>
  <c r="J184" i="14"/>
  <c r="Y182" i="14"/>
  <c r="X182" i="14"/>
  <c r="W182" i="14"/>
  <c r="G182" i="14"/>
  <c r="AA177" i="14"/>
  <c r="AA175" i="14"/>
  <c r="AA173" i="14"/>
  <c r="G170" i="14"/>
  <c r="S169" i="14"/>
  <c r="G169" i="14"/>
  <c r="S168" i="14"/>
  <c r="S167" i="14"/>
  <c r="Y166" i="14"/>
  <c r="S166" i="14"/>
  <c r="S165" i="14"/>
  <c r="J164" i="14"/>
  <c r="AA181" i="14" s="1"/>
  <c r="W163" i="14"/>
  <c r="AA183" i="14" s="1"/>
  <c r="T163" i="14"/>
  <c r="N163" i="14"/>
  <c r="J163" i="14"/>
  <c r="AA179" i="14" s="1"/>
  <c r="E163" i="14"/>
  <c r="Y162" i="14"/>
  <c r="J162" i="14"/>
  <c r="AA167" i="14" s="1"/>
  <c r="E162" i="14"/>
  <c r="E164" i="14" s="1"/>
  <c r="Y161" i="14"/>
  <c r="E161" i="14"/>
  <c r="J160" i="14"/>
  <c r="E160" i="14"/>
  <c r="J159" i="14"/>
  <c r="E159" i="14"/>
  <c r="E158" i="14"/>
  <c r="Y155" i="14"/>
  <c r="C180" i="14" s="1"/>
  <c r="K180" i="14" s="1"/>
  <c r="S180" i="14" s="1"/>
  <c r="J155" i="14"/>
  <c r="AA155" i="14"/>
  <c r="J154" i="14"/>
  <c r="Y152" i="14"/>
  <c r="X152" i="14"/>
  <c r="W152" i="14"/>
  <c r="G152" i="14"/>
  <c r="AA147" i="14"/>
  <c r="AA145" i="14"/>
  <c r="AA143" i="14"/>
  <c r="G140" i="14"/>
  <c r="S139" i="14"/>
  <c r="M139" i="14"/>
  <c r="G139" i="14"/>
  <c r="S138" i="14"/>
  <c r="S137" i="14"/>
  <c r="Y136" i="14"/>
  <c r="S136" i="14"/>
  <c r="S135" i="14"/>
  <c r="J134" i="14"/>
  <c r="J133" i="14"/>
  <c r="AA149" i="14" s="1"/>
  <c r="E133" i="14"/>
  <c r="E132" i="14"/>
  <c r="E131" i="14"/>
  <c r="E130" i="14"/>
  <c r="E129" i="14"/>
  <c r="E128" i="14"/>
  <c r="J126" i="14"/>
  <c r="Y125" i="14"/>
  <c r="C150" i="14" s="1"/>
  <c r="K150" i="14" s="1"/>
  <c r="S150" i="14" s="1"/>
  <c r="J125" i="14"/>
  <c r="AA125" i="14" s="1"/>
  <c r="J124" i="14"/>
  <c r="AA123" i="14"/>
  <c r="Y122" i="14"/>
  <c r="X122" i="14"/>
  <c r="W122" i="14"/>
  <c r="G122" i="14"/>
  <c r="AA117" i="14"/>
  <c r="J117" i="14"/>
  <c r="AA115" i="14"/>
  <c r="J115" i="14"/>
  <c r="AA113" i="14"/>
  <c r="G110" i="14"/>
  <c r="S109" i="14"/>
  <c r="M109" i="14"/>
  <c r="G109" i="14"/>
  <c r="S107" i="14"/>
  <c r="Y106" i="14"/>
  <c r="S105" i="14"/>
  <c r="J104" i="14"/>
  <c r="AA121" i="14" s="1"/>
  <c r="W103" i="14"/>
  <c r="W133" i="14" s="1"/>
  <c r="AA153" i="14" s="1"/>
  <c r="T103" i="14"/>
  <c r="T133" i="14" s="1"/>
  <c r="N103" i="14"/>
  <c r="N133" i="14" s="1"/>
  <c r="J132" i="14" s="1"/>
  <c r="AA137" i="14" s="1"/>
  <c r="J103" i="14"/>
  <c r="AA119" i="14" s="1"/>
  <c r="E103" i="14"/>
  <c r="Y102" i="14"/>
  <c r="J102" i="14"/>
  <c r="J118" i="14" s="1"/>
  <c r="E102" i="14"/>
  <c r="Y101" i="14"/>
  <c r="E101" i="14"/>
  <c r="J100" i="14"/>
  <c r="E100" i="14"/>
  <c r="J99" i="14"/>
  <c r="E99" i="14"/>
  <c r="E98" i="14"/>
  <c r="Y95" i="14"/>
  <c r="C120" i="14" s="1"/>
  <c r="K120" i="14" s="1"/>
  <c r="S120" i="14" s="1"/>
  <c r="J95" i="14"/>
  <c r="AA95" i="14" s="1"/>
  <c r="J94" i="14"/>
  <c r="Y92" i="14"/>
  <c r="X92" i="14"/>
  <c r="W92" i="14"/>
  <c r="G92" i="14"/>
  <c r="AA87" i="14"/>
  <c r="AL86" i="14"/>
  <c r="AK86" i="14"/>
  <c r="AL85" i="14"/>
  <c r="AK85" i="14"/>
  <c r="AO85" i="14" s="1"/>
  <c r="AA85" i="14"/>
  <c r="AL84" i="14"/>
  <c r="AK84" i="14"/>
  <c r="AL83" i="14"/>
  <c r="AK83" i="14"/>
  <c r="AA83" i="14"/>
  <c r="AL82" i="14"/>
  <c r="AK82" i="14"/>
  <c r="AL81" i="14"/>
  <c r="AK81" i="14"/>
  <c r="AL80" i="14"/>
  <c r="AK80" i="14"/>
  <c r="G80" i="14"/>
  <c r="AL79" i="14"/>
  <c r="AK79" i="14"/>
  <c r="S79" i="14"/>
  <c r="M79" i="14"/>
  <c r="G79" i="14"/>
  <c r="AL78" i="14"/>
  <c r="AK78" i="14"/>
  <c r="AO78" i="14" s="1"/>
  <c r="S78" i="14"/>
  <c r="AL77" i="14"/>
  <c r="AK77" i="14"/>
  <c r="S77" i="14"/>
  <c r="AL76" i="14"/>
  <c r="AK76" i="14"/>
  <c r="AO76" i="14" s="1"/>
  <c r="Y76" i="14"/>
  <c r="S76" i="14"/>
  <c r="AL75" i="14"/>
  <c r="AK75" i="14"/>
  <c r="S75" i="14"/>
  <c r="AL74" i="14"/>
  <c r="AK74" i="14"/>
  <c r="J74" i="14"/>
  <c r="AL73" i="14"/>
  <c r="AK73" i="14"/>
  <c r="AO73" i="14" s="1"/>
  <c r="W73" i="14"/>
  <c r="AA93" i="14" s="1"/>
  <c r="T73" i="14"/>
  <c r="N73" i="14"/>
  <c r="J73" i="14"/>
  <c r="AA89" i="14" s="1"/>
  <c r="E73" i="14"/>
  <c r="AL72" i="14"/>
  <c r="AK72" i="14"/>
  <c r="Y72" i="14"/>
  <c r="J72" i="14"/>
  <c r="AA77" i="14" s="1"/>
  <c r="E72" i="14"/>
  <c r="AL71" i="14"/>
  <c r="AK71" i="14"/>
  <c r="Y71" i="14"/>
  <c r="E71" i="14"/>
  <c r="AL70" i="14"/>
  <c r="AK70" i="14"/>
  <c r="J70" i="14"/>
  <c r="E70" i="14"/>
  <c r="AL69" i="14"/>
  <c r="AK69" i="14"/>
  <c r="J69" i="14"/>
  <c r="J71" i="14" s="1"/>
  <c r="E69" i="14"/>
  <c r="AL68" i="14"/>
  <c r="AK68" i="14"/>
  <c r="AO68" i="14" s="1"/>
  <c r="E68" i="14"/>
  <c r="AL67" i="14"/>
  <c r="AK67" i="14"/>
  <c r="AL66" i="14"/>
  <c r="AK66" i="14"/>
  <c r="AL65" i="14"/>
  <c r="AO65" i="14" s="1"/>
  <c r="AK65" i="14"/>
  <c r="Y65" i="14"/>
  <c r="C90" i="14" s="1"/>
  <c r="K90" i="14" s="1"/>
  <c r="S90" i="14" s="1"/>
  <c r="J65" i="14"/>
  <c r="AA65" i="14" s="1"/>
  <c r="AL64" i="14"/>
  <c r="AK64" i="14"/>
  <c r="J64" i="14"/>
  <c r="AL63" i="14"/>
  <c r="AK63" i="14"/>
  <c r="AO63" i="14" s="1"/>
  <c r="Y62" i="14"/>
  <c r="X62" i="14"/>
  <c r="W62" i="14"/>
  <c r="G62" i="14"/>
  <c r="AA57" i="14"/>
  <c r="AM56" i="14"/>
  <c r="AL56" i="14"/>
  <c r="AK56" i="14"/>
  <c r="AJ56" i="14"/>
  <c r="AN56" i="14"/>
  <c r="AM55" i="14"/>
  <c r="AL55" i="14"/>
  <c r="AK55" i="14"/>
  <c r="AJ55" i="14"/>
  <c r="AN55" i="14" s="1"/>
  <c r="AA55" i="14"/>
  <c r="AM54" i="14"/>
  <c r="AL54" i="14"/>
  <c r="AK54" i="14"/>
  <c r="AN54" i="14" s="1"/>
  <c r="AJ54" i="14"/>
  <c r="AM53" i="14"/>
  <c r="AL53" i="14"/>
  <c r="AK53" i="14"/>
  <c r="AJ53" i="14"/>
  <c r="AA53" i="14"/>
  <c r="AM52" i="14"/>
  <c r="AL52" i="14"/>
  <c r="AK52" i="14"/>
  <c r="AJ52" i="14"/>
  <c r="AM51" i="14"/>
  <c r="AL51" i="14"/>
  <c r="AK51" i="14"/>
  <c r="AJ51" i="14"/>
  <c r="AM50" i="14"/>
  <c r="AL50" i="14"/>
  <c r="AK50" i="14"/>
  <c r="AJ50" i="14"/>
  <c r="G50" i="14"/>
  <c r="AM49" i="14"/>
  <c r="AL49" i="14"/>
  <c r="AK49" i="14"/>
  <c r="AJ49" i="14"/>
  <c r="S49" i="14"/>
  <c r="M49" i="14"/>
  <c r="G49" i="14"/>
  <c r="AQ56" i="14" s="1"/>
  <c r="AM48" i="14"/>
  <c r="AL48" i="14"/>
  <c r="AK48" i="14"/>
  <c r="AJ48" i="14"/>
  <c r="S48" i="14"/>
  <c r="AM47" i="14"/>
  <c r="AL47" i="14"/>
  <c r="AK47" i="14"/>
  <c r="AJ47" i="14"/>
  <c r="S47" i="14"/>
  <c r="AM46" i="14"/>
  <c r="AL46" i="14"/>
  <c r="AK46" i="14"/>
  <c r="AJ46" i="14"/>
  <c r="AN46" i="14" s="1"/>
  <c r="Y46" i="14"/>
  <c r="S46" i="14"/>
  <c r="AM45" i="14"/>
  <c r="AL45" i="14"/>
  <c r="AK45" i="14"/>
  <c r="AJ45" i="14"/>
  <c r="S45" i="14"/>
  <c r="AM44" i="14"/>
  <c r="AL44" i="14"/>
  <c r="AK44" i="14"/>
  <c r="AJ44" i="14"/>
  <c r="J44" i="14"/>
  <c r="AA61" i="14" s="1"/>
  <c r="AM43" i="14"/>
  <c r="AL43" i="14"/>
  <c r="AK43" i="14"/>
  <c r="AJ43" i="14"/>
  <c r="W43" i="14"/>
  <c r="T43" i="14"/>
  <c r="N43" i="14"/>
  <c r="J43" i="14"/>
  <c r="AA59" i="14" s="1"/>
  <c r="E43" i="14"/>
  <c r="AM42" i="14"/>
  <c r="AL42" i="14"/>
  <c r="AK42" i="14"/>
  <c r="AJ42" i="14"/>
  <c r="Y42" i="14"/>
  <c r="J42" i="14"/>
  <c r="AA47" i="14" s="1"/>
  <c r="E42" i="14"/>
  <c r="E44" i="14" s="1"/>
  <c r="AM41" i="14"/>
  <c r="AL41" i="14"/>
  <c r="AK41" i="14"/>
  <c r="AJ41" i="14"/>
  <c r="Y41" i="14"/>
  <c r="E41" i="14"/>
  <c r="AM40" i="14"/>
  <c r="AL40" i="14"/>
  <c r="AK40" i="14"/>
  <c r="AJ40" i="14"/>
  <c r="J40" i="14"/>
  <c r="E40" i="14"/>
  <c r="AM39" i="14"/>
  <c r="AL39" i="14"/>
  <c r="AK39" i="14"/>
  <c r="AJ39" i="14"/>
  <c r="AN39" i="14" s="1"/>
  <c r="J39" i="14"/>
  <c r="E39" i="14"/>
  <c r="AM38" i="14"/>
  <c r="AL38" i="14"/>
  <c r="AK38" i="14"/>
  <c r="AJ38" i="14"/>
  <c r="E38" i="14"/>
  <c r="AM37" i="14"/>
  <c r="AL37" i="14"/>
  <c r="AK37" i="14"/>
  <c r="AJ37" i="14"/>
  <c r="AM36" i="14"/>
  <c r="AL36" i="14"/>
  <c r="AK36" i="14"/>
  <c r="AJ36" i="14"/>
  <c r="AM35" i="14"/>
  <c r="AL35" i="14"/>
  <c r="AK35" i="14"/>
  <c r="AJ35" i="14"/>
  <c r="Y35" i="14"/>
  <c r="C60" i="14" s="1"/>
  <c r="K60" i="14" s="1"/>
  <c r="S60" i="14" s="1"/>
  <c r="J35" i="14"/>
  <c r="AA35" i="14" s="1"/>
  <c r="AM34" i="14"/>
  <c r="AL34" i="14"/>
  <c r="AK34" i="14"/>
  <c r="AJ34" i="14"/>
  <c r="J34" i="14"/>
  <c r="AM33" i="14"/>
  <c r="AL33" i="14"/>
  <c r="AK33" i="14"/>
  <c r="AJ33" i="14"/>
  <c r="AA33" i="14"/>
  <c r="Y32" i="14"/>
  <c r="X32" i="14"/>
  <c r="W32" i="14"/>
  <c r="AA27" i="14"/>
  <c r="AA25" i="14"/>
  <c r="AK24" i="14"/>
  <c r="AO24" i="14" s="1"/>
  <c r="AK23" i="14"/>
  <c r="AO23" i="14" s="1"/>
  <c r="AK22" i="14"/>
  <c r="AO22" i="14" s="1"/>
  <c r="BF21" i="14"/>
  <c r="BE21" i="14"/>
  <c r="BD21" i="14"/>
  <c r="BC21" i="14"/>
  <c r="BB21" i="14"/>
  <c r="BA21" i="14"/>
  <c r="AZ21" i="14"/>
  <c r="AY21" i="14"/>
  <c r="AX21" i="14"/>
  <c r="AW21" i="14"/>
  <c r="AK21" i="14"/>
  <c r="AO21" i="14" s="1"/>
  <c r="BF20" i="14"/>
  <c r="BE20" i="14"/>
  <c r="BD20" i="14"/>
  <c r="BC20" i="14"/>
  <c r="BB20" i="14"/>
  <c r="BA20" i="14"/>
  <c r="AZ20" i="14"/>
  <c r="AY20" i="14"/>
  <c r="AX20" i="14"/>
  <c r="AW20" i="14"/>
  <c r="AK20" i="14"/>
  <c r="AO20" i="14" s="1"/>
  <c r="L20" i="14"/>
  <c r="BF19" i="14"/>
  <c r="BE19" i="14"/>
  <c r="BD19" i="14"/>
  <c r="BC19" i="14"/>
  <c r="BB19" i="14"/>
  <c r="BA19" i="14"/>
  <c r="AZ19" i="14"/>
  <c r="AY19" i="14"/>
  <c r="AX19" i="14"/>
  <c r="AW19" i="14"/>
  <c r="AK19" i="14"/>
  <c r="AO19" i="14" s="1"/>
  <c r="M19" i="14"/>
  <c r="L19" i="14"/>
  <c r="BF18" i="14"/>
  <c r="BE18" i="14"/>
  <c r="BD18" i="14"/>
  <c r="BC18" i="14"/>
  <c r="BB18" i="14"/>
  <c r="BA18" i="14"/>
  <c r="AZ18" i="14"/>
  <c r="AY18" i="14"/>
  <c r="AX18" i="14"/>
  <c r="AW18" i="14"/>
  <c r="AK18" i="14"/>
  <c r="AO18" i="14" s="1"/>
  <c r="BF17" i="14"/>
  <c r="BE17" i="14"/>
  <c r="BD17" i="14"/>
  <c r="BC17" i="14"/>
  <c r="BB17" i="14"/>
  <c r="BA17" i="14"/>
  <c r="AZ17" i="14"/>
  <c r="AY17" i="14"/>
  <c r="AX17" i="14"/>
  <c r="AW17" i="14"/>
  <c r="AK17" i="14"/>
  <c r="AO17" i="14" s="1"/>
  <c r="G17" i="14"/>
  <c r="AQ11" i="14" s="1"/>
  <c r="AU8" i="14" s="1"/>
  <c r="BF16" i="14"/>
  <c r="BE16" i="14"/>
  <c r="BD16" i="14"/>
  <c r="BC16" i="14"/>
  <c r="BB16" i="14"/>
  <c r="BA16" i="14"/>
  <c r="AZ16" i="14"/>
  <c r="AY16" i="14"/>
  <c r="AX16" i="14"/>
  <c r="AW16" i="14"/>
  <c r="AK16" i="14"/>
  <c r="AO16" i="14" s="1"/>
  <c r="Y16" i="14"/>
  <c r="BF15" i="14"/>
  <c r="BE15" i="14"/>
  <c r="BD15" i="14"/>
  <c r="BC15" i="14"/>
  <c r="BB15" i="14"/>
  <c r="BA15" i="14"/>
  <c r="AZ15" i="14"/>
  <c r="AY15" i="14"/>
  <c r="AX15" i="14"/>
  <c r="AW15" i="14"/>
  <c r="AK15" i="14"/>
  <c r="AO15" i="14" s="1"/>
  <c r="BF14" i="14"/>
  <c r="BE14" i="14"/>
  <c r="BD14" i="14"/>
  <c r="BC14" i="14"/>
  <c r="BB14" i="14"/>
  <c r="BA14" i="14"/>
  <c r="AZ14" i="14"/>
  <c r="AY14" i="14"/>
  <c r="AX14" i="14"/>
  <c r="AW14" i="14"/>
  <c r="AK14" i="14"/>
  <c r="AO14" i="14" s="1"/>
  <c r="J14" i="14"/>
  <c r="AA31" i="14" s="1"/>
  <c r="I14" i="14"/>
  <c r="I44" i="14" s="1"/>
  <c r="I74" i="14" s="1"/>
  <c r="I104" i="14" s="1"/>
  <c r="I134" i="14" s="1"/>
  <c r="I164" i="14" s="1"/>
  <c r="I194" i="14" s="1"/>
  <c r="I224" i="14" s="1"/>
  <c r="I254" i="14" s="1"/>
  <c r="I284" i="14" s="1"/>
  <c r="I314" i="14" s="1"/>
  <c r="I344" i="14" s="1"/>
  <c r="I374" i="14" s="1"/>
  <c r="I404" i="14" s="1"/>
  <c r="I434" i="14" s="1"/>
  <c r="I464" i="14" s="1"/>
  <c r="I494" i="14" s="1"/>
  <c r="I524" i="14" s="1"/>
  <c r="I554" i="14" s="1"/>
  <c r="I584" i="14" s="1"/>
  <c r="H14" i="14"/>
  <c r="H44" i="14" s="1"/>
  <c r="H74" i="14" s="1"/>
  <c r="H104" i="14" s="1"/>
  <c r="H134" i="14" s="1"/>
  <c r="H164" i="14" s="1"/>
  <c r="H194" i="14" s="1"/>
  <c r="H224" i="14" s="1"/>
  <c r="H254" i="14" s="1"/>
  <c r="H284" i="14" s="1"/>
  <c r="H314" i="14" s="1"/>
  <c r="H344" i="14" s="1"/>
  <c r="H374" i="14" s="1"/>
  <c r="H404" i="14" s="1"/>
  <c r="H434" i="14" s="1"/>
  <c r="H464" i="14" s="1"/>
  <c r="H494" i="14" s="1"/>
  <c r="H524" i="14" s="1"/>
  <c r="H554" i="14" s="1"/>
  <c r="H584" i="14" s="1"/>
  <c r="G14" i="14"/>
  <c r="G44" i="14" s="1"/>
  <c r="G74" i="14" s="1"/>
  <c r="G104" i="14" s="1"/>
  <c r="G134" i="14" s="1"/>
  <c r="BF13" i="14"/>
  <c r="BE13" i="14"/>
  <c r="BD13" i="14"/>
  <c r="BC13" i="14"/>
  <c r="BB13" i="14"/>
  <c r="BA13" i="14"/>
  <c r="AZ13" i="14"/>
  <c r="AY13" i="14"/>
  <c r="AX13" i="14"/>
  <c r="AW13" i="14"/>
  <c r="AK13" i="14"/>
  <c r="AO13" i="14" s="1"/>
  <c r="J13" i="14"/>
  <c r="AA29" i="14" s="1"/>
  <c r="E13" i="14"/>
  <c r="BF12" i="14"/>
  <c r="BE12" i="14"/>
  <c r="BD12" i="14"/>
  <c r="BC12" i="14"/>
  <c r="BB12" i="14"/>
  <c r="BA12" i="14"/>
  <c r="AZ12" i="14"/>
  <c r="AY12" i="14"/>
  <c r="AX12" i="14"/>
  <c r="AW12" i="14"/>
  <c r="AK12" i="14"/>
  <c r="AO12" i="14" s="1"/>
  <c r="J12" i="14"/>
  <c r="AA17" i="14"/>
  <c r="H12" i="14"/>
  <c r="H42" i="14" s="1"/>
  <c r="I42" i="14" s="1"/>
  <c r="E12" i="14"/>
  <c r="E14" i="14" s="1"/>
  <c r="BF11" i="14"/>
  <c r="BE11" i="14"/>
  <c r="BD11" i="14"/>
  <c r="BC11" i="14"/>
  <c r="BB11" i="14"/>
  <c r="BA11" i="14"/>
  <c r="AZ11" i="14"/>
  <c r="AY11" i="14"/>
  <c r="AX11" i="14"/>
  <c r="AW11" i="14"/>
  <c r="AK11" i="14"/>
  <c r="AO11" i="14"/>
  <c r="E11" i="14"/>
  <c r="BF10" i="14"/>
  <c r="BE10" i="14"/>
  <c r="BD10" i="14"/>
  <c r="BC10" i="14"/>
  <c r="BB10" i="14"/>
  <c r="BA10" i="14"/>
  <c r="AZ10" i="14"/>
  <c r="AY10" i="14"/>
  <c r="AX10" i="14"/>
  <c r="AW10" i="14"/>
  <c r="AK10" i="14"/>
  <c r="AO10" i="14" s="1"/>
  <c r="J10" i="14"/>
  <c r="E10" i="14"/>
  <c r="BF9" i="14"/>
  <c r="BE9" i="14"/>
  <c r="BD9" i="14"/>
  <c r="BC9" i="14"/>
  <c r="BB9" i="14"/>
  <c r="BA9" i="14"/>
  <c r="AZ9" i="14"/>
  <c r="AY9" i="14"/>
  <c r="AX9" i="14"/>
  <c r="AW9" i="14"/>
  <c r="AK9" i="14"/>
  <c r="AO9" i="14"/>
  <c r="J9" i="14"/>
  <c r="E9" i="14"/>
  <c r="BF8" i="14"/>
  <c r="BE8" i="14"/>
  <c r="BD8" i="14"/>
  <c r="BC8" i="14"/>
  <c r="BB8" i="14"/>
  <c r="BA8" i="14"/>
  <c r="AZ8" i="14"/>
  <c r="AY8" i="14"/>
  <c r="AX8" i="14"/>
  <c r="AW8" i="14"/>
  <c r="AK8" i="14"/>
  <c r="AO8" i="14" s="1"/>
  <c r="H8" i="14"/>
  <c r="H38" i="14" s="1"/>
  <c r="H68" i="14" s="1"/>
  <c r="H98" i="14" s="1"/>
  <c r="H128" i="14" s="1"/>
  <c r="H158" i="14" s="1"/>
  <c r="H188" i="14" s="1"/>
  <c r="H218" i="14" s="1"/>
  <c r="H248" i="14" s="1"/>
  <c r="H278" i="14" s="1"/>
  <c r="H308" i="14" s="1"/>
  <c r="H338" i="14" s="1"/>
  <c r="H368" i="14" s="1"/>
  <c r="H398" i="14" s="1"/>
  <c r="H428" i="14" s="1"/>
  <c r="H458" i="14" s="1"/>
  <c r="H488" i="14" s="1"/>
  <c r="H518" i="14" s="1"/>
  <c r="H548" i="14" s="1"/>
  <c r="H578" i="14" s="1"/>
  <c r="G8" i="14"/>
  <c r="G38" i="14"/>
  <c r="G68" i="14" s="1"/>
  <c r="G98" i="14" s="1"/>
  <c r="G128" i="14" s="1"/>
  <c r="G158" i="14" s="1"/>
  <c r="G188" i="14" s="1"/>
  <c r="G218" i="14" s="1"/>
  <c r="G248" i="14" s="1"/>
  <c r="G278" i="14" s="1"/>
  <c r="G308" i="14" s="1"/>
  <c r="G338" i="14" s="1"/>
  <c r="G368" i="14" s="1"/>
  <c r="G398" i="14" s="1"/>
  <c r="G428" i="14" s="1"/>
  <c r="G458" i="14" s="1"/>
  <c r="G488" i="14" s="1"/>
  <c r="G518" i="14" s="1"/>
  <c r="G548" i="14" s="1"/>
  <c r="G578" i="14" s="1"/>
  <c r="E8" i="14"/>
  <c r="BF7" i="14"/>
  <c r="BE7" i="14"/>
  <c r="BD7" i="14"/>
  <c r="BC7" i="14"/>
  <c r="BB7" i="14"/>
  <c r="BA7" i="14"/>
  <c r="AZ7" i="14"/>
  <c r="AY7" i="14"/>
  <c r="AX7" i="14"/>
  <c r="AW7" i="14"/>
  <c r="AQ7" i="14"/>
  <c r="AU4" i="14" s="1"/>
  <c r="AK7" i="14"/>
  <c r="AO7" i="14" s="1"/>
  <c r="G7" i="14"/>
  <c r="G37" i="14" s="1"/>
  <c r="G67" i="14" s="1"/>
  <c r="G97" i="14" s="1"/>
  <c r="G127" i="14" s="1"/>
  <c r="G157" i="14" s="1"/>
  <c r="G187" i="14" s="1"/>
  <c r="G217" i="14" s="1"/>
  <c r="G247" i="14" s="1"/>
  <c r="G277" i="14" s="1"/>
  <c r="G307" i="14" s="1"/>
  <c r="G337" i="14" s="1"/>
  <c r="G367" i="14" s="1"/>
  <c r="G397" i="14" s="1"/>
  <c r="G427" i="14" s="1"/>
  <c r="G457" i="14" s="1"/>
  <c r="G487" i="14" s="1"/>
  <c r="G517" i="14" s="1"/>
  <c r="G547" i="14" s="1"/>
  <c r="G577" i="14" s="1"/>
  <c r="BF6" i="14"/>
  <c r="BE6" i="14"/>
  <c r="BD6" i="14"/>
  <c r="BC6" i="14"/>
  <c r="BB6" i="14"/>
  <c r="BA6" i="14"/>
  <c r="AZ6" i="14"/>
  <c r="AY6" i="14"/>
  <c r="AX6" i="14"/>
  <c r="AW6" i="14"/>
  <c r="AK6" i="14"/>
  <c r="AO6" i="14" s="1"/>
  <c r="BF5" i="14"/>
  <c r="BE5" i="14"/>
  <c r="BD5" i="14"/>
  <c r="BC5" i="14"/>
  <c r="BB5" i="14"/>
  <c r="BA5" i="14"/>
  <c r="AZ5" i="14"/>
  <c r="AY5" i="14"/>
  <c r="AX5" i="14"/>
  <c r="AW5" i="14"/>
  <c r="AQ5" i="14"/>
  <c r="AU2" i="14" s="1"/>
  <c r="AK5" i="14"/>
  <c r="AO5" i="14" s="1"/>
  <c r="BF4" i="14"/>
  <c r="BE4" i="14"/>
  <c r="BD4" i="14"/>
  <c r="BC4" i="14"/>
  <c r="BB4" i="14"/>
  <c r="BA4" i="14"/>
  <c r="AZ4" i="14"/>
  <c r="AY4" i="14"/>
  <c r="AX4" i="14"/>
  <c r="AW4" i="14"/>
  <c r="AQ4" i="14"/>
  <c r="AU1" i="14" s="1"/>
  <c r="AK4" i="14"/>
  <c r="AO4" i="14" s="1"/>
  <c r="J4" i="14"/>
  <c r="BF3" i="14"/>
  <c r="BE3" i="14"/>
  <c r="BD3" i="14"/>
  <c r="BC3" i="14"/>
  <c r="BB3" i="14"/>
  <c r="BA3" i="14"/>
  <c r="AZ3" i="14"/>
  <c r="AY3" i="14"/>
  <c r="AX3" i="14"/>
  <c r="AW3" i="14"/>
  <c r="AK3" i="14"/>
  <c r="AO3" i="14" s="1"/>
  <c r="O3" i="14"/>
  <c r="BF2" i="14"/>
  <c r="BE2" i="14"/>
  <c r="BD2" i="14"/>
  <c r="BC2" i="14"/>
  <c r="BB2" i="14"/>
  <c r="BA2" i="14"/>
  <c r="AZ2" i="14"/>
  <c r="AY2" i="14"/>
  <c r="AX2" i="14"/>
  <c r="AW2" i="14"/>
  <c r="BG2" i="14" s="1"/>
  <c r="AK2" i="14"/>
  <c r="AO2" i="14" s="1"/>
  <c r="O2" i="14"/>
  <c r="AK1" i="14"/>
  <c r="AO1" i="14" s="1"/>
  <c r="O1" i="14"/>
  <c r="I36" i="12"/>
  <c r="G36" i="12"/>
  <c r="N53" i="11"/>
  <c r="A8" i="12"/>
  <c r="AL11" i="10"/>
  <c r="AL12" i="10" s="1"/>
  <c r="AL13" i="10" s="1"/>
  <c r="AL14" i="10" s="1"/>
  <c r="AL15" i="10" s="1"/>
  <c r="AL16" i="10" s="1"/>
  <c r="AK11" i="10"/>
  <c r="AK12" i="10" s="1"/>
  <c r="AK13" i="10" s="1"/>
  <c r="AK14" i="10" s="1"/>
  <c r="AK15" i="10" s="1"/>
  <c r="AK16" i="10" s="1"/>
  <c r="AK17" i="10" s="1"/>
  <c r="AK18" i="10" s="1"/>
  <c r="AK19" i="10" s="1"/>
  <c r="AK20" i="10" s="1"/>
  <c r="AK21" i="10" s="1"/>
  <c r="AK22" i="10" s="1"/>
  <c r="AK23" i="10" s="1"/>
  <c r="AN11" i="10"/>
  <c r="AN12" i="10"/>
  <c r="AN13" i="10" s="1"/>
  <c r="AN14" i="10" s="1"/>
  <c r="AN15" i="10" s="1"/>
  <c r="AN16" i="10" s="1"/>
  <c r="AN17" i="10" s="1"/>
  <c r="AN18" i="10" s="1"/>
  <c r="AN19" i="10" s="1"/>
  <c r="AN20" i="10" s="1"/>
  <c r="AN21" i="10" s="1"/>
  <c r="AN22" i="10" s="1"/>
  <c r="AN23" i="10" s="1"/>
  <c r="AN24" i="10" s="1"/>
  <c r="AM11" i="10"/>
  <c r="AM12" i="10" s="1"/>
  <c r="AM13" i="10" s="1"/>
  <c r="AM14" i="10" s="1"/>
  <c r="AM15" i="10" s="1"/>
  <c r="AM16" i="10" s="1"/>
  <c r="R44" i="10"/>
  <c r="R52" i="10" s="1"/>
  <c r="AD34" i="9"/>
  <c r="AD33" i="9"/>
  <c r="AD32" i="9"/>
  <c r="AD31" i="9"/>
  <c r="AD30" i="9"/>
  <c r="AD29" i="9"/>
  <c r="AD28" i="9"/>
  <c r="AD27" i="9"/>
  <c r="AD26" i="9"/>
  <c r="AD25" i="9"/>
  <c r="AD24" i="9"/>
  <c r="AD23" i="9"/>
  <c r="AD22" i="9"/>
  <c r="AD21" i="9"/>
  <c r="AD20" i="9"/>
  <c r="AD19" i="9"/>
  <c r="AE18" i="9"/>
  <c r="AD18" i="9"/>
  <c r="AE17" i="9"/>
  <c r="AD17" i="9"/>
  <c r="AD16" i="9"/>
  <c r="AD15" i="9"/>
  <c r="K9" i="2"/>
  <c r="H9" i="2"/>
  <c r="E9" i="2"/>
  <c r="AE8" i="15"/>
  <c r="AW3" i="7"/>
  <c r="AW4" i="7" s="1"/>
  <c r="AW5" i="7" s="1"/>
  <c r="AW6" i="7" s="1"/>
  <c r="AW7" i="7" s="1"/>
  <c r="AZ45" i="7"/>
  <c r="W33" i="7"/>
  <c r="BA3" i="7"/>
  <c r="BA4" i="7" s="1"/>
  <c r="BA5" i="7" s="1"/>
  <c r="BA6" i="7" s="1"/>
  <c r="BA7" i="7" s="1"/>
  <c r="AY3" i="7"/>
  <c r="AY4" i="7" s="1"/>
  <c r="AY5" i="7" s="1"/>
  <c r="AY6" i="7" s="1"/>
  <c r="AY7" i="7" s="1"/>
  <c r="E38" i="7" s="1"/>
  <c r="AX3" i="7"/>
  <c r="AX4" i="7" s="1"/>
  <c r="AX5" i="7" s="1"/>
  <c r="AX6" i="7" s="1"/>
  <c r="AX7" i="7" s="1"/>
  <c r="O16" i="6"/>
  <c r="O33" i="6" s="1"/>
  <c r="O50" i="6" s="1"/>
  <c r="O67" i="6" s="1"/>
  <c r="C16" i="6"/>
  <c r="C33" i="6" s="1"/>
  <c r="C50" i="6" s="1"/>
  <c r="C67" i="6" s="1"/>
  <c r="O15" i="6"/>
  <c r="O32" i="6" s="1"/>
  <c r="O49" i="6" s="1"/>
  <c r="O66" i="6" s="1"/>
  <c r="C15" i="6"/>
  <c r="C32" i="6" s="1"/>
  <c r="C49" i="6" s="1"/>
  <c r="C66" i="6" s="1"/>
  <c r="O14" i="6"/>
  <c r="O31" i="6" s="1"/>
  <c r="O48" i="6" s="1"/>
  <c r="O65" i="6" s="1"/>
  <c r="C14" i="6"/>
  <c r="C31" i="6" s="1"/>
  <c r="C48" i="6" s="1"/>
  <c r="C65" i="6" s="1"/>
  <c r="O13" i="6"/>
  <c r="O30" i="6" s="1"/>
  <c r="O47" i="6" s="1"/>
  <c r="O64" i="6" s="1"/>
  <c r="C13" i="6"/>
  <c r="C30" i="6" s="1"/>
  <c r="C47" i="6" s="1"/>
  <c r="C64" i="6" s="1"/>
  <c r="I10" i="6"/>
  <c r="I27" i="6" s="1"/>
  <c r="I44" i="6" s="1"/>
  <c r="I61" i="6" s="1"/>
  <c r="I9" i="6"/>
  <c r="Y9" i="6" s="1"/>
  <c r="Y26" i="6" s="1"/>
  <c r="Y43" i="6" s="1"/>
  <c r="Y60" i="6" s="1"/>
  <c r="I8" i="6"/>
  <c r="I25" i="6" s="1"/>
  <c r="I42" i="6" s="1"/>
  <c r="I59" i="6" s="1"/>
  <c r="I7" i="6"/>
  <c r="I24" i="6" s="1"/>
  <c r="I41" i="6" s="1"/>
  <c r="I58" i="6" s="1"/>
  <c r="T36" i="3"/>
  <c r="T39" i="3"/>
  <c r="T40" i="3"/>
  <c r="T41" i="3"/>
  <c r="T42" i="3"/>
  <c r="T43" i="3"/>
  <c r="T44" i="3"/>
  <c r="T45" i="3"/>
  <c r="T46" i="3"/>
  <c r="T47" i="3"/>
  <c r="T48" i="3"/>
  <c r="T49" i="3"/>
  <c r="T50" i="3"/>
  <c r="T51" i="3"/>
  <c r="U5" i="3"/>
  <c r="S5" i="3"/>
  <c r="L37" i="2"/>
  <c r="N37" i="2"/>
  <c r="P37" i="2"/>
  <c r="R37" i="2"/>
  <c r="T37" i="2"/>
  <c r="X37" i="2"/>
  <c r="Y10" i="6"/>
  <c r="Y27" i="6" s="1"/>
  <c r="Y44" i="6" s="1"/>
  <c r="Y61" i="6" s="1"/>
  <c r="AE13" i="6"/>
  <c r="AE30" i="6" s="1"/>
  <c r="AE47" i="6" s="1"/>
  <c r="AE64" i="6" s="1"/>
  <c r="AA577" i="14"/>
  <c r="AA457" i="14"/>
  <c r="J450" i="14"/>
  <c r="AA367" i="14"/>
  <c r="J330" i="14"/>
  <c r="AQ17" i="14"/>
  <c r="AU14" i="14" s="1"/>
  <c r="AA97" i="14"/>
  <c r="J240" i="14"/>
  <c r="J300" i="14"/>
  <c r="S19" i="12"/>
  <c r="S17" i="12"/>
  <c r="AA277" i="14"/>
  <c r="AQ34" i="14"/>
  <c r="AU34" i="14" s="1"/>
  <c r="S16" i="6"/>
  <c r="S33" i="6" s="1"/>
  <c r="S50" i="6" s="1"/>
  <c r="S67" i="6" s="1"/>
  <c r="J161" i="14"/>
  <c r="AQ54" i="14"/>
  <c r="AQ42" i="14"/>
  <c r="AU42" i="14" s="1"/>
  <c r="J281" i="14"/>
  <c r="V1" i="24"/>
  <c r="W2" i="23"/>
  <c r="X29" i="23" s="1"/>
  <c r="X69" i="23" s="1"/>
  <c r="X109" i="23" s="1"/>
  <c r="X149" i="23" s="1"/>
  <c r="X189" i="23" s="1"/>
  <c r="X229" i="23" s="1"/>
  <c r="X269" i="23" s="1"/>
  <c r="X309" i="23" s="1"/>
  <c r="X349" i="23" s="1"/>
  <c r="X389" i="23" s="1"/>
  <c r="X429" i="23" s="1"/>
  <c r="X469" i="23" s="1"/>
  <c r="X509" i="23" s="1"/>
  <c r="X549" i="23" s="1"/>
  <c r="X589" i="23" s="1"/>
  <c r="X629" i="23" s="1"/>
  <c r="X669" i="23" s="1"/>
  <c r="X709" i="23" s="1"/>
  <c r="X749" i="23" s="1"/>
  <c r="X789" i="23" s="1"/>
  <c r="S4" i="13"/>
  <c r="V4" i="13" s="1"/>
  <c r="D1" i="9"/>
  <c r="F7" i="9" s="1"/>
  <c r="AQ36" i="14"/>
  <c r="AU36" i="14" s="1"/>
  <c r="AQ48" i="14"/>
  <c r="AU48" i="14" s="1"/>
  <c r="AQ45" i="14"/>
  <c r="AU45" i="14" s="1"/>
  <c r="AO64" i="14"/>
  <c r="S4" i="22"/>
  <c r="T4" i="22" s="1"/>
  <c r="N35" i="12"/>
  <c r="P35" i="12" s="1"/>
  <c r="M36" i="12" s="1"/>
  <c r="K6" i="13"/>
  <c r="C18" i="4" s="1"/>
  <c r="AN35" i="14" l="1"/>
  <c r="AN36" i="14"/>
  <c r="AN38" i="14"/>
  <c r="AQ39" i="14"/>
  <c r="AU39" i="14" s="1"/>
  <c r="AQ33" i="14"/>
  <c r="J180" i="14"/>
  <c r="AQ19" i="14"/>
  <c r="AU16" i="14" s="1"/>
  <c r="AA337" i="14"/>
  <c r="J600" i="14"/>
  <c r="S13" i="6"/>
  <c r="S30" i="6" s="1"/>
  <c r="S47" i="6" s="1"/>
  <c r="S64" i="6" s="1"/>
  <c r="AQ14" i="14"/>
  <c r="AU11" i="14" s="1"/>
  <c r="BG18" i="14"/>
  <c r="BG19" i="14"/>
  <c r="J251" i="14"/>
  <c r="B18" i="2"/>
  <c r="D17" i="2"/>
  <c r="EV33" i="2"/>
  <c r="AC624" i="23"/>
  <c r="BG10" i="14"/>
  <c r="CG19" i="24"/>
  <c r="AQ40" i="14"/>
  <c r="AU40" i="14" s="1"/>
  <c r="AQ52" i="14"/>
  <c r="AQ53" i="14"/>
  <c r="AA7" i="14"/>
  <c r="AE14" i="6"/>
  <c r="AE31" i="6" s="1"/>
  <c r="AE48" i="6" s="1"/>
  <c r="AE65" i="6" s="1"/>
  <c r="BG7" i="14"/>
  <c r="J521" i="14"/>
  <c r="E554" i="14"/>
  <c r="BY32" i="2"/>
  <c r="CW33" i="2"/>
  <c r="EN32" i="2"/>
  <c r="FB32" i="2"/>
  <c r="DI26" i="2"/>
  <c r="M8" i="16" s="1"/>
  <c r="S3" i="24"/>
  <c r="CW19" i="24"/>
  <c r="CK19" i="24"/>
  <c r="AE664" i="23"/>
  <c r="AV1" i="13"/>
  <c r="C27" i="13" s="1"/>
  <c r="AN14" i="15"/>
  <c r="Q37" i="15"/>
  <c r="J581" i="14"/>
  <c r="AQ35" i="14"/>
  <c r="AU35" i="14" s="1"/>
  <c r="AQ47" i="14"/>
  <c r="AU47" i="14" s="1"/>
  <c r="AQ41" i="14"/>
  <c r="AU41" i="14" s="1"/>
  <c r="AQ51" i="14"/>
  <c r="AU51" i="14" s="1"/>
  <c r="AQ43" i="14"/>
  <c r="AU43" i="14" s="1"/>
  <c r="AQ55" i="14"/>
  <c r="AA37" i="14"/>
  <c r="AQ49" i="14"/>
  <c r="AU49" i="14" s="1"/>
  <c r="J390" i="14"/>
  <c r="AA427" i="14"/>
  <c r="S15" i="6"/>
  <c r="S32" i="6" s="1"/>
  <c r="S49" i="6" s="1"/>
  <c r="S66" i="6" s="1"/>
  <c r="I26" i="6"/>
  <c r="I43" i="6" s="1"/>
  <c r="I60" i="6" s="1"/>
  <c r="BG5" i="14"/>
  <c r="BG6" i="14"/>
  <c r="BG12" i="14"/>
  <c r="BG17" i="14"/>
  <c r="AQ38" i="14"/>
  <c r="AU38" i="14" s="1"/>
  <c r="AN41" i="14"/>
  <c r="AO69" i="14"/>
  <c r="AO77" i="14"/>
  <c r="E134" i="14"/>
  <c r="J191" i="14"/>
  <c r="E224" i="14"/>
  <c r="J491" i="14"/>
  <c r="E524" i="14"/>
  <c r="CN29" i="2"/>
  <c r="CQ33" i="2"/>
  <c r="CB37" i="2"/>
  <c r="EU37" i="2"/>
  <c r="FD23" i="2"/>
  <c r="EV34" i="2"/>
  <c r="FF32" i="2"/>
  <c r="DP42" i="2"/>
  <c r="AG664" i="23"/>
  <c r="CA20" i="24"/>
  <c r="S39" i="24"/>
  <c r="BG3" i="14"/>
  <c r="AQ44" i="14"/>
  <c r="AU44" i="14" s="1"/>
  <c r="AQ46" i="14"/>
  <c r="AU46" i="14" s="1"/>
  <c r="AQ37" i="14"/>
  <c r="AU37" i="14" s="1"/>
  <c r="AA247" i="14"/>
  <c r="J60" i="14"/>
  <c r="AA307" i="14"/>
  <c r="AA397" i="14"/>
  <c r="Y7" i="6"/>
  <c r="Y24" i="6" s="1"/>
  <c r="Y41" i="6" s="1"/>
  <c r="Y58" i="6" s="1"/>
  <c r="AN51" i="14"/>
  <c r="AN52" i="14"/>
  <c r="AN53" i="14"/>
  <c r="AO74" i="14"/>
  <c r="AO83" i="14"/>
  <c r="AO86" i="14"/>
  <c r="E104" i="14"/>
  <c r="E464" i="14"/>
  <c r="E584" i="14"/>
  <c r="CT30" i="2"/>
  <c r="ET33" i="2"/>
  <c r="EY29" i="2"/>
  <c r="CU19" i="24"/>
  <c r="CC19" i="24"/>
  <c r="AC584" i="23"/>
  <c r="B17" i="2"/>
  <c r="AU17" i="2"/>
  <c r="Q384" i="23"/>
  <c r="O384" i="23"/>
  <c r="M384" i="23"/>
  <c r="P264" i="23"/>
  <c r="M224" i="23"/>
  <c r="R184" i="23"/>
  <c r="P184" i="23"/>
  <c r="N184" i="23"/>
  <c r="DC38" i="2"/>
  <c r="N264" i="23"/>
  <c r="K134" i="14"/>
  <c r="FE25" i="2"/>
  <c r="CZ25" i="2"/>
  <c r="H72" i="14"/>
  <c r="AA217" i="14"/>
  <c r="AA157" i="14"/>
  <c r="AA67" i="14"/>
  <c r="J360" i="14"/>
  <c r="J510" i="14"/>
  <c r="Y8" i="6"/>
  <c r="Y25" i="6" s="1"/>
  <c r="Y42" i="6" s="1"/>
  <c r="Y59" i="6" s="1"/>
  <c r="BG8" i="14"/>
  <c r="BG14" i="14"/>
  <c r="AN47" i="14"/>
  <c r="AO71" i="14"/>
  <c r="AO80" i="14"/>
  <c r="J371" i="14"/>
  <c r="Q339" i="25"/>
  <c r="M339" i="25"/>
  <c r="M592" i="25" s="1"/>
  <c r="EZ25" i="2"/>
  <c r="CK25" i="2"/>
  <c r="AY8" i="7"/>
  <c r="AY9" i="7" s="1"/>
  <c r="AY10" i="7" s="1"/>
  <c r="AY11" i="7" s="1"/>
  <c r="AY12" i="7" s="1"/>
  <c r="AY13" i="7" s="1"/>
  <c r="AY14" i="7" s="1"/>
  <c r="AY15" i="7" s="1"/>
  <c r="AY16" i="7" s="1"/>
  <c r="AY17" i="7" s="1"/>
  <c r="AY18" i="7" s="1"/>
  <c r="AY19" i="7" s="1"/>
  <c r="AY20" i="7" s="1"/>
  <c r="AY21" i="7" s="1"/>
  <c r="AY22" i="7" s="1"/>
  <c r="AY23" i="7" s="1"/>
  <c r="AY24" i="7" s="1"/>
  <c r="AY25" i="7" s="1"/>
  <c r="AY26" i="7" s="1"/>
  <c r="AY27" i="7" s="1"/>
  <c r="AY28" i="7" s="1"/>
  <c r="AY29" i="7" s="1"/>
  <c r="AY30" i="7" s="1"/>
  <c r="AY31" i="7" s="1"/>
  <c r="AY32" i="7" s="1"/>
  <c r="AY33" i="7" s="1"/>
  <c r="AY34" i="7" s="1"/>
  <c r="AY35" i="7" s="1"/>
  <c r="AY36" i="7" s="1"/>
  <c r="AY37" i="7" s="1"/>
  <c r="AY38" i="7" s="1"/>
  <c r="AY39" i="7" s="1"/>
  <c r="AY40" i="7" s="1"/>
  <c r="AY41" i="7" s="1"/>
  <c r="AY42" i="7" s="1"/>
  <c r="AY43" i="7" s="1"/>
  <c r="AY44" i="7" s="1"/>
  <c r="AY45" i="7" s="1"/>
  <c r="AY46" i="7" s="1"/>
  <c r="AA127" i="14"/>
  <c r="G164" i="14"/>
  <c r="G194" i="14" s="1"/>
  <c r="G224" i="14" s="1"/>
  <c r="G254" i="14" s="1"/>
  <c r="G284" i="14" s="1"/>
  <c r="G314" i="14" s="1"/>
  <c r="G344" i="14" s="1"/>
  <c r="G374" i="14" s="1"/>
  <c r="G404" i="14" s="1"/>
  <c r="G434" i="14" s="1"/>
  <c r="G464" i="14" s="1"/>
  <c r="G494" i="14" s="1"/>
  <c r="G524" i="14" s="1"/>
  <c r="G554" i="14" s="1"/>
  <c r="G584" i="14" s="1"/>
  <c r="AA487" i="14"/>
  <c r="H65" i="10"/>
  <c r="AE15" i="6"/>
  <c r="AE32" i="6" s="1"/>
  <c r="AE49" i="6" s="1"/>
  <c r="AE66" i="6" s="1"/>
  <c r="S14" i="6"/>
  <c r="S31" i="6" s="1"/>
  <c r="S48" i="6" s="1"/>
  <c r="S65" i="6" s="1"/>
  <c r="T7" i="6"/>
  <c r="T24" i="6" s="1"/>
  <c r="T41" i="6" s="1"/>
  <c r="T58" i="6" s="1"/>
  <c r="BG11" i="14"/>
  <c r="J41" i="14"/>
  <c r="AO81" i="14"/>
  <c r="J101" i="14"/>
  <c r="J311" i="14"/>
  <c r="BA25" i="2"/>
  <c r="AL14" i="15"/>
  <c r="AX16" i="15"/>
  <c r="AZ16" i="15" s="1"/>
  <c r="CV19" i="24"/>
  <c r="R525" i="25"/>
  <c r="R589" i="25" s="1"/>
  <c r="J119" i="14"/>
  <c r="I12" i="14"/>
  <c r="AA517" i="14"/>
  <c r="AE16" i="6"/>
  <c r="AE33" i="6" s="1"/>
  <c r="AE50" i="6" s="1"/>
  <c r="AE67" i="6" s="1"/>
  <c r="BG16" i="14"/>
  <c r="BG20" i="14"/>
  <c r="AN48" i="14"/>
  <c r="AN49" i="14"/>
  <c r="AO66" i="14"/>
  <c r="E74" i="14"/>
  <c r="AO75" i="14"/>
  <c r="Q54" i="25"/>
  <c r="M54" i="25"/>
  <c r="L264" i="25"/>
  <c r="D359" i="25"/>
  <c r="D454" i="25" s="1"/>
  <c r="L454" i="25" s="1"/>
  <c r="FF23" i="2"/>
  <c r="DC23" i="2"/>
  <c r="CQ23" i="2"/>
  <c r="FB23" i="2"/>
  <c r="CW28" i="2"/>
  <c r="FD28" i="2"/>
  <c r="EN29" i="2"/>
  <c r="BA29" i="2"/>
  <c r="FE29" i="2"/>
  <c r="CZ29" i="2"/>
  <c r="EW29" i="2"/>
  <c r="CB29" i="2"/>
  <c r="DC31" i="2"/>
  <c r="FF31" i="2"/>
  <c r="CE32" i="2"/>
  <c r="EX32" i="2"/>
  <c r="CK33" i="2"/>
  <c r="EZ33" i="2"/>
  <c r="CW35" i="2"/>
  <c r="FD35" i="2"/>
  <c r="EZ35" i="2"/>
  <c r="CK35" i="2"/>
  <c r="FG37" i="2"/>
  <c r="DF37" i="2"/>
  <c r="CH37" i="2"/>
  <c r="EY37" i="2"/>
  <c r="FC36" i="2"/>
  <c r="CT36" i="2"/>
  <c r="EU36" i="2"/>
  <c r="BV36" i="2"/>
  <c r="BA23" i="2"/>
  <c r="EN23" i="2"/>
  <c r="FE30" i="2"/>
  <c r="CZ30" i="2"/>
  <c r="J11" i="14"/>
  <c r="AN33" i="14"/>
  <c r="AN34" i="14"/>
  <c r="AN42" i="14"/>
  <c r="AN43" i="14"/>
  <c r="AN44" i="14"/>
  <c r="AN45" i="14"/>
  <c r="AO67" i="14"/>
  <c r="AO70" i="14"/>
  <c r="AO79" i="14"/>
  <c r="AO84" i="14"/>
  <c r="J221" i="14"/>
  <c r="J401" i="14"/>
  <c r="J461" i="14"/>
  <c r="J551" i="14"/>
  <c r="DM42" i="2"/>
  <c r="GH54" i="2"/>
  <c r="GL54" i="2"/>
  <c r="GP54" i="2"/>
  <c r="GT54" i="2"/>
  <c r="GO47" i="2"/>
  <c r="GO51" i="2"/>
  <c r="GP46" i="2"/>
  <c r="GS47" i="2"/>
  <c r="GR51" i="2"/>
  <c r="GS50" i="2"/>
  <c r="GV51" i="2"/>
  <c r="GX50" i="2"/>
  <c r="GY50" i="2"/>
  <c r="HD50" i="2"/>
  <c r="HE51" i="2"/>
  <c r="BX21" i="24"/>
  <c r="N69" i="16"/>
  <c r="DK42" i="2"/>
  <c r="DL42" i="2"/>
  <c r="GH55" i="2"/>
  <c r="GL55" i="2"/>
  <c r="GN55" i="2"/>
  <c r="GP55" i="2"/>
  <c r="GT55" i="2"/>
  <c r="HD51" i="2"/>
  <c r="R264" i="23"/>
  <c r="Q224" i="23"/>
  <c r="O104" i="23"/>
  <c r="AC184" i="23"/>
  <c r="AK343" i="23"/>
  <c r="M144" i="23"/>
  <c r="T26" i="7"/>
  <c r="AW8" i="7"/>
  <c r="AW9" i="7" s="1"/>
  <c r="AW10" i="7" s="1"/>
  <c r="AW11" i="7" s="1"/>
  <c r="AW12" i="7" s="1"/>
  <c r="AW13" i="7" s="1"/>
  <c r="AW14" i="7" s="1"/>
  <c r="AW15" i="7" s="1"/>
  <c r="AW16" i="7" s="1"/>
  <c r="AW17" i="7" s="1"/>
  <c r="AW18" i="7" s="1"/>
  <c r="AW19" i="7" s="1"/>
  <c r="AW20" i="7" s="1"/>
  <c r="AW21" i="7" s="1"/>
  <c r="AW22" i="7" s="1"/>
  <c r="AW23" i="7" s="1"/>
  <c r="AW24" i="7" s="1"/>
  <c r="AW25" i="7" s="1"/>
  <c r="AW26" i="7" s="1"/>
  <c r="AW27" i="7" s="1"/>
  <c r="AW28" i="7" s="1"/>
  <c r="AW29" i="7" s="1"/>
  <c r="AW30" i="7" s="1"/>
  <c r="AW31" i="7" s="1"/>
  <c r="AW32" i="7" s="1"/>
  <c r="AW33" i="7" s="1"/>
  <c r="AW34" i="7" s="1"/>
  <c r="AW35" i="7" s="1"/>
  <c r="AW36" i="7" s="1"/>
  <c r="AW37" i="7" s="1"/>
  <c r="AW38" i="7" s="1"/>
  <c r="AW39" i="7" s="1"/>
  <c r="AW40" i="7" s="1"/>
  <c r="AW41" i="7" s="1"/>
  <c r="AW42" i="7" s="1"/>
  <c r="AW43" i="7" s="1"/>
  <c r="AW44" i="7" s="1"/>
  <c r="AW45" i="7" s="1"/>
  <c r="AW46" i="7" s="1"/>
  <c r="AM17" i="10"/>
  <c r="AM18" i="10" s="1"/>
  <c r="AM19" i="10" s="1"/>
  <c r="AM20" i="10" s="1"/>
  <c r="L60" i="10"/>
  <c r="HC51" i="2"/>
  <c r="Q434" i="25"/>
  <c r="M434" i="25"/>
  <c r="S37" i="15"/>
  <c r="AG35" i="15"/>
  <c r="E33" i="7"/>
  <c r="AX8" i="7"/>
  <c r="AX9" i="7" s="1"/>
  <c r="AX10" i="7" s="1"/>
  <c r="AX11" i="7" s="1"/>
  <c r="AX12" i="7" s="1"/>
  <c r="AX13" i="7" s="1"/>
  <c r="AX14" i="7" s="1"/>
  <c r="AX15" i="7" s="1"/>
  <c r="AX16" i="7" s="1"/>
  <c r="AX17" i="7" s="1"/>
  <c r="AX18" i="7" s="1"/>
  <c r="AX19" i="7" s="1"/>
  <c r="AX20" i="7" s="1"/>
  <c r="AX21" i="7" s="1"/>
  <c r="AX22" i="7" s="1"/>
  <c r="AX23" i="7" s="1"/>
  <c r="AX24" i="7" s="1"/>
  <c r="AX25" i="7" s="1"/>
  <c r="AX26" i="7" s="1"/>
  <c r="AX27" i="7" s="1"/>
  <c r="AX28" i="7" s="1"/>
  <c r="AX29" i="7" s="1"/>
  <c r="AX30" i="7" s="1"/>
  <c r="AX31" i="7" s="1"/>
  <c r="AX32" i="7" s="1"/>
  <c r="AX33" i="7" s="1"/>
  <c r="AX34" i="7" s="1"/>
  <c r="AX35" i="7" s="1"/>
  <c r="AX36" i="7" s="1"/>
  <c r="AX37" i="7" s="1"/>
  <c r="AX38" i="7" s="1"/>
  <c r="AX39" i="7" s="1"/>
  <c r="AX40" i="7" s="1"/>
  <c r="AX41" i="7" s="1"/>
  <c r="AX42" i="7" s="1"/>
  <c r="AX43" i="7" s="1"/>
  <c r="AX44" i="7" s="1"/>
  <c r="AX45" i="7" s="1"/>
  <c r="AX46" i="7" s="1"/>
  <c r="O592" i="25"/>
  <c r="P592" i="25"/>
  <c r="BA8" i="7"/>
  <c r="BA9" i="7" s="1"/>
  <c r="BA10" i="7" s="1"/>
  <c r="BA11" i="7" s="1"/>
  <c r="BA12" i="7" s="1"/>
  <c r="BA13" i="7" s="1"/>
  <c r="BA14" i="7" s="1"/>
  <c r="BA15" i="7" s="1"/>
  <c r="BA16" i="7" s="1"/>
  <c r="BA17" i="7" s="1"/>
  <c r="BA18" i="7" s="1"/>
  <c r="BA19" i="7" s="1"/>
  <c r="BA20" i="7" s="1"/>
  <c r="BA21" i="7" s="1"/>
  <c r="BA22" i="7" s="1"/>
  <c r="BA23" i="7" s="1"/>
  <c r="BA24" i="7" s="1"/>
  <c r="BA25" i="7" s="1"/>
  <c r="BA26" i="7" s="1"/>
  <c r="BA27" i="7" s="1"/>
  <c r="BA28" i="7" s="1"/>
  <c r="BA29" i="7" s="1"/>
  <c r="BA30" i="7" s="1"/>
  <c r="BA31" i="7" s="1"/>
  <c r="BA32" i="7" s="1"/>
  <c r="BA33" i="7" s="1"/>
  <c r="BA34" i="7" s="1"/>
  <c r="BA35" i="7" s="1"/>
  <c r="BA36" i="7" s="1"/>
  <c r="BA37" i="7" s="1"/>
  <c r="BA38" i="7" s="1"/>
  <c r="BA39" i="7" s="1"/>
  <c r="BA40" i="7" s="1"/>
  <c r="BA41" i="7" s="1"/>
  <c r="BA42" i="7" s="1"/>
  <c r="BA43" i="7" s="1"/>
  <c r="BA44" i="7" s="1"/>
  <c r="BA45" i="7" s="1"/>
  <c r="BA46" i="7" s="1"/>
  <c r="W38" i="7"/>
  <c r="BG4" i="14"/>
  <c r="BG9" i="14"/>
  <c r="AA541" i="14"/>
  <c r="J540" i="14"/>
  <c r="AL17" i="10"/>
  <c r="AL18" i="10" s="1"/>
  <c r="AL19" i="10" s="1"/>
  <c r="AL20" i="10" s="1"/>
  <c r="AL21" i="10" s="1"/>
  <c r="AL22" i="10" s="1"/>
  <c r="AL23" i="10" s="1"/>
  <c r="AL24" i="10" s="1"/>
  <c r="B60" i="10"/>
  <c r="J90" i="14"/>
  <c r="AA91" i="14"/>
  <c r="AA547" i="14"/>
  <c r="BG13" i="14"/>
  <c r="AA271" i="14"/>
  <c r="J270" i="14"/>
  <c r="L592" i="25"/>
  <c r="BG15" i="14"/>
  <c r="G47" i="14"/>
  <c r="G77" i="14" s="1"/>
  <c r="AQ15" i="14"/>
  <c r="AU12" i="14" s="1"/>
  <c r="AQ13" i="14"/>
  <c r="AU10" i="14" s="1"/>
  <c r="AQ10" i="14"/>
  <c r="AU7" i="14" s="1"/>
  <c r="AQ9" i="14"/>
  <c r="AU6" i="14" s="1"/>
  <c r="AQ6" i="14"/>
  <c r="AU3" i="14" s="1"/>
  <c r="AA151" i="14"/>
  <c r="J150" i="14"/>
  <c r="E194" i="14"/>
  <c r="GK54" i="2"/>
  <c r="GW54" i="2"/>
  <c r="GO46" i="2"/>
  <c r="GO48" i="2" s="1"/>
  <c r="GR47" i="2"/>
  <c r="GQ51" i="2"/>
  <c r="GU47" i="2"/>
  <c r="GX47" i="2"/>
  <c r="GZ47" i="2"/>
  <c r="HC47" i="2"/>
  <c r="HE47" i="2"/>
  <c r="GV50" i="2"/>
  <c r="P46" i="16"/>
  <c r="AQ21" i="14"/>
  <c r="AU18" i="14" s="1"/>
  <c r="AQ18" i="14"/>
  <c r="AU15" i="14" s="1"/>
  <c r="AQ12" i="14"/>
  <c r="AU9" i="14" s="1"/>
  <c r="AQ16" i="14"/>
  <c r="AU13" i="14" s="1"/>
  <c r="E314" i="14"/>
  <c r="DC25" i="2"/>
  <c r="CH27" i="2"/>
  <c r="EY27" i="2"/>
  <c r="FB28" i="2"/>
  <c r="CQ28" i="2"/>
  <c r="CT29" i="2"/>
  <c r="FC29" i="2"/>
  <c r="EU29" i="2"/>
  <c r="BV29" i="2"/>
  <c r="FD31" i="2"/>
  <c r="CW31" i="2"/>
  <c r="N12" i="35"/>
  <c r="EV31" i="2"/>
  <c r="EN33" i="2"/>
  <c r="S14" i="35"/>
  <c r="FF35" i="2"/>
  <c r="DC35" i="2"/>
  <c r="EX35" i="2"/>
  <c r="CE35" i="2"/>
  <c r="BS35" i="2"/>
  <c r="S16" i="35"/>
  <c r="ET35" i="2"/>
  <c r="ES37" i="2"/>
  <c r="M18" i="35"/>
  <c r="FE36" i="2"/>
  <c r="CZ36" i="2"/>
  <c r="FA36" i="2"/>
  <c r="CN36" i="2"/>
  <c r="FG38" i="2"/>
  <c r="DF38" i="2"/>
  <c r="FC38" i="2"/>
  <c r="CT38" i="2"/>
  <c r="EU30" i="2"/>
  <c r="BV30" i="2"/>
  <c r="CH30" i="2"/>
  <c r="EY30" i="2"/>
  <c r="F10" i="15"/>
  <c r="Z5" i="33"/>
  <c r="Z7" i="33" s="1"/>
  <c r="W1" i="23"/>
  <c r="C210" i="14"/>
  <c r="K210" i="14" s="1"/>
  <c r="S210" i="14" s="1"/>
  <c r="AA187" i="14"/>
  <c r="AA211" i="14"/>
  <c r="J210" i="14"/>
  <c r="AA421" i="14"/>
  <c r="J420" i="14"/>
  <c r="GG54" i="2"/>
  <c r="GO54" i="2"/>
  <c r="GS54" i="2"/>
  <c r="GO50" i="2"/>
  <c r="GQ47" i="2"/>
  <c r="GR50" i="2"/>
  <c r="GT47" i="2"/>
  <c r="GV47" i="2"/>
  <c r="GY47" i="2"/>
  <c r="HA47" i="2"/>
  <c r="HB47" i="2"/>
  <c r="HD47" i="2"/>
  <c r="GU51" i="2"/>
  <c r="GW50" i="2"/>
  <c r="J120" i="14"/>
  <c r="AQ20" i="14"/>
  <c r="AU17" i="14" s="1"/>
  <c r="J570" i="14"/>
  <c r="D21" i="35"/>
  <c r="B1" i="35" s="1"/>
  <c r="AI8" i="2"/>
  <c r="AQ8" i="14"/>
  <c r="AU5" i="14" s="1"/>
  <c r="AN37" i="14"/>
  <c r="AN40" i="14"/>
  <c r="AN50" i="14"/>
  <c r="AO72" i="14"/>
  <c r="AO82" i="14"/>
  <c r="CZ24" i="2"/>
  <c r="FE24" i="2"/>
  <c r="FF26" i="2"/>
  <c r="DC26" i="2"/>
  <c r="CQ26" i="2"/>
  <c r="FB26" i="2"/>
  <c r="FG32" i="2"/>
  <c r="DF32" i="2"/>
  <c r="CH32" i="2"/>
  <c r="EY32" i="2"/>
  <c r="CN33" i="2"/>
  <c r="FA33" i="2"/>
  <c r="CB33" i="2"/>
  <c r="EW33" i="2"/>
  <c r="S584" i="23"/>
  <c r="Q304" i="23"/>
  <c r="S304" i="23" s="1"/>
  <c r="R224" i="23"/>
  <c r="Q144" i="23"/>
  <c r="R104" i="23"/>
  <c r="P104" i="23"/>
  <c r="Q64" i="23"/>
  <c r="O64" i="23"/>
  <c r="BW19" i="24"/>
  <c r="F48" i="25"/>
  <c r="I48" i="25" s="1"/>
  <c r="L48" i="25" s="1"/>
  <c r="M48" i="25" s="1"/>
  <c r="V1" i="30"/>
  <c r="V1" i="31"/>
  <c r="R4" i="31"/>
  <c r="R4" i="30"/>
  <c r="AA107" i="14"/>
  <c r="J480" i="14"/>
  <c r="GF55" i="2"/>
  <c r="GR55" i="2"/>
  <c r="GV55" i="2"/>
  <c r="M244" i="25"/>
  <c r="Q149" i="25"/>
  <c r="FF34" i="2"/>
  <c r="DC34" i="2"/>
  <c r="CQ34" i="2"/>
  <c r="FB34" i="2"/>
  <c r="CE34" i="2"/>
  <c r="EX34" i="2"/>
  <c r="EV35" i="2"/>
  <c r="BY35" i="2"/>
  <c r="EY36" i="2"/>
  <c r="CH36" i="2"/>
  <c r="CN38" i="2"/>
  <c r="FA38" i="2"/>
  <c r="CN30" i="2"/>
  <c r="FA30" i="2"/>
  <c r="P624" i="23"/>
  <c r="S624" i="23" s="1"/>
  <c r="S544" i="23"/>
  <c r="R384" i="23"/>
  <c r="P384" i="23"/>
  <c r="N384" i="23"/>
  <c r="Q264" i="23"/>
  <c r="O264" i="23"/>
  <c r="M264" i="23"/>
  <c r="Q184" i="23"/>
  <c r="O184" i="23"/>
  <c r="M184" i="23"/>
  <c r="N104" i="23"/>
  <c r="N144" i="23"/>
  <c r="JV19" i="2"/>
  <c r="CO19" i="24" s="1"/>
  <c r="CY19" i="24"/>
  <c r="CL19" i="24"/>
  <c r="JX19" i="2"/>
  <c r="CQ19" i="24" s="1"/>
  <c r="V2" i="30"/>
  <c r="V2" i="31"/>
  <c r="BG21" i="14"/>
  <c r="J431" i="14"/>
  <c r="GE55" i="2"/>
  <c r="GG55" i="2"/>
  <c r="GK55" i="2"/>
  <c r="GO55" i="2"/>
  <c r="GS55" i="2"/>
  <c r="GW55" i="2"/>
  <c r="GE54" i="2"/>
  <c r="GI54" i="2"/>
  <c r="GM54" i="2"/>
  <c r="GQ54" i="2"/>
  <c r="GU54" i="2"/>
  <c r="GM46" i="2"/>
  <c r="GM50" i="2"/>
  <c r="GN47" i="2"/>
  <c r="GN51" i="2"/>
  <c r="GP50" i="2"/>
  <c r="GT50" i="2"/>
  <c r="GW47" i="2"/>
  <c r="GX51" i="2"/>
  <c r="GX52" i="2" s="1"/>
  <c r="GZ50" i="2"/>
  <c r="GY51" i="2"/>
  <c r="HA50" i="2"/>
  <c r="HB51" i="2"/>
  <c r="I592" i="25"/>
  <c r="H592" i="25"/>
  <c r="F428" i="25"/>
  <c r="I428" i="25" s="1"/>
  <c r="CD19" i="24"/>
  <c r="CU20" i="24"/>
  <c r="R50" i="25"/>
  <c r="V3" i="30"/>
  <c r="V3" i="31"/>
  <c r="M21" i="16"/>
  <c r="M20" i="16"/>
  <c r="GJ39" i="2"/>
  <c r="DK23" i="2"/>
  <c r="GI55" i="2"/>
  <c r="GJ55" i="2"/>
  <c r="GM55" i="2"/>
  <c r="GQ55" i="2"/>
  <c r="GU55" i="2"/>
  <c r="GD54" i="2"/>
  <c r="GF54" i="2"/>
  <c r="GJ54" i="2"/>
  <c r="GN54" i="2"/>
  <c r="GR54" i="2"/>
  <c r="GV54" i="2"/>
  <c r="GN46" i="2"/>
  <c r="GN50" i="2"/>
  <c r="GP47" i="2"/>
  <c r="GP51" i="2"/>
  <c r="GQ46" i="2"/>
  <c r="GQ48" i="2" s="1"/>
  <c r="GR46" i="2"/>
  <c r="GS46" i="2"/>
  <c r="GS48" i="2" s="1"/>
  <c r="GQ50" i="2"/>
  <c r="GS51" i="2"/>
  <c r="GT51" i="2"/>
  <c r="GT46" i="2"/>
  <c r="GU46" i="2"/>
  <c r="GV46" i="2"/>
  <c r="GW46" i="2"/>
  <c r="GX46" i="2"/>
  <c r="GY46" i="2"/>
  <c r="GY48" i="2" s="1"/>
  <c r="GZ46" i="2"/>
  <c r="HA46" i="2"/>
  <c r="HB46" i="2"/>
  <c r="HC46" i="2"/>
  <c r="HD46" i="2"/>
  <c r="HE46" i="2"/>
  <c r="HF46" i="2"/>
  <c r="HF48" i="2" s="1"/>
  <c r="HF50" i="2"/>
  <c r="HF52" i="2" s="1"/>
  <c r="GU50" i="2"/>
  <c r="GU52" i="2" s="1"/>
  <c r="GZ51" i="2"/>
  <c r="GW51" i="2"/>
  <c r="HA51" i="2"/>
  <c r="HB50" i="2"/>
  <c r="HB52" i="2" s="1"/>
  <c r="HC50" i="2"/>
  <c r="HE50" i="2"/>
  <c r="P424" i="23"/>
  <c r="S424" i="23" s="1"/>
  <c r="S344" i="23"/>
  <c r="R144" i="23"/>
  <c r="P144" i="23"/>
  <c r="Q104" i="23"/>
  <c r="R64" i="23"/>
  <c r="P64" i="23"/>
  <c r="N64" i="23"/>
  <c r="H20" i="33"/>
  <c r="CF20" i="24"/>
  <c r="M365" i="25"/>
  <c r="M460" i="25" s="1"/>
  <c r="O557" i="25" s="1"/>
  <c r="M616" i="25" s="1"/>
  <c r="EP28" i="2"/>
  <c r="AG304" i="23"/>
  <c r="ER37" i="2"/>
  <c r="BM37" i="2"/>
  <c r="J18" i="35"/>
  <c r="ES33" i="2"/>
  <c r="P14" i="35"/>
  <c r="D14" i="35"/>
  <c r="AA463" i="23"/>
  <c r="BF12" i="2" s="1"/>
  <c r="GG47" i="2"/>
  <c r="GD55" i="2"/>
  <c r="GM47" i="2"/>
  <c r="GM51" i="2"/>
  <c r="GE47" i="2"/>
  <c r="GI47" i="2"/>
  <c r="GI46" i="2"/>
  <c r="GF46" i="2"/>
  <c r="GG46" i="2"/>
  <c r="GF47" i="2"/>
  <c r="U10" i="17"/>
  <c r="GH46" i="2"/>
  <c r="U21" i="17"/>
  <c r="GK47" i="2"/>
  <c r="J240" i="25"/>
  <c r="CK20" i="24"/>
  <c r="CC20" i="24"/>
  <c r="JX20" i="2"/>
  <c r="CQ20" i="24" s="1"/>
  <c r="J242" i="25"/>
  <c r="CN21" i="24"/>
  <c r="CW21" i="24"/>
  <c r="CI21" i="24"/>
  <c r="CY20" i="24"/>
  <c r="K432" i="25"/>
  <c r="BW20" i="24"/>
  <c r="F242" i="25"/>
  <c r="I242" i="25" s="1"/>
  <c r="CJ21" i="24"/>
  <c r="R432" i="25"/>
  <c r="JZ20" i="2"/>
  <c r="CS20" i="24" s="1"/>
  <c r="CW20" i="24"/>
  <c r="JV20" i="2"/>
  <c r="CO20" i="24" s="1"/>
  <c r="JV21" i="2"/>
  <c r="CO21" i="24" s="1"/>
  <c r="CG20" i="24"/>
  <c r="BZ21" i="24"/>
  <c r="J52" i="25"/>
  <c r="R52" i="25"/>
  <c r="JZ21" i="2"/>
  <c r="CS21" i="24" s="1"/>
  <c r="F52" i="25"/>
  <c r="I52" i="25" s="1"/>
  <c r="F240" i="25"/>
  <c r="I240" i="25" s="1"/>
  <c r="L240" i="25" s="1"/>
  <c r="Q240" i="25" s="1"/>
  <c r="R335" i="25"/>
  <c r="GJ41" i="2"/>
  <c r="CZ21" i="24"/>
  <c r="CL21" i="24"/>
  <c r="F432" i="25"/>
  <c r="I432" i="25" s="1"/>
  <c r="CH21" i="24"/>
  <c r="R147" i="25"/>
  <c r="J147" i="25"/>
  <c r="L147" i="25" s="1"/>
  <c r="M147" i="25" s="1"/>
  <c r="EN34" i="2"/>
  <c r="S504" i="23"/>
  <c r="S464" i="23"/>
  <c r="E465" i="23"/>
  <c r="F544" i="23"/>
  <c r="B584" i="23"/>
  <c r="F584" i="23"/>
  <c r="E585" i="23"/>
  <c r="B466" i="23"/>
  <c r="E466" i="23"/>
  <c r="D464" i="23"/>
  <c r="F505" i="23"/>
  <c r="E545" i="23"/>
  <c r="G464" i="23"/>
  <c r="G465" i="23"/>
  <c r="D505" i="23"/>
  <c r="B585" i="23"/>
  <c r="G585" i="23"/>
  <c r="C624" i="23"/>
  <c r="E504" i="23"/>
  <c r="D544" i="23"/>
  <c r="C585" i="23"/>
  <c r="C625" i="23"/>
  <c r="H6" i="35"/>
  <c r="BM25" i="2"/>
  <c r="AE304" i="23"/>
  <c r="EU27" i="2"/>
  <c r="R8" i="35"/>
  <c r="R20" i="35" s="1"/>
  <c r="BD37" i="2"/>
  <c r="ET37" i="2"/>
  <c r="N18" i="35"/>
  <c r="EQ37" i="2"/>
  <c r="G18" i="35"/>
  <c r="EN36" i="2"/>
  <c r="J17" i="35"/>
  <c r="EW27" i="2"/>
  <c r="T8" i="35"/>
  <c r="EV27" i="2"/>
  <c r="S8" i="35"/>
  <c r="CE26" i="2"/>
  <c r="BG33" i="2"/>
  <c r="G14" i="35"/>
  <c r="CB38" i="2"/>
  <c r="CZ38" i="2"/>
  <c r="BP37" i="2"/>
  <c r="BA36" i="2"/>
  <c r="BA28" i="2"/>
  <c r="CN34" i="2"/>
  <c r="CT24" i="2"/>
  <c r="CT32" i="2"/>
  <c r="CQ27" i="2"/>
  <c r="DF24" i="2"/>
  <c r="CW26" i="2"/>
  <c r="CZ35" i="2"/>
  <c r="FB38" i="2"/>
  <c r="ES26" i="2"/>
  <c r="BA31" i="2"/>
  <c r="CQ29" i="2"/>
  <c r="DF36" i="2"/>
  <c r="FB30" i="2"/>
  <c r="FE33" i="2"/>
  <c r="AG504" i="23"/>
  <c r="CN27" i="2"/>
  <c r="CB27" i="2"/>
  <c r="BX7" i="22"/>
  <c r="BX21" i="2"/>
  <c r="CZ27" i="2"/>
  <c r="AK223" i="23"/>
  <c r="C17" i="35"/>
  <c r="AG464" i="23"/>
  <c r="AG104" i="23"/>
  <c r="B590" i="25"/>
  <c r="B591" i="25"/>
  <c r="JY19" i="2"/>
  <c r="CR19" i="24" s="1"/>
  <c r="CZ20" i="24"/>
  <c r="CI19" i="24"/>
  <c r="CN20" i="24"/>
  <c r="JW21" i="2"/>
  <c r="CP21" i="24" s="1"/>
  <c r="CJ20" i="24"/>
  <c r="CB20" i="24"/>
  <c r="GJ40" i="2"/>
  <c r="JX21" i="2"/>
  <c r="CQ21" i="24" s="1"/>
  <c r="V2" i="24"/>
  <c r="D10" i="16"/>
  <c r="G591" i="25"/>
  <c r="O15" i="33"/>
  <c r="Z4" i="33"/>
  <c r="AE10" i="15"/>
  <c r="V5" i="23"/>
  <c r="V32" i="23" s="1"/>
  <c r="V72" i="23" s="1"/>
  <c r="V112" i="23" s="1"/>
  <c r="V152" i="23" s="1"/>
  <c r="V192" i="23" s="1"/>
  <c r="V232" i="23" s="1"/>
  <c r="V272" i="23" s="1"/>
  <c r="V312" i="23" s="1"/>
  <c r="V352" i="23" s="1"/>
  <c r="V392" i="23" s="1"/>
  <c r="V432" i="23" s="1"/>
  <c r="V472" i="23" s="1"/>
  <c r="V512" i="23" s="1"/>
  <c r="V552" i="23" s="1"/>
  <c r="V592" i="23" s="1"/>
  <c r="V632" i="23" s="1"/>
  <c r="V672" i="23" s="1"/>
  <c r="V712" i="23" s="1"/>
  <c r="V752" i="23" s="1"/>
  <c r="V792" i="23" s="1"/>
  <c r="O24" i="13"/>
  <c r="E60" i="22"/>
  <c r="O52" i="25"/>
  <c r="O591" i="25" s="1"/>
  <c r="L333" i="25"/>
  <c r="Q333" i="25" s="1"/>
  <c r="G589" i="25"/>
  <c r="O589" i="25"/>
  <c r="N9" i="3"/>
  <c r="E59" i="22"/>
  <c r="P589" i="25"/>
  <c r="W73" i="22"/>
  <c r="BX21" i="22"/>
  <c r="BX17" i="22"/>
  <c r="BX13" i="22"/>
  <c r="BX9" i="22"/>
  <c r="BX5" i="22"/>
  <c r="BX20" i="22"/>
  <c r="BX16" i="22"/>
  <c r="BX12" i="22"/>
  <c r="BX8" i="22"/>
  <c r="BX4" i="22"/>
  <c r="BX19" i="22"/>
  <c r="BX15" i="22"/>
  <c r="BX11" i="22"/>
  <c r="BX3" i="22"/>
  <c r="BX18" i="22"/>
  <c r="BX14" i="22"/>
  <c r="BX10" i="22"/>
  <c r="BX6" i="22"/>
  <c r="BX2" i="22"/>
  <c r="BM35" i="2"/>
  <c r="ER35" i="2"/>
  <c r="E10" i="3"/>
  <c r="N10" i="3"/>
  <c r="E8" i="18"/>
  <c r="J50" i="22"/>
  <c r="J51" i="22" s="1"/>
  <c r="J52" i="22" s="1"/>
  <c r="J53" i="22" s="1"/>
  <c r="J54" i="22" s="1"/>
  <c r="J55" i="22" s="1"/>
  <c r="J56" i="22" s="1"/>
  <c r="J57" i="22" s="1"/>
  <c r="J58" i="22" s="1"/>
  <c r="J59" i="22" s="1"/>
  <c r="J60" i="22" s="1"/>
  <c r="J61" i="22" s="1"/>
  <c r="J62" i="22" s="1"/>
  <c r="J63" i="22" s="1"/>
  <c r="J64" i="22" s="1"/>
  <c r="J65" i="22" s="1"/>
  <c r="J66" i="22" s="1"/>
  <c r="J67" i="22" s="1"/>
  <c r="W3" i="23"/>
  <c r="X30" i="23" s="1"/>
  <c r="X70" i="23" s="1"/>
  <c r="X110" i="23" s="1"/>
  <c r="X150" i="23" s="1"/>
  <c r="X190" i="23" s="1"/>
  <c r="X230" i="23" s="1"/>
  <c r="X270" i="23" s="1"/>
  <c r="X310" i="23" s="1"/>
  <c r="X350" i="23" s="1"/>
  <c r="X390" i="23" s="1"/>
  <c r="X430" i="23" s="1"/>
  <c r="X470" i="23" s="1"/>
  <c r="X510" i="23" s="1"/>
  <c r="X550" i="23" s="1"/>
  <c r="X590" i="23" s="1"/>
  <c r="X630" i="23" s="1"/>
  <c r="X670" i="23" s="1"/>
  <c r="X710" i="23" s="1"/>
  <c r="X750" i="23" s="1"/>
  <c r="X790" i="23" s="1"/>
  <c r="G8" i="12"/>
  <c r="V7" i="33"/>
  <c r="P590" i="25"/>
  <c r="O590" i="25"/>
  <c r="D25" i="32"/>
  <c r="G590" i="25"/>
  <c r="BY29" i="2"/>
  <c r="CE37" i="2"/>
  <c r="BA33" i="2"/>
  <c r="BG28" i="2"/>
  <c r="CB24" i="2"/>
  <c r="CK34" i="2"/>
  <c r="CN37" i="2"/>
  <c r="CQ35" i="2"/>
  <c r="CZ37" i="2"/>
  <c r="CZ32" i="2"/>
  <c r="CW34" i="2"/>
  <c r="DC36" i="2"/>
  <c r="EO37" i="2"/>
  <c r="ET26" i="2"/>
  <c r="FC27" i="2"/>
  <c r="FC33" i="2"/>
  <c r="FG29" i="2"/>
  <c r="AE504" i="23"/>
  <c r="AG544" i="23"/>
  <c r="BS37" i="2"/>
  <c r="CW25" i="2"/>
  <c r="CK30" i="2"/>
  <c r="CQ37" i="2"/>
  <c r="BS26" i="2"/>
  <c r="BM30" i="2"/>
  <c r="DC37" i="2"/>
  <c r="CW30" i="2"/>
  <c r="DC33" i="2"/>
  <c r="EV38" i="2"/>
  <c r="EX26" i="2"/>
  <c r="EZ29" i="2"/>
  <c r="FG26" i="2"/>
  <c r="DF26" i="2"/>
  <c r="FE23" i="2"/>
  <c r="CZ23" i="2"/>
  <c r="FA23" i="2"/>
  <c r="CN23" i="2"/>
  <c r="FG28" i="2"/>
  <c r="DF28" i="2"/>
  <c r="P12" i="35"/>
  <c r="EW31" i="2"/>
  <c r="CH33" i="2"/>
  <c r="EY33" i="2"/>
  <c r="CZ34" i="2"/>
  <c r="FE34" i="2"/>
  <c r="EW34" i="2"/>
  <c r="CB34" i="2"/>
  <c r="EY35" i="2"/>
  <c r="CH35" i="2"/>
  <c r="EU35" i="2"/>
  <c r="BV35" i="2"/>
  <c r="BG37" i="2"/>
  <c r="CE36" i="2"/>
  <c r="EX36" i="2"/>
  <c r="BS36" i="2"/>
  <c r="S17" i="35"/>
  <c r="EN30" i="2"/>
  <c r="BA30" i="2"/>
  <c r="BY30" i="2"/>
  <c r="EV30" i="2"/>
  <c r="BA27" i="2"/>
  <c r="BM23" i="2"/>
  <c r="CT28" i="2"/>
  <c r="CT34" i="2"/>
  <c r="BY27" i="2"/>
  <c r="BV32" i="2"/>
  <c r="BV33" i="2"/>
  <c r="CZ28" i="2"/>
  <c r="CW27" i="2"/>
  <c r="BV34" i="2"/>
  <c r="FD38" i="2"/>
  <c r="ER23" i="2"/>
  <c r="FD24" i="2"/>
  <c r="EX27" i="2"/>
  <c r="FF27" i="2"/>
  <c r="FA35" i="2"/>
  <c r="FC31" i="2"/>
  <c r="FD29" i="2"/>
  <c r="FE31" i="2"/>
  <c r="FF29" i="2"/>
  <c r="FG31" i="2"/>
  <c r="FE26" i="2"/>
  <c r="CZ26" i="2"/>
  <c r="FA26" i="2"/>
  <c r="CN26" i="2"/>
  <c r="P7" i="35"/>
  <c r="EW26" i="2"/>
  <c r="H7" i="35"/>
  <c r="BM26" i="2"/>
  <c r="DF23" i="2"/>
  <c r="FG23" i="2"/>
  <c r="CT23" i="2"/>
  <c r="FC23" i="2"/>
  <c r="S10" i="35"/>
  <c r="ET29" i="2"/>
  <c r="EW35" i="2"/>
  <c r="CB35" i="2"/>
  <c r="FD37" i="2"/>
  <c r="CW37" i="2"/>
  <c r="ET30" i="2"/>
  <c r="BS30" i="2"/>
  <c r="EX30" i="2"/>
  <c r="CE30" i="2"/>
  <c r="FF30" i="2"/>
  <c r="DC30" i="2"/>
  <c r="BV23" i="2"/>
  <c r="CN25" i="2"/>
  <c r="CN32" i="2"/>
  <c r="CT26" i="2"/>
  <c r="CB32" i="2"/>
  <c r="CE38" i="2"/>
  <c r="DF34" i="2"/>
  <c r="BY36" i="2"/>
  <c r="EZ38" i="2"/>
  <c r="FB36" i="2"/>
  <c r="EW24" i="2"/>
  <c r="FF24" i="2"/>
  <c r="EZ27" i="2"/>
  <c r="EX29" i="2"/>
  <c r="EY34" i="2"/>
  <c r="FA31" i="2"/>
  <c r="FC35" i="2"/>
  <c r="FG35" i="2"/>
  <c r="AG384" i="23"/>
  <c r="AG624" i="23"/>
  <c r="AE104" i="23"/>
  <c r="AE344" i="23"/>
  <c r="AK463" i="23"/>
  <c r="AK583" i="23"/>
  <c r="AG584" i="23"/>
  <c r="D20" i="16"/>
  <c r="I6" i="16"/>
  <c r="D30" i="16" s="1"/>
  <c r="D53" i="16" s="1"/>
  <c r="K10" i="17"/>
  <c r="W29" i="17"/>
  <c r="D9" i="16"/>
  <c r="O103" i="25"/>
  <c r="O198" i="25" s="1"/>
  <c r="O293" i="25" s="1"/>
  <c r="O388" i="25" s="1"/>
  <c r="O483" i="25" s="1"/>
  <c r="CK31" i="2"/>
  <c r="EZ31" i="2"/>
  <c r="CN28" i="2"/>
  <c r="FA28" i="2"/>
  <c r="AC504" i="23"/>
  <c r="CH38" i="2"/>
  <c r="AK623" i="23"/>
  <c r="BG35" i="2"/>
  <c r="EP35" i="2"/>
  <c r="CB31" i="2"/>
  <c r="AA383" i="23"/>
  <c r="BF10" i="2" s="1"/>
  <c r="AK303" i="23"/>
  <c r="CB25" i="2"/>
  <c r="O22" i="13"/>
  <c r="I26" i="17"/>
  <c r="I27" i="17"/>
  <c r="K26" i="17"/>
  <c r="O18" i="13"/>
  <c r="C27" i="17"/>
  <c r="I11" i="16"/>
  <c r="D35" i="16" s="1"/>
  <c r="D58" i="16" s="1"/>
  <c r="O25" i="13"/>
  <c r="GJ21" i="2"/>
  <c r="U20" i="35"/>
  <c r="E65" i="22"/>
  <c r="Y23" i="33"/>
  <c r="I19" i="16"/>
  <c r="D43" i="16" s="1"/>
  <c r="D66" i="16" s="1"/>
  <c r="E54" i="22"/>
  <c r="I64" i="22"/>
  <c r="I12" i="16"/>
  <c r="D36" i="16" s="1"/>
  <c r="D59" i="16" s="1"/>
  <c r="K25" i="17"/>
  <c r="AL14" i="33"/>
  <c r="W26" i="17"/>
  <c r="O13" i="13"/>
  <c r="ET38" i="2"/>
  <c r="S19" i="35"/>
  <c r="BS38" i="2"/>
  <c r="ES38" i="2"/>
  <c r="P19" i="35"/>
  <c r="ER38" i="2"/>
  <c r="N19" i="35"/>
  <c r="EQ38" i="2"/>
  <c r="M19" i="35"/>
  <c r="EP38" i="2"/>
  <c r="J19" i="35"/>
  <c r="EN38" i="2"/>
  <c r="G19" i="35"/>
  <c r="EO38" i="2"/>
  <c r="D19" i="35"/>
  <c r="BD38" i="2"/>
  <c r="EN37" i="2"/>
  <c r="ES36" i="2"/>
  <c r="P17" i="35"/>
  <c r="ER36" i="2"/>
  <c r="M17" i="35"/>
  <c r="EQ36" i="2"/>
  <c r="EP36" i="2"/>
  <c r="G17" i="35"/>
  <c r="BD36" i="2"/>
  <c r="D17" i="35"/>
  <c r="AC544" i="23"/>
  <c r="EN35" i="2"/>
  <c r="ES35" i="2"/>
  <c r="P16" i="35"/>
  <c r="EQ35" i="2"/>
  <c r="J16" i="35"/>
  <c r="BD35" i="2"/>
  <c r="D16" i="35"/>
  <c r="BS34" i="2"/>
  <c r="ET34" i="2"/>
  <c r="ES34" i="2"/>
  <c r="BM34" i="2"/>
  <c r="BJ34" i="2"/>
  <c r="EQ34" i="2"/>
  <c r="BG34" i="2"/>
  <c r="EP34" i="2"/>
  <c r="EO34" i="2"/>
  <c r="D15" i="35"/>
  <c r="AK503" i="23"/>
  <c r="ER33" i="2"/>
  <c r="EQ33" i="2"/>
  <c r="EP33" i="2"/>
  <c r="BD33" i="2"/>
  <c r="EU32" i="2"/>
  <c r="ET32" i="2"/>
  <c r="P13" i="35"/>
  <c r="ES32" i="2"/>
  <c r="N13" i="35"/>
  <c r="ER32" i="2"/>
  <c r="M13" i="35"/>
  <c r="AC424" i="23"/>
  <c r="BJ32" i="2"/>
  <c r="J13" i="35"/>
  <c r="EQ32" i="2"/>
  <c r="EP32" i="2"/>
  <c r="G13" i="35"/>
  <c r="EY31" i="2"/>
  <c r="S12" i="35"/>
  <c r="EX31" i="2"/>
  <c r="Q12" i="35"/>
  <c r="BY31" i="2"/>
  <c r="BV31" i="2"/>
  <c r="M12" i="35"/>
  <c r="ET31" i="2"/>
  <c r="K12" i="35"/>
  <c r="AK383" i="23"/>
  <c r="BP31" i="2"/>
  <c r="J12" i="35"/>
  <c r="ES31" i="2"/>
  <c r="ER31" i="2"/>
  <c r="H12" i="35"/>
  <c r="EQ31" i="2"/>
  <c r="G12" i="35"/>
  <c r="BG31" i="2"/>
  <c r="E12" i="35"/>
  <c r="EP31" i="2"/>
  <c r="EO31" i="2"/>
  <c r="D12" i="35"/>
  <c r="AC384" i="23"/>
  <c r="EQ30" i="2"/>
  <c r="S11" i="35"/>
  <c r="EP30" i="2"/>
  <c r="P11" i="35"/>
  <c r="EO30" i="2"/>
  <c r="M11" i="35"/>
  <c r="ES29" i="2"/>
  <c r="Q10" i="35"/>
  <c r="ER29" i="2"/>
  <c r="P10" i="35"/>
  <c r="EQ29" i="2"/>
  <c r="M10" i="35"/>
  <c r="BG29" i="2"/>
  <c r="J10" i="35"/>
  <c r="BD29" i="2"/>
  <c r="G10" i="35"/>
  <c r="EZ28" i="2"/>
  <c r="T9" i="35"/>
  <c r="EY28" i="2"/>
  <c r="S9" i="35"/>
  <c r="EX28" i="2"/>
  <c r="Q9" i="35"/>
  <c r="CB28" i="2"/>
  <c r="P9" i="35"/>
  <c r="BY28" i="2"/>
  <c r="N9" i="35"/>
  <c r="BV28" i="2"/>
  <c r="M9" i="35"/>
  <c r="ET28" i="2"/>
  <c r="K9" i="35"/>
  <c r="BS28" i="2"/>
  <c r="BP28" i="2"/>
  <c r="J9" i="35"/>
  <c r="BM28" i="2"/>
  <c r="H9" i="35"/>
  <c r="BJ28" i="2"/>
  <c r="G9" i="35"/>
  <c r="AC264" i="23"/>
  <c r="EO28" i="2"/>
  <c r="D9" i="35"/>
  <c r="AK263" i="23"/>
  <c r="BV27" i="2"/>
  <c r="BS27" i="2"/>
  <c r="Q8" i="35"/>
  <c r="ET27" i="2"/>
  <c r="ES27" i="2"/>
  <c r="P8" i="35"/>
  <c r="ER27" i="2"/>
  <c r="M8" i="35"/>
  <c r="EQ27" i="2"/>
  <c r="J8" i="35"/>
  <c r="BG27" i="2"/>
  <c r="G8" i="35"/>
  <c r="EO27" i="2"/>
  <c r="D8" i="35"/>
  <c r="CK26" i="2"/>
  <c r="T7" i="35"/>
  <c r="EY26" i="2"/>
  <c r="S7" i="35"/>
  <c r="CB26" i="2"/>
  <c r="BY26" i="2"/>
  <c r="EV26" i="2"/>
  <c r="BV26" i="2"/>
  <c r="M7" i="35"/>
  <c r="BP26" i="2"/>
  <c r="BJ26" i="2"/>
  <c r="G7" i="35"/>
  <c r="BG26" i="2"/>
  <c r="E7" i="35"/>
  <c r="AK183" i="23"/>
  <c r="EO26" i="2"/>
  <c r="D7" i="35"/>
  <c r="CQ24" i="2"/>
  <c r="FB24" i="2"/>
  <c r="EO32" i="2"/>
  <c r="FA24" i="2"/>
  <c r="CN24" i="2"/>
  <c r="EX24" i="2"/>
  <c r="EV25" i="2"/>
  <c r="P6" i="35"/>
  <c r="ER25" i="2"/>
  <c r="BP25" i="2"/>
  <c r="J6" i="35"/>
  <c r="BY25" i="2"/>
  <c r="EO25" i="2"/>
  <c r="ES25" i="2"/>
  <c r="BG25" i="2"/>
  <c r="E6" i="35"/>
  <c r="ET25" i="2"/>
  <c r="M6" i="35"/>
  <c r="CE25" i="2"/>
  <c r="S6" i="35"/>
  <c r="BD25" i="2"/>
  <c r="EW25" i="2"/>
  <c r="EQ25" i="2"/>
  <c r="G6" i="35"/>
  <c r="BV25" i="2"/>
  <c r="N6" i="35"/>
  <c r="EZ24" i="2"/>
  <c r="S5" i="35"/>
  <c r="EY24" i="2"/>
  <c r="Q5" i="35"/>
  <c r="CE24" i="2"/>
  <c r="BY24" i="2"/>
  <c r="M5" i="35"/>
  <c r="BV24" i="2"/>
  <c r="L5" i="35"/>
  <c r="L20" i="35" s="1"/>
  <c r="BS24" i="2"/>
  <c r="K5" i="35"/>
  <c r="ES24" i="2"/>
  <c r="J5" i="35"/>
  <c r="BM24" i="2"/>
  <c r="H5" i="35"/>
  <c r="EQ24" i="2"/>
  <c r="G5" i="35"/>
  <c r="BG24" i="2"/>
  <c r="E5" i="35"/>
  <c r="EP24" i="2"/>
  <c r="AK103" i="23"/>
  <c r="EO24" i="2"/>
  <c r="D5" i="35"/>
  <c r="EY23" i="2"/>
  <c r="S4" i="35"/>
  <c r="EZ23" i="2"/>
  <c r="T4" i="35"/>
  <c r="CE23" i="2"/>
  <c r="Q4" i="35"/>
  <c r="EW23" i="2"/>
  <c r="CB23" i="2"/>
  <c r="EV23" i="2"/>
  <c r="N4" i="35"/>
  <c r="EU23" i="2"/>
  <c r="ET23" i="2"/>
  <c r="K4" i="35"/>
  <c r="ES23" i="2"/>
  <c r="J4" i="35"/>
  <c r="EQ23" i="2"/>
  <c r="G4" i="35"/>
  <c r="BJ23" i="2"/>
  <c r="EP23" i="2"/>
  <c r="E4" i="35"/>
  <c r="AG64" i="23"/>
  <c r="AA13" i="33"/>
  <c r="E56" i="22"/>
  <c r="D11" i="16"/>
  <c r="K16" i="17"/>
  <c r="AA9" i="33"/>
  <c r="I28" i="17"/>
  <c r="O19" i="13"/>
  <c r="C28" i="17"/>
  <c r="D15" i="16"/>
  <c r="E52" i="22"/>
  <c r="O12" i="13"/>
  <c r="O16" i="13"/>
  <c r="K20" i="17"/>
  <c r="AA17" i="33"/>
  <c r="AL18" i="33"/>
  <c r="I61" i="22"/>
  <c r="I16" i="16"/>
  <c r="D40" i="16" s="1"/>
  <c r="D63" i="16" s="1"/>
  <c r="K12" i="17"/>
  <c r="I62" i="22"/>
  <c r="I17" i="16"/>
  <c r="D41" i="16" s="1"/>
  <c r="D64" i="16" s="1"/>
  <c r="AL19" i="33"/>
  <c r="E51" i="22"/>
  <c r="D6" i="16"/>
  <c r="K11" i="17"/>
  <c r="AA8" i="33"/>
  <c r="O11" i="13"/>
  <c r="O15" i="13"/>
  <c r="E55" i="22"/>
  <c r="AA16" i="33"/>
  <c r="K19" i="17"/>
  <c r="AA21" i="33"/>
  <c r="E64" i="22"/>
  <c r="D19" i="16"/>
  <c r="D18" i="16"/>
  <c r="K23" i="17"/>
  <c r="E63" i="22"/>
  <c r="O23" i="13"/>
  <c r="K28" i="17"/>
  <c r="AA12" i="33"/>
  <c r="GJ18" i="2"/>
  <c r="W27" i="17"/>
  <c r="GJ20" i="2"/>
  <c r="W28" i="17"/>
  <c r="C26" i="13"/>
  <c r="C26" i="17"/>
  <c r="AA14" i="33"/>
  <c r="E57" i="22"/>
  <c r="AL20" i="33"/>
  <c r="I63" i="22"/>
  <c r="I18" i="16"/>
  <c r="D42" i="16" s="1"/>
  <c r="D65" i="16" s="1"/>
  <c r="HE1" i="2"/>
  <c r="AA7" i="33"/>
  <c r="E50" i="22"/>
  <c r="AA19" i="33"/>
  <c r="K22" i="17"/>
  <c r="GJ19" i="2"/>
  <c r="O21" i="13"/>
  <c r="D12" i="16"/>
  <c r="E62" i="22"/>
  <c r="I50" i="22"/>
  <c r="I5" i="16"/>
  <c r="D29" i="16" s="1"/>
  <c r="D52" i="16" s="1"/>
  <c r="C12" i="17"/>
  <c r="C6" i="35"/>
  <c r="AL9" i="33"/>
  <c r="I7" i="16"/>
  <c r="D31" i="16" s="1"/>
  <c r="D54" i="16" s="1"/>
  <c r="AL7" i="33"/>
  <c r="AA10" i="33"/>
  <c r="E53" i="22"/>
  <c r="AA18" i="33"/>
  <c r="E61" i="22"/>
  <c r="HE22" i="2"/>
  <c r="X23" i="33"/>
  <c r="K13" i="17"/>
  <c r="I53" i="22"/>
  <c r="I8" i="16"/>
  <c r="D32" i="16" s="1"/>
  <c r="D55" i="16" s="1"/>
  <c r="AL16" i="33"/>
  <c r="I59" i="22"/>
  <c r="I14" i="16"/>
  <c r="D38" i="16" s="1"/>
  <c r="D61" i="16" s="1"/>
  <c r="AA11" i="33"/>
  <c r="K14" i="17"/>
  <c r="AA15" i="33"/>
  <c r="K18" i="17"/>
  <c r="O10" i="13"/>
  <c r="O17" i="13"/>
  <c r="K21" i="17"/>
  <c r="K27" i="17"/>
  <c r="E58" i="22"/>
  <c r="AL12" i="33"/>
  <c r="I55" i="22"/>
  <c r="I13" i="16"/>
  <c r="D37" i="16" s="1"/>
  <c r="D60" i="16" s="1"/>
  <c r="I58" i="22"/>
  <c r="AL15" i="33"/>
  <c r="X26" i="33"/>
  <c r="C29" i="17"/>
  <c r="I54" i="22"/>
  <c r="I9" i="16"/>
  <c r="D33" i="16" s="1"/>
  <c r="D56" i="16" s="1"/>
  <c r="I60" i="22"/>
  <c r="AL17" i="33"/>
  <c r="AL22" i="33"/>
  <c r="I65" i="22"/>
  <c r="I20" i="16"/>
  <c r="D44" i="16" s="1"/>
  <c r="D67" i="16" s="1"/>
  <c r="I51" i="22"/>
  <c r="I56" i="22"/>
  <c r="I29" i="17"/>
  <c r="O26" i="13"/>
  <c r="K29" i="17"/>
  <c r="C13" i="13"/>
  <c r="C7" i="35"/>
  <c r="W20" i="22"/>
  <c r="W49" i="22"/>
  <c r="O45" i="11"/>
  <c r="Q45" i="11" s="1"/>
  <c r="K46" i="11" s="1"/>
  <c r="S38" i="12" s="1"/>
  <c r="I8" i="4"/>
  <c r="K8" i="4" s="1"/>
  <c r="R9" i="32"/>
  <c r="I32" i="32" s="1"/>
  <c r="W7" i="33"/>
  <c r="W8" i="33" s="1"/>
  <c r="W9" i="33" s="1"/>
  <c r="W10" i="33" s="1"/>
  <c r="W11" i="33" s="1"/>
  <c r="W12" i="33" s="1"/>
  <c r="W13" i="33" s="1"/>
  <c r="W14" i="33" s="1"/>
  <c r="W15" i="33" s="1"/>
  <c r="W16" i="33" s="1"/>
  <c r="W17" i="33" s="1"/>
  <c r="W18" i="33" s="1"/>
  <c r="W19" i="33" s="1"/>
  <c r="W20" i="33" s="1"/>
  <c r="W21" i="33" s="1"/>
  <c r="W22" i="33" s="1"/>
  <c r="W23" i="33" s="1"/>
  <c r="W24" i="33" s="1"/>
  <c r="W25" i="33" s="1"/>
  <c r="W26" i="33" s="1"/>
  <c r="F32" i="32"/>
  <c r="D18" i="32"/>
  <c r="E9" i="10"/>
  <c r="G9" i="10" s="1"/>
  <c r="AC464" i="23"/>
  <c r="AC224" i="23"/>
  <c r="EU24" i="2"/>
  <c r="BP24" i="2"/>
  <c r="AC104" i="23"/>
  <c r="AK104" i="23" s="1"/>
  <c r="AK543" i="23"/>
  <c r="AK423" i="23"/>
  <c r="BD31" i="2"/>
  <c r="BP29" i="2"/>
  <c r="BJ29" i="2"/>
  <c r="EO29" i="2"/>
  <c r="AC304" i="23"/>
  <c r="CE28" i="2"/>
  <c r="EX25" i="2"/>
  <c r="W67" i="22"/>
  <c r="AK143" i="23"/>
  <c r="BA37" i="2"/>
  <c r="AA623" i="23"/>
  <c r="BF16" i="2" s="1"/>
  <c r="EP37" i="2"/>
  <c r="AE624" i="23"/>
  <c r="BG36" i="2"/>
  <c r="CB36" i="2"/>
  <c r="EO36" i="2"/>
  <c r="ET36" i="2"/>
  <c r="AE584" i="23"/>
  <c r="AK584" i="23" s="1"/>
  <c r="BP35" i="2"/>
  <c r="AE544" i="23"/>
  <c r="BP34" i="2"/>
  <c r="ER34" i="2"/>
  <c r="BJ33" i="2"/>
  <c r="BP32" i="2"/>
  <c r="CE31" i="2"/>
  <c r="ES30" i="2"/>
  <c r="AC344" i="23"/>
  <c r="ER28" i="2"/>
  <c r="CH28" i="2"/>
  <c r="AE264" i="23"/>
  <c r="BD27" i="2"/>
  <c r="CH26" i="2"/>
  <c r="EU26" i="2"/>
  <c r="EP26" i="2"/>
  <c r="BJ25" i="2"/>
  <c r="BS25" i="2"/>
  <c r="AC144" i="23"/>
  <c r="AK144" i="23" s="1"/>
  <c r="AG144" i="23"/>
  <c r="BJ24" i="2"/>
  <c r="CK24" i="2"/>
  <c r="EV24" i="2"/>
  <c r="BP23" i="2"/>
  <c r="AK63" i="23"/>
  <c r="BY23" i="2"/>
  <c r="EP25" i="2"/>
  <c r="AE144" i="23"/>
  <c r="L448" i="25"/>
  <c r="L604" i="25"/>
  <c r="H27" i="33"/>
  <c r="AK24" i="10"/>
  <c r="C55" i="10" s="1"/>
  <c r="H21" i="33"/>
  <c r="H28" i="33"/>
  <c r="H22" i="33"/>
  <c r="H29" i="33"/>
  <c r="BD24" i="2"/>
  <c r="AA103" i="23"/>
  <c r="BF3" i="2" s="1"/>
  <c r="G214" i="25"/>
  <c r="O214" i="25" s="1"/>
  <c r="AA143" i="23"/>
  <c r="BF4" i="2" s="1"/>
  <c r="EU25" i="2"/>
  <c r="AG344" i="23"/>
  <c r="BG30" i="2"/>
  <c r="BD30" i="2"/>
  <c r="AA343" i="23"/>
  <c r="BF9" i="2" s="1"/>
  <c r="AA503" i="23"/>
  <c r="BF13" i="2" s="1"/>
  <c r="BD34" i="2"/>
  <c r="C265" i="23"/>
  <c r="C306" i="23"/>
  <c r="BS9" i="24"/>
  <c r="BS17" i="24"/>
  <c r="AG184" i="23"/>
  <c r="AE184" i="23"/>
  <c r="AK184" i="23" s="1"/>
  <c r="AA183" i="23"/>
  <c r="BF5" i="2" s="1"/>
  <c r="KB12" i="2"/>
  <c r="R34" i="25" s="1"/>
  <c r="AG264" i="23"/>
  <c r="AA263" i="23"/>
  <c r="BF7" i="2" s="1"/>
  <c r="BD28" i="2"/>
  <c r="G418" i="25"/>
  <c r="O418" i="25" s="1"/>
  <c r="BM27" i="2"/>
  <c r="AG224" i="23"/>
  <c r="AE224" i="23"/>
  <c r="EP27" i="2"/>
  <c r="AA223" i="23"/>
  <c r="BF6" i="2" s="1"/>
  <c r="BJ35" i="2"/>
  <c r="EO35" i="2"/>
  <c r="AA543" i="23"/>
  <c r="BF14" i="2" s="1"/>
  <c r="AA303" i="23"/>
  <c r="BF8" i="2" s="1"/>
  <c r="BJ36" i="2"/>
  <c r="AA583" i="23"/>
  <c r="BF15" i="2" s="1"/>
  <c r="BM36" i="2"/>
  <c r="CK23" i="2"/>
  <c r="EX23" i="2"/>
  <c r="BS23" i="2"/>
  <c r="AE64" i="23"/>
  <c r="BG23" i="2"/>
  <c r="AA63" i="23"/>
  <c r="BF2" i="2" s="1"/>
  <c r="BD23" i="2"/>
  <c r="EU31" i="2"/>
  <c r="AE384" i="23"/>
  <c r="BM31" i="2"/>
  <c r="BJ31" i="2"/>
  <c r="BM38" i="2"/>
  <c r="BJ38" i="2"/>
  <c r="BG38" i="2"/>
  <c r="BV38" i="2"/>
  <c r="AA663" i="23"/>
  <c r="BF17" i="2" s="1"/>
  <c r="BA38" i="2"/>
  <c r="G410" i="25"/>
  <c r="O410" i="25" s="1"/>
  <c r="BO9" i="24"/>
  <c r="JL3" i="2"/>
  <c r="JR3" i="2"/>
  <c r="KB3" i="2"/>
  <c r="C664" i="23"/>
  <c r="JJ13" i="2"/>
  <c r="J36" i="25" s="1"/>
  <c r="G224" i="23"/>
  <c r="E225" i="23"/>
  <c r="C266" i="23"/>
  <c r="G266" i="23"/>
  <c r="D424" i="23"/>
  <c r="B426" i="23"/>
  <c r="JT16" i="2"/>
  <c r="K422" i="25" s="1"/>
  <c r="JG10" i="2"/>
  <c r="F315" i="25" s="1"/>
  <c r="I315" i="25" s="1"/>
  <c r="G44" i="25"/>
  <c r="O44" i="25" s="1"/>
  <c r="AE464" i="23"/>
  <c r="BM33" i="2"/>
  <c r="BP33" i="2"/>
  <c r="EO33" i="2"/>
  <c r="Z61" i="22"/>
  <c r="W77" i="22"/>
  <c r="X41" i="22"/>
  <c r="X47" i="22" s="1"/>
  <c r="W54" i="22"/>
  <c r="BS32" i="2"/>
  <c r="BM32" i="2"/>
  <c r="AG424" i="23"/>
  <c r="AE424" i="23"/>
  <c r="BG32" i="2"/>
  <c r="AA423" i="23"/>
  <c r="BF11" i="2" s="1"/>
  <c r="BD32" i="2"/>
  <c r="AZ2" i="2"/>
  <c r="KC9" i="2"/>
  <c r="R123" i="25" s="1"/>
  <c r="JS9" i="2"/>
  <c r="K313" i="25" s="1"/>
  <c r="BP6" i="24"/>
  <c r="B305" i="23"/>
  <c r="JK12" i="2"/>
  <c r="J129" i="25" s="1"/>
  <c r="JQ8" i="2"/>
  <c r="K121" i="25" s="1"/>
  <c r="F65" i="23"/>
  <c r="AF12" i="24"/>
  <c r="GF24" i="2"/>
  <c r="KD34" i="2"/>
  <c r="CW34" i="24" s="1"/>
  <c r="F626" i="23"/>
  <c r="KB34" i="2"/>
  <c r="CU34" i="24" s="1"/>
  <c r="JU17" i="2"/>
  <c r="CN17" i="24" s="1"/>
  <c r="AG13" i="24"/>
  <c r="BQ5" i="24"/>
  <c r="JN5" i="2"/>
  <c r="CG5" i="24" s="1"/>
  <c r="C424" i="23"/>
  <c r="E425" i="23"/>
  <c r="JG16" i="2"/>
  <c r="BZ16" i="24" s="1"/>
  <c r="C626" i="23"/>
  <c r="E666" i="23"/>
  <c r="JS17" i="2"/>
  <c r="K329" i="25" s="1"/>
  <c r="M15" i="17"/>
  <c r="AG18" i="24"/>
  <c r="AG11" i="24"/>
  <c r="JK18" i="2"/>
  <c r="J141" i="25" s="1"/>
  <c r="C18" i="25"/>
  <c r="BQ16" i="24"/>
  <c r="C26" i="25"/>
  <c r="B578" i="25" s="1"/>
  <c r="G104" i="23"/>
  <c r="E386" i="23"/>
  <c r="B666" i="23"/>
  <c r="AY14" i="2"/>
  <c r="KE18" i="2"/>
  <c r="CX18" i="24" s="1"/>
  <c r="KE12" i="2"/>
  <c r="R319" i="25" s="1"/>
  <c r="JJ8" i="2"/>
  <c r="J26" i="25" s="1"/>
  <c r="JG17" i="2"/>
  <c r="JF4" i="2"/>
  <c r="F208" i="25" s="1"/>
  <c r="I208" i="25" s="1"/>
  <c r="AX51" i="24"/>
  <c r="T30" i="31" s="1"/>
  <c r="KC40" i="2"/>
  <c r="CV40" i="24" s="1"/>
  <c r="AC113" i="23"/>
  <c r="JS18" i="2"/>
  <c r="CL18" i="24" s="1"/>
  <c r="JS12" i="2"/>
  <c r="CL12" i="24" s="1"/>
  <c r="JL6" i="2"/>
  <c r="KC37" i="2"/>
  <c r="CV37" i="24" s="1"/>
  <c r="KG18" i="2"/>
  <c r="CZ18" i="24" s="1"/>
  <c r="KC17" i="2"/>
  <c r="JI12" i="2"/>
  <c r="F511" i="25" s="1"/>
  <c r="I511" i="25" s="1"/>
  <c r="JR10" i="2"/>
  <c r="G315" i="25"/>
  <c r="O315" i="25" s="1"/>
  <c r="GE32" i="2"/>
  <c r="JU10" i="2"/>
  <c r="K507" i="25" s="1"/>
  <c r="KG11" i="2"/>
  <c r="CZ11" i="24" s="1"/>
  <c r="JE8" i="2"/>
  <c r="BX8" i="24" s="1"/>
  <c r="JO4" i="2"/>
  <c r="J495" i="25" s="1"/>
  <c r="JQ9" i="2"/>
  <c r="K123" i="25" s="1"/>
  <c r="JS5" i="2"/>
  <c r="CL5" i="24" s="1"/>
  <c r="AF10" i="24"/>
  <c r="M18" i="17"/>
  <c r="BT4" i="24"/>
  <c r="F224" i="23"/>
  <c r="B304" i="23"/>
  <c r="F306" i="23"/>
  <c r="JR15" i="2"/>
  <c r="K230" i="25" s="1"/>
  <c r="JS10" i="2"/>
  <c r="CL10" i="24" s="1"/>
  <c r="KG8" i="2"/>
  <c r="R503" i="25" s="1"/>
  <c r="JN16" i="2"/>
  <c r="CG16" i="24" s="1"/>
  <c r="JL16" i="2"/>
  <c r="J232" i="25" s="1"/>
  <c r="JE7" i="2"/>
  <c r="F119" i="25" s="1"/>
  <c r="I119" i="25" s="1"/>
  <c r="BT8" i="24"/>
  <c r="BP8" i="24"/>
  <c r="D66" i="23"/>
  <c r="AY7" i="2"/>
  <c r="KG7" i="2"/>
  <c r="CZ7" i="24" s="1"/>
  <c r="JI10" i="2"/>
  <c r="CB10" i="24" s="1"/>
  <c r="KC8" i="2"/>
  <c r="R121" i="25" s="1"/>
  <c r="JP13" i="2"/>
  <c r="K36" i="25" s="1"/>
  <c r="JK10" i="2"/>
  <c r="J125" i="25" s="1"/>
  <c r="JP12" i="2"/>
  <c r="K34" i="25" s="1"/>
  <c r="AM7" i="33"/>
  <c r="O17" i="17"/>
  <c r="C20" i="25"/>
  <c r="G499" i="25"/>
  <c r="E305" i="23"/>
  <c r="C344" i="23"/>
  <c r="E345" i="23"/>
  <c r="G345" i="23"/>
  <c r="KB14" i="2"/>
  <c r="JH15" i="2"/>
  <c r="F420" i="25" s="1"/>
  <c r="I420" i="25" s="1"/>
  <c r="C131" i="25"/>
  <c r="C226" i="25" s="1"/>
  <c r="C321" i="25" s="1"/>
  <c r="C416" i="25" s="1"/>
  <c r="C513" i="25" s="1"/>
  <c r="KE11" i="2"/>
  <c r="KC14" i="2"/>
  <c r="KC11" i="2"/>
  <c r="R127" i="25" s="1"/>
  <c r="JJ16" i="2"/>
  <c r="J42" i="25" s="1"/>
  <c r="JF8" i="2"/>
  <c r="F216" i="25" s="1"/>
  <c r="I216" i="25" s="1"/>
  <c r="JM15" i="2"/>
  <c r="CF15" i="24" s="1"/>
  <c r="JS11" i="2"/>
  <c r="JT15" i="2"/>
  <c r="K420" i="25" s="1"/>
  <c r="JN10" i="2"/>
  <c r="CG10" i="24" s="1"/>
  <c r="JG13" i="2"/>
  <c r="BZ13" i="24" s="1"/>
  <c r="JL7" i="2"/>
  <c r="J214" i="25" s="1"/>
  <c r="JJ6" i="2"/>
  <c r="J22" i="25" s="1"/>
  <c r="JH6" i="2"/>
  <c r="F402" i="25" s="1"/>
  <c r="I402" i="25" s="1"/>
  <c r="AS36" i="24"/>
  <c r="E464" i="23" s="1"/>
  <c r="BR18" i="24"/>
  <c r="BR8" i="24"/>
  <c r="BO13" i="24"/>
  <c r="AC13" i="24"/>
  <c r="GG34" i="2"/>
  <c r="C184" i="23"/>
  <c r="KG6" i="2"/>
  <c r="CZ6" i="24" s="1"/>
  <c r="D224" i="23"/>
  <c r="BG50" i="24"/>
  <c r="P32" i="30" s="1"/>
  <c r="JE14" i="2"/>
  <c r="JM14" i="2"/>
  <c r="JO14" i="2"/>
  <c r="KE14" i="2"/>
  <c r="G506" i="23"/>
  <c r="GI34" i="2"/>
  <c r="JI15" i="2"/>
  <c r="F517" i="25" s="1"/>
  <c r="I517" i="25" s="1"/>
  <c r="BE51" i="24"/>
  <c r="M32" i="31" s="1"/>
  <c r="GG35" i="2"/>
  <c r="JU16" i="2"/>
  <c r="K519" i="25" s="1"/>
  <c r="GE37" i="2"/>
  <c r="C665" i="23"/>
  <c r="KD26" i="2"/>
  <c r="CW26" i="24" s="1"/>
  <c r="AZ6" i="2"/>
  <c r="KD3" i="2"/>
  <c r="KF9" i="2"/>
  <c r="KB18" i="2"/>
  <c r="R46" i="25" s="1"/>
  <c r="JI14" i="2"/>
  <c r="JG11" i="2"/>
  <c r="BZ11" i="24" s="1"/>
  <c r="KD6" i="2"/>
  <c r="R212" i="25" s="1"/>
  <c r="JJ4" i="2"/>
  <c r="J18" i="25" s="1"/>
  <c r="JR12" i="2"/>
  <c r="K224" i="25" s="1"/>
  <c r="JN7" i="2"/>
  <c r="CG7" i="24" s="1"/>
  <c r="JT6" i="2"/>
  <c r="CM6" i="24" s="1"/>
  <c r="JD6" i="2"/>
  <c r="F22" i="25" s="1"/>
  <c r="G329" i="25"/>
  <c r="O329" i="25" s="1"/>
  <c r="GI32" i="2"/>
  <c r="KD9" i="2"/>
  <c r="CW9" i="24" s="1"/>
  <c r="KE13" i="2"/>
  <c r="R321" i="25" s="1"/>
  <c r="JE13" i="2"/>
  <c r="BX13" i="24" s="1"/>
  <c r="KD16" i="2"/>
  <c r="R232" i="25" s="1"/>
  <c r="JH17" i="2"/>
  <c r="CA17" i="24" s="1"/>
  <c r="JL12" i="2"/>
  <c r="JL4" i="2"/>
  <c r="CE4" i="24" s="1"/>
  <c r="JR6" i="2"/>
  <c r="JT3" i="2"/>
  <c r="BR15" i="24"/>
  <c r="BK25" i="24"/>
  <c r="B66" i="23" s="1"/>
  <c r="E265" i="23"/>
  <c r="B425" i="23"/>
  <c r="D425" i="23"/>
  <c r="JP15" i="2"/>
  <c r="CI15" i="24" s="1"/>
  <c r="W68" i="22"/>
  <c r="W70" i="22"/>
  <c r="AF39" i="24"/>
  <c r="JF17" i="2"/>
  <c r="AR39" i="24"/>
  <c r="JL17" i="2"/>
  <c r="CE17" i="24" s="1"/>
  <c r="I529" i="25"/>
  <c r="L529" i="25" s="1"/>
  <c r="O529" i="25" s="1"/>
  <c r="CB39" i="24"/>
  <c r="BS40" i="24"/>
  <c r="F666" i="23" s="1"/>
  <c r="KF18" i="2"/>
  <c r="R426" i="25" s="1"/>
  <c r="AW50" i="24"/>
  <c r="S30" i="30" s="1"/>
  <c r="BP29" i="24"/>
  <c r="D226" i="23" s="1"/>
  <c r="KD7" i="2"/>
  <c r="R214" i="25" s="1"/>
  <c r="BT29" i="24"/>
  <c r="F226" i="23" s="1"/>
  <c r="KF7" i="2"/>
  <c r="CY7" i="24" s="1"/>
  <c r="BD30" i="24"/>
  <c r="D265" i="23" s="1"/>
  <c r="JR8" i="2"/>
  <c r="BL30" i="24"/>
  <c r="B266" i="23" s="1"/>
  <c r="KB8" i="2"/>
  <c r="AB31" i="24"/>
  <c r="JD9" i="2"/>
  <c r="BC35" i="24"/>
  <c r="JR13" i="2"/>
  <c r="AH36" i="24"/>
  <c r="JG14" i="2"/>
  <c r="CD36" i="24"/>
  <c r="CD51" i="24"/>
  <c r="N37" i="31" s="1"/>
  <c r="BQ37" i="24"/>
  <c r="E546" i="23" s="1"/>
  <c r="KE15" i="2"/>
  <c r="R325" i="25" s="1"/>
  <c r="BM38" i="24"/>
  <c r="C586" i="23" s="1"/>
  <c r="KC16" i="2"/>
  <c r="R137" i="25" s="1"/>
  <c r="BY38" i="24"/>
  <c r="GE36" i="2"/>
  <c r="AK39" i="24"/>
  <c r="JI17" i="2"/>
  <c r="CB17" i="24" s="1"/>
  <c r="AS39" i="24"/>
  <c r="E584" i="23" s="1"/>
  <c r="JM17" i="2"/>
  <c r="AW39" i="24"/>
  <c r="G584" i="23" s="1"/>
  <c r="JO17" i="2"/>
  <c r="J521" i="25" s="1"/>
  <c r="BQ39" i="24"/>
  <c r="E626" i="23" s="1"/>
  <c r="KE17" i="2"/>
  <c r="R329" i="25" s="1"/>
  <c r="BU39" i="24"/>
  <c r="G626" i="23" s="1"/>
  <c r="KG17" i="2"/>
  <c r="CZ17" i="24" s="1"/>
  <c r="CC39" i="24"/>
  <c r="GG37" i="2"/>
  <c r="AK40" i="24"/>
  <c r="JI18" i="2"/>
  <c r="E145" i="23"/>
  <c r="JN17" i="2"/>
  <c r="CG17" i="24" s="1"/>
  <c r="AH44" i="24"/>
  <c r="JU14" i="2"/>
  <c r="KF8" i="2"/>
  <c r="R406" i="25" s="1"/>
  <c r="JQ17" i="2"/>
  <c r="K115" i="25"/>
  <c r="GI36" i="2"/>
  <c r="AG3" i="24"/>
  <c r="O10" i="17"/>
  <c r="G208" i="25"/>
  <c r="O208" i="25" s="1"/>
  <c r="BQ4" i="24"/>
  <c r="AC6" i="24"/>
  <c r="C22" i="25"/>
  <c r="AG6" i="24"/>
  <c r="O13" i="17"/>
  <c r="AG7" i="24"/>
  <c r="O14" i="17"/>
  <c r="AG8" i="24"/>
  <c r="O15" i="17"/>
  <c r="AF9" i="24"/>
  <c r="M16" i="17"/>
  <c r="BT9" i="24"/>
  <c r="G505" i="25"/>
  <c r="BP10" i="24"/>
  <c r="G125" i="25"/>
  <c r="O125" i="25" s="1"/>
  <c r="AC14" i="24"/>
  <c r="C38" i="25"/>
  <c r="BQ14" i="24"/>
  <c r="G228" i="25"/>
  <c r="O228" i="25" s="1"/>
  <c r="AM19" i="33"/>
  <c r="AS15" i="24"/>
  <c r="AF17" i="24"/>
  <c r="M24" i="17"/>
  <c r="M25" i="17"/>
  <c r="AF18" i="24"/>
  <c r="AK25" i="24"/>
  <c r="JI3" i="2"/>
  <c r="AG26" i="24"/>
  <c r="JG4" i="2"/>
  <c r="BZ4" i="24" s="1"/>
  <c r="AO26" i="24"/>
  <c r="C104" i="23" s="1"/>
  <c r="JK4" i="2"/>
  <c r="J113" i="25" s="1"/>
  <c r="BI26" i="24"/>
  <c r="G105" i="23" s="1"/>
  <c r="JU4" i="2"/>
  <c r="K495" i="25" s="1"/>
  <c r="AK27" i="24"/>
  <c r="JI5" i="2"/>
  <c r="AS31" i="24"/>
  <c r="E304" i="23" s="1"/>
  <c r="JM9" i="2"/>
  <c r="CF9" i="24" s="1"/>
  <c r="BI31" i="24"/>
  <c r="G305" i="23" s="1"/>
  <c r="JU9" i="2"/>
  <c r="AS32" i="24"/>
  <c r="E344" i="23" s="1"/>
  <c r="JM10" i="2"/>
  <c r="CF10" i="24" s="1"/>
  <c r="AW32" i="24"/>
  <c r="G344" i="23" s="1"/>
  <c r="JO10" i="2"/>
  <c r="J507" i="25" s="1"/>
  <c r="BM32" i="24"/>
  <c r="C346" i="23" s="1"/>
  <c r="KC10" i="2"/>
  <c r="R125" i="25" s="1"/>
  <c r="BU32" i="24"/>
  <c r="G346" i="23" s="1"/>
  <c r="KG10" i="2"/>
  <c r="CZ10" i="24" s="1"/>
  <c r="CG32" i="24"/>
  <c r="GI30" i="2"/>
  <c r="AJ33" i="24"/>
  <c r="JH11" i="2"/>
  <c r="F412" i="25" s="1"/>
  <c r="I412" i="25" s="1"/>
  <c r="AN33" i="24"/>
  <c r="B384" i="23" s="1"/>
  <c r="JJ11" i="2"/>
  <c r="AA34" i="24"/>
  <c r="JD12" i="2"/>
  <c r="F34" i="25" s="1"/>
  <c r="I34" i="25" s="1"/>
  <c r="AE34" i="24"/>
  <c r="JF12" i="2"/>
  <c r="BY12" i="24" s="1"/>
  <c r="AT34" i="24"/>
  <c r="E424" i="23" s="1"/>
  <c r="JM12" i="2"/>
  <c r="CF12" i="24" s="1"/>
  <c r="BB34" i="24"/>
  <c r="C425" i="23" s="1"/>
  <c r="JQ12" i="2"/>
  <c r="CJ12" i="24" s="1"/>
  <c r="BU34" i="24"/>
  <c r="G426" i="23" s="1"/>
  <c r="KG12" i="2"/>
  <c r="CZ12" i="24" s="1"/>
  <c r="GG32" i="2"/>
  <c r="CC34" i="24"/>
  <c r="AM37" i="24"/>
  <c r="B504" i="23" s="1"/>
  <c r="JJ15" i="2"/>
  <c r="J40" i="25" s="1"/>
  <c r="BT38" i="24"/>
  <c r="F586" i="23" s="1"/>
  <c r="KF16" i="2"/>
  <c r="R422" i="25" s="1"/>
  <c r="BL39" i="24"/>
  <c r="B626" i="23" s="1"/>
  <c r="KB17" i="2"/>
  <c r="R44" i="25" s="1"/>
  <c r="BP39" i="24"/>
  <c r="D626" i="23" s="1"/>
  <c r="KD17" i="2"/>
  <c r="CW17" i="24" s="1"/>
  <c r="KF17" i="2"/>
  <c r="CY17" i="24" s="1"/>
  <c r="BD29" i="24"/>
  <c r="D225" i="23" s="1"/>
  <c r="JR7" i="2"/>
  <c r="K214" i="25" s="1"/>
  <c r="BL29" i="24"/>
  <c r="B226" i="23" s="1"/>
  <c r="KB7" i="2"/>
  <c r="R24" i="25" s="1"/>
  <c r="AR30" i="24"/>
  <c r="D264" i="23" s="1"/>
  <c r="JL8" i="2"/>
  <c r="CE8" i="24" s="1"/>
  <c r="AE35" i="24"/>
  <c r="JF13" i="2"/>
  <c r="AI35" i="24"/>
  <c r="JH13" i="2"/>
  <c r="CA13" i="24" s="1"/>
  <c r="AQ35" i="24"/>
  <c r="JL13" i="2"/>
  <c r="J226" i="25" s="1"/>
  <c r="BB51" i="24"/>
  <c r="H32" i="31" s="1"/>
  <c r="BB36" i="24"/>
  <c r="JQ14" i="2"/>
  <c r="BN51" i="24"/>
  <c r="H35" i="31" s="1"/>
  <c r="BN36" i="24"/>
  <c r="C506" i="23" s="1"/>
  <c r="AD37" i="24"/>
  <c r="JE15" i="2"/>
  <c r="AW37" i="24"/>
  <c r="G504" i="23" s="1"/>
  <c r="JO15" i="2"/>
  <c r="J517" i="25" s="1"/>
  <c r="BU37" i="24"/>
  <c r="G546" i="23" s="1"/>
  <c r="KG15" i="2"/>
  <c r="R517" i="25" s="1"/>
  <c r="BY37" i="24"/>
  <c r="GE35" i="2"/>
  <c r="GI35" i="2"/>
  <c r="CG51" i="24"/>
  <c r="S37" i="31" s="1"/>
  <c r="AC38" i="24"/>
  <c r="AC51" i="24"/>
  <c r="G29" i="31" s="1"/>
  <c r="JE16" i="2"/>
  <c r="F137" i="25" s="1"/>
  <c r="AK38" i="24"/>
  <c r="AK51" i="24"/>
  <c r="S29" i="31" s="1"/>
  <c r="AO38" i="24"/>
  <c r="AO51" i="24"/>
  <c r="G30" i="31" s="1"/>
  <c r="AC39" i="24"/>
  <c r="JE17" i="2"/>
  <c r="BX17" i="24" s="1"/>
  <c r="AO39" i="24"/>
  <c r="C584" i="23" s="1"/>
  <c r="JK17" i="2"/>
  <c r="CD17" i="24" s="1"/>
  <c r="JQ18" i="2"/>
  <c r="JJ17" i="2"/>
  <c r="CC17" i="24" s="1"/>
  <c r="JS16" i="2"/>
  <c r="K327" i="25" s="1"/>
  <c r="KD8" i="2"/>
  <c r="R216" i="25" s="1"/>
  <c r="JJ9" i="2"/>
  <c r="JP17" i="2"/>
  <c r="K44" i="25" s="1"/>
  <c r="CC51" i="24"/>
  <c r="M37" i="31" s="1"/>
  <c r="BQ51" i="24"/>
  <c r="M35" i="31" s="1"/>
  <c r="AB50" i="24"/>
  <c r="E29" i="30" s="1"/>
  <c r="BR36" i="24"/>
  <c r="E506" i="23" s="1"/>
  <c r="CH36" i="24"/>
  <c r="CG37" i="24"/>
  <c r="BR5" i="24"/>
  <c r="G305" i="25"/>
  <c r="O305" i="25" s="1"/>
  <c r="G222" i="25"/>
  <c r="O222" i="25" s="1"/>
  <c r="BQ11" i="24"/>
  <c r="CN35" i="24"/>
  <c r="KD35" i="2"/>
  <c r="CW35" i="24" s="1"/>
  <c r="G313" i="25"/>
  <c r="O313" i="25" s="1"/>
  <c r="BR9" i="24"/>
  <c r="G224" i="25"/>
  <c r="O224" i="25" s="1"/>
  <c r="BQ12" i="24"/>
  <c r="BW26" i="24"/>
  <c r="GD24" i="2"/>
  <c r="AE28" i="24"/>
  <c r="JF6" i="2"/>
  <c r="BY6" i="24" s="1"/>
  <c r="AY28" i="24"/>
  <c r="B185" i="23" s="1"/>
  <c r="JP6" i="2"/>
  <c r="CI6" i="24" s="1"/>
  <c r="BK28" i="24"/>
  <c r="B186" i="23" s="1"/>
  <c r="KB6" i="2"/>
  <c r="CU6" i="24" s="1"/>
  <c r="BJ29" i="24"/>
  <c r="G225" i="23" s="1"/>
  <c r="JU7" i="2"/>
  <c r="AP30" i="24"/>
  <c r="C264" i="23" s="1"/>
  <c r="JK8" i="2"/>
  <c r="AC33" i="24"/>
  <c r="JE11" i="2"/>
  <c r="BX11" i="24" s="1"/>
  <c r="BG34" i="24"/>
  <c r="F425" i="23" s="1"/>
  <c r="JT12" i="2"/>
  <c r="JT14" i="2"/>
  <c r="CM32" i="24"/>
  <c r="KD32" i="2"/>
  <c r="CW32" i="24" s="1"/>
  <c r="CM39" i="24"/>
  <c r="KD39" i="2"/>
  <c r="CW39" i="24" s="1"/>
  <c r="AP44" i="24"/>
  <c r="JI11" i="2"/>
  <c r="F509" i="25" s="1"/>
  <c r="I509" i="25" s="1"/>
  <c r="JS8" i="2"/>
  <c r="CL8" i="24" s="1"/>
  <c r="KF6" i="2"/>
  <c r="R402" i="25" s="1"/>
  <c r="JF3" i="2"/>
  <c r="JG7" i="2"/>
  <c r="JN6" i="2"/>
  <c r="J402" i="25" s="1"/>
  <c r="JH5" i="2"/>
  <c r="F400" i="25" s="1"/>
  <c r="I400" i="25" s="1"/>
  <c r="G317" i="25"/>
  <c r="O317" i="25" s="1"/>
  <c r="BH36" i="24"/>
  <c r="F465" i="23" s="1"/>
  <c r="AM29" i="24"/>
  <c r="B224" i="23" s="1"/>
  <c r="JJ7" i="2"/>
  <c r="AY29" i="24"/>
  <c r="B225" i="23" s="1"/>
  <c r="JP7" i="2"/>
  <c r="CI7" i="24" s="1"/>
  <c r="AA30" i="24"/>
  <c r="JD8" i="2"/>
  <c r="BW8" i="24" s="1"/>
  <c r="AU30" i="24"/>
  <c r="F264" i="23" s="1"/>
  <c r="JN8" i="2"/>
  <c r="AI31" i="24"/>
  <c r="JH9" i="2"/>
  <c r="CE31" i="24"/>
  <c r="GH29" i="2"/>
  <c r="AZ38" i="24"/>
  <c r="B545" i="23" s="1"/>
  <c r="JP16" i="2"/>
  <c r="BZ51" i="24"/>
  <c r="H37" i="31" s="1"/>
  <c r="JK3" i="2"/>
  <c r="C226" i="23"/>
  <c r="G226" i="23"/>
  <c r="GG27" i="2"/>
  <c r="GE28" i="2"/>
  <c r="GI28" i="2"/>
  <c r="F344" i="23"/>
  <c r="D345" i="23"/>
  <c r="F346" i="23"/>
  <c r="AC27" i="33"/>
  <c r="H20" i="32" s="1"/>
  <c r="BS3" i="24"/>
  <c r="G396" i="25"/>
  <c r="O396" i="25" s="1"/>
  <c r="AC28" i="24"/>
  <c r="JE6" i="2"/>
  <c r="BI35" i="24"/>
  <c r="JU13" i="2"/>
  <c r="K513" i="25" s="1"/>
  <c r="AB36" i="24"/>
  <c r="JD14" i="2"/>
  <c r="AJ36" i="24"/>
  <c r="JH14" i="2"/>
  <c r="JN14" i="2"/>
  <c r="AV44" i="24"/>
  <c r="AV36" i="24"/>
  <c r="F464" i="23" s="1"/>
  <c r="BD51" i="24"/>
  <c r="K32" i="31" s="1"/>
  <c r="BD36" i="24"/>
  <c r="D465" i="23" s="1"/>
  <c r="JR14" i="2"/>
  <c r="BP36" i="24"/>
  <c r="D506" i="23" s="1"/>
  <c r="KD14" i="2"/>
  <c r="AA38" i="24"/>
  <c r="JD16" i="2"/>
  <c r="KD15" i="2"/>
  <c r="CW15" i="24" s="1"/>
  <c r="JL14" i="2"/>
  <c r="C13" i="16"/>
  <c r="C37" i="16" s="1"/>
  <c r="C60" i="16" s="1"/>
  <c r="H58" i="22"/>
  <c r="Y15" i="33"/>
  <c r="G402" i="25"/>
  <c r="O402" i="25" s="1"/>
  <c r="BS6" i="24"/>
  <c r="C145" i="23"/>
  <c r="BQ27" i="24"/>
  <c r="KE5" i="2"/>
  <c r="BA35" i="24"/>
  <c r="JQ13" i="2"/>
  <c r="BP35" i="24"/>
  <c r="D466" i="23" s="1"/>
  <c r="KD13" i="2"/>
  <c r="CW13" i="24" s="1"/>
  <c r="AZ36" i="24"/>
  <c r="B465" i="23" s="1"/>
  <c r="JP14" i="2"/>
  <c r="BL51" i="24"/>
  <c r="E35" i="31" s="1"/>
  <c r="BL36" i="24"/>
  <c r="B506" i="23" s="1"/>
  <c r="GD34" i="2"/>
  <c r="BX51" i="24"/>
  <c r="E37" i="31" s="1"/>
  <c r="BX36" i="24"/>
  <c r="BS37" i="24"/>
  <c r="F546" i="23" s="1"/>
  <c r="KF15" i="2"/>
  <c r="CY15" i="24" s="1"/>
  <c r="CE37" i="24"/>
  <c r="GH35" i="2"/>
  <c r="CS39" i="24"/>
  <c r="KG39" i="2"/>
  <c r="CZ39" i="24" s="1"/>
  <c r="AI353" i="23"/>
  <c r="KB13" i="2"/>
  <c r="BS51" i="24"/>
  <c r="P35" i="31" s="1"/>
  <c r="AC433" i="23"/>
  <c r="AY12" i="2"/>
  <c r="BO3" i="24"/>
  <c r="G16" i="25"/>
  <c r="O16" i="25" s="1"/>
  <c r="BI28" i="24"/>
  <c r="G185" i="23" s="1"/>
  <c r="JU6" i="2"/>
  <c r="K499" i="25" s="1"/>
  <c r="AW35" i="24"/>
  <c r="JO13" i="2"/>
  <c r="J513" i="25" s="1"/>
  <c r="BE35" i="24"/>
  <c r="JS13" i="2"/>
  <c r="BT35" i="24"/>
  <c r="F466" i="23" s="1"/>
  <c r="KF13" i="2"/>
  <c r="CB35" i="24"/>
  <c r="GF33" i="2"/>
  <c r="CF35" i="24"/>
  <c r="GH33" i="2"/>
  <c r="AF36" i="24"/>
  <c r="JF14" i="2"/>
  <c r="AN36" i="24"/>
  <c r="B464" i="23" s="1"/>
  <c r="JJ14" i="2"/>
  <c r="BT36" i="24"/>
  <c r="F506" i="23" s="1"/>
  <c r="KF14" i="2"/>
  <c r="BT51" i="24"/>
  <c r="Q35" i="31" s="1"/>
  <c r="GF34" i="2"/>
  <c r="CB36" i="24"/>
  <c r="CB51" i="24"/>
  <c r="K37" i="31" s="1"/>
  <c r="AE38" i="24"/>
  <c r="JF16" i="2"/>
  <c r="AS27" i="24"/>
  <c r="E144" i="23" s="1"/>
  <c r="JM5" i="2"/>
  <c r="J305" i="25" s="1"/>
  <c r="I18" i="17"/>
  <c r="AZ13" i="2"/>
  <c r="AI473" i="23"/>
  <c r="AC593" i="23"/>
  <c r="AY16" i="2"/>
  <c r="C18" i="35" s="1"/>
  <c r="AZ17" i="2"/>
  <c r="B23" i="43" s="1"/>
  <c r="JK6" i="2"/>
  <c r="JF7" i="2"/>
  <c r="BY7" i="24" s="1"/>
  <c r="BU50" i="24"/>
  <c r="S35" i="30" s="1"/>
  <c r="BU17" i="24"/>
  <c r="BU47" i="24"/>
  <c r="G236" i="25"/>
  <c r="O236" i="25" s="1"/>
  <c r="BQ18" i="24"/>
  <c r="BR26" i="24"/>
  <c r="KE4" i="2"/>
  <c r="CX4" i="24" s="1"/>
  <c r="CO36" i="24"/>
  <c r="KE36" i="2"/>
  <c r="G131" i="25"/>
  <c r="O131" i="25" s="1"/>
  <c r="BP13" i="24"/>
  <c r="AF14" i="24"/>
  <c r="M21" i="17"/>
  <c r="BW33" i="24"/>
  <c r="GD31" i="2"/>
  <c r="AX34" i="24"/>
  <c r="G424" i="23" s="1"/>
  <c r="JO12" i="2"/>
  <c r="J511" i="25" s="1"/>
  <c r="AL37" i="24"/>
  <c r="AL51" i="24"/>
  <c r="T29" i="31" s="1"/>
  <c r="AP37" i="24"/>
  <c r="C504" i="23" s="1"/>
  <c r="JK15" i="2"/>
  <c r="BA37" i="24"/>
  <c r="C505" i="23" s="1"/>
  <c r="JQ15" i="2"/>
  <c r="BL38" i="24"/>
  <c r="B586" i="23" s="1"/>
  <c r="KB16" i="2"/>
  <c r="CA38" i="24"/>
  <c r="GF36" i="2"/>
  <c r="AQ39" i="24"/>
  <c r="AQ51" i="24"/>
  <c r="J30" i="31" s="1"/>
  <c r="BC39" i="24"/>
  <c r="D585" i="23" s="1"/>
  <c r="BC51" i="24"/>
  <c r="J32" i="31" s="1"/>
  <c r="JR17" i="2"/>
  <c r="BG39" i="24"/>
  <c r="F585" i="23" s="1"/>
  <c r="JT17" i="2"/>
  <c r="BC40" i="24"/>
  <c r="JR18" i="2"/>
  <c r="BF40" i="24"/>
  <c r="E665" i="23" s="1"/>
  <c r="BF51" i="24"/>
  <c r="N32" i="31" s="1"/>
  <c r="BV40" i="24"/>
  <c r="G666" i="23" s="1"/>
  <c r="BV51" i="24"/>
  <c r="T35" i="31" s="1"/>
  <c r="CD40" i="24"/>
  <c r="GG38" i="2"/>
  <c r="CR34" i="24"/>
  <c r="KF34" i="2"/>
  <c r="CY34" i="24" s="1"/>
  <c r="AG4" i="24"/>
  <c r="G309" i="25"/>
  <c r="O309" i="25" s="1"/>
  <c r="BR7" i="24"/>
  <c r="AM13" i="33"/>
  <c r="AS9" i="24"/>
  <c r="AC11" i="24"/>
  <c r="C32" i="25"/>
  <c r="AM15" i="33"/>
  <c r="AS11" i="24"/>
  <c r="C34" i="25"/>
  <c r="AC12" i="24"/>
  <c r="O19" i="17"/>
  <c r="AG12" i="24"/>
  <c r="G129" i="25"/>
  <c r="O129" i="25" s="1"/>
  <c r="BP12" i="24"/>
  <c r="G511" i="25"/>
  <c r="BT12" i="24"/>
  <c r="AI29" i="24"/>
  <c r="JH7" i="2"/>
  <c r="BG29" i="24"/>
  <c r="F225" i="23" s="1"/>
  <c r="JT7" i="2"/>
  <c r="AI30" i="24"/>
  <c r="JH8" i="2"/>
  <c r="F406" i="25" s="1"/>
  <c r="AY30" i="24"/>
  <c r="B265" i="23" s="1"/>
  <c r="JP8" i="2"/>
  <c r="CI8" i="24" s="1"/>
  <c r="BG30" i="24"/>
  <c r="F265" i="23" s="1"/>
  <c r="JT8" i="2"/>
  <c r="AX31" i="24"/>
  <c r="G304" i="23" s="1"/>
  <c r="JO9" i="2"/>
  <c r="J505" i="25" s="1"/>
  <c r="CH31" i="24"/>
  <c r="GI29" i="2"/>
  <c r="AD32" i="24"/>
  <c r="JE10" i="2"/>
  <c r="BX10" i="24" s="1"/>
  <c r="BB32" i="24"/>
  <c r="C345" i="23" s="1"/>
  <c r="JQ10" i="2"/>
  <c r="CJ10" i="24" s="1"/>
  <c r="BR32" i="24"/>
  <c r="E346" i="23" s="1"/>
  <c r="KE10" i="2"/>
  <c r="CX10" i="24" s="1"/>
  <c r="BZ32" i="24"/>
  <c r="GE30" i="2"/>
  <c r="CD32" i="24"/>
  <c r="GG30" i="2"/>
  <c r="AO33" i="24"/>
  <c r="C384" i="23" s="1"/>
  <c r="JK11" i="2"/>
  <c r="J127" i="25" s="1"/>
  <c r="AH38" i="24"/>
  <c r="AH51" i="24"/>
  <c r="N29" i="31" s="1"/>
  <c r="AL38" i="24"/>
  <c r="JI16" i="2"/>
  <c r="JS14" i="2"/>
  <c r="KG14" i="2"/>
  <c r="JP18" i="2"/>
  <c r="BG51" i="24"/>
  <c r="P32" i="31" s="1"/>
  <c r="CE51" i="24"/>
  <c r="P37" i="31" s="1"/>
  <c r="W45" i="22"/>
  <c r="W3" i="22"/>
  <c r="Z1" i="22"/>
  <c r="Z41" i="22"/>
  <c r="W35" i="22"/>
  <c r="Z21" i="22"/>
  <c r="W24" i="22"/>
  <c r="W46" i="22"/>
  <c r="W53" i="22"/>
  <c r="W29" i="22"/>
  <c r="W39" i="22"/>
  <c r="W28" i="22"/>
  <c r="W34" i="22"/>
  <c r="W48" i="22"/>
  <c r="W47" i="22"/>
  <c r="W43" i="22"/>
  <c r="W40" i="22"/>
  <c r="W31" i="22"/>
  <c r="W36" i="22"/>
  <c r="W25" i="22"/>
  <c r="W56" i="22"/>
  <c r="W55" i="22"/>
  <c r="W42" i="22"/>
  <c r="W65" i="22"/>
  <c r="X61" i="22"/>
  <c r="W69" i="22"/>
  <c r="W76" i="22"/>
  <c r="W66" i="22"/>
  <c r="W74" i="22"/>
  <c r="W78" i="22"/>
  <c r="W79" i="22"/>
  <c r="W72" i="22"/>
  <c r="W71" i="22"/>
  <c r="W75" i="22"/>
  <c r="Y61" i="22"/>
  <c r="W14" i="22"/>
  <c r="W64" i="22"/>
  <c r="W80" i="22"/>
  <c r="W62" i="22"/>
  <c r="W63" i="22"/>
  <c r="BO10" i="24"/>
  <c r="G30" i="25"/>
  <c r="O30" i="25" s="1"/>
  <c r="AB26" i="24"/>
  <c r="JD4" i="2"/>
  <c r="BY29" i="24"/>
  <c r="GE27" i="2"/>
  <c r="CG29" i="24"/>
  <c r="GI27" i="2"/>
  <c r="AS30" i="24"/>
  <c r="E264" i="23" s="1"/>
  <c r="JM8" i="2"/>
  <c r="CF8" i="24" s="1"/>
  <c r="AW30" i="24"/>
  <c r="G264" i="23" s="1"/>
  <c r="JO8" i="2"/>
  <c r="J503" i="25" s="1"/>
  <c r="BQ30" i="24"/>
  <c r="E266" i="23" s="1"/>
  <c r="KE8" i="2"/>
  <c r="CC30" i="24"/>
  <c r="GG28" i="2"/>
  <c r="AC31" i="24"/>
  <c r="JE9" i="2"/>
  <c r="AG31" i="24"/>
  <c r="JG9" i="2"/>
  <c r="AN44" i="24"/>
  <c r="AQ33" i="24"/>
  <c r="D384" i="23" s="1"/>
  <c r="JL11" i="2"/>
  <c r="J222" i="25" s="1"/>
  <c r="BN35" i="24"/>
  <c r="C466" i="23" s="1"/>
  <c r="KC13" i="2"/>
  <c r="R131" i="25" s="1"/>
  <c r="GG36" i="2"/>
  <c r="CC38" i="24"/>
  <c r="CT25" i="24"/>
  <c r="KG25" i="2"/>
  <c r="G139" i="25"/>
  <c r="O139" i="25" s="1"/>
  <c r="BP17" i="24"/>
  <c r="BT17" i="24"/>
  <c r="G521" i="25"/>
  <c r="CH33" i="24"/>
  <c r="GI31" i="2"/>
  <c r="JG15" i="2"/>
  <c r="F325" i="25" s="1"/>
  <c r="AH37" i="24"/>
  <c r="JR16" i="2"/>
  <c r="CK16" i="24" s="1"/>
  <c r="BD38" i="24"/>
  <c r="D545" i="23" s="1"/>
  <c r="BH38" i="24"/>
  <c r="F545" i="23" s="1"/>
  <c r="BH51" i="24"/>
  <c r="Q32" i="31" s="1"/>
  <c r="BO38" i="24"/>
  <c r="D586" i="23" s="1"/>
  <c r="BO51" i="24"/>
  <c r="J35" i="31" s="1"/>
  <c r="G400" i="25"/>
  <c r="O400" i="25" s="1"/>
  <c r="BS5" i="24"/>
  <c r="G22" i="25"/>
  <c r="O22" i="25" s="1"/>
  <c r="BO6" i="24"/>
  <c r="BQ8" i="24"/>
  <c r="G216" i="25"/>
  <c r="O216" i="25" s="1"/>
  <c r="AC9" i="24"/>
  <c r="C28" i="25"/>
  <c r="C123" i="25" s="1"/>
  <c r="C218" i="25" s="1"/>
  <c r="C313" i="25" s="1"/>
  <c r="C408" i="25" s="1"/>
  <c r="C505" i="25" s="1"/>
  <c r="AC27" i="24"/>
  <c r="BX5" i="24"/>
  <c r="BX34" i="24"/>
  <c r="GD32" i="2"/>
  <c r="AL35" i="24"/>
  <c r="JI13" i="2"/>
  <c r="AP38" i="24"/>
  <c r="AP51" i="24"/>
  <c r="H30" i="31" s="1"/>
  <c r="JK16" i="2"/>
  <c r="CD16" i="24" s="1"/>
  <c r="BB28" i="24"/>
  <c r="C185" i="23" s="1"/>
  <c r="JQ6" i="2"/>
  <c r="K117" i="25" s="1"/>
  <c r="BZ28" i="24"/>
  <c r="GE26" i="2"/>
  <c r="CD28" i="24"/>
  <c r="GG26" i="2"/>
  <c r="CH28" i="24"/>
  <c r="GI26" i="2"/>
  <c r="BA33" i="24"/>
  <c r="C385" i="23" s="1"/>
  <c r="JQ11" i="2"/>
  <c r="AO36" i="24"/>
  <c r="C464" i="23" s="1"/>
  <c r="JK14" i="2"/>
  <c r="GE34" i="2"/>
  <c r="BY51" i="24"/>
  <c r="G37" i="31" s="1"/>
  <c r="BE37" i="24"/>
  <c r="E505" i="23" s="1"/>
  <c r="JS15" i="2"/>
  <c r="BX37" i="24"/>
  <c r="GD35" i="2"/>
  <c r="AM38" i="24"/>
  <c r="B544" i="23" s="1"/>
  <c r="AM51" i="24"/>
  <c r="D30" i="31" s="1"/>
  <c r="AB39" i="24"/>
  <c r="JD17" i="2"/>
  <c r="BX39" i="24"/>
  <c r="GD37" i="2"/>
  <c r="CF39" i="24"/>
  <c r="GH37" i="2"/>
  <c r="AB40" i="24"/>
  <c r="JD18" i="2"/>
  <c r="AV51" i="24"/>
  <c r="Q30" i="31" s="1"/>
  <c r="BO40" i="24"/>
  <c r="KD18" i="2"/>
  <c r="R236" i="25" s="1"/>
  <c r="BW51" i="24"/>
  <c r="D37" i="31" s="1"/>
  <c r="GD38" i="2"/>
  <c r="CA40" i="24"/>
  <c r="GF38" i="2"/>
  <c r="CA51" i="24"/>
  <c r="J37" i="31" s="1"/>
  <c r="JQ4" i="2"/>
  <c r="GG24" i="2"/>
  <c r="JS6" i="2"/>
  <c r="K307" i="25" s="1"/>
  <c r="GF29" i="2"/>
  <c r="GH34" i="2"/>
  <c r="GF35" i="2"/>
  <c r="GH36" i="2"/>
  <c r="GF37" i="2"/>
  <c r="M11" i="17"/>
  <c r="AM8" i="33"/>
  <c r="JD5" i="2"/>
  <c r="F20" i="25" s="1"/>
  <c r="I20" i="25" s="1"/>
  <c r="F145" i="23"/>
  <c r="CA44" i="24"/>
  <c r="GH26" i="2"/>
  <c r="GG25" i="2"/>
  <c r="B15" i="34"/>
  <c r="B12" i="16"/>
  <c r="B36" i="16" s="1"/>
  <c r="B59" i="16" s="1"/>
  <c r="AC313" i="23"/>
  <c r="G113" i="25"/>
  <c r="O113" i="25" s="1"/>
  <c r="BP4" i="24"/>
  <c r="BP15" i="24"/>
  <c r="G135" i="25"/>
  <c r="O135" i="25" s="1"/>
  <c r="BZ20" i="24"/>
  <c r="JY20" i="2"/>
  <c r="CR20" i="24" s="1"/>
  <c r="F335" i="25"/>
  <c r="I335" i="25" s="1"/>
  <c r="KA20" i="2"/>
  <c r="CT20" i="24" s="1"/>
  <c r="CH20" i="24"/>
  <c r="AO29" i="24"/>
  <c r="C224" i="23" s="1"/>
  <c r="JK7" i="2"/>
  <c r="AS29" i="24"/>
  <c r="E224" i="23" s="1"/>
  <c r="JM7" i="2"/>
  <c r="AV31" i="24"/>
  <c r="F304" i="23" s="1"/>
  <c r="JN9" i="2"/>
  <c r="J408" i="25" s="1"/>
  <c r="AF32" i="24"/>
  <c r="JF10" i="2"/>
  <c r="F220" i="25" s="1"/>
  <c r="I220" i="25" s="1"/>
  <c r="BH32" i="24"/>
  <c r="F345" i="23" s="1"/>
  <c r="JT10" i="2"/>
  <c r="BL32" i="24"/>
  <c r="B346" i="23" s="1"/>
  <c r="KB10" i="2"/>
  <c r="CU10" i="24" s="1"/>
  <c r="BP32" i="24"/>
  <c r="D346" i="23" s="1"/>
  <c r="KD10" i="2"/>
  <c r="AA33" i="24"/>
  <c r="JD11" i="2"/>
  <c r="BW11" i="24" s="1"/>
  <c r="BH33" i="24"/>
  <c r="F385" i="23" s="1"/>
  <c r="JT11" i="2"/>
  <c r="AC34" i="24"/>
  <c r="JE12" i="2"/>
  <c r="BM34" i="24"/>
  <c r="C426" i="23" s="1"/>
  <c r="KC12" i="2"/>
  <c r="CV12" i="24" s="1"/>
  <c r="AS35" i="24"/>
  <c r="JM13" i="2"/>
  <c r="BU35" i="24"/>
  <c r="G466" i="23" s="1"/>
  <c r="KG13" i="2"/>
  <c r="CZ13" i="24" s="1"/>
  <c r="CG35" i="24"/>
  <c r="GI33" i="2"/>
  <c r="BI37" i="24"/>
  <c r="G505" i="23" s="1"/>
  <c r="JU15" i="2"/>
  <c r="BP37" i="24"/>
  <c r="D546" i="23" s="1"/>
  <c r="BP51" i="24"/>
  <c r="K35" i="31" s="1"/>
  <c r="AI38" i="24"/>
  <c r="JH16" i="2"/>
  <c r="AT38" i="24"/>
  <c r="E544" i="23" s="1"/>
  <c r="JM16" i="2"/>
  <c r="CF16" i="24" s="1"/>
  <c r="BA38" i="24"/>
  <c r="C545" i="23" s="1"/>
  <c r="JQ16" i="2"/>
  <c r="BA51" i="24"/>
  <c r="G32" i="31" s="1"/>
  <c r="BR38" i="24"/>
  <c r="E586" i="23" s="1"/>
  <c r="KE16" i="2"/>
  <c r="BR51" i="24"/>
  <c r="N35" i="31" s="1"/>
  <c r="BU38" i="24"/>
  <c r="G586" i="23" s="1"/>
  <c r="BU51" i="24"/>
  <c r="S35" i="31" s="1"/>
  <c r="KG16" i="2"/>
  <c r="R519" i="25" s="1"/>
  <c r="AF40" i="24"/>
  <c r="JF18" i="2"/>
  <c r="AJ40" i="24"/>
  <c r="AJ51" i="24"/>
  <c r="Q29" i="31" s="1"/>
  <c r="JH18" i="2"/>
  <c r="CA18" i="24" s="1"/>
  <c r="AN40" i="24"/>
  <c r="B624" i="23" s="1"/>
  <c r="AN51" i="24"/>
  <c r="E30" i="31" s="1"/>
  <c r="JJ18" i="2"/>
  <c r="CC18" i="24" s="1"/>
  <c r="AR40" i="24"/>
  <c r="D624" i="23" s="1"/>
  <c r="JL18" i="2"/>
  <c r="W17" i="17"/>
  <c r="C25" i="13"/>
  <c r="B23" i="34"/>
  <c r="AI393" i="23"/>
  <c r="B7" i="16"/>
  <c r="B31" i="16" s="1"/>
  <c r="B54" i="16" s="1"/>
  <c r="B10" i="34"/>
  <c r="C52" i="22"/>
  <c r="B8" i="16"/>
  <c r="B32" i="16" s="1"/>
  <c r="B55" i="16" s="1"/>
  <c r="B11" i="34"/>
  <c r="JU12" i="2"/>
  <c r="K511" i="25" s="1"/>
  <c r="KF10" i="2"/>
  <c r="KC7" i="2"/>
  <c r="JO11" i="2"/>
  <c r="J509" i="25" s="1"/>
  <c r="JS7" i="2"/>
  <c r="CL7" i="24" s="1"/>
  <c r="JP9" i="2"/>
  <c r="JO7" i="2"/>
  <c r="J501" i="25" s="1"/>
  <c r="G517" i="25"/>
  <c r="GJ9" i="2"/>
  <c r="L13" i="16"/>
  <c r="Y16" i="33"/>
  <c r="S19" i="13"/>
  <c r="AZ15" i="2"/>
  <c r="B21" i="43" s="1"/>
  <c r="AI553" i="23"/>
  <c r="W11" i="17"/>
  <c r="GJ5" i="2"/>
  <c r="G115" i="25"/>
  <c r="O115" i="25" s="1"/>
  <c r="BP5" i="24"/>
  <c r="G497" i="25"/>
  <c r="BT5" i="24"/>
  <c r="G46" i="25"/>
  <c r="O46" i="25" s="1"/>
  <c r="BO18" i="24"/>
  <c r="BS18" i="24"/>
  <c r="G426" i="25"/>
  <c r="O426" i="25" s="1"/>
  <c r="J145" i="25"/>
  <c r="CD20" i="24"/>
  <c r="JW20" i="2"/>
  <c r="K335" i="25"/>
  <c r="CL20" i="24"/>
  <c r="AK29" i="24"/>
  <c r="JI7" i="2"/>
  <c r="F501" i="25" s="1"/>
  <c r="I501" i="25" s="1"/>
  <c r="BA29" i="24"/>
  <c r="C225" i="23" s="1"/>
  <c r="JQ7" i="2"/>
  <c r="K119" i="25" s="1"/>
  <c r="BQ29" i="24"/>
  <c r="E226" i="23" s="1"/>
  <c r="KE7" i="2"/>
  <c r="AK31" i="24"/>
  <c r="JI9" i="2"/>
  <c r="BD31" i="24"/>
  <c r="D305" i="23" s="1"/>
  <c r="JR9" i="2"/>
  <c r="AB32" i="24"/>
  <c r="JD10" i="2"/>
  <c r="AJ32" i="24"/>
  <c r="AJ44" i="24"/>
  <c r="JH10" i="2"/>
  <c r="AN32" i="24"/>
  <c r="B344" i="23" s="1"/>
  <c r="AN50" i="24"/>
  <c r="E30" i="30" s="1"/>
  <c r="JJ10" i="2"/>
  <c r="AR32" i="24"/>
  <c r="D344" i="23" s="1"/>
  <c r="JL10" i="2"/>
  <c r="AZ32" i="24"/>
  <c r="B345" i="23" s="1"/>
  <c r="JP10" i="2"/>
  <c r="K30" i="25" s="1"/>
  <c r="CF32" i="24"/>
  <c r="GH30" i="2"/>
  <c r="BO33" i="24"/>
  <c r="D386" i="23" s="1"/>
  <c r="BO50" i="24"/>
  <c r="J35" i="30" s="1"/>
  <c r="BO44" i="24"/>
  <c r="KD11" i="2"/>
  <c r="AG34" i="24"/>
  <c r="JG12" i="2"/>
  <c r="BZ12" i="24" s="1"/>
  <c r="AJ34" i="24"/>
  <c r="JH12" i="2"/>
  <c r="AU34" i="24"/>
  <c r="F424" i="23" s="1"/>
  <c r="JN12" i="2"/>
  <c r="BP34" i="24"/>
  <c r="D426" i="23" s="1"/>
  <c r="KD12" i="2"/>
  <c r="CB34" i="24"/>
  <c r="GF32" i="2"/>
  <c r="AA35" i="24"/>
  <c r="JD13" i="2"/>
  <c r="AO35" i="24"/>
  <c r="JK13" i="2"/>
  <c r="J131" i="25" s="1"/>
  <c r="AV35" i="24"/>
  <c r="JN13" i="2"/>
  <c r="BG35" i="24"/>
  <c r="JT13" i="2"/>
  <c r="BY35" i="24"/>
  <c r="GE33" i="2"/>
  <c r="CC35" i="24"/>
  <c r="GG33" i="2"/>
  <c r="AB37" i="24"/>
  <c r="JD15" i="2"/>
  <c r="AB51" i="24"/>
  <c r="E29" i="31" s="1"/>
  <c r="AR37" i="24"/>
  <c r="AR51" i="24"/>
  <c r="K30" i="31" s="1"/>
  <c r="AU37" i="24"/>
  <c r="F504" i="23" s="1"/>
  <c r="JN15" i="2"/>
  <c r="BM37" i="24"/>
  <c r="KC15" i="2"/>
  <c r="CV15" i="24" s="1"/>
  <c r="AW38" i="24"/>
  <c r="G544" i="23" s="1"/>
  <c r="JO16" i="2"/>
  <c r="J519" i="25" s="1"/>
  <c r="C14" i="16"/>
  <c r="C38" i="16" s="1"/>
  <c r="C61" i="16" s="1"/>
  <c r="W20" i="17"/>
  <c r="AB545" i="23"/>
  <c r="C63" i="22"/>
  <c r="B21" i="34"/>
  <c r="L527" i="25"/>
  <c r="O527" i="25" s="1"/>
  <c r="Q527" i="25" s="1"/>
  <c r="BG44" i="24"/>
  <c r="JF15" i="2"/>
  <c r="BK51" i="24"/>
  <c r="D35" i="31" s="1"/>
  <c r="AU51" i="24"/>
  <c r="P30" i="31" s="1"/>
  <c r="AE51" i="24"/>
  <c r="J29" i="31" s="1"/>
  <c r="AF51" i="24"/>
  <c r="K29" i="31" s="1"/>
  <c r="BA25" i="24"/>
  <c r="BA44" i="24"/>
  <c r="BI44" i="24"/>
  <c r="BU25" i="24"/>
  <c r="G66" i="23" s="1"/>
  <c r="KG3" i="2"/>
  <c r="CK33" i="24"/>
  <c r="KC33" i="2"/>
  <c r="CV33" i="24" s="1"/>
  <c r="CK39" i="24"/>
  <c r="KC39" i="2"/>
  <c r="CV39" i="24" s="1"/>
  <c r="CL36" i="24"/>
  <c r="CL51" i="24"/>
  <c r="CO39" i="24"/>
  <c r="KE39" i="2"/>
  <c r="CX39" i="24" s="1"/>
  <c r="W15" i="17"/>
  <c r="AC44" i="24"/>
  <c r="JT5" i="2"/>
  <c r="CM5" i="24" s="1"/>
  <c r="AG50" i="24"/>
  <c r="M29" i="30" s="1"/>
  <c r="G301" i="25"/>
  <c r="O301" i="25" s="1"/>
  <c r="BR13" i="24"/>
  <c r="G519" i="25"/>
  <c r="G220" i="25"/>
  <c r="O220" i="25" s="1"/>
  <c r="BX19" i="24"/>
  <c r="F143" i="25"/>
  <c r="JW19" i="2"/>
  <c r="J238" i="25"/>
  <c r="CE19" i="24"/>
  <c r="K428" i="25"/>
  <c r="K589" i="25" s="1"/>
  <c r="CM19" i="24"/>
  <c r="JZ19" i="2"/>
  <c r="CS19" i="24" s="1"/>
  <c r="CB21" i="24"/>
  <c r="KA21" i="2"/>
  <c r="CT21" i="24" s="1"/>
  <c r="J337" i="25"/>
  <c r="CF21" i="24"/>
  <c r="JY21" i="2"/>
  <c r="CR21" i="24" s="1"/>
  <c r="JG3" i="2"/>
  <c r="AH50" i="24"/>
  <c r="N29" i="30" s="1"/>
  <c r="KE40" i="2"/>
  <c r="CX40" i="24" s="1"/>
  <c r="BQ44" i="24"/>
  <c r="CG25" i="24"/>
  <c r="CG50" i="24"/>
  <c r="S37" i="30" s="1"/>
  <c r="AK44" i="24"/>
  <c r="AV26" i="24"/>
  <c r="F104" i="23" s="1"/>
  <c r="JN4" i="2"/>
  <c r="CG4" i="24" s="1"/>
  <c r="AQ27" i="24"/>
  <c r="JL5" i="2"/>
  <c r="AF44" i="24"/>
  <c r="BE44" i="24"/>
  <c r="G323" i="25"/>
  <c r="O323" i="25" s="1"/>
  <c r="G137" i="25"/>
  <c r="O137" i="25" s="1"/>
  <c r="AM14" i="33"/>
  <c r="M23" i="17"/>
  <c r="CE28" i="24"/>
  <c r="AS8" i="24"/>
  <c r="AM12" i="33"/>
  <c r="BT14" i="24"/>
  <c r="G515" i="25"/>
  <c r="BN26" i="24"/>
  <c r="C106" i="23" s="1"/>
  <c r="KC4" i="2"/>
  <c r="BV26" i="24"/>
  <c r="G106" i="23" s="1"/>
  <c r="KG4" i="2"/>
  <c r="CZ4" i="24" s="1"/>
  <c r="CG44" i="24"/>
  <c r="GI24" i="2"/>
  <c r="CG26" i="24"/>
  <c r="AO27" i="24"/>
  <c r="AO44" i="24"/>
  <c r="BP27" i="24"/>
  <c r="KD5" i="2"/>
  <c r="CW5" i="24" s="1"/>
  <c r="BV27" i="24"/>
  <c r="G146" i="23" s="1"/>
  <c r="KG5" i="2"/>
  <c r="BZ27" i="24"/>
  <c r="GE25" i="2"/>
  <c r="CG27" i="24"/>
  <c r="GI25" i="2"/>
  <c r="AK28" i="24"/>
  <c r="JI6" i="2"/>
  <c r="F499" i="25" s="1"/>
  <c r="I499" i="25" s="1"/>
  <c r="AS28" i="24"/>
  <c r="E184" i="23" s="1"/>
  <c r="JM6" i="2"/>
  <c r="BQ28" i="24"/>
  <c r="E186" i="23" s="1"/>
  <c r="KE6" i="2"/>
  <c r="CX6" i="24" s="1"/>
  <c r="AB29" i="24"/>
  <c r="JD7" i="2"/>
  <c r="F24" i="25" s="1"/>
  <c r="G218" i="25"/>
  <c r="O218" i="25" s="1"/>
  <c r="G20" i="25"/>
  <c r="O20" i="25" s="1"/>
  <c r="BO5" i="24"/>
  <c r="F238" i="25"/>
  <c r="I238" i="25" s="1"/>
  <c r="BY19" i="24"/>
  <c r="J432" i="25"/>
  <c r="CG21" i="24"/>
  <c r="K242" i="25"/>
  <c r="CK21" i="24"/>
  <c r="BY26" i="24"/>
  <c r="GE24" i="2"/>
  <c r="CF26" i="24"/>
  <c r="GH24" i="2"/>
  <c r="KG31" i="2"/>
  <c r="CZ31" i="24" s="1"/>
  <c r="CS31" i="24"/>
  <c r="CK38" i="24"/>
  <c r="KC38" i="2"/>
  <c r="CV38" i="24" s="1"/>
  <c r="CQ37" i="24"/>
  <c r="KF37" i="2"/>
  <c r="CY37" i="24" s="1"/>
  <c r="L525" i="25"/>
  <c r="O525" i="25" s="1"/>
  <c r="CH19" i="24"/>
  <c r="F145" i="25"/>
  <c r="BX20" i="24"/>
  <c r="K50" i="25"/>
  <c r="CI20" i="24"/>
  <c r="K430" i="25"/>
  <c r="L430" i="25" s="1"/>
  <c r="CM20" i="24"/>
  <c r="CB30" i="24"/>
  <c r="GF28" i="2"/>
  <c r="CC33" i="24"/>
  <c r="GG31" i="2"/>
  <c r="BX38" i="24"/>
  <c r="GD36" i="2"/>
  <c r="BZ40" i="24"/>
  <c r="GE38" i="2"/>
  <c r="CH40" i="24"/>
  <c r="GI38" i="2"/>
  <c r="R145" i="25"/>
  <c r="CV20" i="24"/>
  <c r="R337" i="25"/>
  <c r="CX21" i="24"/>
  <c r="AX50" i="24"/>
  <c r="T30" i="30" s="1"/>
  <c r="BF44" i="24"/>
  <c r="JE4" i="2"/>
  <c r="KD31" i="2"/>
  <c r="CW31" i="24" s="1"/>
  <c r="KG26" i="2"/>
  <c r="CZ26" i="24" s="1"/>
  <c r="CS33" i="24"/>
  <c r="KG33" i="2"/>
  <c r="CZ33" i="24" s="1"/>
  <c r="CI36" i="24"/>
  <c r="KB36" i="2"/>
  <c r="B104" i="23"/>
  <c r="B184" i="23"/>
  <c r="D184" i="23"/>
  <c r="F184" i="23"/>
  <c r="D185" i="23"/>
  <c r="F185" i="23"/>
  <c r="D186" i="23"/>
  <c r="F186" i="23"/>
  <c r="CK31" i="24"/>
  <c r="KC31" i="2"/>
  <c r="CV31" i="24" s="1"/>
  <c r="CM36" i="24"/>
  <c r="CM51" i="24"/>
  <c r="KD36" i="2"/>
  <c r="CO37" i="24"/>
  <c r="KE37" i="2"/>
  <c r="CX37" i="24" s="1"/>
  <c r="W26" i="29"/>
  <c r="F26" i="29"/>
  <c r="L26" i="29"/>
  <c r="R26" i="29"/>
  <c r="GD27" i="2"/>
  <c r="C305" i="23"/>
  <c r="X24" i="22"/>
  <c r="X40" i="22"/>
  <c r="X29" i="22"/>
  <c r="X37" i="22"/>
  <c r="X25" i="22"/>
  <c r="X33" i="22"/>
  <c r="X27" i="22"/>
  <c r="X23" i="22"/>
  <c r="X31" i="22"/>
  <c r="X39" i="22"/>
  <c r="X35" i="22"/>
  <c r="W12" i="22"/>
  <c r="W2" i="22"/>
  <c r="W38" i="22"/>
  <c r="W33" i="22"/>
  <c r="W27" i="22"/>
  <c r="W23" i="22"/>
  <c r="W18" i="22"/>
  <c r="W10" i="22"/>
  <c r="W22" i="22"/>
  <c r="Y1" i="22"/>
  <c r="Y16" i="22" s="1"/>
  <c r="W30" i="22"/>
  <c r="W37" i="22"/>
  <c r="W32" i="22"/>
  <c r="W26" i="22"/>
  <c r="W16" i="22"/>
  <c r="W8" i="22"/>
  <c r="Y21" i="22"/>
  <c r="Y30" i="22" s="1"/>
  <c r="W5" i="22"/>
  <c r="AI27" i="33"/>
  <c r="H29" i="32" s="1"/>
  <c r="AG27" i="33"/>
  <c r="H27" i="32" s="1"/>
  <c r="AE27" i="33"/>
  <c r="H22" i="32" s="1"/>
  <c r="C41" i="22"/>
  <c r="Y41" i="22"/>
  <c r="X38" i="22"/>
  <c r="X34" i="22"/>
  <c r="X30" i="22"/>
  <c r="X26" i="22"/>
  <c r="X22" i="22"/>
  <c r="W19" i="22"/>
  <c r="W15" i="22"/>
  <c r="W11" i="22"/>
  <c r="W7" i="22"/>
  <c r="X1" i="22"/>
  <c r="W6" i="22"/>
  <c r="W52" i="22"/>
  <c r="W50" i="22"/>
  <c r="W51" i="22"/>
  <c r="W57" i="22"/>
  <c r="X36" i="22"/>
  <c r="X32" i="22"/>
  <c r="X28" i="22"/>
  <c r="W17" i="22"/>
  <c r="W13" i="22"/>
  <c r="W9" i="22"/>
  <c r="W4" i="22"/>
  <c r="W44" i="22"/>
  <c r="W60" i="22"/>
  <c r="W58" i="22"/>
  <c r="W59" i="22"/>
  <c r="J13" i="16"/>
  <c r="AZ12" i="2"/>
  <c r="B18" i="43" s="1"/>
  <c r="AI433" i="23"/>
  <c r="AZ16" i="2"/>
  <c r="AI593" i="23"/>
  <c r="X14" i="33"/>
  <c r="C17" i="17"/>
  <c r="C17" i="13"/>
  <c r="C57" i="22"/>
  <c r="AY2" i="2"/>
  <c r="AC33" i="23"/>
  <c r="AZ3" i="2"/>
  <c r="AI73" i="23"/>
  <c r="AZ8" i="2"/>
  <c r="B14" i="43" s="1"/>
  <c r="AI273" i="23"/>
  <c r="X22" i="33"/>
  <c r="C25" i="17"/>
  <c r="C65" i="22"/>
  <c r="B20" i="16"/>
  <c r="B44" i="16" s="1"/>
  <c r="B67" i="16" s="1"/>
  <c r="S18" i="17"/>
  <c r="AY6" i="2"/>
  <c r="W13" i="17"/>
  <c r="AB265" i="23"/>
  <c r="AP46" i="24"/>
  <c r="G11" i="30" s="1"/>
  <c r="I11" i="30" s="1"/>
  <c r="AV47" i="24"/>
  <c r="H20" i="31" s="1"/>
  <c r="O23" i="17"/>
  <c r="GE29" i="2"/>
  <c r="BR4" i="24"/>
  <c r="G303" i="25"/>
  <c r="O303" i="25" s="1"/>
  <c r="AH5" i="24"/>
  <c r="AH46" i="24"/>
  <c r="G7" i="30" s="1"/>
  <c r="AB106" i="23"/>
  <c r="AB625" i="23"/>
  <c r="AS17" i="24"/>
  <c r="BP3" i="24"/>
  <c r="G111" i="25"/>
  <c r="O111" i="25" s="1"/>
  <c r="G513" i="25"/>
  <c r="BT13" i="24"/>
  <c r="BG47" i="24"/>
  <c r="Q23" i="31" s="1"/>
  <c r="BG14" i="24"/>
  <c r="BO14" i="24"/>
  <c r="G38" i="25"/>
  <c r="O38" i="25" s="1"/>
  <c r="G230" i="25"/>
  <c r="O230" i="25" s="1"/>
  <c r="BQ15" i="24"/>
  <c r="C42" i="25"/>
  <c r="AC16" i="24"/>
  <c r="AM20" i="33"/>
  <c r="AS16" i="24"/>
  <c r="C44" i="25"/>
  <c r="AC17" i="24"/>
  <c r="O24" i="17"/>
  <c r="AG17" i="24"/>
  <c r="BH18" i="24"/>
  <c r="BH47" i="24"/>
  <c r="Q24" i="31" s="1"/>
  <c r="AB25" i="24"/>
  <c r="AB44" i="24"/>
  <c r="AF25" i="24"/>
  <c r="AI25" i="24"/>
  <c r="JH3" i="2"/>
  <c r="AQ25" i="24"/>
  <c r="D64" i="23" s="1"/>
  <c r="AQ44" i="24"/>
  <c r="AU25" i="24"/>
  <c r="F64" i="23" s="1"/>
  <c r="JN3" i="2"/>
  <c r="AX25" i="24"/>
  <c r="G64" i="23" s="1"/>
  <c r="AX44" i="24"/>
  <c r="JO3" i="2"/>
  <c r="JQ3" i="2"/>
  <c r="BB25" i="24"/>
  <c r="BB44" i="24"/>
  <c r="BJ25" i="24"/>
  <c r="BJ50" i="24"/>
  <c r="T32" i="30" s="1"/>
  <c r="BN25" i="24"/>
  <c r="BN44" i="24"/>
  <c r="KC3" i="2"/>
  <c r="BR44" i="24"/>
  <c r="GE23" i="2"/>
  <c r="BZ25" i="24"/>
  <c r="BZ44" i="24"/>
  <c r="CD44" i="24"/>
  <c r="GG23" i="2"/>
  <c r="GI23" i="2"/>
  <c r="CH50" i="24"/>
  <c r="T37" i="30" s="1"/>
  <c r="CH25" i="24"/>
  <c r="AE27" i="24"/>
  <c r="JF5" i="2"/>
  <c r="AM27" i="24"/>
  <c r="CC5" i="24"/>
  <c r="AV27" i="24"/>
  <c r="F144" i="23" s="1"/>
  <c r="BD27" i="24"/>
  <c r="D145" i="23" s="1"/>
  <c r="BD44" i="24"/>
  <c r="JR5" i="2"/>
  <c r="BL27" i="24"/>
  <c r="KB5" i="2"/>
  <c r="R20" i="25" s="1"/>
  <c r="BT27" i="24"/>
  <c r="KF5" i="2"/>
  <c r="BQ31" i="24"/>
  <c r="E306" i="23" s="1"/>
  <c r="KE9" i="2"/>
  <c r="R313" i="25" s="1"/>
  <c r="AS33" i="24"/>
  <c r="AS44" i="24"/>
  <c r="JM11" i="2"/>
  <c r="AY33" i="24"/>
  <c r="AY44" i="24"/>
  <c r="JP11" i="2"/>
  <c r="CI11" i="24" s="1"/>
  <c r="CJ38" i="24"/>
  <c r="KB38" i="2"/>
  <c r="CU38" i="24" s="1"/>
  <c r="CN38" i="24"/>
  <c r="KD38" i="2"/>
  <c r="CW38" i="24" s="1"/>
  <c r="CO35" i="24"/>
  <c r="KE35" i="2"/>
  <c r="CX35" i="24" s="1"/>
  <c r="G26" i="25"/>
  <c r="O26" i="25" s="1"/>
  <c r="BO8" i="24"/>
  <c r="BJ27" i="24"/>
  <c r="JU5" i="2"/>
  <c r="K497" i="25" s="1"/>
  <c r="AR31" i="24"/>
  <c r="D304" i="23" s="1"/>
  <c r="JL9" i="2"/>
  <c r="BG31" i="24"/>
  <c r="F305" i="23" s="1"/>
  <c r="JT9" i="2"/>
  <c r="BO7" i="24"/>
  <c r="G24" i="25"/>
  <c r="O24" i="25" s="1"/>
  <c r="AA27" i="24"/>
  <c r="AA44" i="24"/>
  <c r="AZ27" i="24"/>
  <c r="B145" i="23" s="1"/>
  <c r="AH30" i="24"/>
  <c r="JG8" i="2"/>
  <c r="AL30" i="24"/>
  <c r="JI8" i="2"/>
  <c r="BJ30" i="24"/>
  <c r="G265" i="23" s="1"/>
  <c r="JU8" i="2"/>
  <c r="K503" i="25" s="1"/>
  <c r="BJ33" i="24"/>
  <c r="JU11" i="2"/>
  <c r="AM34" i="24"/>
  <c r="B424" i="23" s="1"/>
  <c r="JJ12" i="2"/>
  <c r="BS34" i="24"/>
  <c r="F426" i="23" s="1"/>
  <c r="KF12" i="2"/>
  <c r="AI37" i="24"/>
  <c r="AI51" i="24"/>
  <c r="P29" i="31" s="1"/>
  <c r="AQ37" i="24"/>
  <c r="JL15" i="2"/>
  <c r="CE15" i="24" s="1"/>
  <c r="AY37" i="24"/>
  <c r="B505" i="23" s="1"/>
  <c r="BK37" i="24"/>
  <c r="B546" i="23" s="1"/>
  <c r="KB15" i="2"/>
  <c r="BI38" i="24"/>
  <c r="G545" i="23" s="1"/>
  <c r="BI51" i="24"/>
  <c r="S32" i="31" s="1"/>
  <c r="AV40" i="24"/>
  <c r="F664" i="23" s="1"/>
  <c r="JN18" i="2"/>
  <c r="AZ40" i="24"/>
  <c r="B625" i="23" s="1"/>
  <c r="AZ51" i="24"/>
  <c r="E32" i="31" s="1"/>
  <c r="BG40" i="24"/>
  <c r="F625" i="23" s="1"/>
  <c r="JT18" i="2"/>
  <c r="BN40" i="24"/>
  <c r="KC18" i="2"/>
  <c r="AG5" i="24"/>
  <c r="O12" i="17"/>
  <c r="AK26" i="24"/>
  <c r="AR26" i="24"/>
  <c r="D104" i="23" s="1"/>
  <c r="AR44" i="24"/>
  <c r="BC26" i="24"/>
  <c r="D105" i="23" s="1"/>
  <c r="JR4" i="2"/>
  <c r="BF26" i="24"/>
  <c r="E105" i="23" s="1"/>
  <c r="JS4" i="2"/>
  <c r="K303" i="25" s="1"/>
  <c r="AG27" i="24"/>
  <c r="JG5" i="2"/>
  <c r="F305" i="25" s="1"/>
  <c r="I305" i="25" s="1"/>
  <c r="AX27" i="24"/>
  <c r="G144" i="23" s="1"/>
  <c r="JO5" i="2"/>
  <c r="CH5" i="24" s="1"/>
  <c r="BN27" i="24"/>
  <c r="C146" i="23" s="1"/>
  <c r="KC5" i="2"/>
  <c r="AG28" i="24"/>
  <c r="JG6" i="2"/>
  <c r="AW28" i="24"/>
  <c r="G184" i="23" s="1"/>
  <c r="JO6" i="2"/>
  <c r="J499" i="25" s="1"/>
  <c r="BE28" i="24"/>
  <c r="E185" i="23" s="1"/>
  <c r="BM28" i="24"/>
  <c r="C186" i="23" s="1"/>
  <c r="KC6" i="2"/>
  <c r="BU28" i="24"/>
  <c r="G186" i="23" s="1"/>
  <c r="BU44" i="24"/>
  <c r="G226" i="25"/>
  <c r="O226" i="25" s="1"/>
  <c r="KE3" i="2"/>
  <c r="KF36" i="2"/>
  <c r="CK35" i="24"/>
  <c r="KC35" i="2"/>
  <c r="CV35" i="24" s="1"/>
  <c r="CO38" i="24"/>
  <c r="KE38" i="2"/>
  <c r="CX38" i="24" s="1"/>
  <c r="AB47" i="24"/>
  <c r="CR32" i="24"/>
  <c r="KF32" i="2"/>
  <c r="CY32" i="24" s="1"/>
  <c r="CS34" i="24"/>
  <c r="KG34" i="2"/>
  <c r="CZ34" i="24" s="1"/>
  <c r="CJ35" i="24"/>
  <c r="KB35" i="2"/>
  <c r="CU35" i="24" s="1"/>
  <c r="CR40" i="24"/>
  <c r="KF40" i="2"/>
  <c r="CY40" i="24" s="1"/>
  <c r="CS38" i="24"/>
  <c r="KG38" i="2"/>
  <c r="CZ38" i="24" s="1"/>
  <c r="CT36" i="24"/>
  <c r="KG36" i="2"/>
  <c r="CT40" i="24"/>
  <c r="KG40" i="2"/>
  <c r="CZ40" i="24" s="1"/>
  <c r="E385" i="23"/>
  <c r="CL30" i="24"/>
  <c r="KC30" i="2"/>
  <c r="CV30" i="24" s="1"/>
  <c r="CS28" i="24"/>
  <c r="KG28" i="2"/>
  <c r="CZ28" i="24" s="1"/>
  <c r="CQ33" i="24"/>
  <c r="KF33" i="2"/>
  <c r="B264" i="23"/>
  <c r="D266" i="23"/>
  <c r="F266" i="23"/>
  <c r="D306" i="23"/>
  <c r="KF11" i="2"/>
  <c r="R412" i="25" s="1"/>
  <c r="G425" i="23"/>
  <c r="E426" i="23"/>
  <c r="AD27" i="33"/>
  <c r="H21" i="32" s="1"/>
  <c r="AH27" i="33"/>
  <c r="H28" i="32" s="1"/>
  <c r="AB27" i="33"/>
  <c r="O16" i="32" s="1"/>
  <c r="Q8" i="29"/>
  <c r="X26" i="30"/>
  <c r="V26" i="30"/>
  <c r="AC73" i="23"/>
  <c r="AY3" i="2"/>
  <c r="AZ14" i="2"/>
  <c r="B20" i="43" s="1"/>
  <c r="AI513" i="23"/>
  <c r="BA6" i="24"/>
  <c r="BA46" i="24"/>
  <c r="P17" i="30" s="1"/>
  <c r="IH22" i="2"/>
  <c r="BA22" i="24" s="1"/>
  <c r="BI6" i="24"/>
  <c r="BI46" i="24"/>
  <c r="S9" i="30" s="1"/>
  <c r="G212" i="25"/>
  <c r="O212" i="25" s="1"/>
  <c r="BQ6" i="24"/>
  <c r="BQ46" i="24"/>
  <c r="J36" i="30" s="1"/>
  <c r="M20" i="17"/>
  <c r="AF13" i="24"/>
  <c r="AF46" i="24"/>
  <c r="BA14" i="24"/>
  <c r="F18" i="24" s="1"/>
  <c r="BA47" i="24"/>
  <c r="P17" i="31" s="1"/>
  <c r="G420" i="25"/>
  <c r="O420" i="25" s="1"/>
  <c r="BS15" i="24"/>
  <c r="BV18" i="24"/>
  <c r="BV47" i="24"/>
  <c r="GH23" i="2"/>
  <c r="CF25" i="24"/>
  <c r="BT26" i="24"/>
  <c r="F106" i="23" s="1"/>
  <c r="KF4" i="2"/>
  <c r="CE27" i="24"/>
  <c r="GH25" i="2"/>
  <c r="G384" i="23"/>
  <c r="BK33" i="24"/>
  <c r="KB11" i="2"/>
  <c r="AB586" i="23"/>
  <c r="AZ4" i="2"/>
  <c r="B10" i="43" s="1"/>
  <c r="AI113" i="23"/>
  <c r="AY11" i="2"/>
  <c r="AC393" i="23"/>
  <c r="IP22" i="2"/>
  <c r="BI22" i="24" s="1"/>
  <c r="AA5" i="24"/>
  <c r="DI25" i="2" s="1"/>
  <c r="M7" i="16" s="1"/>
  <c r="AA46" i="24"/>
  <c r="JB22" i="2"/>
  <c r="BU22" i="24" s="1"/>
  <c r="BO11" i="24"/>
  <c r="G32" i="25"/>
  <c r="O32" i="25" s="1"/>
  <c r="BV12" i="24"/>
  <c r="JC22" i="2"/>
  <c r="BV22" i="24" s="1"/>
  <c r="AW47" i="24"/>
  <c r="H21" i="31" s="1"/>
  <c r="AW14" i="24"/>
  <c r="BI14" i="24"/>
  <c r="K26" i="24" s="1"/>
  <c r="AE16" i="24"/>
  <c r="AE47" i="24"/>
  <c r="HL22" i="2"/>
  <c r="AE22" i="24" s="1"/>
  <c r="AS25" i="24"/>
  <c r="E64" i="23" s="1"/>
  <c r="AS50" i="24"/>
  <c r="M30" i="30" s="1"/>
  <c r="JM3" i="2"/>
  <c r="CB25" i="24"/>
  <c r="GF23" i="2"/>
  <c r="AI26" i="24"/>
  <c r="JH4" i="2"/>
  <c r="BL26" i="24"/>
  <c r="B106" i="23" s="1"/>
  <c r="BL44" i="24"/>
  <c r="KB4" i="2"/>
  <c r="CU4" i="24" s="1"/>
  <c r="CB27" i="24"/>
  <c r="GF25" i="2"/>
  <c r="AE31" i="24"/>
  <c r="JF9" i="2"/>
  <c r="AP31" i="24"/>
  <c r="C304" i="23" s="1"/>
  <c r="JK9" i="2"/>
  <c r="BV31" i="24"/>
  <c r="G306" i="23" s="1"/>
  <c r="KG9" i="2"/>
  <c r="BC33" i="24"/>
  <c r="JR11" i="2"/>
  <c r="C386" i="23"/>
  <c r="G386" i="23"/>
  <c r="GJ15" i="2"/>
  <c r="GD2" i="2"/>
  <c r="X10" i="33"/>
  <c r="C13" i="17"/>
  <c r="AC273" i="23"/>
  <c r="AY8" i="2"/>
  <c r="AB305" i="23"/>
  <c r="U18" i="17"/>
  <c r="G18" i="25"/>
  <c r="BO4" i="24"/>
  <c r="G398" i="25"/>
  <c r="O398" i="25" s="1"/>
  <c r="BS4" i="24"/>
  <c r="AS6" i="24"/>
  <c r="HZ22" i="2"/>
  <c r="AM10" i="33"/>
  <c r="BE6" i="24"/>
  <c r="IL22" i="2"/>
  <c r="BE22" i="24" s="1"/>
  <c r="AC7" i="24"/>
  <c r="C24" i="25"/>
  <c r="AK10" i="24"/>
  <c r="AK46" i="24"/>
  <c r="G17" i="30" s="1"/>
  <c r="DI31" i="2"/>
  <c r="M13" i="16" s="1"/>
  <c r="G412" i="25"/>
  <c r="O412" i="25" s="1"/>
  <c r="BS11" i="24"/>
  <c r="G319" i="25"/>
  <c r="O319" i="25" s="1"/>
  <c r="BR12" i="24"/>
  <c r="AM17" i="33"/>
  <c r="AS13" i="24"/>
  <c r="AG14" i="24"/>
  <c r="O21" i="17"/>
  <c r="AS14" i="24"/>
  <c r="AS47" i="24"/>
  <c r="AM18" i="33"/>
  <c r="BE14" i="24"/>
  <c r="BE47" i="24"/>
  <c r="Q21" i="31" s="1"/>
  <c r="BM47" i="24"/>
  <c r="W23" i="31" s="1"/>
  <c r="BM14" i="24"/>
  <c r="AF47" i="24"/>
  <c r="M22" i="17"/>
  <c r="AF15" i="24"/>
  <c r="G40" i="25"/>
  <c r="BO15" i="24"/>
  <c r="AZ25" i="24"/>
  <c r="B65" i="23" s="1"/>
  <c r="JP3" i="2"/>
  <c r="AZ44" i="24"/>
  <c r="GD23" i="2"/>
  <c r="BX44" i="24"/>
  <c r="BX25" i="24"/>
  <c r="AT26" i="24"/>
  <c r="E104" i="23" s="1"/>
  <c r="AT50" i="24"/>
  <c r="N30" i="30" s="1"/>
  <c r="AT44" i="24"/>
  <c r="JM4" i="2"/>
  <c r="BH26" i="24"/>
  <c r="F105" i="23" s="1"/>
  <c r="JT4" i="2"/>
  <c r="BH44" i="24"/>
  <c r="BP26" i="24"/>
  <c r="D106" i="23" s="1"/>
  <c r="KD4" i="2"/>
  <c r="BP44" i="24"/>
  <c r="BX30" i="24"/>
  <c r="GD28" i="2"/>
  <c r="BK31" i="24"/>
  <c r="B306" i="23" s="1"/>
  <c r="KB9" i="2"/>
  <c r="CC31" i="24"/>
  <c r="GG29" i="2"/>
  <c r="AE33" i="24"/>
  <c r="JF11" i="2"/>
  <c r="AU33" i="24"/>
  <c r="AU44" i="24"/>
  <c r="JN11" i="2"/>
  <c r="BS33" i="24"/>
  <c r="BS44" i="24"/>
  <c r="GE31" i="2"/>
  <c r="BY33" i="24"/>
  <c r="G39" i="24" s="1"/>
  <c r="C53" i="22"/>
  <c r="W23" i="17"/>
  <c r="AC153" i="23"/>
  <c r="AI233" i="23"/>
  <c r="AZ7" i="2"/>
  <c r="B13" i="43" s="1"/>
  <c r="AY10" i="2"/>
  <c r="C12" i="35" s="1"/>
  <c r="AC353" i="23"/>
  <c r="AC553" i="23"/>
  <c r="AZ9" i="2"/>
  <c r="B15" i="43" s="1"/>
  <c r="AB186" i="23"/>
  <c r="AB346" i="23"/>
  <c r="GJ14" i="2"/>
  <c r="GE3" i="2"/>
  <c r="GJ3" i="2" s="1"/>
  <c r="AB385" i="23"/>
  <c r="AB585" i="23"/>
  <c r="AB665" i="23"/>
  <c r="AB185" i="23"/>
  <c r="AB266" i="23"/>
  <c r="GJ7" i="2"/>
  <c r="AB425" i="23"/>
  <c r="AB426" i="23"/>
  <c r="AB626" i="23"/>
  <c r="G507" i="25"/>
  <c r="BT10" i="24"/>
  <c r="G416" i="25"/>
  <c r="BS13" i="24"/>
  <c r="AD47" i="24"/>
  <c r="AC47" i="24"/>
  <c r="C40" i="25"/>
  <c r="AZ16" i="24"/>
  <c r="F17" i="24" s="1"/>
  <c r="AZ47" i="24"/>
  <c r="P16" i="31" s="1"/>
  <c r="BD16" i="24"/>
  <c r="H21" i="24" s="1"/>
  <c r="BD47" i="24"/>
  <c r="Q20" i="31" s="1"/>
  <c r="BL16" i="24"/>
  <c r="BL47" i="24"/>
  <c r="W22" i="31" s="1"/>
  <c r="AU18" i="24"/>
  <c r="AU47" i="24"/>
  <c r="H19" i="31" s="1"/>
  <c r="AY18" i="24"/>
  <c r="BC18" i="24"/>
  <c r="BC47" i="24"/>
  <c r="P19" i="31" s="1"/>
  <c r="BK18" i="24"/>
  <c r="BK47" i="24"/>
  <c r="W21" i="31" s="1"/>
  <c r="AP25" i="24"/>
  <c r="C64" i="23" s="1"/>
  <c r="BI25" i="24"/>
  <c r="JU3" i="2"/>
  <c r="BM25" i="24"/>
  <c r="BM50" i="24"/>
  <c r="G35" i="30" s="1"/>
  <c r="BB26" i="24"/>
  <c r="C105" i="23" s="1"/>
  <c r="AF3" i="24"/>
  <c r="M10" i="17"/>
  <c r="HM22" i="2"/>
  <c r="AN46" i="24"/>
  <c r="G9" i="30" s="1"/>
  <c r="AN3" i="24"/>
  <c r="AV46" i="24"/>
  <c r="G20" i="30" s="1"/>
  <c r="BT3" i="24"/>
  <c r="G493" i="25"/>
  <c r="AO5" i="24"/>
  <c r="AO46" i="24"/>
  <c r="G10" i="30" s="1"/>
  <c r="M13" i="17"/>
  <c r="AF6" i="24"/>
  <c r="G406" i="25"/>
  <c r="BS8" i="24"/>
  <c r="G123" i="25"/>
  <c r="BP9" i="24"/>
  <c r="G141" i="25"/>
  <c r="BP18" i="24"/>
  <c r="BT47" i="24"/>
  <c r="S36" i="31" s="1"/>
  <c r="G523" i="25"/>
  <c r="AM25" i="24"/>
  <c r="B64" i="23" s="1"/>
  <c r="JJ3" i="2"/>
  <c r="BF25" i="24"/>
  <c r="E65" i="23" s="1"/>
  <c r="JS3" i="2"/>
  <c r="AD26" i="24"/>
  <c r="AY26" i="24"/>
  <c r="B105" i="23" s="1"/>
  <c r="JP4" i="2"/>
  <c r="AC3" i="24"/>
  <c r="C16" i="25"/>
  <c r="AD5" i="24"/>
  <c r="HK22" i="2"/>
  <c r="AD22" i="24" s="1"/>
  <c r="G404" i="25"/>
  <c r="O404" i="25" s="1"/>
  <c r="BS7" i="24"/>
  <c r="BP14" i="24"/>
  <c r="G133" i="25"/>
  <c r="BP47" i="24"/>
  <c r="G36" i="31" s="1"/>
  <c r="BR16" i="24"/>
  <c r="BR47" i="24"/>
  <c r="M36" i="31" s="1"/>
  <c r="G234" i="25"/>
  <c r="BQ47" i="24"/>
  <c r="J36" i="31" s="1"/>
  <c r="C46" i="25"/>
  <c r="AC18" i="24"/>
  <c r="AM22" i="33"/>
  <c r="AS18" i="24"/>
  <c r="AC25" i="24"/>
  <c r="AC50" i="24"/>
  <c r="G29" i="30" s="1"/>
  <c r="JE3" i="2"/>
  <c r="AJ25" i="24"/>
  <c r="BC25" i="24"/>
  <c r="D65" i="23" s="1"/>
  <c r="BC50" i="24"/>
  <c r="J32" i="30" s="1"/>
  <c r="AA26" i="24"/>
  <c r="AL26" i="24"/>
  <c r="JI4" i="2"/>
  <c r="AL44" i="24"/>
  <c r="AM46" i="24"/>
  <c r="G14" i="30" s="1"/>
  <c r="AX47" i="24"/>
  <c r="H22" i="31" s="1"/>
  <c r="AI46" i="24"/>
  <c r="AA51" i="24"/>
  <c r="D29" i="31" s="1"/>
  <c r="CI28" i="24"/>
  <c r="CI44" i="24"/>
  <c r="KB28" i="2"/>
  <c r="CU28" i="24" s="1"/>
  <c r="CK27" i="24"/>
  <c r="KC27" i="2"/>
  <c r="CV27" i="24" s="1"/>
  <c r="CL25" i="24"/>
  <c r="KC25" i="2"/>
  <c r="CL29" i="24"/>
  <c r="KC29" i="2"/>
  <c r="CV29" i="24" s="1"/>
  <c r="CM27" i="24"/>
  <c r="KD27" i="2"/>
  <c r="CW27" i="24" s="1"/>
  <c r="CN25" i="24"/>
  <c r="KD25" i="2"/>
  <c r="CN29" i="24"/>
  <c r="KD29" i="2"/>
  <c r="CW29" i="24" s="1"/>
  <c r="CO27" i="24"/>
  <c r="KE27" i="2"/>
  <c r="CX27" i="24" s="1"/>
  <c r="CP25" i="24"/>
  <c r="KE25" i="2"/>
  <c r="CP29" i="24"/>
  <c r="KE29" i="2"/>
  <c r="CX29" i="24" s="1"/>
  <c r="CQ27" i="24"/>
  <c r="KF27" i="2"/>
  <c r="CY27" i="24" s="1"/>
  <c r="CR25" i="24"/>
  <c r="KF25" i="2"/>
  <c r="CR29" i="24"/>
  <c r="KF29" i="2"/>
  <c r="CY29" i="24" s="1"/>
  <c r="CS27" i="24"/>
  <c r="KG27" i="2"/>
  <c r="CZ27" i="24" s="1"/>
  <c r="CI32" i="24"/>
  <c r="KB32" i="2"/>
  <c r="CU32" i="24" s="1"/>
  <c r="CI40" i="24"/>
  <c r="KB40" i="2"/>
  <c r="CU40" i="24" s="1"/>
  <c r="CN37" i="24"/>
  <c r="CN51" i="24"/>
  <c r="KD37" i="2"/>
  <c r="CW37" i="24" s="1"/>
  <c r="CN40" i="24"/>
  <c r="KD40" i="2"/>
  <c r="CW40" i="24" s="1"/>
  <c r="CQ35" i="24"/>
  <c r="KF35" i="2"/>
  <c r="CY35" i="24" s="1"/>
  <c r="CQ38" i="24"/>
  <c r="CQ51" i="24"/>
  <c r="KF38" i="2"/>
  <c r="CY38" i="24" s="1"/>
  <c r="CR39" i="24"/>
  <c r="KF39" i="2"/>
  <c r="CY39" i="24" s="1"/>
  <c r="CS37" i="24"/>
  <c r="CS51" i="24"/>
  <c r="KG37" i="2"/>
  <c r="KF31" i="2"/>
  <c r="CY31" i="24" s="1"/>
  <c r="CO51" i="24"/>
  <c r="CT29" i="24"/>
  <c r="KG29" i="2"/>
  <c r="CZ29" i="24" s="1"/>
  <c r="CP33" i="24"/>
  <c r="KE33" i="2"/>
  <c r="CI37" i="24"/>
  <c r="KB37" i="2"/>
  <c r="CU37" i="24" s="1"/>
  <c r="CI51" i="24"/>
  <c r="CJ39" i="24"/>
  <c r="KB39" i="2"/>
  <c r="CU39" i="24" s="1"/>
  <c r="CK36" i="24"/>
  <c r="KC36" i="2"/>
  <c r="CK51" i="24"/>
  <c r="CP36" i="24"/>
  <c r="CP51" i="24"/>
  <c r="CR37" i="24"/>
  <c r="CR51" i="24"/>
  <c r="CS35" i="24"/>
  <c r="KG35" i="2"/>
  <c r="CZ35" i="24" s="1"/>
  <c r="CT37" i="24"/>
  <c r="CT51" i="24"/>
  <c r="CP31" i="24"/>
  <c r="KE31" i="2"/>
  <c r="CX31" i="24" s="1"/>
  <c r="Q12" i="29"/>
  <c r="V26" i="29"/>
  <c r="O26" i="29"/>
  <c r="U26" i="29"/>
  <c r="W26" i="30"/>
  <c r="V26" i="31"/>
  <c r="W26" i="31"/>
  <c r="X26" i="31"/>
  <c r="W24" i="17"/>
  <c r="W22" i="17"/>
  <c r="S21" i="17"/>
  <c r="GJ16" i="2"/>
  <c r="C23" i="13"/>
  <c r="B18" i="16"/>
  <c r="B42" i="16" s="1"/>
  <c r="B65" i="16" s="1"/>
  <c r="S18" i="13"/>
  <c r="X20" i="33"/>
  <c r="AB306" i="23"/>
  <c r="GD8" i="2"/>
  <c r="C23" i="17"/>
  <c r="GE4" i="2"/>
  <c r="GJ4" i="2" s="1"/>
  <c r="AB146" i="23"/>
  <c r="AZ5" i="2"/>
  <c r="B11" i="43" s="1"/>
  <c r="AI153" i="23"/>
  <c r="GE10" i="2"/>
  <c r="AB386" i="23"/>
  <c r="GE12" i="2"/>
  <c r="GJ12" i="2" s="1"/>
  <c r="AC473" i="23"/>
  <c r="AY13" i="2"/>
  <c r="AB666" i="23"/>
  <c r="GD17" i="2"/>
  <c r="GD47" i="2" s="1"/>
  <c r="X9" i="33"/>
  <c r="I19" i="17"/>
  <c r="H59" i="22"/>
  <c r="C12" i="13"/>
  <c r="GD11" i="2"/>
  <c r="AB226" i="23"/>
  <c r="GD6" i="2"/>
  <c r="AB546" i="23"/>
  <c r="BQ3" i="24"/>
  <c r="IX22" i="2"/>
  <c r="BQ22" i="24" s="1"/>
  <c r="G206" i="25"/>
  <c r="AV4" i="24"/>
  <c r="Q13" i="24" s="1"/>
  <c r="IC22" i="2"/>
  <c r="AV22" i="24" s="1"/>
  <c r="AZ4" i="24"/>
  <c r="IG22" i="2"/>
  <c r="AZ22" i="24" s="1"/>
  <c r="BD4" i="24"/>
  <c r="BD46" i="24"/>
  <c r="Q20" i="30" s="1"/>
  <c r="IK22" i="2"/>
  <c r="BD22" i="24" s="1"/>
  <c r="BH4" i="24"/>
  <c r="IO22" i="2"/>
  <c r="BH22" i="24" s="1"/>
  <c r="BL4" i="24"/>
  <c r="V20" i="24" s="1"/>
  <c r="IS22" i="2"/>
  <c r="BL22" i="24" s="1"/>
  <c r="AU5" i="24"/>
  <c r="AU46" i="24"/>
  <c r="G19" i="30" s="1"/>
  <c r="G19" i="29" s="1"/>
  <c r="IB22" i="2"/>
  <c r="AU22" i="24" s="1"/>
  <c r="AY5" i="24"/>
  <c r="IF22" i="2"/>
  <c r="AY22" i="24" s="1"/>
  <c r="BC5" i="24"/>
  <c r="IJ22" i="2"/>
  <c r="BC22" i="24" s="1"/>
  <c r="BC46" i="24"/>
  <c r="P19" i="30" s="1"/>
  <c r="BG5" i="24"/>
  <c r="IN22" i="2"/>
  <c r="BG22" i="24" s="1"/>
  <c r="BK5" i="24"/>
  <c r="IR22" i="2"/>
  <c r="BK22" i="24" s="1"/>
  <c r="AT6" i="24"/>
  <c r="IA22" i="2"/>
  <c r="AT22" i="24" s="1"/>
  <c r="AX6" i="24"/>
  <c r="S13" i="24" s="1"/>
  <c r="AX46" i="24"/>
  <c r="G22" i="30" s="1"/>
  <c r="IE22" i="2"/>
  <c r="AX22" i="24" s="1"/>
  <c r="BB6" i="24"/>
  <c r="II22" i="2"/>
  <c r="BB22" i="24" s="1"/>
  <c r="BF6" i="24"/>
  <c r="H23" i="24" s="1"/>
  <c r="IM22" i="2"/>
  <c r="BF22" i="24" s="1"/>
  <c r="BJ6" i="24"/>
  <c r="IQ22" i="2"/>
  <c r="BJ22" i="24" s="1"/>
  <c r="BN6" i="24"/>
  <c r="IU22" i="2"/>
  <c r="BN22" i="24" s="1"/>
  <c r="BR6" i="24"/>
  <c r="IY22" i="2"/>
  <c r="BR22" i="24" s="1"/>
  <c r="G307" i="25"/>
  <c r="BR46" i="24"/>
  <c r="M36" i="30" s="1"/>
  <c r="G119" i="25"/>
  <c r="BP46" i="24"/>
  <c r="G36" i="30" s="1"/>
  <c r="IW22" i="2"/>
  <c r="BP22" i="24" s="1"/>
  <c r="BP7" i="24"/>
  <c r="G501" i="25"/>
  <c r="JA22" i="2"/>
  <c r="BT22" i="24" s="1"/>
  <c r="AB8" i="24"/>
  <c r="HI22" i="2"/>
  <c r="AB22" i="24" s="1"/>
  <c r="AM9" i="24"/>
  <c r="U7" i="24" s="1"/>
  <c r="HT22" i="2"/>
  <c r="AM22" i="24" s="1"/>
  <c r="C30" i="25"/>
  <c r="AC10" i="24"/>
  <c r="HJ22" i="2"/>
  <c r="AC22" i="24" s="1"/>
  <c r="AL10" i="24"/>
  <c r="HS22" i="2"/>
  <c r="AL22" i="24" s="1"/>
  <c r="AL46" i="24"/>
  <c r="G13" i="30" s="1"/>
  <c r="AW11" i="24"/>
  <c r="ID22" i="2"/>
  <c r="AW22" i="24" s="1"/>
  <c r="BM11" i="24"/>
  <c r="BM46" i="24"/>
  <c r="W23" i="30" s="1"/>
  <c r="IT22" i="2"/>
  <c r="BM22" i="24" s="1"/>
  <c r="G127" i="25"/>
  <c r="BP11" i="24"/>
  <c r="G509" i="25"/>
  <c r="BT11" i="24"/>
  <c r="G34" i="25"/>
  <c r="BO12" i="24"/>
  <c r="BO46" i="24"/>
  <c r="D36" i="30" s="1"/>
  <c r="IV22" i="2"/>
  <c r="BO22" i="24" s="1"/>
  <c r="BS12" i="24"/>
  <c r="G414" i="25"/>
  <c r="IZ22" i="2"/>
  <c r="BS22" i="24" s="1"/>
  <c r="BS46" i="24"/>
  <c r="P36" i="30" s="1"/>
  <c r="AP14" i="24"/>
  <c r="X8" i="24" s="1"/>
  <c r="AP47" i="24"/>
  <c r="H11" i="31" s="1"/>
  <c r="HW22" i="2"/>
  <c r="AP22" i="24" s="1"/>
  <c r="AT47" i="24"/>
  <c r="AT14" i="24"/>
  <c r="BB14" i="24"/>
  <c r="BJ14" i="24"/>
  <c r="BJ47" i="24"/>
  <c r="U9" i="31" s="1"/>
  <c r="BN14" i="24"/>
  <c r="AA15" i="24"/>
  <c r="DI35" i="2" s="1"/>
  <c r="M16" i="16" s="1"/>
  <c r="HH22" i="2"/>
  <c r="AA22" i="24" s="1"/>
  <c r="O22" i="17"/>
  <c r="AG15" i="24"/>
  <c r="AG47" i="24"/>
  <c r="HN22" i="2"/>
  <c r="AK15" i="24"/>
  <c r="AK47" i="24"/>
  <c r="H17" i="31" s="1"/>
  <c r="HR22" i="2"/>
  <c r="AK22" i="24" s="1"/>
  <c r="AO15" i="24"/>
  <c r="AO47" i="24"/>
  <c r="H10" i="31" s="1"/>
  <c r="I10" i="31" s="1"/>
  <c r="HV22" i="2"/>
  <c r="AO22" i="24" s="1"/>
  <c r="AJ16" i="24"/>
  <c r="AJ47" i="24"/>
  <c r="H16" i="31" s="1"/>
  <c r="AN16" i="24"/>
  <c r="HU22" i="2"/>
  <c r="AN22" i="24" s="1"/>
  <c r="AR16" i="24"/>
  <c r="AR47" i="24"/>
  <c r="HY22" i="2"/>
  <c r="AR22" i="24" s="1"/>
  <c r="G42" i="25"/>
  <c r="BO16" i="24"/>
  <c r="G422" i="25"/>
  <c r="O422" i="25" s="1"/>
  <c r="BS47" i="24"/>
  <c r="P36" i="31" s="1"/>
  <c r="BS16" i="24"/>
  <c r="AI17" i="24"/>
  <c r="HP22" i="2"/>
  <c r="AI22" i="24" s="1"/>
  <c r="AQ17" i="24"/>
  <c r="AQ47" i="24"/>
  <c r="HX22" i="2"/>
  <c r="AQ22" i="24" s="1"/>
  <c r="AH18" i="24"/>
  <c r="HO22" i="2"/>
  <c r="AH22" i="24" s="1"/>
  <c r="AL18" i="24"/>
  <c r="AL47" i="24"/>
  <c r="H13" i="31" s="1"/>
  <c r="BQ25" i="24"/>
  <c r="E66" i="23" s="1"/>
  <c r="JB23" i="2"/>
  <c r="BT25" i="24"/>
  <c r="F66" i="23" s="1"/>
  <c r="KF3" i="2"/>
  <c r="BW27" i="24"/>
  <c r="GD25" i="2"/>
  <c r="JN23" i="2"/>
  <c r="CG23" i="24" s="1"/>
  <c r="BX28" i="24"/>
  <c r="GD26" i="2"/>
  <c r="CA28" i="24"/>
  <c r="GF26" i="2"/>
  <c r="CB29" i="24"/>
  <c r="GF27" i="2"/>
  <c r="CE29" i="24"/>
  <c r="GH27" i="2"/>
  <c r="CF30" i="24"/>
  <c r="GH28" i="2"/>
  <c r="CF44" i="24"/>
  <c r="BW31" i="24"/>
  <c r="GD29" i="2"/>
  <c r="BX32" i="24"/>
  <c r="GD30" i="2"/>
  <c r="CA32" i="24"/>
  <c r="GF30" i="2"/>
  <c r="CB33" i="24"/>
  <c r="GF31" i="2"/>
  <c r="CE33" i="24"/>
  <c r="P39" i="24" s="1"/>
  <c r="GH31" i="2"/>
  <c r="CF34" i="24"/>
  <c r="GH32" i="2"/>
  <c r="BW35" i="24"/>
  <c r="GD33" i="2"/>
  <c r="CH39" i="24"/>
  <c r="GI37" i="2"/>
  <c r="AD40" i="24"/>
  <c r="HR23" i="2"/>
  <c r="AK23" i="24" s="1"/>
  <c r="JE18" i="2"/>
  <c r="AG40" i="24"/>
  <c r="JG18" i="2"/>
  <c r="AT40" i="24"/>
  <c r="E624" i="23" s="1"/>
  <c r="JM18" i="2"/>
  <c r="ID23" i="2"/>
  <c r="AW23" i="24" s="1"/>
  <c r="AW40" i="24"/>
  <c r="G624" i="23" s="1"/>
  <c r="JO18" i="2"/>
  <c r="J523" i="25" s="1"/>
  <c r="BJ40" i="24"/>
  <c r="G665" i="23" s="1"/>
  <c r="BI23" i="24"/>
  <c r="JU18" i="2"/>
  <c r="K523" i="25" s="1"/>
  <c r="BM40" i="24"/>
  <c r="CF40" i="24"/>
  <c r="GH38" i="2"/>
  <c r="HQ22" i="2"/>
  <c r="AJ22" i="24" s="1"/>
  <c r="BT46" i="24"/>
  <c r="S36" i="30" s="1"/>
  <c r="BF47" i="24"/>
  <c r="Q22" i="31" s="1"/>
  <c r="AW46" i="24"/>
  <c r="G21" i="30" s="1"/>
  <c r="AI3" i="24"/>
  <c r="AT46" i="24"/>
  <c r="BB46" i="24"/>
  <c r="P18" i="30" s="1"/>
  <c r="BF46" i="24"/>
  <c r="Q22" i="30" s="1"/>
  <c r="BV46" i="24"/>
  <c r="BU4" i="24"/>
  <c r="BU46" i="24"/>
  <c r="AM11" i="33"/>
  <c r="AS7" i="24"/>
  <c r="AJ10" i="24"/>
  <c r="Q6" i="24" s="1"/>
  <c r="AJ46" i="24"/>
  <c r="G16" i="30" s="1"/>
  <c r="AR10" i="24"/>
  <c r="AM16" i="33"/>
  <c r="AS12" i="24"/>
  <c r="AI47" i="24"/>
  <c r="H7" i="31" s="1"/>
  <c r="AI14" i="24"/>
  <c r="BG46" i="24"/>
  <c r="Q23" i="30" s="1"/>
  <c r="BJ4" i="24"/>
  <c r="BJ46" i="24"/>
  <c r="U9" i="30" s="1"/>
  <c r="BN4" i="24"/>
  <c r="BN46" i="24"/>
  <c r="W24" i="30" s="1"/>
  <c r="M12" i="17"/>
  <c r="AF5" i="24"/>
  <c r="AS46" i="24"/>
  <c r="AM9" i="33"/>
  <c r="AS5" i="24"/>
  <c r="BE5" i="24"/>
  <c r="BE46" i="24"/>
  <c r="Q21" i="30" s="1"/>
  <c r="AQ9" i="24"/>
  <c r="Q9" i="24" s="1"/>
  <c r="AQ46" i="24"/>
  <c r="BH46" i="24"/>
  <c r="Q24" i="30" s="1"/>
  <c r="BH3" i="24"/>
  <c r="AB4" i="24"/>
  <c r="C6" i="24" s="1"/>
  <c r="M14" i="17"/>
  <c r="AF7" i="24"/>
  <c r="AD9" i="24"/>
  <c r="AD46" i="24"/>
  <c r="AG9" i="24"/>
  <c r="AG46" i="24"/>
  <c r="AE10" i="24"/>
  <c r="I8" i="24" s="1"/>
  <c r="AE46" i="24"/>
  <c r="CI29" i="24"/>
  <c r="KB29" i="2"/>
  <c r="CU29" i="24" s="1"/>
  <c r="CJ26" i="24"/>
  <c r="KB26" i="2"/>
  <c r="CJ30" i="24"/>
  <c r="KB30" i="2"/>
  <c r="CU30" i="24" s="1"/>
  <c r="CK28" i="24"/>
  <c r="KC28" i="2"/>
  <c r="CV28" i="24" s="1"/>
  <c r="CL26" i="24"/>
  <c r="KC26" i="2"/>
  <c r="CL44" i="24"/>
  <c r="CM28" i="24"/>
  <c r="KD28" i="2"/>
  <c r="CW28" i="24" s="1"/>
  <c r="CN26" i="24"/>
  <c r="CN44" i="24"/>
  <c r="CN30" i="24"/>
  <c r="KD30" i="2"/>
  <c r="CW30" i="24" s="1"/>
  <c r="CO28" i="24"/>
  <c r="KE28" i="2"/>
  <c r="CX28" i="24" s="1"/>
  <c r="CP26" i="24"/>
  <c r="CP44" i="24"/>
  <c r="CQ28" i="24"/>
  <c r="KF28" i="2"/>
  <c r="CY28" i="24" s="1"/>
  <c r="CR26" i="24"/>
  <c r="CR44" i="24"/>
  <c r="CT30" i="24"/>
  <c r="KG30" i="2"/>
  <c r="CZ30" i="24" s="1"/>
  <c r="KB33" i="2"/>
  <c r="CI33" i="24"/>
  <c r="CM33" i="24"/>
  <c r="KD33" i="2"/>
  <c r="JZ23" i="2"/>
  <c r="CS23" i="24" s="1"/>
  <c r="KE30" i="2"/>
  <c r="CX30" i="24" s="1"/>
  <c r="KF26" i="2"/>
  <c r="CY26" i="24" s="1"/>
  <c r="CK34" i="24"/>
  <c r="KC34" i="2"/>
  <c r="CV34" i="24" s="1"/>
  <c r="CI27" i="24"/>
  <c r="KB27" i="2"/>
  <c r="CU27" i="24" s="1"/>
  <c r="CI25" i="24"/>
  <c r="CK26" i="24"/>
  <c r="CM26" i="24"/>
  <c r="CO26" i="24"/>
  <c r="CS26" i="24"/>
  <c r="CT26" i="24"/>
  <c r="CT44" i="24"/>
  <c r="CJ31" i="24"/>
  <c r="KB31" i="2"/>
  <c r="CU31" i="24" s="1"/>
  <c r="KF30" i="2"/>
  <c r="CY30" i="24" s="1"/>
  <c r="KE26" i="2"/>
  <c r="CL32" i="24"/>
  <c r="KC32" i="2"/>
  <c r="CV32" i="24" s="1"/>
  <c r="KE32" i="2"/>
  <c r="CX32" i="24" s="1"/>
  <c r="CO32" i="24"/>
  <c r="I26" i="29"/>
  <c r="CS32" i="24"/>
  <c r="KG32" i="2"/>
  <c r="CZ32" i="24" s="1"/>
  <c r="AK624" i="23" l="1"/>
  <c r="AK304" i="23"/>
  <c r="L359" i="25"/>
  <c r="Q41" i="22"/>
  <c r="L6" i="22" s="1"/>
  <c r="DQ42" i="2"/>
  <c r="HD48" i="2"/>
  <c r="GV48" i="2"/>
  <c r="N592" i="25"/>
  <c r="HC48" i="2"/>
  <c r="GQ52" i="2"/>
  <c r="K39" i="24"/>
  <c r="D39" i="24"/>
  <c r="C8" i="24"/>
  <c r="J39" i="24"/>
  <c r="Q39" i="24"/>
  <c r="H39" i="24"/>
  <c r="H22" i="24"/>
  <c r="D39" i="22"/>
  <c r="AK664" i="23"/>
  <c r="N39" i="24"/>
  <c r="P38" i="24"/>
  <c r="V21" i="24"/>
  <c r="S37" i="29"/>
  <c r="GU48" i="2"/>
  <c r="E31" i="24"/>
  <c r="HE52" i="2"/>
  <c r="GP48" i="2"/>
  <c r="AH23" i="2"/>
  <c r="GO52" i="2"/>
  <c r="GV52" i="2"/>
  <c r="GR48" i="2"/>
  <c r="GS52" i="2"/>
  <c r="E39" i="24"/>
  <c r="T39" i="24"/>
  <c r="Q525" i="25"/>
  <c r="J590" i="25"/>
  <c r="D31" i="24"/>
  <c r="M39" i="24"/>
  <c r="BZ17" i="24"/>
  <c r="F329" i="25"/>
  <c r="I329" i="25" s="1"/>
  <c r="S224" i="23"/>
  <c r="HC52" i="2"/>
  <c r="H102" i="14"/>
  <c r="I72" i="14"/>
  <c r="GY52" i="2"/>
  <c r="S104" i="23"/>
  <c r="GR52" i="2"/>
  <c r="S64" i="23"/>
  <c r="GP52" i="2"/>
  <c r="S384" i="23"/>
  <c r="HA52" i="2"/>
  <c r="HD52" i="2"/>
  <c r="GT52" i="2"/>
  <c r="AQ71" i="14"/>
  <c r="AU71" i="14" s="1"/>
  <c r="AQ73" i="14"/>
  <c r="AU73" i="14" s="1"/>
  <c r="AQ75" i="14"/>
  <c r="AU75" i="14" s="1"/>
  <c r="AQ69" i="14"/>
  <c r="AU69" i="14" s="1"/>
  <c r="AQ80" i="14"/>
  <c r="AU80" i="14" s="1"/>
  <c r="AQ65" i="14"/>
  <c r="AU65" i="14" s="1"/>
  <c r="AQ77" i="14"/>
  <c r="AU77" i="14" s="1"/>
  <c r="AQ68" i="14"/>
  <c r="AU68" i="14" s="1"/>
  <c r="AQ78" i="14"/>
  <c r="AU78" i="14" s="1"/>
  <c r="AQ79" i="14"/>
  <c r="AU79" i="14" s="1"/>
  <c r="AQ64" i="14"/>
  <c r="AU64" i="14" s="1"/>
  <c r="AQ74" i="14"/>
  <c r="AU74" i="14" s="1"/>
  <c r="G107" i="14"/>
  <c r="AQ72" i="14"/>
  <c r="AU72" i="14" s="1"/>
  <c r="AQ67" i="14"/>
  <c r="AU67" i="14" s="1"/>
  <c r="AQ76" i="14"/>
  <c r="AU76" i="14" s="1"/>
  <c r="AQ81" i="14"/>
  <c r="AU81" i="14" s="1"/>
  <c r="AQ66" i="14"/>
  <c r="AU66" i="14" s="1"/>
  <c r="AQ70" i="14"/>
  <c r="AU70" i="14" s="1"/>
  <c r="GM52" i="2"/>
  <c r="GZ48" i="2"/>
  <c r="GZ52" i="2"/>
  <c r="Q592" i="25"/>
  <c r="HA48" i="2"/>
  <c r="BG22" i="14"/>
  <c r="AU37" i="15"/>
  <c r="AV39" i="15" s="1"/>
  <c r="AI35" i="15"/>
  <c r="AW37" i="15" s="1"/>
  <c r="AX39" i="15" s="1"/>
  <c r="AM22" i="10"/>
  <c r="AM24" i="10" s="1"/>
  <c r="AM21" i="10"/>
  <c r="GM48" i="2"/>
  <c r="GN52" i="2"/>
  <c r="S264" i="23"/>
  <c r="S144" i="23"/>
  <c r="HE48" i="2"/>
  <c r="GW52" i="2"/>
  <c r="HB48" i="2"/>
  <c r="GX48" i="2"/>
  <c r="GT48" i="2"/>
  <c r="GW48" i="2"/>
  <c r="GN48" i="2"/>
  <c r="S184" i="23"/>
  <c r="D25" i="22"/>
  <c r="GG48" i="2"/>
  <c r="U9" i="24"/>
  <c r="Q8" i="24"/>
  <c r="V19" i="24"/>
  <c r="GI50" i="2"/>
  <c r="W21" i="17"/>
  <c r="JE46" i="2"/>
  <c r="BX46" i="24" s="1"/>
  <c r="KF46" i="2"/>
  <c r="CY46" i="24" s="1"/>
  <c r="JQ46" i="2"/>
  <c r="CJ46" i="24" s="1"/>
  <c r="JK47" i="2"/>
  <c r="CD47" i="24" s="1"/>
  <c r="GF48" i="2"/>
  <c r="U9" i="29"/>
  <c r="GI48" i="2"/>
  <c r="JS46" i="2"/>
  <c r="CL46" i="24" s="1"/>
  <c r="CU26" i="24"/>
  <c r="KB50" i="2"/>
  <c r="CU50" i="24" s="1"/>
  <c r="KB44" i="2"/>
  <c r="CU44" i="24" s="1"/>
  <c r="CV36" i="24"/>
  <c r="KC51" i="2"/>
  <c r="CV51" i="24" s="1"/>
  <c r="CY25" i="24"/>
  <c r="KF50" i="2"/>
  <c r="CY50" i="24" s="1"/>
  <c r="KF44" i="2"/>
  <c r="CY44" i="24" s="1"/>
  <c r="CW25" i="24"/>
  <c r="KD50" i="2"/>
  <c r="CW50" i="24" s="1"/>
  <c r="KD44" i="2"/>
  <c r="CW44" i="24" s="1"/>
  <c r="K16" i="25"/>
  <c r="JP46" i="2"/>
  <c r="CI46" i="24" s="1"/>
  <c r="R301" i="25"/>
  <c r="KE46" i="2"/>
  <c r="CX46" i="24" s="1"/>
  <c r="R493" i="25"/>
  <c r="KG46" i="2"/>
  <c r="CZ46" i="24" s="1"/>
  <c r="K323" i="25"/>
  <c r="JS47" i="2"/>
  <c r="CL47" i="24" s="1"/>
  <c r="CM14" i="24"/>
  <c r="JT47" i="2"/>
  <c r="CM47" i="24" s="1"/>
  <c r="JI46" i="2"/>
  <c r="CB46" i="24" s="1"/>
  <c r="BZ14" i="24"/>
  <c r="JG47" i="2"/>
  <c r="BZ47" i="24" s="1"/>
  <c r="CW3" i="24"/>
  <c r="KD46" i="2"/>
  <c r="CW46" i="24" s="1"/>
  <c r="J515" i="25"/>
  <c r="JO47" i="2"/>
  <c r="CH47" i="24" s="1"/>
  <c r="CV14" i="24"/>
  <c r="KC47" i="2"/>
  <c r="CV47" i="24" s="1"/>
  <c r="DI42" i="2"/>
  <c r="M24" i="16" s="1"/>
  <c r="CC3" i="24"/>
  <c r="JJ46" i="2"/>
  <c r="CC46" i="24" s="1"/>
  <c r="GF50" i="2"/>
  <c r="GG50" i="2"/>
  <c r="GE50" i="2"/>
  <c r="CW36" i="24"/>
  <c r="KD51" i="2"/>
  <c r="CW51" i="24" s="1"/>
  <c r="GH51" i="2"/>
  <c r="GE51" i="2"/>
  <c r="KG50" i="2"/>
  <c r="CZ50" i="24" s="1"/>
  <c r="KG44" i="2"/>
  <c r="CZ44" i="24" s="1"/>
  <c r="CY14" i="24"/>
  <c r="KF47" i="2"/>
  <c r="CY47" i="24" s="1"/>
  <c r="F228" i="25"/>
  <c r="I228" i="25" s="1"/>
  <c r="JF47" i="2"/>
  <c r="BY47" i="24" s="1"/>
  <c r="K38" i="25"/>
  <c r="JP47" i="2"/>
  <c r="CI47" i="24" s="1"/>
  <c r="K228" i="25"/>
  <c r="JR47" i="2"/>
  <c r="CK47" i="24" s="1"/>
  <c r="BW14" i="24"/>
  <c r="JD47" i="2"/>
  <c r="BW47" i="24" s="1"/>
  <c r="CB14" i="24"/>
  <c r="JI47" i="2"/>
  <c r="CB47" i="24" s="1"/>
  <c r="GI51" i="2"/>
  <c r="J323" i="25"/>
  <c r="JM47" i="2"/>
  <c r="CF47" i="24" s="1"/>
  <c r="R38" i="25"/>
  <c r="KB47" i="2"/>
  <c r="CU47" i="24" s="1"/>
  <c r="R16" i="25"/>
  <c r="KB46" i="2"/>
  <c r="CU46" i="24" s="1"/>
  <c r="CX25" i="24"/>
  <c r="KE50" i="2"/>
  <c r="CX50" i="24" s="1"/>
  <c r="KE44" i="2"/>
  <c r="CX44" i="24" s="1"/>
  <c r="CV25" i="24"/>
  <c r="KC50" i="2"/>
  <c r="CV50" i="24" s="1"/>
  <c r="KC44" i="2"/>
  <c r="CV44" i="24" s="1"/>
  <c r="K493" i="25"/>
  <c r="JU46" i="2"/>
  <c r="CN46" i="24" s="1"/>
  <c r="GD50" i="2"/>
  <c r="S10" i="17"/>
  <c r="W10" i="17" s="1"/>
  <c r="GD46" i="2"/>
  <c r="GD48" i="2" s="1"/>
  <c r="GH50" i="2"/>
  <c r="CZ36" i="24"/>
  <c r="KG51" i="2"/>
  <c r="CZ51" i="24" s="1"/>
  <c r="J396" i="25"/>
  <c r="JN46" i="2"/>
  <c r="CG46" i="24" s="1"/>
  <c r="JH46" i="2"/>
  <c r="CA46" i="24" s="1"/>
  <c r="CU36" i="24"/>
  <c r="KB51" i="2"/>
  <c r="CU51" i="24" s="1"/>
  <c r="F301" i="25"/>
  <c r="JG46" i="2"/>
  <c r="BZ46" i="24" s="1"/>
  <c r="BW4" i="24"/>
  <c r="JD46" i="2"/>
  <c r="BW46" i="24" s="1"/>
  <c r="GD51" i="2"/>
  <c r="J418" i="25"/>
  <c r="JN47" i="2"/>
  <c r="CG47" i="24" s="1"/>
  <c r="JK46" i="2"/>
  <c r="CD46" i="24" s="1"/>
  <c r="K133" i="25"/>
  <c r="JQ47" i="2"/>
  <c r="CJ47" i="24" s="1"/>
  <c r="JU47" i="2"/>
  <c r="CN47" i="24" s="1"/>
  <c r="BX14" i="24"/>
  <c r="JE47" i="2"/>
  <c r="CK3" i="24"/>
  <c r="JR46" i="2"/>
  <c r="CK46" i="24" s="1"/>
  <c r="JM46" i="2"/>
  <c r="CF46" i="24" s="1"/>
  <c r="CY36" i="24"/>
  <c r="KF51" i="2"/>
  <c r="CY51" i="24" s="1"/>
  <c r="R111" i="25"/>
  <c r="KC46" i="2"/>
  <c r="CV46" i="24" s="1"/>
  <c r="J493" i="25"/>
  <c r="JO46" i="2"/>
  <c r="CH46" i="24" s="1"/>
  <c r="KG47" i="2"/>
  <c r="CZ47" i="24" s="1"/>
  <c r="CX36" i="24"/>
  <c r="KE51" i="2"/>
  <c r="CX51" i="24" s="1"/>
  <c r="GF51" i="2"/>
  <c r="GF52" i="2" s="1"/>
  <c r="CC14" i="24"/>
  <c r="JJ47" i="2"/>
  <c r="CC47" i="24" s="1"/>
  <c r="JL47" i="2"/>
  <c r="CE47" i="24" s="1"/>
  <c r="R228" i="25"/>
  <c r="KD47" i="2"/>
  <c r="CW47" i="24" s="1"/>
  <c r="CA14" i="24"/>
  <c r="JH47" i="2"/>
  <c r="CA47" i="24" s="1"/>
  <c r="JF46" i="2"/>
  <c r="BY46" i="24" s="1"/>
  <c r="CM3" i="24"/>
  <c r="JT46" i="2"/>
  <c r="CM46" i="24" s="1"/>
  <c r="KE47" i="2"/>
  <c r="CX47" i="24" s="1"/>
  <c r="GG51" i="2"/>
  <c r="J206" i="25"/>
  <c r="JL46" i="2"/>
  <c r="CE46" i="24" s="1"/>
  <c r="GE46" i="2"/>
  <c r="GE48" i="2" s="1"/>
  <c r="R590" i="25"/>
  <c r="L52" i="25"/>
  <c r="M52" i="25" s="1"/>
  <c r="R591" i="25"/>
  <c r="L432" i="25"/>
  <c r="M432" i="25" s="1"/>
  <c r="V4" i="35"/>
  <c r="S11" i="13"/>
  <c r="B9" i="43"/>
  <c r="Y21" i="33"/>
  <c r="B22" i="43"/>
  <c r="I21" i="17"/>
  <c r="B19" i="43"/>
  <c r="V12" i="35"/>
  <c r="X12" i="35" s="1"/>
  <c r="AH21" i="2"/>
  <c r="I14" i="17"/>
  <c r="B12" i="43"/>
  <c r="I10" i="17"/>
  <c r="B8" i="43"/>
  <c r="U8" i="24"/>
  <c r="G34" i="24"/>
  <c r="E625" i="23"/>
  <c r="D504" i="23"/>
  <c r="H504" i="23" s="1"/>
  <c r="C465" i="23"/>
  <c r="H465" i="23" s="1"/>
  <c r="S32" i="24"/>
  <c r="G32" i="24"/>
  <c r="H464" i="23"/>
  <c r="C544" i="23"/>
  <c r="H544" i="23" s="1"/>
  <c r="H466" i="23"/>
  <c r="H505" i="23"/>
  <c r="D584" i="23"/>
  <c r="H584" i="23" s="1"/>
  <c r="D665" i="23"/>
  <c r="D625" i="23"/>
  <c r="G625" i="23"/>
  <c r="F624" i="23"/>
  <c r="H624" i="23" s="1"/>
  <c r="CD5" i="24"/>
  <c r="JW5" i="2"/>
  <c r="CP5" i="24" s="1"/>
  <c r="D9" i="22"/>
  <c r="Q11" i="22"/>
  <c r="J17" i="22"/>
  <c r="J25" i="22"/>
  <c r="R13" i="22"/>
  <c r="F13" i="22"/>
  <c r="J19" i="22"/>
  <c r="R29" i="22"/>
  <c r="R43" i="22"/>
  <c r="F29" i="22"/>
  <c r="M13" i="22"/>
  <c r="J39" i="22"/>
  <c r="F21" i="22"/>
  <c r="M29" i="22"/>
  <c r="Q9" i="22"/>
  <c r="Q39" i="22"/>
  <c r="J9" i="22"/>
  <c r="M21" i="22"/>
  <c r="R21" i="22"/>
  <c r="Q25" i="22"/>
  <c r="D17" i="22"/>
  <c r="J41" i="22"/>
  <c r="J27" i="22"/>
  <c r="D27" i="22"/>
  <c r="D19" i="22"/>
  <c r="J11" i="22"/>
  <c r="D11" i="22"/>
  <c r="Q27" i="22"/>
  <c r="D41" i="22"/>
  <c r="Q19" i="22"/>
  <c r="Q17" i="22"/>
  <c r="V5" i="35"/>
  <c r="AK504" i="23"/>
  <c r="Z8" i="33"/>
  <c r="Z9" i="33" s="1"/>
  <c r="Z10" i="33" s="1"/>
  <c r="Z11" i="33" s="1"/>
  <c r="Z12" i="33" s="1"/>
  <c r="Q147" i="25"/>
  <c r="M333" i="25"/>
  <c r="Q48" i="25"/>
  <c r="L238" i="25"/>
  <c r="Q238" i="25" s="1"/>
  <c r="M240" i="25"/>
  <c r="E37" i="33"/>
  <c r="C13" i="33"/>
  <c r="L229" i="26"/>
  <c r="Q24" i="29"/>
  <c r="L428" i="25"/>
  <c r="M428" i="25" s="1"/>
  <c r="J5" i="22"/>
  <c r="C44" i="22" s="1"/>
  <c r="P591" i="25"/>
  <c r="E13" i="24"/>
  <c r="AK544" i="23"/>
  <c r="S5" i="22"/>
  <c r="E7" i="32"/>
  <c r="V8" i="33"/>
  <c r="V9" i="33" s="1"/>
  <c r="V10" i="33" s="1"/>
  <c r="V11" i="33" s="1"/>
  <c r="V12" i="33" s="1"/>
  <c r="E7" i="33" s="1"/>
  <c r="J591" i="25"/>
  <c r="Q23" i="29"/>
  <c r="Q20" i="29"/>
  <c r="Q22" i="29"/>
  <c r="P19" i="29"/>
  <c r="I13" i="31"/>
  <c r="H13" i="29"/>
  <c r="I14" i="30"/>
  <c r="G14" i="29"/>
  <c r="I13" i="30"/>
  <c r="G13" i="29"/>
  <c r="Q21" i="29"/>
  <c r="I16" i="31"/>
  <c r="H16" i="29"/>
  <c r="I11" i="31"/>
  <c r="H11" i="29"/>
  <c r="I11" i="29" s="1"/>
  <c r="I10" i="30"/>
  <c r="G10" i="29"/>
  <c r="I20" i="30"/>
  <c r="G20" i="29"/>
  <c r="I17" i="30"/>
  <c r="G17" i="29"/>
  <c r="I7" i="31"/>
  <c r="H10" i="29"/>
  <c r="H7" i="29"/>
  <c r="I21" i="30"/>
  <c r="G21" i="29"/>
  <c r="I17" i="31"/>
  <c r="H17" i="29"/>
  <c r="I9" i="30"/>
  <c r="G9" i="29"/>
  <c r="I16" i="30"/>
  <c r="G16" i="29"/>
  <c r="I21" i="31"/>
  <c r="H21" i="29"/>
  <c r="I7" i="30"/>
  <c r="G7" i="29"/>
  <c r="I7" i="29" s="1"/>
  <c r="I22" i="30"/>
  <c r="G22" i="29"/>
  <c r="I22" i="31"/>
  <c r="H22" i="29"/>
  <c r="I19" i="31"/>
  <c r="H19" i="29"/>
  <c r="BI47" i="24"/>
  <c r="S9" i="31" s="1"/>
  <c r="P17" i="29"/>
  <c r="I20" i="31"/>
  <c r="H20" i="29"/>
  <c r="U6" i="24"/>
  <c r="N31" i="24"/>
  <c r="M26" i="24"/>
  <c r="AK344" i="23"/>
  <c r="B34" i="22"/>
  <c r="H20" i="35"/>
  <c r="E28" i="24"/>
  <c r="H24" i="24"/>
  <c r="R13" i="24"/>
  <c r="F19" i="24"/>
  <c r="V22" i="24"/>
  <c r="U10" i="24"/>
  <c r="I13" i="24"/>
  <c r="V18" i="35"/>
  <c r="V15" i="35"/>
  <c r="Z15" i="35" s="1"/>
  <c r="V16" i="35"/>
  <c r="Z16" i="35" s="1"/>
  <c r="V17" i="35"/>
  <c r="W17" i="35" s="1"/>
  <c r="V19" i="35"/>
  <c r="Z19" i="35" s="1"/>
  <c r="V14" i="35"/>
  <c r="Y14" i="35" s="1"/>
  <c r="AK424" i="23"/>
  <c r="V13" i="35"/>
  <c r="X13" i="35" s="1"/>
  <c r="K20" i="35"/>
  <c r="AK384" i="23"/>
  <c r="V11" i="35"/>
  <c r="Z11" i="35" s="1"/>
  <c r="V10" i="35"/>
  <c r="Y10" i="35" s="1"/>
  <c r="V9" i="35"/>
  <c r="Y9" i="35" s="1"/>
  <c r="AK264" i="23"/>
  <c r="V8" i="35"/>
  <c r="W8" i="35" s="1"/>
  <c r="P20" i="35"/>
  <c r="AK224" i="23"/>
  <c r="T20" i="35"/>
  <c r="V7" i="35"/>
  <c r="Z7" i="35" s="1"/>
  <c r="N20" i="35"/>
  <c r="M20" i="35"/>
  <c r="P31" i="24"/>
  <c r="G37" i="24"/>
  <c r="C10" i="24"/>
  <c r="H64" i="23"/>
  <c r="W23" i="29"/>
  <c r="T31" i="24"/>
  <c r="V6" i="35"/>
  <c r="W6" i="35" s="1"/>
  <c r="G20" i="35"/>
  <c r="S20" i="35"/>
  <c r="J20" i="35"/>
  <c r="Q20" i="35"/>
  <c r="D20" i="35"/>
  <c r="E20" i="35"/>
  <c r="B9" i="34"/>
  <c r="C5" i="35"/>
  <c r="B10" i="16"/>
  <c r="B34" i="16" s="1"/>
  <c r="B57" i="16" s="1"/>
  <c r="C9" i="35"/>
  <c r="C14" i="13"/>
  <c r="C8" i="35"/>
  <c r="B17" i="34"/>
  <c r="C13" i="35"/>
  <c r="B8" i="34"/>
  <c r="C4" i="35"/>
  <c r="C60" i="22"/>
  <c r="C14" i="35"/>
  <c r="AA27" i="33"/>
  <c r="B17" i="16"/>
  <c r="B41" i="16" s="1"/>
  <c r="B64" i="16" s="1"/>
  <c r="C16" i="35"/>
  <c r="B19" i="34"/>
  <c r="C15" i="35"/>
  <c r="C16" i="17"/>
  <c r="C10" i="35"/>
  <c r="AL27" i="33"/>
  <c r="AK464" i="23"/>
  <c r="O9" i="33"/>
  <c r="R9" i="33" s="1"/>
  <c r="G25" i="32"/>
  <c r="W27" i="33"/>
  <c r="G18" i="32"/>
  <c r="J16" i="32"/>
  <c r="D604" i="25"/>
  <c r="B545" i="25"/>
  <c r="H545" i="25" s="1"/>
  <c r="N545" i="25" s="1"/>
  <c r="O30" i="33"/>
  <c r="O23" i="33"/>
  <c r="G145" i="23"/>
  <c r="H145" i="23" s="1"/>
  <c r="T34" i="24"/>
  <c r="H6" i="24"/>
  <c r="Q7" i="24"/>
  <c r="M34" i="24"/>
  <c r="R511" i="25"/>
  <c r="O44" i="24"/>
  <c r="K31" i="24"/>
  <c r="S37" i="24"/>
  <c r="H32" i="24"/>
  <c r="Q31" i="24"/>
  <c r="G31" i="24"/>
  <c r="CC15" i="24"/>
  <c r="CA5" i="24"/>
  <c r="CI13" i="24"/>
  <c r="CH15" i="24"/>
  <c r="CF5" i="24"/>
  <c r="B20" i="34"/>
  <c r="R133" i="25"/>
  <c r="CW14" i="24"/>
  <c r="BW6" i="24"/>
  <c r="CY6" i="24"/>
  <c r="R226" i="25"/>
  <c r="K315" i="25"/>
  <c r="O32" i="31"/>
  <c r="Y18" i="33"/>
  <c r="F26" i="25"/>
  <c r="I26" i="25" s="1"/>
  <c r="S14" i="13"/>
  <c r="CW8" i="24"/>
  <c r="L30" i="31"/>
  <c r="CZ15" i="24"/>
  <c r="CA15" i="24"/>
  <c r="CL6" i="24"/>
  <c r="CN10" i="24"/>
  <c r="R418" i="25"/>
  <c r="CU12" i="24"/>
  <c r="J325" i="25"/>
  <c r="J31" i="31"/>
  <c r="J33" i="31" s="1"/>
  <c r="CC13" i="24"/>
  <c r="CM16" i="24"/>
  <c r="CV9" i="24"/>
  <c r="S38" i="24"/>
  <c r="K24" i="25"/>
  <c r="BY14" i="24"/>
  <c r="CH12" i="24"/>
  <c r="C16" i="16"/>
  <c r="C40" i="16" s="1"/>
  <c r="C63" i="16" s="1"/>
  <c r="C15" i="13"/>
  <c r="CN6" i="24"/>
  <c r="M43" i="22"/>
  <c r="CU18" i="24"/>
  <c r="CC4" i="24"/>
  <c r="C55" i="22"/>
  <c r="R507" i="25"/>
  <c r="J319" i="25"/>
  <c r="Y7" i="33"/>
  <c r="K206" i="25"/>
  <c r="CJ9" i="24"/>
  <c r="CD12" i="24"/>
  <c r="F418" i="25"/>
  <c r="I418" i="25" s="1"/>
  <c r="S21" i="13"/>
  <c r="CH10" i="24"/>
  <c r="CU3" i="24"/>
  <c r="AQ52" i="24"/>
  <c r="H61" i="22"/>
  <c r="BZ10" i="24"/>
  <c r="R30" i="31"/>
  <c r="F43" i="22"/>
  <c r="X54" i="22"/>
  <c r="CU14" i="24"/>
  <c r="J139" i="25"/>
  <c r="JV13" i="2"/>
  <c r="CO13" i="24" s="1"/>
  <c r="Y11" i="33"/>
  <c r="CE3" i="24"/>
  <c r="CB15" i="24"/>
  <c r="CX13" i="24"/>
  <c r="JZ6" i="2"/>
  <c r="CS6" i="24" s="1"/>
  <c r="X59" i="22"/>
  <c r="X42" i="22"/>
  <c r="X60" i="22"/>
  <c r="X53" i="22"/>
  <c r="X57" i="22"/>
  <c r="X52" i="22"/>
  <c r="X55" i="22"/>
  <c r="Y7" i="22"/>
  <c r="Y76" i="22"/>
  <c r="Y63" i="22"/>
  <c r="Y66" i="22"/>
  <c r="Y65" i="22"/>
  <c r="Y64" i="22"/>
  <c r="X78" i="22"/>
  <c r="X65" i="22"/>
  <c r="X63" i="22"/>
  <c r="X62" i="22"/>
  <c r="X64" i="22"/>
  <c r="X48" i="22"/>
  <c r="X58" i="22"/>
  <c r="X56" i="22"/>
  <c r="X51" i="22"/>
  <c r="X43" i="22"/>
  <c r="X49" i="22"/>
  <c r="X50" i="22"/>
  <c r="X46" i="22"/>
  <c r="X44" i="22"/>
  <c r="X45" i="22"/>
  <c r="CX12" i="24"/>
  <c r="T28" i="24"/>
  <c r="JX3" i="2"/>
  <c r="JX12" i="2"/>
  <c r="CQ12" i="24" s="1"/>
  <c r="Y80" i="22"/>
  <c r="BX16" i="24"/>
  <c r="N34" i="24"/>
  <c r="I30" i="31"/>
  <c r="CD18" i="24"/>
  <c r="CV11" i="24"/>
  <c r="F133" i="25"/>
  <c r="I133" i="25" s="1"/>
  <c r="C22" i="13"/>
  <c r="CD4" i="24"/>
  <c r="CB11" i="24"/>
  <c r="R331" i="25"/>
  <c r="I10" i="24"/>
  <c r="J424" i="25"/>
  <c r="J115" i="25"/>
  <c r="BW12" i="24"/>
  <c r="CE7" i="24"/>
  <c r="CA11" i="24"/>
  <c r="H226" i="23"/>
  <c r="H54" i="22"/>
  <c r="F521" i="25"/>
  <c r="I521" i="25" s="1"/>
  <c r="CY18" i="24"/>
  <c r="K40" i="25"/>
  <c r="CL17" i="24"/>
  <c r="H626" i="23"/>
  <c r="J46" i="25"/>
  <c r="J311" i="25"/>
  <c r="U29" i="31"/>
  <c r="K521" i="25"/>
  <c r="CF14" i="24"/>
  <c r="BY4" i="24"/>
  <c r="R501" i="25"/>
  <c r="R29" i="31"/>
  <c r="R523" i="25"/>
  <c r="C9" i="16"/>
  <c r="C33" i="16" s="1"/>
  <c r="C56" i="16" s="1"/>
  <c r="X19" i="33"/>
  <c r="CJ5" i="24"/>
  <c r="JV17" i="2"/>
  <c r="CO17" i="24" s="1"/>
  <c r="I37" i="31"/>
  <c r="J234" i="25"/>
  <c r="K305" i="25"/>
  <c r="L305" i="25" s="1"/>
  <c r="M305" i="25" s="1"/>
  <c r="JY17" i="2"/>
  <c r="CR17" i="24" s="1"/>
  <c r="CW7" i="24"/>
  <c r="JZ5" i="2"/>
  <c r="CS5" i="24" s="1"/>
  <c r="H50" i="22"/>
  <c r="CL9" i="24"/>
  <c r="JW8" i="2"/>
  <c r="CP8" i="24" s="1"/>
  <c r="J208" i="25"/>
  <c r="K319" i="25"/>
  <c r="F37" i="31"/>
  <c r="J137" i="25"/>
  <c r="CA8" i="24"/>
  <c r="F323" i="25"/>
  <c r="I323" i="25" s="1"/>
  <c r="Q28" i="24"/>
  <c r="JV12" i="2"/>
  <c r="CO12" i="24" s="1"/>
  <c r="F121" i="25"/>
  <c r="I121" i="25" s="1"/>
  <c r="S35" i="29"/>
  <c r="S10" i="13"/>
  <c r="CE16" i="24"/>
  <c r="JW11" i="2"/>
  <c r="CP11" i="24" s="1"/>
  <c r="E106" i="23"/>
  <c r="H106" i="23" s="1"/>
  <c r="N37" i="24"/>
  <c r="M38" i="24"/>
  <c r="S34" i="24"/>
  <c r="Q34" i="24"/>
  <c r="H34" i="24"/>
  <c r="H25" i="24"/>
  <c r="J230" i="25"/>
  <c r="KA10" i="2"/>
  <c r="CT10" i="24" s="1"/>
  <c r="H31" i="24"/>
  <c r="D31" i="31"/>
  <c r="F32" i="25"/>
  <c r="I32" i="25" s="1"/>
  <c r="CI12" i="24"/>
  <c r="CH13" i="24"/>
  <c r="C5" i="16"/>
  <c r="C29" i="16" s="1"/>
  <c r="C52" i="16" s="1"/>
  <c r="T30" i="29"/>
  <c r="F131" i="25"/>
  <c r="I131" i="25" s="1"/>
  <c r="CY8" i="24"/>
  <c r="F507" i="25"/>
  <c r="I507" i="25" s="1"/>
  <c r="L507" i="25" s="1"/>
  <c r="O507" i="25" s="1"/>
  <c r="CW6" i="24"/>
  <c r="K125" i="25"/>
  <c r="CL4" i="24"/>
  <c r="J410" i="25"/>
  <c r="J400" i="25"/>
  <c r="Q31" i="31"/>
  <c r="Q33" i="31" s="1"/>
  <c r="Q34" i="31" s="1"/>
  <c r="T38" i="31" s="1"/>
  <c r="CJ8" i="24"/>
  <c r="K402" i="25"/>
  <c r="L402" i="25" s="1"/>
  <c r="CK15" i="24"/>
  <c r="CH11" i="24"/>
  <c r="CV13" i="24"/>
  <c r="R210" i="25"/>
  <c r="T37" i="24"/>
  <c r="CD11" i="24"/>
  <c r="CW16" i="24"/>
  <c r="B574" i="25"/>
  <c r="C113" i="25"/>
  <c r="C208" i="25" s="1"/>
  <c r="C303" i="25" s="1"/>
  <c r="C398" i="25" s="1"/>
  <c r="C495" i="25" s="1"/>
  <c r="GJ33" i="2"/>
  <c r="CJ7" i="24"/>
  <c r="R303" i="25"/>
  <c r="CZ16" i="24"/>
  <c r="JY13" i="2"/>
  <c r="CR13" i="24" s="1"/>
  <c r="X12" i="33"/>
  <c r="J422" i="25"/>
  <c r="AO52" i="24"/>
  <c r="F327" i="25"/>
  <c r="I327" i="25" s="1"/>
  <c r="J35" i="29"/>
  <c r="CX17" i="24"/>
  <c r="C62" i="22"/>
  <c r="I32" i="31"/>
  <c r="CX15" i="24"/>
  <c r="L37" i="31"/>
  <c r="E29" i="29"/>
  <c r="CH14" i="24"/>
  <c r="CZ8" i="24"/>
  <c r="R509" i="25"/>
  <c r="CD10" i="24"/>
  <c r="JX6" i="2"/>
  <c r="CQ6" i="24" s="1"/>
  <c r="CZ3" i="24"/>
  <c r="BZ15" i="24"/>
  <c r="JV7" i="2"/>
  <c r="CO7" i="24" s="1"/>
  <c r="AU52" i="24"/>
  <c r="CG14" i="24"/>
  <c r="F321" i="25"/>
  <c r="I321" i="25" s="1"/>
  <c r="R499" i="25"/>
  <c r="F212" i="25"/>
  <c r="I212" i="25" s="1"/>
  <c r="C22" i="17"/>
  <c r="O35" i="31"/>
  <c r="CU17" i="24"/>
  <c r="K331" i="25"/>
  <c r="JX7" i="2"/>
  <c r="CQ7" i="24" s="1"/>
  <c r="C121" i="25"/>
  <c r="C216" i="25" s="1"/>
  <c r="C311" i="25" s="1"/>
  <c r="C406" i="25" s="1"/>
  <c r="C503" i="25" s="1"/>
  <c r="JG22" i="2"/>
  <c r="BZ22" i="24" s="1"/>
  <c r="GJ29" i="2"/>
  <c r="GJ28" i="2"/>
  <c r="G36" i="29"/>
  <c r="J16" i="25"/>
  <c r="J44" i="25"/>
  <c r="F18" i="25"/>
  <c r="I18" i="25" s="1"/>
  <c r="F416" i="25"/>
  <c r="I416" i="25" s="1"/>
  <c r="KA11" i="2"/>
  <c r="CT11" i="24" s="1"/>
  <c r="JW16" i="2"/>
  <c r="CP16" i="24" s="1"/>
  <c r="CB12" i="24"/>
  <c r="BX7" i="24"/>
  <c r="J212" i="25"/>
  <c r="CH4" i="24"/>
  <c r="R139" i="25"/>
  <c r="CV17" i="24"/>
  <c r="I24" i="17"/>
  <c r="S24" i="13"/>
  <c r="E30" i="29"/>
  <c r="CV8" i="24"/>
  <c r="F35" i="31"/>
  <c r="F214" i="25"/>
  <c r="I214" i="25" s="1"/>
  <c r="L214" i="25" s="1"/>
  <c r="M214" i="25" s="1"/>
  <c r="JZ17" i="2"/>
  <c r="CS17" i="24" s="1"/>
  <c r="CC6" i="24"/>
  <c r="JW15" i="2"/>
  <c r="CP15" i="24" s="1"/>
  <c r="CE6" i="24"/>
  <c r="F424" i="25"/>
  <c r="I424" i="25" s="1"/>
  <c r="R218" i="25"/>
  <c r="CC8" i="24"/>
  <c r="R230" i="25"/>
  <c r="BZ3" i="24"/>
  <c r="CJ6" i="24"/>
  <c r="O575" i="25"/>
  <c r="F515" i="25"/>
  <c r="I515" i="25" s="1"/>
  <c r="H345" i="23"/>
  <c r="K220" i="25"/>
  <c r="CK10" i="24"/>
  <c r="K396" i="25"/>
  <c r="JW7" i="2"/>
  <c r="CP7" i="24" s="1"/>
  <c r="R307" i="25"/>
  <c r="CJ14" i="24"/>
  <c r="CI10" i="24"/>
  <c r="CC16" i="24"/>
  <c r="CL16" i="24"/>
  <c r="JV16" i="2"/>
  <c r="CO16" i="24" s="1"/>
  <c r="CM15" i="24"/>
  <c r="F426" i="25"/>
  <c r="I426" i="25" s="1"/>
  <c r="F206" i="25"/>
  <c r="I206" i="25" s="1"/>
  <c r="CI14" i="24"/>
  <c r="C14" i="17"/>
  <c r="CB6" i="24"/>
  <c r="CD13" i="24"/>
  <c r="H184" i="23"/>
  <c r="CG9" i="24"/>
  <c r="CK12" i="24"/>
  <c r="JV14" i="2"/>
  <c r="R513" i="25"/>
  <c r="B579" i="25"/>
  <c r="CU7" i="24"/>
  <c r="KA13" i="2"/>
  <c r="CT13" i="24" s="1"/>
  <c r="JX16" i="2"/>
  <c r="CQ16" i="24" s="1"/>
  <c r="J38" i="24"/>
  <c r="JV9" i="2"/>
  <c r="CO9" i="24" s="1"/>
  <c r="S31" i="24"/>
  <c r="B575" i="25"/>
  <c r="C115" i="25"/>
  <c r="C210" i="25" s="1"/>
  <c r="C305" i="25" s="1"/>
  <c r="C400" i="25" s="1"/>
  <c r="C497" i="25" s="1"/>
  <c r="CE13" i="24"/>
  <c r="J38" i="25"/>
  <c r="K400" i="25"/>
  <c r="JY15" i="2"/>
  <c r="CR15" i="24" s="1"/>
  <c r="F319" i="25"/>
  <c r="I319" i="25" s="1"/>
  <c r="CV3" i="24"/>
  <c r="BY3" i="24"/>
  <c r="JY3" i="2"/>
  <c r="BI52" i="24"/>
  <c r="J20" i="25"/>
  <c r="R22" i="25"/>
  <c r="JZ8" i="2"/>
  <c r="CS8" i="24" s="1"/>
  <c r="H506" i="23"/>
  <c r="CN16" i="24"/>
  <c r="JW17" i="2"/>
  <c r="CP17" i="24" s="1"/>
  <c r="O37" i="31"/>
  <c r="JX13" i="2"/>
  <c r="CQ13" i="24" s="1"/>
  <c r="B13" i="34"/>
  <c r="C15" i="17"/>
  <c r="CE12" i="24"/>
  <c r="J224" i="25"/>
  <c r="KA17" i="2"/>
  <c r="CT17" i="24" s="1"/>
  <c r="R30" i="25"/>
  <c r="JY12" i="2"/>
  <c r="CR12" i="24" s="1"/>
  <c r="P575" i="25"/>
  <c r="JY16" i="2"/>
  <c r="CR16" i="24" s="1"/>
  <c r="K26" i="25"/>
  <c r="F125" i="25"/>
  <c r="I125" i="25" s="1"/>
  <c r="CG6" i="24"/>
  <c r="K232" i="25"/>
  <c r="C20" i="17"/>
  <c r="C20" i="13"/>
  <c r="R521" i="25"/>
  <c r="BY10" i="24"/>
  <c r="F303" i="25"/>
  <c r="I303" i="25" s="1"/>
  <c r="BG52" i="24"/>
  <c r="H586" i="23"/>
  <c r="H346" i="23"/>
  <c r="H224" i="23"/>
  <c r="R32" i="31"/>
  <c r="T31" i="31"/>
  <c r="H545" i="23"/>
  <c r="R404" i="25"/>
  <c r="R206" i="25"/>
  <c r="G31" i="31"/>
  <c r="G33" i="31" s="1"/>
  <c r="M31" i="24"/>
  <c r="CH17" i="24"/>
  <c r="F127" i="25"/>
  <c r="I127" i="25" s="1"/>
  <c r="J327" i="25"/>
  <c r="JV8" i="2"/>
  <c r="CO8" i="24" s="1"/>
  <c r="JW10" i="2"/>
  <c r="CP10" i="24" s="1"/>
  <c r="CB7" i="24"/>
  <c r="JV6" i="2"/>
  <c r="CO6" i="24" s="1"/>
  <c r="B15" i="16"/>
  <c r="B39" i="16" s="1"/>
  <c r="B62" i="16" s="1"/>
  <c r="J31" i="24"/>
  <c r="J404" i="25"/>
  <c r="R420" i="25"/>
  <c r="BY8" i="24"/>
  <c r="CV16" i="24"/>
  <c r="K22" i="25"/>
  <c r="J28" i="25"/>
  <c r="JZ13" i="2"/>
  <c r="CS13" i="24" s="1"/>
  <c r="JX10" i="2"/>
  <c r="CQ10" i="24" s="1"/>
  <c r="F317" i="25"/>
  <c r="I317" i="25" s="1"/>
  <c r="K212" i="25"/>
  <c r="CK6" i="24"/>
  <c r="CL11" i="24"/>
  <c r="K317" i="25"/>
  <c r="R317" i="25"/>
  <c r="CX11" i="24"/>
  <c r="F115" i="25"/>
  <c r="I115" i="25" s="1"/>
  <c r="BC52" i="24"/>
  <c r="GJ32" i="2"/>
  <c r="K139" i="25"/>
  <c r="JV11" i="2"/>
  <c r="CO11" i="24" s="1"/>
  <c r="CY16" i="24"/>
  <c r="KA12" i="2"/>
  <c r="CT12" i="24" s="1"/>
  <c r="AJ53" i="24"/>
  <c r="F20" i="24"/>
  <c r="JY9" i="2"/>
  <c r="CR9" i="24" s="1"/>
  <c r="R315" i="25"/>
  <c r="CJ17" i="24"/>
  <c r="KA9" i="2"/>
  <c r="CT9" i="24" s="1"/>
  <c r="J313" i="25"/>
  <c r="JY14" i="2"/>
  <c r="R234" i="25"/>
  <c r="JZ14" i="2"/>
  <c r="JW13" i="2"/>
  <c r="CP13" i="24" s="1"/>
  <c r="CW18" i="24"/>
  <c r="CA6" i="24"/>
  <c r="CN4" i="24"/>
  <c r="K311" i="25"/>
  <c r="CC9" i="24"/>
  <c r="K31" i="31"/>
  <c r="K33" i="31" s="1"/>
  <c r="K34" i="31" s="1"/>
  <c r="N38" i="31" s="1"/>
  <c r="H225" i="23"/>
  <c r="X17" i="33"/>
  <c r="JW14" i="2"/>
  <c r="L35" i="31"/>
  <c r="J315" i="25"/>
  <c r="CV10" i="24"/>
  <c r="JX14" i="2"/>
  <c r="R408" i="25"/>
  <c r="CY9" i="24"/>
  <c r="CX14" i="24"/>
  <c r="R323" i="25"/>
  <c r="CA3" i="24"/>
  <c r="H37" i="24"/>
  <c r="H585" i="23"/>
  <c r="K42" i="25"/>
  <c r="CI16" i="24"/>
  <c r="CA9" i="24"/>
  <c r="F408" i="25"/>
  <c r="I408" i="25" s="1"/>
  <c r="J24" i="25"/>
  <c r="CC7" i="24"/>
  <c r="BY17" i="24"/>
  <c r="F234" i="25"/>
  <c r="I234" i="25" s="1"/>
  <c r="H425" i="23"/>
  <c r="KA5" i="2"/>
  <c r="CT5" i="24" s="1"/>
  <c r="J497" i="25"/>
  <c r="CN11" i="24"/>
  <c r="K509" i="25"/>
  <c r="L509" i="25" s="1"/>
  <c r="O509" i="25" s="1"/>
  <c r="JQ22" i="2"/>
  <c r="CJ22" i="24" s="1"/>
  <c r="JZ3" i="2"/>
  <c r="CL14" i="24"/>
  <c r="CF54" i="24"/>
  <c r="CK7" i="24"/>
  <c r="JH22" i="2"/>
  <c r="CA22" i="24" s="1"/>
  <c r="KA7" i="2"/>
  <c r="CT7" i="24" s="1"/>
  <c r="KA15" i="2"/>
  <c r="CT15" i="24" s="1"/>
  <c r="K517" i="25"/>
  <c r="R424" i="25"/>
  <c r="CN7" i="24"/>
  <c r="K501" i="25"/>
  <c r="CJ18" i="24"/>
  <c r="K141" i="25"/>
  <c r="F135" i="25"/>
  <c r="I135" i="25" s="1"/>
  <c r="BX15" i="24"/>
  <c r="J32" i="25"/>
  <c r="CC11" i="24"/>
  <c r="C133" i="25"/>
  <c r="C228" i="25" s="1"/>
  <c r="C323" i="25" s="1"/>
  <c r="C418" i="25" s="1"/>
  <c r="C515" i="25" s="1"/>
  <c r="B584" i="25"/>
  <c r="CN14" i="24"/>
  <c r="K515" i="25"/>
  <c r="CB18" i="24"/>
  <c r="F523" i="25"/>
  <c r="I523" i="25" s="1"/>
  <c r="CK13" i="24"/>
  <c r="K226" i="25"/>
  <c r="CU8" i="24"/>
  <c r="R26" i="25"/>
  <c r="J216" i="25"/>
  <c r="BW5" i="24"/>
  <c r="G28" i="24"/>
  <c r="I28" i="24" s="1"/>
  <c r="V37" i="31"/>
  <c r="JV18" i="2"/>
  <c r="CO18" i="24" s="1"/>
  <c r="W35" i="31"/>
  <c r="CD3" i="24"/>
  <c r="J111" i="25"/>
  <c r="CG8" i="24"/>
  <c r="J406" i="25"/>
  <c r="F309" i="25"/>
  <c r="I309" i="25" s="1"/>
  <c r="BZ7" i="24"/>
  <c r="BY13" i="24"/>
  <c r="F226" i="25"/>
  <c r="I226" i="25" s="1"/>
  <c r="F396" i="25"/>
  <c r="I396" i="25" s="1"/>
  <c r="G65" i="23"/>
  <c r="T32" i="24"/>
  <c r="P28" i="24"/>
  <c r="KA6" i="2"/>
  <c r="CT6" i="24" s="1"/>
  <c r="GJ36" i="2"/>
  <c r="F224" i="25"/>
  <c r="I224" i="25" s="1"/>
  <c r="JY10" i="2"/>
  <c r="CR10" i="24" s="1"/>
  <c r="B18" i="34"/>
  <c r="P32" i="29"/>
  <c r="KA14" i="2"/>
  <c r="CI17" i="24"/>
  <c r="JX8" i="2"/>
  <c r="CQ8" i="24" s="1"/>
  <c r="F591" i="25"/>
  <c r="F139" i="25"/>
  <c r="I139" i="25" s="1"/>
  <c r="K129" i="25"/>
  <c r="K418" i="25"/>
  <c r="K414" i="25"/>
  <c r="CM12" i="24"/>
  <c r="J121" i="25"/>
  <c r="CD8" i="24"/>
  <c r="CN9" i="24"/>
  <c r="K505" i="25"/>
  <c r="F497" i="25"/>
  <c r="I497" i="25" s="1"/>
  <c r="CB5" i="24"/>
  <c r="CB3" i="24"/>
  <c r="F493" i="25"/>
  <c r="B576" i="25"/>
  <c r="C117" i="25"/>
  <c r="C212" i="25" s="1"/>
  <c r="C307" i="25" s="1"/>
  <c r="C402" i="25" s="1"/>
  <c r="C499" i="25" s="1"/>
  <c r="J329" i="25"/>
  <c r="CF17" i="24"/>
  <c r="F28" i="25"/>
  <c r="I28" i="25" s="1"/>
  <c r="BW9" i="24"/>
  <c r="K216" i="25"/>
  <c r="CK8" i="24"/>
  <c r="JX17" i="2"/>
  <c r="CQ17" i="24" s="1"/>
  <c r="CK17" i="24"/>
  <c r="R36" i="25"/>
  <c r="CU13" i="24"/>
  <c r="BX6" i="24"/>
  <c r="F117" i="25"/>
  <c r="I117" i="25" s="1"/>
  <c r="CK14" i="24"/>
  <c r="CG3" i="24"/>
  <c r="KD22" i="2"/>
  <c r="CW22" i="24" s="1"/>
  <c r="G580" i="25"/>
  <c r="JY7" i="2"/>
  <c r="CR7" i="24" s="1"/>
  <c r="JV5" i="2"/>
  <c r="CO5" i="24" s="1"/>
  <c r="BW7" i="24"/>
  <c r="KG22" i="2"/>
  <c r="CZ22" i="24" s="1"/>
  <c r="JK22" i="2"/>
  <c r="CD22" i="24" s="1"/>
  <c r="AO45" i="24"/>
  <c r="CG52" i="24"/>
  <c r="B146" i="23"/>
  <c r="E37" i="24"/>
  <c r="B144" i="23"/>
  <c r="D32" i="24"/>
  <c r="R135" i="25"/>
  <c r="BO52" i="24"/>
  <c r="S28" i="24"/>
  <c r="CZ14" i="24"/>
  <c r="R515" i="25"/>
  <c r="CM8" i="24"/>
  <c r="K406" i="25"/>
  <c r="F404" i="25"/>
  <c r="I404" i="25" s="1"/>
  <c r="JZ7" i="2"/>
  <c r="CS7" i="24" s="1"/>
  <c r="CA7" i="24"/>
  <c r="C127" i="25"/>
  <c r="C222" i="25" s="1"/>
  <c r="C317" i="25" s="1"/>
  <c r="C412" i="25" s="1"/>
  <c r="C509" i="25" s="1"/>
  <c r="B581" i="25"/>
  <c r="K135" i="25"/>
  <c r="CJ15" i="24"/>
  <c r="BY16" i="24"/>
  <c r="F232" i="25"/>
  <c r="I232" i="25" s="1"/>
  <c r="R416" i="25"/>
  <c r="CY13" i="24"/>
  <c r="R35" i="31"/>
  <c r="E146" i="23"/>
  <c r="M37" i="24"/>
  <c r="CE14" i="24"/>
  <c r="J228" i="25"/>
  <c r="P13" i="24"/>
  <c r="D144" i="23"/>
  <c r="J32" i="24"/>
  <c r="K236" i="25"/>
  <c r="CK18" i="24"/>
  <c r="B22" i="34"/>
  <c r="B19" i="16"/>
  <c r="B43" i="16" s="1"/>
  <c r="B66" i="16" s="1"/>
  <c r="C24" i="17"/>
  <c r="C24" i="13"/>
  <c r="C64" i="22"/>
  <c r="F38" i="25"/>
  <c r="I38" i="25" s="1"/>
  <c r="BE45" i="24"/>
  <c r="Q10" i="24"/>
  <c r="U13" i="24"/>
  <c r="K309" i="25"/>
  <c r="JY5" i="2"/>
  <c r="CR5" i="24" s="1"/>
  <c r="JW6" i="2"/>
  <c r="CP6" i="24" s="1"/>
  <c r="O23" i="32"/>
  <c r="H424" i="23"/>
  <c r="H264" i="23"/>
  <c r="CE11" i="24"/>
  <c r="C144" i="23"/>
  <c r="KA16" i="2"/>
  <c r="CT16" i="24" s="1"/>
  <c r="B582" i="25"/>
  <c r="C129" i="25"/>
  <c r="C224" i="25" s="1"/>
  <c r="C319" i="25" s="1"/>
  <c r="C414" i="25" s="1"/>
  <c r="C511" i="25" s="1"/>
  <c r="K424" i="25"/>
  <c r="CM17" i="24"/>
  <c r="Y22" i="33"/>
  <c r="C20" i="16"/>
  <c r="C44" i="16" s="1"/>
  <c r="C67" i="16" s="1"/>
  <c r="I25" i="17"/>
  <c r="S25" i="13"/>
  <c r="H65" i="22"/>
  <c r="CJ13" i="24"/>
  <c r="K131" i="25"/>
  <c r="CN13" i="24"/>
  <c r="CI18" i="24"/>
  <c r="K46" i="25"/>
  <c r="CB16" i="24"/>
  <c r="F519" i="25"/>
  <c r="I519" i="25" s="1"/>
  <c r="CD6" i="24"/>
  <c r="J117" i="25"/>
  <c r="CX5" i="24"/>
  <c r="R305" i="25"/>
  <c r="F42" i="25"/>
  <c r="I42" i="25" s="1"/>
  <c r="BW16" i="24"/>
  <c r="CU5" i="24"/>
  <c r="CX3" i="24"/>
  <c r="CX9" i="24"/>
  <c r="CR54" i="24"/>
  <c r="D28" i="24"/>
  <c r="K234" i="25"/>
  <c r="BZ5" i="24"/>
  <c r="H104" i="23"/>
  <c r="H426" i="23"/>
  <c r="JX15" i="2"/>
  <c r="CQ15" i="24" s="1"/>
  <c r="F146" i="23"/>
  <c r="Q37" i="24"/>
  <c r="D146" i="23"/>
  <c r="K37" i="24"/>
  <c r="K34" i="24"/>
  <c r="U35" i="31"/>
  <c r="X21" i="33"/>
  <c r="CH9" i="24"/>
  <c r="K404" i="25"/>
  <c r="CM7" i="24"/>
  <c r="CU16" i="24"/>
  <c r="R42" i="25"/>
  <c r="J135" i="25"/>
  <c r="CD15" i="24"/>
  <c r="CL13" i="24"/>
  <c r="K321" i="25"/>
  <c r="Y14" i="22"/>
  <c r="Y10" i="22"/>
  <c r="Y12" i="22"/>
  <c r="Y69" i="22"/>
  <c r="Y5" i="22"/>
  <c r="Y20" i="22"/>
  <c r="Y3" i="22"/>
  <c r="Y79" i="22"/>
  <c r="Y68" i="22"/>
  <c r="Y75" i="22"/>
  <c r="Y18" i="22"/>
  <c r="Y73" i="22"/>
  <c r="Y71" i="22"/>
  <c r="Y67" i="22"/>
  <c r="Y22" i="22"/>
  <c r="Y26" i="22"/>
  <c r="Y37" i="22"/>
  <c r="Z37" i="22" s="1"/>
  <c r="Z30" i="22"/>
  <c r="Y62" i="22"/>
  <c r="Y78" i="22"/>
  <c r="Y74" i="22"/>
  <c r="Y70" i="22"/>
  <c r="Y77" i="22"/>
  <c r="Y72" i="22"/>
  <c r="X74" i="22"/>
  <c r="X70" i="22"/>
  <c r="X66" i="22"/>
  <c r="X80" i="22"/>
  <c r="X72" i="22"/>
  <c r="X79" i="22"/>
  <c r="X71" i="22"/>
  <c r="X77" i="22"/>
  <c r="X73" i="22"/>
  <c r="X69" i="22"/>
  <c r="X76" i="22"/>
  <c r="X68" i="22"/>
  <c r="X75" i="22"/>
  <c r="X67" i="22"/>
  <c r="KC22" i="2"/>
  <c r="CV22" i="24" s="1"/>
  <c r="H344" i="23"/>
  <c r="JV10" i="2"/>
  <c r="CO10" i="24" s="1"/>
  <c r="GJ34" i="2"/>
  <c r="CZ25" i="24"/>
  <c r="O30" i="32"/>
  <c r="U37" i="30"/>
  <c r="O29" i="30"/>
  <c r="F46" i="25"/>
  <c r="I46" i="25" s="1"/>
  <c r="BW18" i="24"/>
  <c r="K325" i="25"/>
  <c r="CL15" i="24"/>
  <c r="CD14" i="24"/>
  <c r="J133" i="25"/>
  <c r="F313" i="25"/>
  <c r="I313" i="25" s="1"/>
  <c r="BZ9" i="24"/>
  <c r="CH8" i="24"/>
  <c r="P36" i="29"/>
  <c r="AQ45" i="24"/>
  <c r="H186" i="23"/>
  <c r="CJ4" i="24"/>
  <c r="K113" i="25"/>
  <c r="J37" i="24"/>
  <c r="D666" i="23"/>
  <c r="H304" i="23"/>
  <c r="Q32" i="24"/>
  <c r="H185" i="23"/>
  <c r="H305" i="23"/>
  <c r="BW17" i="24"/>
  <c r="F44" i="25"/>
  <c r="GJ35" i="2"/>
  <c r="CJ11" i="24"/>
  <c r="K127" i="25"/>
  <c r="CB13" i="24"/>
  <c r="F513" i="25"/>
  <c r="I513" i="25" s="1"/>
  <c r="L513" i="25" s="1"/>
  <c r="O513" i="25" s="1"/>
  <c r="BX9" i="24"/>
  <c r="F123" i="25"/>
  <c r="I123" i="25" s="1"/>
  <c r="R311" i="25"/>
  <c r="CX8" i="24"/>
  <c r="X26" i="29"/>
  <c r="X13" i="33"/>
  <c r="B14" i="34"/>
  <c r="GK39" i="2"/>
  <c r="CP19" i="24"/>
  <c r="J236" i="25"/>
  <c r="CE18" i="24"/>
  <c r="BY18" i="24"/>
  <c r="F236" i="25"/>
  <c r="I236" i="25" s="1"/>
  <c r="JX18" i="2"/>
  <c r="CQ18" i="24" s="1"/>
  <c r="JL22" i="2"/>
  <c r="CE22" i="24" s="1"/>
  <c r="R141" i="25"/>
  <c r="AU45" i="24"/>
  <c r="AC52" i="24"/>
  <c r="B11" i="16"/>
  <c r="B35" i="16" s="1"/>
  <c r="B58" i="16" s="1"/>
  <c r="H265" i="23"/>
  <c r="X11" i="33"/>
  <c r="B12" i="34"/>
  <c r="L242" i="25"/>
  <c r="K591" i="25"/>
  <c r="F36" i="25"/>
  <c r="I36" i="25" s="1"/>
  <c r="L36" i="25" s="1"/>
  <c r="BW13" i="24"/>
  <c r="K32" i="24"/>
  <c r="D664" i="23"/>
  <c r="K137" i="25"/>
  <c r="CJ16" i="24"/>
  <c r="CA16" i="24"/>
  <c r="F422" i="25"/>
  <c r="I422" i="25" s="1"/>
  <c r="JZ16" i="2"/>
  <c r="CS16" i="24" s="1"/>
  <c r="K412" i="25"/>
  <c r="CM11" i="24"/>
  <c r="R220" i="25"/>
  <c r="CW10" i="24"/>
  <c r="CM10" i="24"/>
  <c r="K410" i="25"/>
  <c r="J119" i="25"/>
  <c r="L119" i="25" s="1"/>
  <c r="CD7" i="24"/>
  <c r="AB52" i="24"/>
  <c r="G664" i="23"/>
  <c r="E664" i="23"/>
  <c r="N32" i="24"/>
  <c r="G38" i="24"/>
  <c r="R129" i="25"/>
  <c r="JV15" i="2"/>
  <c r="CO15" i="24" s="1"/>
  <c r="BG45" i="24"/>
  <c r="F29" i="31"/>
  <c r="BI50" i="24"/>
  <c r="S32" i="30" s="1"/>
  <c r="S32" i="29" s="1"/>
  <c r="C56" i="22"/>
  <c r="C16" i="13"/>
  <c r="IF23" i="2"/>
  <c r="AO50" i="24"/>
  <c r="G30" i="30" s="1"/>
  <c r="G30" i="29" s="1"/>
  <c r="AQ50" i="24"/>
  <c r="J30" i="30" s="1"/>
  <c r="J30" i="29" s="1"/>
  <c r="N31" i="30"/>
  <c r="CY11" i="24"/>
  <c r="AH52" i="24"/>
  <c r="J398" i="25"/>
  <c r="M430" i="25"/>
  <c r="Q430" i="25"/>
  <c r="I145" i="25"/>
  <c r="F590" i="25"/>
  <c r="GJ24" i="2"/>
  <c r="BA52" i="24"/>
  <c r="BA50" i="24"/>
  <c r="G32" i="30" s="1"/>
  <c r="G32" i="29" s="1"/>
  <c r="F230" i="25"/>
  <c r="I230" i="25" s="1"/>
  <c r="BY15" i="24"/>
  <c r="CA10" i="24"/>
  <c r="JZ10" i="2"/>
  <c r="CS10" i="24" s="1"/>
  <c r="F410" i="25"/>
  <c r="I410" i="25" s="1"/>
  <c r="G575" i="25"/>
  <c r="Y20" i="33"/>
  <c r="S23" i="13"/>
  <c r="H63" i="22"/>
  <c r="I23" i="17"/>
  <c r="C18" i="16"/>
  <c r="C42" i="16" s="1"/>
  <c r="C65" i="16" s="1"/>
  <c r="K28" i="25"/>
  <c r="CI9" i="24"/>
  <c r="R327" i="25"/>
  <c r="CX16" i="24"/>
  <c r="L335" i="25"/>
  <c r="B16" i="34"/>
  <c r="F113" i="25"/>
  <c r="I113" i="25" s="1"/>
  <c r="BX4" i="24"/>
  <c r="K590" i="25"/>
  <c r="L50" i="25"/>
  <c r="J420" i="25"/>
  <c r="L420" i="25" s="1"/>
  <c r="CG15" i="24"/>
  <c r="CV7" i="24"/>
  <c r="R119" i="25"/>
  <c r="L511" i="25"/>
  <c r="O511" i="25" s="1"/>
  <c r="CN12" i="24"/>
  <c r="B664" i="23"/>
  <c r="E32" i="24"/>
  <c r="AS45" i="24"/>
  <c r="L29" i="31"/>
  <c r="JW4" i="2"/>
  <c r="CP4" i="24" s="1"/>
  <c r="H266" i="23"/>
  <c r="B665" i="23"/>
  <c r="E34" i="24"/>
  <c r="C65" i="23"/>
  <c r="JZ15" i="2"/>
  <c r="CS15" i="24" s="1"/>
  <c r="E31" i="30"/>
  <c r="I143" i="25"/>
  <c r="F589" i="25"/>
  <c r="F40" i="25"/>
  <c r="I40" i="25" s="1"/>
  <c r="BW15" i="24"/>
  <c r="CG13" i="24"/>
  <c r="J416" i="25"/>
  <c r="CW12" i="24"/>
  <c r="R224" i="25"/>
  <c r="CA12" i="24"/>
  <c r="JZ12" i="2"/>
  <c r="CS12" i="24" s="1"/>
  <c r="F414" i="25"/>
  <c r="I414" i="25" s="1"/>
  <c r="CW11" i="24"/>
  <c r="R222" i="25"/>
  <c r="CE10" i="24"/>
  <c r="J220" i="25"/>
  <c r="BW10" i="24"/>
  <c r="F30" i="25"/>
  <c r="I30" i="25" s="1"/>
  <c r="F505" i="25"/>
  <c r="I505" i="25" s="1"/>
  <c r="CB9" i="24"/>
  <c r="R410" i="25"/>
  <c r="CY10" i="24"/>
  <c r="CN15" i="24"/>
  <c r="AU50" i="24"/>
  <c r="P30" i="30" s="1"/>
  <c r="P30" i="29" s="1"/>
  <c r="JP22" i="2"/>
  <c r="CI22" i="24" s="1"/>
  <c r="CI3" i="24"/>
  <c r="JY4" i="2"/>
  <c r="CR4" i="24" s="1"/>
  <c r="JJ22" i="2"/>
  <c r="CC22" i="24" s="1"/>
  <c r="JO22" i="2"/>
  <c r="CH22" i="24" s="1"/>
  <c r="KB22" i="2"/>
  <c r="CU22" i="24" s="1"/>
  <c r="BQ45" i="24"/>
  <c r="H64" i="22"/>
  <c r="C19" i="16"/>
  <c r="C43" i="16" s="1"/>
  <c r="C66" i="16" s="1"/>
  <c r="C54" i="22"/>
  <c r="B9" i="16"/>
  <c r="B33" i="16" s="1"/>
  <c r="B56" i="16" s="1"/>
  <c r="B5" i="16"/>
  <c r="B29" i="16" s="1"/>
  <c r="B52" i="16" s="1"/>
  <c r="BO45" i="24"/>
  <c r="AN52" i="24"/>
  <c r="KE22" i="2"/>
  <c r="CX22" i="24" s="1"/>
  <c r="JN22" i="2"/>
  <c r="CG22" i="24" s="1"/>
  <c r="M31" i="30"/>
  <c r="D38" i="24"/>
  <c r="F665" i="23"/>
  <c r="P34" i="24"/>
  <c r="N29" i="29"/>
  <c r="U30" i="30"/>
  <c r="R495" i="25"/>
  <c r="CH16" i="24"/>
  <c r="J307" i="25"/>
  <c r="CF6" i="24"/>
  <c r="R497" i="25"/>
  <c r="CZ5" i="24"/>
  <c r="CV4" i="24"/>
  <c r="R113" i="25"/>
  <c r="CE5" i="24"/>
  <c r="J210" i="25"/>
  <c r="J589" i="25"/>
  <c r="BU53" i="24"/>
  <c r="K416" i="25"/>
  <c r="CM13" i="24"/>
  <c r="CG12" i="24"/>
  <c r="J414" i="25"/>
  <c r="J30" i="25"/>
  <c r="CC10" i="24"/>
  <c r="K218" i="25"/>
  <c r="CK9" i="24"/>
  <c r="R309" i="25"/>
  <c r="CX7" i="24"/>
  <c r="CP20" i="24"/>
  <c r="GK40" i="2"/>
  <c r="GK41" i="2"/>
  <c r="CH7" i="24"/>
  <c r="L337" i="25"/>
  <c r="CF13" i="24"/>
  <c r="J321" i="25"/>
  <c r="JW12" i="2"/>
  <c r="CP12" i="24" s="1"/>
  <c r="F129" i="25"/>
  <c r="I129" i="25" s="1"/>
  <c r="BX12" i="24"/>
  <c r="CF7" i="24"/>
  <c r="J309" i="25"/>
  <c r="Y40" i="22"/>
  <c r="Z40" i="22" s="1"/>
  <c r="Y28" i="22"/>
  <c r="Y35" i="22"/>
  <c r="Z35" i="22" s="1"/>
  <c r="Y24" i="22"/>
  <c r="Y27" i="22"/>
  <c r="Y39" i="22"/>
  <c r="Z39" i="22" s="1"/>
  <c r="Y32" i="22"/>
  <c r="Y31" i="22"/>
  <c r="Y36" i="22"/>
  <c r="Z36" i="22" s="1"/>
  <c r="Y23" i="22"/>
  <c r="Z23" i="22" s="1"/>
  <c r="Y29" i="22"/>
  <c r="Y33" i="22"/>
  <c r="Y34" i="22"/>
  <c r="Y38" i="22"/>
  <c r="Z38" i="22" s="1"/>
  <c r="Y25" i="22"/>
  <c r="Z25" i="22" s="1"/>
  <c r="Y8" i="22"/>
  <c r="Y15" i="22"/>
  <c r="Y6" i="22"/>
  <c r="Y11" i="22"/>
  <c r="Y17" i="22"/>
  <c r="Y13" i="22"/>
  <c r="Y4" i="22"/>
  <c r="Y19" i="22"/>
  <c r="Y2" i="22"/>
  <c r="Y9" i="22"/>
  <c r="X20" i="22"/>
  <c r="X16" i="22"/>
  <c r="Z16" i="22" s="1"/>
  <c r="X12" i="22"/>
  <c r="X8" i="22"/>
  <c r="X5" i="22"/>
  <c r="X19" i="22"/>
  <c r="X15" i="22"/>
  <c r="X11" i="22"/>
  <c r="X4" i="22"/>
  <c r="X18" i="22"/>
  <c r="X14" i="22"/>
  <c r="X10" i="22"/>
  <c r="X7" i="22"/>
  <c r="X3" i="22"/>
  <c r="X17" i="22"/>
  <c r="X9" i="22"/>
  <c r="X6" i="22"/>
  <c r="X2" i="22"/>
  <c r="X13" i="22"/>
  <c r="Y60" i="22"/>
  <c r="Y56" i="22"/>
  <c r="Y52" i="22"/>
  <c r="Y48" i="22"/>
  <c r="Y44" i="22"/>
  <c r="Y58" i="22"/>
  <c r="Y54" i="22"/>
  <c r="Y50" i="22"/>
  <c r="Y46" i="22"/>
  <c r="Y42" i="22"/>
  <c r="Y59" i="22"/>
  <c r="Y51" i="22"/>
  <c r="Y43" i="22"/>
  <c r="Y57" i="22"/>
  <c r="Y49" i="22"/>
  <c r="Y55" i="22"/>
  <c r="Y47" i="22"/>
  <c r="Y53" i="22"/>
  <c r="Y45" i="22"/>
  <c r="CY33" i="24"/>
  <c r="AK50" i="24"/>
  <c r="S29" i="30" s="1"/>
  <c r="AK52" i="24"/>
  <c r="BH54" i="24"/>
  <c r="AY51" i="24"/>
  <c r="D32" i="31" s="1"/>
  <c r="F32" i="31" s="1"/>
  <c r="J34" i="25"/>
  <c r="CC12" i="24"/>
  <c r="CN8" i="24"/>
  <c r="BZ8" i="24"/>
  <c r="F311" i="25"/>
  <c r="I311" i="25" s="1"/>
  <c r="CY5" i="24"/>
  <c r="R400" i="25"/>
  <c r="CK5" i="24"/>
  <c r="K210" i="25"/>
  <c r="AV52" i="24"/>
  <c r="AV50" i="24"/>
  <c r="Q30" i="30" s="1"/>
  <c r="Q30" i="29" s="1"/>
  <c r="JX5" i="2"/>
  <c r="F210" i="25"/>
  <c r="I210" i="25" s="1"/>
  <c r="BY5" i="24"/>
  <c r="BW3" i="24"/>
  <c r="JD22" i="2"/>
  <c r="BW22" i="24" s="1"/>
  <c r="F16" i="25"/>
  <c r="I16" i="25" s="1"/>
  <c r="Y8" i="33"/>
  <c r="I11" i="17"/>
  <c r="H51" i="22"/>
  <c r="JE23" i="2"/>
  <c r="K32" i="25"/>
  <c r="CV18" i="24"/>
  <c r="R18" i="25"/>
  <c r="B13" i="16"/>
  <c r="B37" i="16" s="1"/>
  <c r="B60" i="16" s="1"/>
  <c r="AV53" i="24"/>
  <c r="BE50" i="24"/>
  <c r="M32" i="30" s="1"/>
  <c r="M32" i="29" s="1"/>
  <c r="BE52" i="24"/>
  <c r="BZ6" i="24"/>
  <c r="JY6" i="2"/>
  <c r="F307" i="25"/>
  <c r="I307" i="25" s="1"/>
  <c r="K408" i="25"/>
  <c r="CM9" i="24"/>
  <c r="JZ9" i="2"/>
  <c r="CS9" i="24" s="1"/>
  <c r="CN5" i="24"/>
  <c r="M32" i="24"/>
  <c r="E384" i="23"/>
  <c r="BZ52" i="24"/>
  <c r="BZ50" i="24"/>
  <c r="H37" i="30" s="1"/>
  <c r="H37" i="29" s="1"/>
  <c r="BR50" i="24"/>
  <c r="N35" i="30" s="1"/>
  <c r="N35" i="29" s="1"/>
  <c r="BR52" i="24"/>
  <c r="BN50" i="24"/>
  <c r="H35" i="30" s="1"/>
  <c r="H35" i="29" s="1"/>
  <c r="BN52" i="24"/>
  <c r="Y13" i="33"/>
  <c r="S16" i="13"/>
  <c r="H56" i="22"/>
  <c r="C11" i="16"/>
  <c r="C35" i="16" s="1"/>
  <c r="C58" i="16" s="1"/>
  <c r="I16" i="17"/>
  <c r="Y17" i="33"/>
  <c r="I20" i="17"/>
  <c r="C15" i="16"/>
  <c r="C39" i="16" s="1"/>
  <c r="C62" i="16" s="1"/>
  <c r="H60" i="22"/>
  <c r="S20" i="13"/>
  <c r="M36" i="29"/>
  <c r="AK45" i="24"/>
  <c r="HU23" i="2"/>
  <c r="C18" i="13"/>
  <c r="P31" i="31"/>
  <c r="P33" i="31" s="1"/>
  <c r="P34" i="31" s="1"/>
  <c r="H105" i="23"/>
  <c r="C66" i="23"/>
  <c r="H66" i="23" s="1"/>
  <c r="AA45" i="24"/>
  <c r="BA45" i="24"/>
  <c r="W18" i="17"/>
  <c r="AR52" i="24"/>
  <c r="AR50" i="24"/>
  <c r="K30" i="30" s="1"/>
  <c r="K426" i="25"/>
  <c r="CM18" i="24"/>
  <c r="CG18" i="24"/>
  <c r="JZ18" i="2"/>
  <c r="J426" i="25"/>
  <c r="CU15" i="24"/>
  <c r="R40" i="25"/>
  <c r="R414" i="25"/>
  <c r="CY12" i="24"/>
  <c r="F503" i="25"/>
  <c r="I503" i="25" s="1"/>
  <c r="KA8" i="2"/>
  <c r="CT8" i="24" s="1"/>
  <c r="CB8" i="24"/>
  <c r="CI5" i="24"/>
  <c r="K20" i="25"/>
  <c r="D34" i="24"/>
  <c r="B385" i="23"/>
  <c r="BD52" i="24"/>
  <c r="BD50" i="24"/>
  <c r="K32" i="30" s="1"/>
  <c r="K32" i="29" s="1"/>
  <c r="K111" i="25"/>
  <c r="CJ3" i="24"/>
  <c r="AF50" i="24"/>
  <c r="K29" i="30" s="1"/>
  <c r="AF52" i="24"/>
  <c r="X7" i="33"/>
  <c r="C10" i="17"/>
  <c r="C50" i="22"/>
  <c r="C10" i="13"/>
  <c r="C6" i="16"/>
  <c r="C30" i="16" s="1"/>
  <c r="C53" i="16" s="1"/>
  <c r="O580" i="25"/>
  <c r="JY8" i="2"/>
  <c r="CR8" i="24" s="1"/>
  <c r="H306" i="23"/>
  <c r="CV6" i="24"/>
  <c r="R117" i="25"/>
  <c r="CH6" i="24"/>
  <c r="R115" i="25"/>
  <c r="CV5" i="24"/>
  <c r="CK4" i="24"/>
  <c r="K208" i="25"/>
  <c r="JX4" i="2"/>
  <c r="CQ4" i="24" s="1"/>
  <c r="G385" i="23"/>
  <c r="J218" i="25"/>
  <c r="CE9" i="24"/>
  <c r="J317" i="25"/>
  <c r="CF11" i="24"/>
  <c r="JY11" i="2"/>
  <c r="CR11" i="24" s="1"/>
  <c r="CD50" i="24"/>
  <c r="N37" i="30" s="1"/>
  <c r="N37" i="29" s="1"/>
  <c r="CD52" i="24"/>
  <c r="CH3" i="24"/>
  <c r="C139" i="25"/>
  <c r="C234" i="25" s="1"/>
  <c r="C329" i="25" s="1"/>
  <c r="C424" i="25" s="1"/>
  <c r="C521" i="25" s="1"/>
  <c r="B587" i="25"/>
  <c r="B586" i="25"/>
  <c r="C137" i="25"/>
  <c r="C232" i="25" s="1"/>
  <c r="C327" i="25" s="1"/>
  <c r="C422" i="25" s="1"/>
  <c r="C519" i="25" s="1"/>
  <c r="CX33" i="24"/>
  <c r="AL52" i="24"/>
  <c r="AL50" i="24"/>
  <c r="T29" i="30" s="1"/>
  <c r="BK52" i="24"/>
  <c r="BK50" i="24"/>
  <c r="D35" i="30" s="1"/>
  <c r="D38" i="30" s="1"/>
  <c r="JP23" i="2"/>
  <c r="AY45" i="24"/>
  <c r="O30" i="30"/>
  <c r="BX3" i="24"/>
  <c r="JW3" i="2"/>
  <c r="F111" i="25"/>
  <c r="I111" i="25" s="1"/>
  <c r="O234" i="25"/>
  <c r="G587" i="25"/>
  <c r="O133" i="25"/>
  <c r="G584" i="25"/>
  <c r="JV3" i="2"/>
  <c r="E31" i="31"/>
  <c r="E33" i="31" s="1"/>
  <c r="E34" i="31" s="1"/>
  <c r="H38" i="31" s="1"/>
  <c r="B585" i="25"/>
  <c r="C135" i="25"/>
  <c r="C230" i="25" s="1"/>
  <c r="C325" i="25" s="1"/>
  <c r="C420" i="25" s="1"/>
  <c r="C517" i="25" s="1"/>
  <c r="O416" i="25"/>
  <c r="G583" i="25"/>
  <c r="BY50" i="24"/>
  <c r="G37" i="30" s="1"/>
  <c r="G37" i="29" s="1"/>
  <c r="BY52" i="24"/>
  <c r="CC52" i="24"/>
  <c r="CC50" i="24"/>
  <c r="M37" i="30" s="1"/>
  <c r="M37" i="29" s="1"/>
  <c r="J303" i="25"/>
  <c r="CF4" i="24"/>
  <c r="B577" i="25"/>
  <c r="C119" i="25"/>
  <c r="C214" i="25" s="1"/>
  <c r="C309" i="25" s="1"/>
  <c r="C404" i="25" s="1"/>
  <c r="C501" i="25" s="1"/>
  <c r="D385" i="23"/>
  <c r="J34" i="24"/>
  <c r="R505" i="25"/>
  <c r="CZ9" i="24"/>
  <c r="CD9" i="24"/>
  <c r="J123" i="25"/>
  <c r="JW9" i="2"/>
  <c r="AE45" i="24"/>
  <c r="AE44" i="24"/>
  <c r="AI45" i="24"/>
  <c r="AI44" i="24"/>
  <c r="X16" i="33"/>
  <c r="C19" i="13"/>
  <c r="C59" i="22"/>
  <c r="B14" i="16"/>
  <c r="B38" i="16" s="1"/>
  <c r="B61" i="16" s="1"/>
  <c r="C19" i="17"/>
  <c r="Y9" i="33"/>
  <c r="C7" i="16"/>
  <c r="C31" i="16" s="1"/>
  <c r="C54" i="16" s="1"/>
  <c r="H52" i="22"/>
  <c r="I12" i="17"/>
  <c r="S12" i="13"/>
  <c r="B386" i="23"/>
  <c r="D37" i="24"/>
  <c r="Y19" i="33"/>
  <c r="H62" i="22"/>
  <c r="S22" i="13"/>
  <c r="C17" i="16"/>
  <c r="C41" i="16" s="1"/>
  <c r="C64" i="16" s="1"/>
  <c r="I22" i="17"/>
  <c r="AJ52" i="24"/>
  <c r="AJ50" i="24"/>
  <c r="Q29" i="30" s="1"/>
  <c r="AY52" i="24"/>
  <c r="AY50" i="24"/>
  <c r="D32" i="30" s="1"/>
  <c r="I24" i="25"/>
  <c r="J412" i="25"/>
  <c r="JZ11" i="2"/>
  <c r="CS11" i="24" s="1"/>
  <c r="CG11" i="24"/>
  <c r="AE52" i="24"/>
  <c r="AE50" i="24"/>
  <c r="J29" i="30" s="1"/>
  <c r="R32" i="25"/>
  <c r="CU11" i="24"/>
  <c r="R398" i="25"/>
  <c r="CY4" i="24"/>
  <c r="M30" i="29"/>
  <c r="W9" i="30"/>
  <c r="CZ37" i="24"/>
  <c r="AA52" i="24"/>
  <c r="AA50" i="24"/>
  <c r="D29" i="30" s="1"/>
  <c r="AD50" i="24"/>
  <c r="H29" i="30" s="1"/>
  <c r="I29" i="30" s="1"/>
  <c r="AK53" i="24"/>
  <c r="BF52" i="24"/>
  <c r="BF50" i="24"/>
  <c r="N32" i="30" s="1"/>
  <c r="O141" i="25"/>
  <c r="G588" i="25"/>
  <c r="G578" i="25"/>
  <c r="O406" i="25"/>
  <c r="BB52" i="24"/>
  <c r="BB50" i="24"/>
  <c r="H32" i="30" s="1"/>
  <c r="CN3" i="24"/>
  <c r="KA3" i="2"/>
  <c r="AP52" i="24"/>
  <c r="AP50" i="24"/>
  <c r="H30" i="30" s="1"/>
  <c r="AW53" i="24"/>
  <c r="I137" i="25"/>
  <c r="I406" i="25"/>
  <c r="I22" i="25"/>
  <c r="X15" i="33"/>
  <c r="C58" i="22"/>
  <c r="C18" i="17"/>
  <c r="BS50" i="24"/>
  <c r="P35" i="30" s="1"/>
  <c r="P35" i="29" s="1"/>
  <c r="BS52" i="24"/>
  <c r="CC44" i="24"/>
  <c r="CC45" i="24"/>
  <c r="BK45" i="24"/>
  <c r="BK44" i="24"/>
  <c r="R208" i="25"/>
  <c r="CW4" i="24"/>
  <c r="JT22" i="2"/>
  <c r="CM22" i="24" s="1"/>
  <c r="K398" i="25"/>
  <c r="CM4" i="24"/>
  <c r="G585" i="25"/>
  <c r="O40" i="25"/>
  <c r="AM26" i="33"/>
  <c r="AM27" i="33" s="1"/>
  <c r="O14" i="32" s="1"/>
  <c r="AS22" i="24"/>
  <c r="BV44" i="24"/>
  <c r="BU45" i="24"/>
  <c r="BL50" i="24"/>
  <c r="E35" i="30" s="1"/>
  <c r="E35" i="29" s="1"/>
  <c r="BL52" i="24"/>
  <c r="JZ4" i="2"/>
  <c r="F398" i="25"/>
  <c r="I398" i="25" s="1"/>
  <c r="CA4" i="24"/>
  <c r="J36" i="29"/>
  <c r="C11" i="13"/>
  <c r="C51" i="22"/>
  <c r="X8" i="33"/>
  <c r="C11" i="17"/>
  <c r="B6" i="16"/>
  <c r="B30" i="16" s="1"/>
  <c r="B53" i="16" s="1"/>
  <c r="BC45" i="24"/>
  <c r="BC44" i="24"/>
  <c r="K301" i="25"/>
  <c r="CL3" i="24"/>
  <c r="JS22" i="2"/>
  <c r="CL22" i="24" s="1"/>
  <c r="AM50" i="24"/>
  <c r="D30" i="30" s="1"/>
  <c r="AM52" i="24"/>
  <c r="O123" i="25"/>
  <c r="G579" i="25"/>
  <c r="AF22" i="24"/>
  <c r="M29" i="17"/>
  <c r="C12" i="16"/>
  <c r="C36" i="16" s="1"/>
  <c r="C59" i="16" s="1"/>
  <c r="I17" i="17"/>
  <c r="S17" i="13"/>
  <c r="Y14" i="33"/>
  <c r="H57" i="22"/>
  <c r="JX11" i="2"/>
  <c r="CQ11" i="24" s="1"/>
  <c r="F222" i="25"/>
  <c r="BY11" i="24"/>
  <c r="CK11" i="24"/>
  <c r="K222" i="25"/>
  <c r="GJ2" i="2"/>
  <c r="S36" i="29"/>
  <c r="JF22" i="2"/>
  <c r="BY22" i="24" s="1"/>
  <c r="IG23" i="2"/>
  <c r="AS52" i="24"/>
  <c r="CJ51" i="24"/>
  <c r="CS54" i="24"/>
  <c r="F495" i="25"/>
  <c r="CB4" i="24"/>
  <c r="KA4" i="2"/>
  <c r="CT4" i="24" s="1"/>
  <c r="JI22" i="2"/>
  <c r="CB22" i="24" s="1"/>
  <c r="C141" i="25"/>
  <c r="C236" i="25" s="1"/>
  <c r="C331" i="25" s="1"/>
  <c r="C426" i="25" s="1"/>
  <c r="C523" i="25" s="1"/>
  <c r="B588" i="25"/>
  <c r="B573" i="25"/>
  <c r="C111" i="25"/>
  <c r="C206" i="25" s="1"/>
  <c r="C301" i="25" s="1"/>
  <c r="C396" i="25" s="1"/>
  <c r="C493" i="25" s="1"/>
  <c r="K18" i="25"/>
  <c r="CI4" i="24"/>
  <c r="JV4" i="2"/>
  <c r="CO4" i="24" s="1"/>
  <c r="AM44" i="24"/>
  <c r="AM45" i="24"/>
  <c r="JR22" i="2"/>
  <c r="CK22" i="24" s="1"/>
  <c r="AY47" i="24"/>
  <c r="H23" i="31" s="1"/>
  <c r="BH49" i="24"/>
  <c r="F30" i="31"/>
  <c r="I15" i="17"/>
  <c r="H55" i="22"/>
  <c r="S15" i="13"/>
  <c r="C10" i="16"/>
  <c r="C34" i="16" s="1"/>
  <c r="C57" i="16" s="1"/>
  <c r="Y12" i="33"/>
  <c r="BY44" i="24"/>
  <c r="BY45" i="24"/>
  <c r="P37" i="24"/>
  <c r="F386" i="23"/>
  <c r="P32" i="24"/>
  <c r="F384" i="23"/>
  <c r="CU9" i="24"/>
  <c r="R28" i="25"/>
  <c r="BP52" i="24"/>
  <c r="BP50" i="24"/>
  <c r="K35" i="30" s="1"/>
  <c r="BH52" i="24"/>
  <c r="BH50" i="24"/>
  <c r="Q32" i="30" s="1"/>
  <c r="GJ23" i="2"/>
  <c r="AZ50" i="24"/>
  <c r="E32" i="30" s="1"/>
  <c r="BI53" i="24"/>
  <c r="AZ52" i="24"/>
  <c r="G574" i="25"/>
  <c r="O18" i="25"/>
  <c r="P574" i="25" s="1"/>
  <c r="P580" i="25"/>
  <c r="BV50" i="24"/>
  <c r="T35" i="30" s="1"/>
  <c r="BV52" i="24"/>
  <c r="BY9" i="24"/>
  <c r="F218" i="25"/>
  <c r="JX9" i="2"/>
  <c r="AI52" i="24"/>
  <c r="AI50" i="24"/>
  <c r="P29" i="30" s="1"/>
  <c r="CF3" i="24"/>
  <c r="J301" i="25"/>
  <c r="CO50" i="24"/>
  <c r="CO52" i="24"/>
  <c r="CQ50" i="24"/>
  <c r="CQ52" i="24"/>
  <c r="CU33" i="24"/>
  <c r="CV26" i="24"/>
  <c r="AM47" i="24"/>
  <c r="H14" i="31" s="1"/>
  <c r="CF18" i="24"/>
  <c r="J331" i="25"/>
  <c r="JM22" i="2"/>
  <c r="CF22" i="24" s="1"/>
  <c r="JN1" i="2"/>
  <c r="CG1" i="24" s="1"/>
  <c r="F141" i="25"/>
  <c r="JW18" i="2"/>
  <c r="BX18" i="24"/>
  <c r="GJ37" i="2"/>
  <c r="BT50" i="24"/>
  <c r="Q35" i="30" s="1"/>
  <c r="BK46" i="24"/>
  <c r="W21" i="30" s="1"/>
  <c r="W21" i="29" s="1"/>
  <c r="AY46" i="24"/>
  <c r="G23" i="30" s="1"/>
  <c r="Y10" i="33"/>
  <c r="C8" i="16"/>
  <c r="C32" i="16" s="1"/>
  <c r="C55" i="16" s="1"/>
  <c r="S13" i="13"/>
  <c r="H53" i="22"/>
  <c r="I13" i="17"/>
  <c r="GJ8" i="2"/>
  <c r="S16" i="17"/>
  <c r="W16" i="17" s="1"/>
  <c r="Q529" i="25"/>
  <c r="CS50" i="24"/>
  <c r="CS52" i="24"/>
  <c r="CW33" i="24"/>
  <c r="CR50" i="24"/>
  <c r="CR52" i="24"/>
  <c r="CN52" i="24"/>
  <c r="CN50" i="24"/>
  <c r="CL52" i="24"/>
  <c r="CL50" i="24"/>
  <c r="AK48" i="24"/>
  <c r="AB46" i="24"/>
  <c r="AR46" i="24"/>
  <c r="AW48" i="24"/>
  <c r="GJ38" i="2"/>
  <c r="C666" i="23"/>
  <c r="BJ52" i="24"/>
  <c r="BJ51" i="24"/>
  <c r="T32" i="31" s="1"/>
  <c r="AW51" i="24"/>
  <c r="S30" i="31" s="1"/>
  <c r="S31" i="31" s="1"/>
  <c r="AW52" i="24"/>
  <c r="AT51" i="24"/>
  <c r="N30" i="31" s="1"/>
  <c r="AT52" i="24"/>
  <c r="AG51" i="24"/>
  <c r="M29" i="31" s="1"/>
  <c r="AG52" i="24"/>
  <c r="AD51" i="24"/>
  <c r="H29" i="31" s="1"/>
  <c r="AD52" i="24"/>
  <c r="CG45" i="24"/>
  <c r="CH44" i="24"/>
  <c r="BX52" i="24"/>
  <c r="BX50" i="24"/>
  <c r="E37" i="30" s="1"/>
  <c r="E37" i="29" s="1"/>
  <c r="JD23" i="2"/>
  <c r="BW44" i="24"/>
  <c r="BW45" i="24"/>
  <c r="BT44" i="24"/>
  <c r="IS23" i="2"/>
  <c r="BS45" i="24"/>
  <c r="V36" i="30"/>
  <c r="AC46" i="24"/>
  <c r="G533" i="25"/>
  <c r="G151" i="25"/>
  <c r="G577" i="25"/>
  <c r="O119" i="25"/>
  <c r="BI48" i="24"/>
  <c r="AZ46" i="24"/>
  <c r="P16" i="30" s="1"/>
  <c r="O206" i="25"/>
  <c r="G573" i="25"/>
  <c r="G246" i="25"/>
  <c r="JH1" i="2"/>
  <c r="CA1" i="24" s="1"/>
  <c r="S14" i="17"/>
  <c r="GJ6" i="2"/>
  <c r="C21" i="13"/>
  <c r="X18" i="33"/>
  <c r="C61" i="22"/>
  <c r="C21" i="17"/>
  <c r="B16" i="16"/>
  <c r="B40" i="16" s="1"/>
  <c r="B63" i="16" s="1"/>
  <c r="CK52" i="24"/>
  <c r="CK50" i="24"/>
  <c r="CM44" i="24"/>
  <c r="CM45" i="24"/>
  <c r="JQ23" i="2"/>
  <c r="CJ44" i="24"/>
  <c r="BM51" i="24"/>
  <c r="G35" i="31" s="1"/>
  <c r="BM52" i="24"/>
  <c r="AW45" i="24"/>
  <c r="HT23" i="2"/>
  <c r="AW44" i="24"/>
  <c r="BZ18" i="24"/>
  <c r="JY18" i="2"/>
  <c r="CR18" i="24" s="1"/>
  <c r="F331" i="25"/>
  <c r="I331" i="25" s="1"/>
  <c r="GJ27" i="2"/>
  <c r="CM50" i="24"/>
  <c r="CM52" i="24"/>
  <c r="CI50" i="24"/>
  <c r="CI52" i="24"/>
  <c r="CS45" i="24"/>
  <c r="CS44" i="24"/>
  <c r="CI45" i="24"/>
  <c r="CT50" i="24"/>
  <c r="CT52" i="24"/>
  <c r="CJ52" i="24"/>
  <c r="CJ50" i="24"/>
  <c r="J32" i="29"/>
  <c r="L32" i="31"/>
  <c r="JE22" i="2"/>
  <c r="BX22" i="24" s="1"/>
  <c r="JU22" i="2"/>
  <c r="CN22" i="24" s="1"/>
  <c r="CN18" i="24"/>
  <c r="CH51" i="24"/>
  <c r="T37" i="31" s="1"/>
  <c r="U37" i="31" s="1"/>
  <c r="CH52" i="24"/>
  <c r="GJ31" i="2"/>
  <c r="GJ30" i="2"/>
  <c r="CE44" i="24"/>
  <c r="CE45" i="24"/>
  <c r="CA45" i="24"/>
  <c r="CB44" i="24"/>
  <c r="GJ26" i="2"/>
  <c r="GJ25" i="2"/>
  <c r="CY3" i="24"/>
  <c r="R396" i="25"/>
  <c r="KF1" i="2"/>
  <c r="KF22" i="2"/>
  <c r="CY22" i="24" s="1"/>
  <c r="BQ50" i="24"/>
  <c r="M35" i="30" s="1"/>
  <c r="BQ52" i="24"/>
  <c r="AH47" i="24"/>
  <c r="AK49" i="24"/>
  <c r="BO47" i="24"/>
  <c r="D36" i="31" s="1"/>
  <c r="V36" i="31" s="1"/>
  <c r="O29" i="17"/>
  <c r="AG22" i="24"/>
  <c r="BN47" i="24"/>
  <c r="W24" i="31" s="1"/>
  <c r="W24" i="29" s="1"/>
  <c r="BU49" i="24"/>
  <c r="BB47" i="24"/>
  <c r="P18" i="31" s="1"/>
  <c r="Q17" i="31" s="1"/>
  <c r="O414" i="25"/>
  <c r="G436" i="25"/>
  <c r="JT1" i="2"/>
  <c r="CM1" i="24" s="1"/>
  <c r="I325" i="25"/>
  <c r="S25" i="17"/>
  <c r="W25" i="17" s="1"/>
  <c r="GJ17" i="2"/>
  <c r="GJ10" i="2"/>
  <c r="CF51" i="24"/>
  <c r="Q37" i="31" s="1"/>
  <c r="AN47" i="24"/>
  <c r="H9" i="31" s="1"/>
  <c r="AW49" i="24"/>
  <c r="CX26" i="24"/>
  <c r="CO44" i="24"/>
  <c r="CO45" i="24"/>
  <c r="CU25" i="24"/>
  <c r="CQ44" i="24"/>
  <c r="CQ45" i="24"/>
  <c r="CP50" i="24"/>
  <c r="CP52" i="24"/>
  <c r="CK44" i="24"/>
  <c r="CK45" i="24"/>
  <c r="BL46" i="24"/>
  <c r="W22" i="30" s="1"/>
  <c r="W22" i="29" s="1"/>
  <c r="BU48" i="24"/>
  <c r="IR23" i="2"/>
  <c r="BM45" i="24"/>
  <c r="BM44" i="24"/>
  <c r="BI45" i="24"/>
  <c r="BJ44" i="24"/>
  <c r="CH18" i="24"/>
  <c r="KA18" i="2"/>
  <c r="CT18" i="24" s="1"/>
  <c r="AG44" i="24"/>
  <c r="AG45" i="24"/>
  <c r="HH23" i="2"/>
  <c r="HI23" i="2"/>
  <c r="AC45" i="24"/>
  <c r="AD44" i="24"/>
  <c r="CF50" i="24"/>
  <c r="Q37" i="30" s="1"/>
  <c r="Q37" i="29" s="1"/>
  <c r="CF52" i="24"/>
  <c r="CE50" i="24"/>
  <c r="P37" i="30" s="1"/>
  <c r="P37" i="29" s="1"/>
  <c r="R37" i="29" s="1"/>
  <c r="CE52" i="24"/>
  <c r="CB52" i="24"/>
  <c r="CB50" i="24"/>
  <c r="K37" i="30" s="1"/>
  <c r="K37" i="29" s="1"/>
  <c r="CA50" i="24"/>
  <c r="J37" i="30" s="1"/>
  <c r="J37" i="29" s="1"/>
  <c r="CA52" i="24"/>
  <c r="BW52" i="24"/>
  <c r="BW50" i="24"/>
  <c r="D37" i="30" s="1"/>
  <c r="D37" i="29" s="1"/>
  <c r="O42" i="25"/>
  <c r="G586" i="25"/>
  <c r="AA47" i="24"/>
  <c r="AA48" i="24"/>
  <c r="E38" i="31"/>
  <c r="G56" i="25"/>
  <c r="O34" i="25"/>
  <c r="G582" i="25"/>
  <c r="O127" i="25"/>
  <c r="G581" i="25"/>
  <c r="B580" i="25"/>
  <c r="C125" i="25"/>
  <c r="C220" i="25" s="1"/>
  <c r="C315" i="25" s="1"/>
  <c r="C410" i="25" s="1"/>
  <c r="C507" i="25" s="1"/>
  <c r="O307" i="25"/>
  <c r="G341" i="25"/>
  <c r="G576" i="25"/>
  <c r="I19" i="30"/>
  <c r="G29" i="29"/>
  <c r="S19" i="17"/>
  <c r="W19" i="17" s="1"/>
  <c r="GJ11" i="2"/>
  <c r="M238" i="25" l="1"/>
  <c r="J573" i="25"/>
  <c r="O37" i="29"/>
  <c r="J533" i="25"/>
  <c r="L329" i="25"/>
  <c r="M329" i="25" s="1"/>
  <c r="I37" i="29"/>
  <c r="F533" i="25"/>
  <c r="F535" i="25" s="1"/>
  <c r="I301" i="25"/>
  <c r="L301" i="25" s="1"/>
  <c r="Q301" i="25" s="1"/>
  <c r="F341" i="25"/>
  <c r="T37" i="29"/>
  <c r="U37" i="29" s="1"/>
  <c r="F37" i="29"/>
  <c r="V37" i="29"/>
  <c r="L37" i="29"/>
  <c r="W37" i="29"/>
  <c r="H132" i="14"/>
  <c r="I102" i="14"/>
  <c r="AQ104" i="14"/>
  <c r="AU104" i="14" s="1"/>
  <c r="AQ103" i="14"/>
  <c r="AU103" i="14" s="1"/>
  <c r="AQ95" i="14"/>
  <c r="AU95" i="14" s="1"/>
  <c r="AQ100" i="14"/>
  <c r="AU100" i="14" s="1"/>
  <c r="AQ94" i="14"/>
  <c r="AU94" i="14" s="1"/>
  <c r="AQ101" i="14"/>
  <c r="AU101" i="14" s="1"/>
  <c r="G137" i="14"/>
  <c r="G167" i="14" s="1"/>
  <c r="G197" i="14" s="1"/>
  <c r="G227" i="14" s="1"/>
  <c r="G257" i="14" s="1"/>
  <c r="G287" i="14" s="1"/>
  <c r="G317" i="14" s="1"/>
  <c r="G347" i="14" s="1"/>
  <c r="G377" i="14" s="1"/>
  <c r="G407" i="14" s="1"/>
  <c r="G437" i="14" s="1"/>
  <c r="G467" i="14" s="1"/>
  <c r="G497" i="14" s="1"/>
  <c r="G527" i="14" s="1"/>
  <c r="G557" i="14" s="1"/>
  <c r="G587" i="14" s="1"/>
  <c r="AQ97" i="14"/>
  <c r="AU97" i="14" s="1"/>
  <c r="AQ98" i="14"/>
  <c r="AU98" i="14" s="1"/>
  <c r="AQ108" i="14"/>
  <c r="AU108" i="14" s="1"/>
  <c r="AQ96" i="14"/>
  <c r="AU96" i="14" s="1"/>
  <c r="AQ106" i="14"/>
  <c r="AU106" i="14" s="1"/>
  <c r="AQ110" i="14"/>
  <c r="AU110" i="14" s="1"/>
  <c r="AQ109" i="14"/>
  <c r="AU109" i="14" s="1"/>
  <c r="AQ102" i="14"/>
  <c r="AU102" i="14" s="1"/>
  <c r="AQ107" i="14"/>
  <c r="AU107" i="14" s="1"/>
  <c r="AQ99" i="14"/>
  <c r="AU99" i="14" s="1"/>
  <c r="AQ111" i="14"/>
  <c r="AU111" i="14" s="1"/>
  <c r="AQ105" i="14"/>
  <c r="AU105" i="14" s="1"/>
  <c r="Q52" i="25"/>
  <c r="Z13" i="33"/>
  <c r="Z14" i="33" s="1"/>
  <c r="Z15" i="33" s="1"/>
  <c r="Z16" i="33" s="1"/>
  <c r="Z17" i="33" s="1"/>
  <c r="Z18" i="33" s="1"/>
  <c r="Z19" i="33" s="1"/>
  <c r="Z20" i="33" s="1"/>
  <c r="Z21" i="33" s="1"/>
  <c r="Z22" i="33" s="1"/>
  <c r="Z23" i="33" s="1"/>
  <c r="Z24" i="33" s="1"/>
  <c r="Z25" i="33" s="1"/>
  <c r="Z26" i="33" s="1"/>
  <c r="G12" i="33"/>
  <c r="GI52" i="2"/>
  <c r="JN49" i="2"/>
  <c r="CG49" i="24" s="1"/>
  <c r="GH52" i="2"/>
  <c r="E38" i="29"/>
  <c r="L323" i="25"/>
  <c r="Q323" i="25" s="1"/>
  <c r="L228" i="25"/>
  <c r="Q228" i="25" s="1"/>
  <c r="GD52" i="2"/>
  <c r="JM49" i="2"/>
  <c r="CF49" i="24" s="1"/>
  <c r="KA46" i="2"/>
  <c r="CT46" i="24" s="1"/>
  <c r="JV46" i="2"/>
  <c r="CO46" i="24" s="1"/>
  <c r="GJ51" i="2"/>
  <c r="CQ14" i="24"/>
  <c r="JX47" i="2"/>
  <c r="CQ47" i="24" s="1"/>
  <c r="CP14" i="24"/>
  <c r="JW47" i="2"/>
  <c r="CP47" i="24" s="1"/>
  <c r="CR14" i="24"/>
  <c r="JY47" i="2"/>
  <c r="CR47" i="24" s="1"/>
  <c r="CQ3" i="24"/>
  <c r="JX46" i="2"/>
  <c r="CQ46" i="24" s="1"/>
  <c r="JM48" i="2"/>
  <c r="CT14" i="24"/>
  <c r="KA47" i="2"/>
  <c r="CT47" i="24" s="1"/>
  <c r="CS3" i="24"/>
  <c r="JZ46" i="2"/>
  <c r="CS46" i="24" s="1"/>
  <c r="CR3" i="24"/>
  <c r="JY46" i="2"/>
  <c r="CR46" i="24" s="1"/>
  <c r="GE52" i="2"/>
  <c r="CO14" i="24"/>
  <c r="JV47" i="2"/>
  <c r="GJ50" i="2"/>
  <c r="GJ46" i="2"/>
  <c r="JW46" i="2"/>
  <c r="CP46" i="24" s="1"/>
  <c r="CS14" i="24"/>
  <c r="JZ47" i="2"/>
  <c r="CS47" i="24" s="1"/>
  <c r="JN48" i="2"/>
  <c r="CG48" i="24" s="1"/>
  <c r="GG52" i="2"/>
  <c r="Q432" i="25"/>
  <c r="W18" i="35"/>
  <c r="Z18" i="35"/>
  <c r="H625" i="23"/>
  <c r="N14" i="22"/>
  <c r="F12" i="22"/>
  <c r="G12" i="22"/>
  <c r="F20" i="22"/>
  <c r="G22" i="22"/>
  <c r="G30" i="22"/>
  <c r="S20" i="22"/>
  <c r="N21" i="22"/>
  <c r="O21" i="22" s="1"/>
  <c r="M16" i="22"/>
  <c r="N16" i="22"/>
  <c r="R14" i="22"/>
  <c r="G16" i="22"/>
  <c r="S32" i="22"/>
  <c r="R30" i="22"/>
  <c r="M12" i="22"/>
  <c r="R42" i="22"/>
  <c r="S13" i="22"/>
  <c r="T13" i="22" s="1"/>
  <c r="M32" i="22"/>
  <c r="F32" i="22"/>
  <c r="S28" i="22"/>
  <c r="F14" i="22"/>
  <c r="R22" i="22"/>
  <c r="M46" i="22"/>
  <c r="G46" i="22"/>
  <c r="G20" i="22"/>
  <c r="N28" i="22"/>
  <c r="M22" i="22"/>
  <c r="S22" i="22"/>
  <c r="M28" i="22"/>
  <c r="S12" i="22"/>
  <c r="M42" i="22"/>
  <c r="S24" i="22"/>
  <c r="G14" i="22"/>
  <c r="M20" i="22"/>
  <c r="R16" i="22"/>
  <c r="N30" i="22"/>
  <c r="S16" i="22"/>
  <c r="F16" i="22"/>
  <c r="R12" i="22"/>
  <c r="G24" i="22"/>
  <c r="N46" i="22"/>
  <c r="N22" i="22"/>
  <c r="S14" i="22"/>
  <c r="R28" i="22"/>
  <c r="F28" i="22"/>
  <c r="R24" i="22"/>
  <c r="G28" i="22"/>
  <c r="R44" i="22"/>
  <c r="F22" i="22"/>
  <c r="F46" i="22"/>
  <c r="S46" i="22"/>
  <c r="N12" i="22"/>
  <c r="M30" i="22"/>
  <c r="R32" i="22"/>
  <c r="F30" i="22"/>
  <c r="M14" i="22"/>
  <c r="R20" i="22"/>
  <c r="G32" i="22"/>
  <c r="N32" i="22"/>
  <c r="S44" i="22"/>
  <c r="S30" i="22"/>
  <c r="F42" i="22"/>
  <c r="G21" i="22"/>
  <c r="H21" i="22" s="1"/>
  <c r="F24" i="22"/>
  <c r="H24" i="22" s="1"/>
  <c r="M24" i="22"/>
  <c r="N24" i="22"/>
  <c r="N20" i="22"/>
  <c r="R46" i="22"/>
  <c r="Z33" i="22"/>
  <c r="N29" i="22"/>
  <c r="O29" i="22" s="1"/>
  <c r="Z31" i="22"/>
  <c r="S21" i="22"/>
  <c r="T21" i="22" s="1"/>
  <c r="Z32" i="22"/>
  <c r="G29" i="22"/>
  <c r="H29" i="22" s="1"/>
  <c r="Z34" i="22"/>
  <c r="S29" i="22"/>
  <c r="T29" i="22" s="1"/>
  <c r="Z27" i="22"/>
  <c r="N13" i="22"/>
  <c r="O13" i="22" s="1"/>
  <c r="Z26" i="22"/>
  <c r="G13" i="22"/>
  <c r="H13" i="22" s="1"/>
  <c r="Z22" i="22"/>
  <c r="Z24" i="22"/>
  <c r="S43" i="22"/>
  <c r="T43" i="22" s="1"/>
  <c r="I16" i="29"/>
  <c r="Q428" i="25"/>
  <c r="O30" i="12"/>
  <c r="O21" i="12"/>
  <c r="AD37" i="2"/>
  <c r="I44" i="22"/>
  <c r="P44" i="22"/>
  <c r="V13" i="33"/>
  <c r="V14" i="33" s="1"/>
  <c r="V15" i="33" s="1"/>
  <c r="V16" i="33" s="1"/>
  <c r="V17" i="33" s="1"/>
  <c r="V18" i="33" s="1"/>
  <c r="V19" i="33" s="1"/>
  <c r="V20" i="33" s="1"/>
  <c r="V21" i="33" s="1"/>
  <c r="V22" i="33" s="1"/>
  <c r="V23" i="33" s="1"/>
  <c r="V24" i="33" s="1"/>
  <c r="V25" i="33" s="1"/>
  <c r="V26" i="33" s="1"/>
  <c r="I589" i="25"/>
  <c r="H589" i="25"/>
  <c r="H590" i="25"/>
  <c r="I590" i="25"/>
  <c r="X15" i="35"/>
  <c r="I22" i="29"/>
  <c r="S9" i="29"/>
  <c r="W9" i="29" s="1"/>
  <c r="D38" i="31"/>
  <c r="F38" i="31" s="1"/>
  <c r="P18" i="29"/>
  <c r="I17" i="29"/>
  <c r="I9" i="31"/>
  <c r="H9" i="29"/>
  <c r="I9" i="29" s="1"/>
  <c r="I14" i="31"/>
  <c r="H14" i="29"/>
  <c r="I14" i="29" s="1"/>
  <c r="I23" i="31"/>
  <c r="H23" i="29"/>
  <c r="H24" i="29" s="1"/>
  <c r="I10" i="29"/>
  <c r="I13" i="29"/>
  <c r="I23" i="30"/>
  <c r="G23" i="29"/>
  <c r="I20" i="29"/>
  <c r="W9" i="31"/>
  <c r="Q17" i="30"/>
  <c r="P16" i="29"/>
  <c r="I19" i="29"/>
  <c r="I21" i="29"/>
  <c r="O31" i="24"/>
  <c r="N33" i="24"/>
  <c r="N35" i="24" s="1"/>
  <c r="N36" i="24" s="1"/>
  <c r="E40" i="24"/>
  <c r="O26" i="24"/>
  <c r="F28" i="24"/>
  <c r="X16" i="35"/>
  <c r="W15" i="35"/>
  <c r="Y15" i="35"/>
  <c r="I493" i="25"/>
  <c r="L493" i="25" s="1"/>
  <c r="O493" i="25" s="1"/>
  <c r="Q493" i="25" s="1"/>
  <c r="X18" i="35"/>
  <c r="Z17" i="35"/>
  <c r="X17" i="35"/>
  <c r="Y16" i="35"/>
  <c r="W16" i="35"/>
  <c r="B594" i="25"/>
  <c r="B593" i="25" s="1"/>
  <c r="H18" i="24"/>
  <c r="H26" i="24" s="1"/>
  <c r="Y17" i="35"/>
  <c r="W19" i="35"/>
  <c r="Z8" i="35"/>
  <c r="X19" i="35"/>
  <c r="Z14" i="35"/>
  <c r="Y19" i="35"/>
  <c r="Y8" i="35"/>
  <c r="X14" i="35"/>
  <c r="W14" i="35"/>
  <c r="Z13" i="35"/>
  <c r="W13" i="35"/>
  <c r="Y13" i="35"/>
  <c r="Y12" i="35"/>
  <c r="Z12" i="35"/>
  <c r="W12" i="35"/>
  <c r="Y11" i="35"/>
  <c r="X11" i="35"/>
  <c r="W11" i="35"/>
  <c r="W10" i="35"/>
  <c r="X10" i="35"/>
  <c r="Z10" i="35"/>
  <c r="Z9" i="35"/>
  <c r="X9" i="35"/>
  <c r="W9" i="35"/>
  <c r="X8" i="35"/>
  <c r="X7" i="35"/>
  <c r="Y7" i="35"/>
  <c r="W7" i="35"/>
  <c r="Z6" i="35"/>
  <c r="X6" i="35"/>
  <c r="Y6" i="35"/>
  <c r="I37" i="24"/>
  <c r="R31" i="24"/>
  <c r="U31" i="24"/>
  <c r="T33" i="24"/>
  <c r="T35" i="24" s="1"/>
  <c r="X5" i="35"/>
  <c r="Z5" i="35"/>
  <c r="Y5" i="35"/>
  <c r="W5" i="35"/>
  <c r="Z4" i="35"/>
  <c r="Y4" i="35"/>
  <c r="Y18" i="35" s="1"/>
  <c r="V20" i="35"/>
  <c r="V21" i="35" s="1"/>
  <c r="W4" i="35"/>
  <c r="X4" i="35"/>
  <c r="G18" i="33"/>
  <c r="I32" i="33"/>
  <c r="I15" i="33"/>
  <c r="G25" i="33"/>
  <c r="F32" i="33"/>
  <c r="F15" i="33"/>
  <c r="D18" i="33"/>
  <c r="D25" i="33"/>
  <c r="F31" i="24"/>
  <c r="I34" i="24"/>
  <c r="O39" i="24"/>
  <c r="D11" i="33"/>
  <c r="O32" i="33"/>
  <c r="Q511" i="25"/>
  <c r="H591" i="25"/>
  <c r="I591" i="25"/>
  <c r="L39" i="24"/>
  <c r="O34" i="24"/>
  <c r="F39" i="24"/>
  <c r="Q33" i="24"/>
  <c r="Q35" i="24" s="1"/>
  <c r="Q36" i="24" s="1"/>
  <c r="T40" i="24" s="1"/>
  <c r="U39" i="24"/>
  <c r="G33" i="24"/>
  <c r="G35" i="24" s="1"/>
  <c r="G36" i="24" s="1"/>
  <c r="J40" i="24" s="1"/>
  <c r="U37" i="24"/>
  <c r="I31" i="24"/>
  <c r="L26" i="25"/>
  <c r="M26" i="25" s="1"/>
  <c r="R34" i="24"/>
  <c r="L315" i="25"/>
  <c r="M315" i="25" s="1"/>
  <c r="I39" i="24"/>
  <c r="Q507" i="25"/>
  <c r="L311" i="25"/>
  <c r="M311" i="25" s="1"/>
  <c r="R588" i="25"/>
  <c r="L327" i="25"/>
  <c r="M327" i="25" s="1"/>
  <c r="U28" i="24"/>
  <c r="L521" i="25"/>
  <c r="O521" i="25" s="1"/>
  <c r="Q521" i="25" s="1"/>
  <c r="L40" i="25"/>
  <c r="M40" i="25" s="1"/>
  <c r="N42" i="22"/>
  <c r="W28" i="24"/>
  <c r="Z29" i="22"/>
  <c r="Z28" i="22"/>
  <c r="N43" i="22"/>
  <c r="O43" i="22" s="1"/>
  <c r="G43" i="22"/>
  <c r="H43" i="22" s="1"/>
  <c r="F44" i="22"/>
  <c r="Z52" i="22"/>
  <c r="M44" i="22"/>
  <c r="Z55" i="22"/>
  <c r="Z59" i="22"/>
  <c r="Z54" i="22"/>
  <c r="H65" i="23"/>
  <c r="R584" i="25"/>
  <c r="L121" i="25"/>
  <c r="M121" i="25" s="1"/>
  <c r="K584" i="25"/>
  <c r="L212" i="25"/>
  <c r="M212" i="25" s="1"/>
  <c r="Q305" i="25"/>
  <c r="K578" i="25"/>
  <c r="Z42" i="22"/>
  <c r="Z60" i="22"/>
  <c r="Z76" i="22"/>
  <c r="Z53" i="22"/>
  <c r="Z57" i="22"/>
  <c r="Z50" i="22"/>
  <c r="Z51" i="22"/>
  <c r="Z48" i="22"/>
  <c r="Z58" i="22"/>
  <c r="Z43" i="22"/>
  <c r="Z44" i="22"/>
  <c r="Z56" i="22"/>
  <c r="Z46" i="22"/>
  <c r="Z49" i="22"/>
  <c r="Z79" i="22"/>
  <c r="Z80" i="22"/>
  <c r="Z10" i="22"/>
  <c r="Q402" i="25"/>
  <c r="M402" i="25"/>
  <c r="N33" i="30"/>
  <c r="N34" i="30" s="1"/>
  <c r="Q38" i="30" s="1"/>
  <c r="P5" i="22"/>
  <c r="P45" i="22" s="1"/>
  <c r="L133" i="25"/>
  <c r="L400" i="25"/>
  <c r="M400" i="25" s="1"/>
  <c r="J6" i="22"/>
  <c r="W31" i="24"/>
  <c r="V39" i="24"/>
  <c r="O37" i="24"/>
  <c r="L515" i="25"/>
  <c r="O515" i="25" s="1"/>
  <c r="Q515" i="25" s="1"/>
  <c r="L42" i="25"/>
  <c r="M42" i="25" s="1"/>
  <c r="E31" i="29"/>
  <c r="Z12" i="22"/>
  <c r="H33" i="24"/>
  <c r="L20" i="25"/>
  <c r="M20" i="25" s="1"/>
  <c r="L127" i="25"/>
  <c r="M127" i="25" s="1"/>
  <c r="V30" i="30"/>
  <c r="L16" i="25"/>
  <c r="M16" i="25" s="1"/>
  <c r="L210" i="25"/>
  <c r="M210" i="25" s="1"/>
  <c r="R28" i="24"/>
  <c r="L208" i="25"/>
  <c r="M208" i="25" s="1"/>
  <c r="L230" i="25"/>
  <c r="M230" i="25" s="1"/>
  <c r="D33" i="24"/>
  <c r="D35" i="24" s="1"/>
  <c r="D36" i="24" s="1"/>
  <c r="F582" i="25"/>
  <c r="L131" i="25"/>
  <c r="M131" i="25" s="1"/>
  <c r="U34" i="24"/>
  <c r="L418" i="25"/>
  <c r="M418" i="25" s="1"/>
  <c r="L226" i="25"/>
  <c r="Q226" i="25" s="1"/>
  <c r="J576" i="25"/>
  <c r="O31" i="30"/>
  <c r="L422" i="25"/>
  <c r="L117" i="25"/>
  <c r="M117" i="25" s="1"/>
  <c r="Q509" i="25"/>
  <c r="J587" i="25"/>
  <c r="K6" i="22"/>
  <c r="L32" i="30"/>
  <c r="F584" i="25"/>
  <c r="V32" i="31"/>
  <c r="L31" i="31"/>
  <c r="L303" i="25"/>
  <c r="Q303" i="25" s="1"/>
  <c r="L232" i="25"/>
  <c r="M232" i="25" s="1"/>
  <c r="J586" i="25"/>
  <c r="R585" i="25"/>
  <c r="L46" i="25"/>
  <c r="M46" i="25" s="1"/>
  <c r="L424" i="25"/>
  <c r="M424" i="25" s="1"/>
  <c r="L501" i="25"/>
  <c r="O501" i="25" s="1"/>
  <c r="Q501" i="25" s="1"/>
  <c r="L224" i="25"/>
  <c r="Q224" i="25" s="1"/>
  <c r="D33" i="31"/>
  <c r="D34" i="31" s="1"/>
  <c r="K151" i="25"/>
  <c r="L220" i="25"/>
  <c r="M220" i="25" s="1"/>
  <c r="R578" i="25"/>
  <c r="L139" i="25"/>
  <c r="M139" i="25" s="1"/>
  <c r="K586" i="25"/>
  <c r="L307" i="25"/>
  <c r="M307" i="25" s="1"/>
  <c r="K580" i="25"/>
  <c r="K577" i="25"/>
  <c r="K582" i="25"/>
  <c r="G31" i="30"/>
  <c r="G33" i="30" s="1"/>
  <c r="K576" i="25"/>
  <c r="J580" i="25"/>
  <c r="Q513" i="25"/>
  <c r="J56" i="25"/>
  <c r="R587" i="25"/>
  <c r="F580" i="25"/>
  <c r="GK33" i="2"/>
  <c r="S33" i="24"/>
  <c r="S35" i="24" s="1"/>
  <c r="S36" i="24" s="1"/>
  <c r="Q329" i="25"/>
  <c r="L216" i="25"/>
  <c r="Q216" i="25" s="1"/>
  <c r="L32" i="25"/>
  <c r="M32" i="25" s="1"/>
  <c r="F585" i="25"/>
  <c r="O37" i="30"/>
  <c r="L113" i="25"/>
  <c r="Q113" i="25" s="1"/>
  <c r="L410" i="25"/>
  <c r="M410" i="25" s="1"/>
  <c r="L313" i="25"/>
  <c r="Q313" i="25" s="1"/>
  <c r="H144" i="23"/>
  <c r="K585" i="25"/>
  <c r="R39" i="24"/>
  <c r="V31" i="24"/>
  <c r="V38" i="24"/>
  <c r="J33" i="24"/>
  <c r="J35" i="24" s="1"/>
  <c r="W39" i="24"/>
  <c r="L31" i="24"/>
  <c r="L32" i="24"/>
  <c r="W37" i="24"/>
  <c r="W13" i="24"/>
  <c r="J246" i="25"/>
  <c r="U32" i="30"/>
  <c r="F583" i="25"/>
  <c r="F577" i="25"/>
  <c r="L317" i="25"/>
  <c r="M317" i="25" s="1"/>
  <c r="C5" i="22"/>
  <c r="C43" i="22" s="1"/>
  <c r="L404" i="25"/>
  <c r="M404" i="25" s="1"/>
  <c r="J575" i="25"/>
  <c r="R30" i="30"/>
  <c r="J574" i="25"/>
  <c r="L234" i="25"/>
  <c r="L331" i="25"/>
  <c r="M331" i="25" s="1"/>
  <c r="GK34" i="2"/>
  <c r="F586" i="25"/>
  <c r="I32" i="24"/>
  <c r="L28" i="25"/>
  <c r="M28" i="25" s="1"/>
  <c r="R586" i="25"/>
  <c r="R583" i="25"/>
  <c r="G42" i="22"/>
  <c r="U32" i="24"/>
  <c r="GK37" i="2"/>
  <c r="J578" i="25"/>
  <c r="R582" i="25"/>
  <c r="L426" i="25"/>
  <c r="M426" i="25" s="1"/>
  <c r="L497" i="25"/>
  <c r="O497" i="25" s="1"/>
  <c r="Q497" i="25" s="1"/>
  <c r="BH55" i="24"/>
  <c r="L321" i="25"/>
  <c r="M321" i="25" s="1"/>
  <c r="L37" i="24"/>
  <c r="L135" i="25"/>
  <c r="M135" i="25" s="1"/>
  <c r="H146" i="23"/>
  <c r="V28" i="24"/>
  <c r="K583" i="25"/>
  <c r="H666" i="23"/>
  <c r="GK36" i="2"/>
  <c r="K587" i="25"/>
  <c r="L309" i="25"/>
  <c r="M309" i="25" s="1"/>
  <c r="L129" i="25"/>
  <c r="Q129" i="25" s="1"/>
  <c r="R580" i="25"/>
  <c r="O32" i="32"/>
  <c r="K588" i="25"/>
  <c r="J583" i="25"/>
  <c r="JX22" i="2"/>
  <c r="CQ22" i="24" s="1"/>
  <c r="GK27" i="2"/>
  <c r="V32" i="30"/>
  <c r="F31" i="31"/>
  <c r="M33" i="30"/>
  <c r="J151" i="25"/>
  <c r="L503" i="25"/>
  <c r="O503" i="25" s="1"/>
  <c r="L505" i="25"/>
  <c r="O505" i="25" s="1"/>
  <c r="Q505" i="25" s="1"/>
  <c r="BJ53" i="24"/>
  <c r="J585" i="25"/>
  <c r="J581" i="25"/>
  <c r="K341" i="25"/>
  <c r="F576" i="25"/>
  <c r="J584" i="25"/>
  <c r="Q214" i="25"/>
  <c r="L519" i="25"/>
  <c r="O519" i="25" s="1"/>
  <c r="Q519" i="25" s="1"/>
  <c r="Z14" i="22"/>
  <c r="Z18" i="22"/>
  <c r="Z3" i="22"/>
  <c r="Z20" i="22"/>
  <c r="Z9" i="22"/>
  <c r="Z69" i="22"/>
  <c r="Z71" i="22"/>
  <c r="S42" i="22"/>
  <c r="Z75" i="22"/>
  <c r="Z13" i="22"/>
  <c r="Z15" i="22"/>
  <c r="Z73" i="22"/>
  <c r="Z68" i="22"/>
  <c r="Z63" i="22"/>
  <c r="Z65" i="22"/>
  <c r="Z70" i="22"/>
  <c r="Z8" i="22"/>
  <c r="Z77" i="22"/>
  <c r="Z2" i="22"/>
  <c r="Z74" i="22"/>
  <c r="Z66" i="22"/>
  <c r="Z17" i="22"/>
  <c r="Z64" i="22"/>
  <c r="Z67" i="22"/>
  <c r="Z62" i="22"/>
  <c r="Z72" i="22"/>
  <c r="Z78" i="22"/>
  <c r="W32" i="24"/>
  <c r="K581" i="25"/>
  <c r="R575" i="25"/>
  <c r="I44" i="25"/>
  <c r="I56" i="25" s="1"/>
  <c r="F587" i="25"/>
  <c r="AX52" i="24"/>
  <c r="L236" i="25"/>
  <c r="M236" i="25" s="1"/>
  <c r="R577" i="25"/>
  <c r="L30" i="25"/>
  <c r="M30" i="25" s="1"/>
  <c r="H665" i="23"/>
  <c r="R341" i="25"/>
  <c r="GK35" i="2"/>
  <c r="H664" i="23"/>
  <c r="L412" i="25"/>
  <c r="Q412" i="25" s="1"/>
  <c r="M242" i="25"/>
  <c r="Q242" i="25"/>
  <c r="L591" i="25"/>
  <c r="M119" i="25"/>
  <c r="Q119" i="25"/>
  <c r="R151" i="25"/>
  <c r="K575" i="25"/>
  <c r="L517" i="25"/>
  <c r="O517" i="25" s="1"/>
  <c r="Q517" i="25" s="1"/>
  <c r="L143" i="25"/>
  <c r="M50" i="25"/>
  <c r="Q50" i="25"/>
  <c r="BH53" i="24"/>
  <c r="G24" i="30"/>
  <c r="I24" i="30" s="1"/>
  <c r="F246" i="25"/>
  <c r="F248" i="25" s="1"/>
  <c r="K246" i="25"/>
  <c r="CT54" i="24"/>
  <c r="X27" i="33"/>
  <c r="GK30" i="2"/>
  <c r="R581" i="25"/>
  <c r="L499" i="25"/>
  <c r="O499" i="25" s="1"/>
  <c r="Q499" i="25" s="1"/>
  <c r="R574" i="25"/>
  <c r="BU54" i="24"/>
  <c r="BU52" i="24"/>
  <c r="K33" i="24"/>
  <c r="K35" i="24" s="1"/>
  <c r="K36" i="24" s="1"/>
  <c r="N40" i="24" s="1"/>
  <c r="F32" i="24"/>
  <c r="E33" i="24"/>
  <c r="F436" i="25"/>
  <c r="F438" i="25" s="1"/>
  <c r="K436" i="25"/>
  <c r="L523" i="25"/>
  <c r="O523" i="25" s="1"/>
  <c r="Q523" i="25" s="1"/>
  <c r="R246" i="25"/>
  <c r="GK32" i="2"/>
  <c r="J341" i="25"/>
  <c r="J436" i="25"/>
  <c r="I37" i="30"/>
  <c r="Q337" i="25"/>
  <c r="M337" i="25"/>
  <c r="L414" i="25"/>
  <c r="M414" i="25" s="1"/>
  <c r="M420" i="25"/>
  <c r="Q420" i="25"/>
  <c r="Q335" i="25"/>
  <c r="M335" i="25"/>
  <c r="L145" i="25"/>
  <c r="J577" i="25"/>
  <c r="Z4" i="22"/>
  <c r="Z19" i="22"/>
  <c r="N44" i="22"/>
  <c r="Z11" i="22"/>
  <c r="Z6" i="22"/>
  <c r="Z7" i="22"/>
  <c r="Z5" i="22"/>
  <c r="G44" i="22"/>
  <c r="Z45" i="22"/>
  <c r="Z47" i="22"/>
  <c r="S38" i="31"/>
  <c r="U38" i="31" s="1"/>
  <c r="R34" i="31"/>
  <c r="CR6" i="24"/>
  <c r="GK26" i="2"/>
  <c r="R576" i="25"/>
  <c r="F575" i="25"/>
  <c r="GK31" i="2"/>
  <c r="K574" i="25"/>
  <c r="R31" i="31"/>
  <c r="H385" i="23"/>
  <c r="GK28" i="2"/>
  <c r="F34" i="24"/>
  <c r="CS18" i="24"/>
  <c r="M33" i="24"/>
  <c r="O32" i="24"/>
  <c r="CQ5" i="24"/>
  <c r="GK25" i="2"/>
  <c r="J582" i="25"/>
  <c r="L34" i="25"/>
  <c r="S31" i="30"/>
  <c r="S33" i="30" s="1"/>
  <c r="S34" i="30" s="1"/>
  <c r="S29" i="29"/>
  <c r="AL53" i="24"/>
  <c r="AV55" i="24"/>
  <c r="W34" i="24"/>
  <c r="JV22" i="2"/>
  <c r="K30" i="29"/>
  <c r="L30" i="29" s="1"/>
  <c r="L30" i="30"/>
  <c r="L408" i="25"/>
  <c r="K579" i="25"/>
  <c r="GK24" i="2"/>
  <c r="F573" i="25"/>
  <c r="H573" i="25" s="1"/>
  <c r="JY22" i="2"/>
  <c r="CR22" i="24" s="1"/>
  <c r="F56" i="25"/>
  <c r="F58" i="25" s="1"/>
  <c r="H384" i="23"/>
  <c r="F578" i="25"/>
  <c r="L111" i="25"/>
  <c r="K29" i="29"/>
  <c r="K31" i="30"/>
  <c r="K33" i="30" s="1"/>
  <c r="K34" i="30" s="1"/>
  <c r="N38" i="30" s="1"/>
  <c r="I35" i="30"/>
  <c r="R37" i="24"/>
  <c r="I222" i="25"/>
  <c r="F581" i="25"/>
  <c r="P579" i="25"/>
  <c r="O579" i="25"/>
  <c r="O585" i="25"/>
  <c r="P585" i="25"/>
  <c r="F29" i="30"/>
  <c r="D29" i="29"/>
  <c r="D31" i="30"/>
  <c r="L29" i="30"/>
  <c r="J29" i="29"/>
  <c r="J31" i="30"/>
  <c r="F37" i="24"/>
  <c r="V37" i="24"/>
  <c r="D40" i="24"/>
  <c r="CP9" i="24"/>
  <c r="GK29" i="2"/>
  <c r="T29" i="29"/>
  <c r="T31" i="30"/>
  <c r="U29" i="30"/>
  <c r="F343" i="25"/>
  <c r="R533" i="25"/>
  <c r="K573" i="25"/>
  <c r="K56" i="25"/>
  <c r="R56" i="25"/>
  <c r="I495" i="25"/>
  <c r="H24" i="31"/>
  <c r="I24" i="31" s="1"/>
  <c r="L398" i="25"/>
  <c r="L22" i="25"/>
  <c r="L406" i="25"/>
  <c r="Q31" i="30"/>
  <c r="Q33" i="30" s="1"/>
  <c r="Q34" i="30" s="1"/>
  <c r="T38" i="30" s="1"/>
  <c r="Q29" i="29"/>
  <c r="Q31" i="29" s="1"/>
  <c r="H386" i="23"/>
  <c r="L123" i="25"/>
  <c r="J579" i="25"/>
  <c r="L34" i="24"/>
  <c r="V34" i="24"/>
  <c r="O574" i="25"/>
  <c r="R33" i="31"/>
  <c r="P29" i="29"/>
  <c r="R29" i="30"/>
  <c r="K35" i="29"/>
  <c r="L35" i="30"/>
  <c r="P578" i="25"/>
  <c r="O578" i="25"/>
  <c r="F35" i="30"/>
  <c r="D35" i="29"/>
  <c r="L137" i="25"/>
  <c r="M137" i="25" s="1"/>
  <c r="O436" i="25"/>
  <c r="CQ9" i="24"/>
  <c r="U35" i="30"/>
  <c r="T35" i="29"/>
  <c r="U35" i="29" s="1"/>
  <c r="R32" i="30"/>
  <c r="Q32" i="29"/>
  <c r="R32" i="29" s="1"/>
  <c r="R579" i="25"/>
  <c r="P33" i="24"/>
  <c r="R32" i="24"/>
  <c r="V32" i="24"/>
  <c r="L125" i="25"/>
  <c r="F30" i="30"/>
  <c r="D30" i="29"/>
  <c r="F30" i="29" s="1"/>
  <c r="CS4" i="24"/>
  <c r="JZ22" i="2"/>
  <c r="CS22" i="24" s="1"/>
  <c r="F574" i="25"/>
  <c r="CT3" i="24"/>
  <c r="I32" i="30"/>
  <c r="H32" i="29"/>
  <c r="I32" i="29" s="1"/>
  <c r="O584" i="25"/>
  <c r="P584" i="25"/>
  <c r="CP3" i="24"/>
  <c r="Q36" i="25"/>
  <c r="M36" i="25"/>
  <c r="H30" i="29"/>
  <c r="I30" i="29" s="1"/>
  <c r="I30" i="30"/>
  <c r="W30" i="30"/>
  <c r="N32" i="29"/>
  <c r="O32" i="29" s="1"/>
  <c r="O32" i="30"/>
  <c r="L24" i="25"/>
  <c r="CO3" i="24"/>
  <c r="GK23" i="2"/>
  <c r="O587" i="25"/>
  <c r="P587" i="25"/>
  <c r="V29" i="30"/>
  <c r="C546" i="23"/>
  <c r="H546" i="23" s="1"/>
  <c r="I218" i="25"/>
  <c r="F579" i="25"/>
  <c r="E32" i="29"/>
  <c r="W32" i="30"/>
  <c r="E33" i="30"/>
  <c r="E34" i="30" s="1"/>
  <c r="H38" i="30" s="1"/>
  <c r="P31" i="30"/>
  <c r="L416" i="25"/>
  <c r="L18" i="25"/>
  <c r="O588" i="25"/>
  <c r="P588" i="25"/>
  <c r="W29" i="30"/>
  <c r="H31" i="30"/>
  <c r="E38" i="30"/>
  <c r="F38" i="30" s="1"/>
  <c r="F32" i="30"/>
  <c r="D32" i="29"/>
  <c r="V32" i="29" s="1"/>
  <c r="O583" i="25"/>
  <c r="P583" i="25"/>
  <c r="BI49" i="24"/>
  <c r="BJ49" i="24"/>
  <c r="R30" i="29"/>
  <c r="BT53" i="24"/>
  <c r="W14" i="17"/>
  <c r="S30" i="17"/>
  <c r="AJ54" i="24"/>
  <c r="AL54" i="24"/>
  <c r="AW54" i="24"/>
  <c r="AW55" i="24"/>
  <c r="U30" i="31"/>
  <c r="V30" i="31"/>
  <c r="S30" i="29"/>
  <c r="I141" i="25"/>
  <c r="I151" i="25" s="1"/>
  <c r="F588" i="25"/>
  <c r="G31" i="29"/>
  <c r="AX48" i="24"/>
  <c r="AV48" i="24"/>
  <c r="O582" i="25"/>
  <c r="P582" i="25"/>
  <c r="O56" i="25"/>
  <c r="O586" i="25"/>
  <c r="P586" i="25"/>
  <c r="CF55" i="24"/>
  <c r="CF53" i="24"/>
  <c r="L325" i="25"/>
  <c r="L115" i="25"/>
  <c r="CS53" i="24"/>
  <c r="CS55" i="24"/>
  <c r="KA22" i="2"/>
  <c r="CT22" i="24" s="1"/>
  <c r="D36" i="29"/>
  <c r="V36" i="29" s="1"/>
  <c r="CG53" i="24"/>
  <c r="CG55" i="24"/>
  <c r="AK54" i="24"/>
  <c r="AK55" i="24"/>
  <c r="O30" i="31"/>
  <c r="N31" i="31"/>
  <c r="N33" i="31" s="1"/>
  <c r="N34" i="31" s="1"/>
  <c r="Q38" i="31" s="1"/>
  <c r="N30" i="29"/>
  <c r="W30" i="31"/>
  <c r="T33" i="31"/>
  <c r="T34" i="31" s="1"/>
  <c r="U32" i="31"/>
  <c r="T32" i="29"/>
  <c r="U32" i="29" s="1"/>
  <c r="W32" i="31"/>
  <c r="R35" i="30"/>
  <c r="Q35" i="29"/>
  <c r="W35" i="30"/>
  <c r="AX49" i="24"/>
  <c r="AV49" i="24"/>
  <c r="L319" i="25"/>
  <c r="AL49" i="24"/>
  <c r="AJ49" i="24"/>
  <c r="JZ1" i="2"/>
  <c r="CS1" i="24" s="1"/>
  <c r="CG54" i="24"/>
  <c r="CH54" i="24"/>
  <c r="I436" i="25"/>
  <c r="L396" i="25"/>
  <c r="AJ55" i="24"/>
  <c r="BT49" i="24"/>
  <c r="BV49" i="24"/>
  <c r="L38" i="25"/>
  <c r="CR53" i="24"/>
  <c r="CR55" i="24"/>
  <c r="I35" i="31"/>
  <c r="G35" i="29"/>
  <c r="G34" i="31"/>
  <c r="V35" i="31"/>
  <c r="X35" i="31" s="1"/>
  <c r="G593" i="25"/>
  <c r="P577" i="25"/>
  <c r="O151" i="25"/>
  <c r="O577" i="25"/>
  <c r="AJ48" i="24"/>
  <c r="AL48" i="24"/>
  <c r="W37" i="30"/>
  <c r="O29" i="31"/>
  <c r="M31" i="31"/>
  <c r="V29" i="31"/>
  <c r="M29" i="29"/>
  <c r="BI54" i="24"/>
  <c r="BI55" i="24"/>
  <c r="BJ54" i="24"/>
  <c r="BH48" i="24"/>
  <c r="BJ48" i="24"/>
  <c r="BT52" i="24"/>
  <c r="BT54" i="24"/>
  <c r="BX47" i="24"/>
  <c r="J34" i="31"/>
  <c r="L33" i="31"/>
  <c r="O576" i="25"/>
  <c r="P576" i="25"/>
  <c r="O341" i="25"/>
  <c r="P581" i="25"/>
  <c r="O581" i="25"/>
  <c r="F37" i="30"/>
  <c r="V37" i="30"/>
  <c r="L37" i="30"/>
  <c r="R37" i="30"/>
  <c r="L206" i="25"/>
  <c r="W37" i="31"/>
  <c r="X37" i="31" s="1"/>
  <c r="R37" i="31"/>
  <c r="V35" i="30"/>
  <c r="M35" i="29"/>
  <c r="O35" i="29" s="1"/>
  <c r="O35" i="30"/>
  <c r="R436" i="25"/>
  <c r="R573" i="25"/>
  <c r="F151" i="25"/>
  <c r="F153" i="25" s="1"/>
  <c r="L32" i="29"/>
  <c r="O246" i="25"/>
  <c r="O573" i="25"/>
  <c r="P573" i="25"/>
  <c r="H31" i="31"/>
  <c r="H29" i="29"/>
  <c r="I29" i="29" s="1"/>
  <c r="I29" i="31"/>
  <c r="W29" i="31"/>
  <c r="AV54" i="24"/>
  <c r="AX54" i="24"/>
  <c r="O11" i="33"/>
  <c r="Y27" i="33"/>
  <c r="J588" i="25"/>
  <c r="BV48" i="24"/>
  <c r="BT48" i="24"/>
  <c r="CP18" i="24"/>
  <c r="JW22" i="2"/>
  <c r="CP22" i="24" s="1"/>
  <c r="GK38" i="2"/>
  <c r="K533" i="25"/>
  <c r="I341" i="25" l="1"/>
  <c r="Q503" i="25"/>
  <c r="X37" i="29"/>
  <c r="H162" i="14"/>
  <c r="I132" i="14"/>
  <c r="Z27" i="33"/>
  <c r="JY49" i="2"/>
  <c r="CR49" i="24" s="1"/>
  <c r="M228" i="25"/>
  <c r="JZ49" i="2"/>
  <c r="CS49" i="24" s="1"/>
  <c r="M323" i="25"/>
  <c r="GK50" i="2"/>
  <c r="JO49" i="2"/>
  <c r="CH49" i="24" s="1"/>
  <c r="JZ48" i="2"/>
  <c r="CS48" i="24" s="1"/>
  <c r="JY48" i="2"/>
  <c r="CR48" i="24" s="1"/>
  <c r="CO47" i="24"/>
  <c r="GJ52" i="2"/>
  <c r="GK51" i="2"/>
  <c r="JO48" i="2"/>
  <c r="CH48" i="24" s="1"/>
  <c r="CO22" i="24"/>
  <c r="GK42" i="2"/>
  <c r="W20" i="35"/>
  <c r="O14" i="22"/>
  <c r="H12" i="22"/>
  <c r="H20" i="22"/>
  <c r="T20" i="22"/>
  <c r="T14" i="22"/>
  <c r="H32" i="22"/>
  <c r="T28" i="22"/>
  <c r="T22" i="22"/>
  <c r="O28" i="22"/>
  <c r="O22" i="22"/>
  <c r="O12" i="22"/>
  <c r="T12" i="22"/>
  <c r="H14" i="22"/>
  <c r="N23" i="22"/>
  <c r="H28" i="22"/>
  <c r="M23" i="22"/>
  <c r="T24" i="22"/>
  <c r="O20" i="22"/>
  <c r="R45" i="22"/>
  <c r="R15" i="22"/>
  <c r="R23" i="22"/>
  <c r="M15" i="22"/>
  <c r="O24" i="22"/>
  <c r="S23" i="22"/>
  <c r="N31" i="22"/>
  <c r="T32" i="22"/>
  <c r="T16" i="22"/>
  <c r="S15" i="22"/>
  <c r="T30" i="22"/>
  <c r="S31" i="22"/>
  <c r="O32" i="22"/>
  <c r="R31" i="22"/>
  <c r="O30" i="22"/>
  <c r="M31" i="22"/>
  <c r="N15" i="22"/>
  <c r="O16" i="22"/>
  <c r="C126" i="26"/>
  <c r="Q591" i="25"/>
  <c r="V27" i="33"/>
  <c r="Q17" i="29"/>
  <c r="I23" i="29"/>
  <c r="G24" i="29"/>
  <c r="I24" i="29" s="1"/>
  <c r="F40" i="24"/>
  <c r="Z20" i="35"/>
  <c r="Y20" i="35"/>
  <c r="X20" i="35"/>
  <c r="J153" i="25"/>
  <c r="K153" i="25" s="1"/>
  <c r="H587" i="25"/>
  <c r="I587" i="25"/>
  <c r="I576" i="25"/>
  <c r="H576" i="25"/>
  <c r="H577" i="25"/>
  <c r="I577" i="25"/>
  <c r="J58" i="25"/>
  <c r="K58" i="25" s="1"/>
  <c r="H583" i="25"/>
  <c r="I583" i="25"/>
  <c r="I580" i="25"/>
  <c r="H580" i="25"/>
  <c r="I588" i="25"/>
  <c r="H588" i="25"/>
  <c r="H579" i="25"/>
  <c r="I579" i="25"/>
  <c r="H581" i="25"/>
  <c r="I581" i="25"/>
  <c r="I575" i="25"/>
  <c r="H575" i="25"/>
  <c r="H586" i="25"/>
  <c r="I586" i="25"/>
  <c r="I584" i="25"/>
  <c r="H584" i="25"/>
  <c r="H574" i="25"/>
  <c r="I574" i="25"/>
  <c r="H578" i="25"/>
  <c r="I578" i="25"/>
  <c r="I573" i="25"/>
  <c r="H585" i="25"/>
  <c r="I585" i="25"/>
  <c r="H582" i="25"/>
  <c r="I582" i="25"/>
  <c r="I33" i="24"/>
  <c r="Q327" i="25"/>
  <c r="Q311" i="25"/>
  <c r="Q26" i="25"/>
  <c r="Q212" i="25"/>
  <c r="Q315" i="25"/>
  <c r="Q121" i="25"/>
  <c r="Q40" i="25"/>
  <c r="E33" i="29"/>
  <c r="E34" i="29" s="1"/>
  <c r="H35" i="24"/>
  <c r="H36" i="24" s="1"/>
  <c r="X30" i="30"/>
  <c r="O33" i="30"/>
  <c r="X31" i="24"/>
  <c r="X32" i="30"/>
  <c r="Q42" i="25"/>
  <c r="X39" i="24"/>
  <c r="M226" i="25"/>
  <c r="Q131" i="25"/>
  <c r="X28" i="24"/>
  <c r="C45" i="22"/>
  <c r="Q230" i="25"/>
  <c r="Q16" i="25"/>
  <c r="Q400" i="25"/>
  <c r="Q139" i="25"/>
  <c r="Q232" i="25"/>
  <c r="M113" i="25"/>
  <c r="Q208" i="25"/>
  <c r="M216" i="25"/>
  <c r="Q418" i="25"/>
  <c r="AX53" i="24"/>
  <c r="I45" i="22"/>
  <c r="M133" i="25"/>
  <c r="Q133" i="25"/>
  <c r="H46" i="22"/>
  <c r="Q32" i="25"/>
  <c r="Q20" i="25"/>
  <c r="Q210" i="25"/>
  <c r="Q127" i="25"/>
  <c r="Q424" i="25"/>
  <c r="Q422" i="25"/>
  <c r="M422" i="25"/>
  <c r="M586" i="25" s="1"/>
  <c r="X32" i="31"/>
  <c r="F33" i="31"/>
  <c r="Q117" i="25"/>
  <c r="M303" i="25"/>
  <c r="Q236" i="25"/>
  <c r="Q410" i="25"/>
  <c r="Q404" i="25"/>
  <c r="J248" i="25"/>
  <c r="L248" i="25" s="1"/>
  <c r="M412" i="25"/>
  <c r="I31" i="30"/>
  <c r="Q317" i="25"/>
  <c r="Q46" i="25"/>
  <c r="I43" i="22"/>
  <c r="J438" i="25"/>
  <c r="K438" i="25" s="1"/>
  <c r="Q331" i="25"/>
  <c r="Q28" i="25"/>
  <c r="M224" i="25"/>
  <c r="Q220" i="25"/>
  <c r="P43" i="22"/>
  <c r="Q426" i="25"/>
  <c r="M313" i="25"/>
  <c r="J343" i="25"/>
  <c r="L343" i="25" s="1"/>
  <c r="K31" i="29"/>
  <c r="K33" i="29" s="1"/>
  <c r="K34" i="29" s="1"/>
  <c r="N38" i="29" s="1"/>
  <c r="Q309" i="25"/>
  <c r="Q307" i="25"/>
  <c r="U33" i="24"/>
  <c r="Q321" i="25"/>
  <c r="Q135" i="25"/>
  <c r="X37" i="24"/>
  <c r="M129" i="25"/>
  <c r="Q234" i="25"/>
  <c r="M234" i="25"/>
  <c r="M301" i="25"/>
  <c r="W33" i="24"/>
  <c r="CF48" i="24"/>
  <c r="V33" i="24"/>
  <c r="Q30" i="25"/>
  <c r="L578" i="25"/>
  <c r="J593" i="25"/>
  <c r="M34" i="30"/>
  <c r="P38" i="30" s="1"/>
  <c r="R38" i="30" s="1"/>
  <c r="R593" i="25"/>
  <c r="X35" i="30"/>
  <c r="T46" i="22"/>
  <c r="O46" i="22"/>
  <c r="N45" i="22"/>
  <c r="X32" i="24"/>
  <c r="X37" i="30"/>
  <c r="L44" i="25"/>
  <c r="L56" i="25" s="1"/>
  <c r="V31" i="30"/>
  <c r="L33" i="24"/>
  <c r="X34" i="24"/>
  <c r="L585" i="25"/>
  <c r="R29" i="29"/>
  <c r="Q145" i="25"/>
  <c r="Q590" i="25" s="1"/>
  <c r="M145" i="25"/>
  <c r="M590" i="25" s="1"/>
  <c r="L573" i="25"/>
  <c r="M591" i="25"/>
  <c r="N591" i="25"/>
  <c r="J535" i="25"/>
  <c r="L535" i="25" s="1"/>
  <c r="Q414" i="25"/>
  <c r="E35" i="24"/>
  <c r="E36" i="24" s="1"/>
  <c r="H40" i="24" s="1"/>
  <c r="F33" i="24"/>
  <c r="L590" i="25"/>
  <c r="Q143" i="25"/>
  <c r="Q589" i="25" s="1"/>
  <c r="M143" i="25"/>
  <c r="L589" i="25"/>
  <c r="O44" i="22"/>
  <c r="H44" i="22"/>
  <c r="G45" i="22"/>
  <c r="T42" i="22"/>
  <c r="P46" i="22" s="1"/>
  <c r="T44" i="22"/>
  <c r="S45" i="22"/>
  <c r="M45" i="22"/>
  <c r="O42" i="22"/>
  <c r="H42" i="22"/>
  <c r="F45" i="22"/>
  <c r="AX55" i="24"/>
  <c r="F593" i="25"/>
  <c r="M111" i="25"/>
  <c r="Q111" i="25"/>
  <c r="Q34" i="25"/>
  <c r="M34" i="25"/>
  <c r="Q408" i="25"/>
  <c r="M408" i="25"/>
  <c r="M35" i="24"/>
  <c r="O33" i="24"/>
  <c r="T36" i="24"/>
  <c r="U36" i="24" s="1"/>
  <c r="U35" i="24"/>
  <c r="K593" i="25"/>
  <c r="Q40" i="24"/>
  <c r="P31" i="29"/>
  <c r="P33" i="29" s="1"/>
  <c r="AL55" i="24"/>
  <c r="Q416" i="25"/>
  <c r="M416" i="25"/>
  <c r="L583" i="25"/>
  <c r="P35" i="24"/>
  <c r="R33" i="24"/>
  <c r="D38" i="29"/>
  <c r="F38" i="29" s="1"/>
  <c r="F35" i="29"/>
  <c r="L35" i="24"/>
  <c r="J36" i="24"/>
  <c r="Q33" i="29"/>
  <c r="Q34" i="29" s="1"/>
  <c r="T38" i="29" s="1"/>
  <c r="Q398" i="25"/>
  <c r="M398" i="25"/>
  <c r="L495" i="25"/>
  <c r="I533" i="25"/>
  <c r="D33" i="30"/>
  <c r="F31" i="30"/>
  <c r="L222" i="25"/>
  <c r="H33" i="30"/>
  <c r="H34" i="30" s="1"/>
  <c r="K38" i="30" s="1"/>
  <c r="W38" i="30" s="1"/>
  <c r="W31" i="30"/>
  <c r="Q18" i="25"/>
  <c r="M18" i="25"/>
  <c r="P33" i="30"/>
  <c r="R31" i="30"/>
  <c r="M125" i="25"/>
  <c r="Q125" i="25"/>
  <c r="L580" i="25"/>
  <c r="L35" i="29"/>
  <c r="Q406" i="25"/>
  <c r="M406" i="25"/>
  <c r="T33" i="30"/>
  <c r="U31" i="30"/>
  <c r="J33" i="30"/>
  <c r="L31" i="30"/>
  <c r="F29" i="29"/>
  <c r="D31" i="29"/>
  <c r="L218" i="25"/>
  <c r="L579" i="25" s="1"/>
  <c r="M123" i="25"/>
  <c r="Q123" i="25"/>
  <c r="M22" i="25"/>
  <c r="Q22" i="25"/>
  <c r="L576" i="25"/>
  <c r="L586" i="25"/>
  <c r="Q137" i="25"/>
  <c r="I246" i="25"/>
  <c r="V29" i="29"/>
  <c r="O593" i="25"/>
  <c r="V30" i="29"/>
  <c r="X30" i="31"/>
  <c r="F32" i="29"/>
  <c r="X29" i="30"/>
  <c r="Q24" i="25"/>
  <c r="M24" i="25"/>
  <c r="L577" i="25"/>
  <c r="T31" i="29"/>
  <c r="T33" i="29" s="1"/>
  <c r="T34" i="29" s="1"/>
  <c r="U29" i="29"/>
  <c r="G40" i="24"/>
  <c r="L29" i="29"/>
  <c r="J31" i="29"/>
  <c r="I35" i="29"/>
  <c r="V35" i="29"/>
  <c r="CT53" i="24"/>
  <c r="CT55" i="24"/>
  <c r="Q319" i="25"/>
  <c r="M319" i="25"/>
  <c r="L582" i="25"/>
  <c r="L341" i="25"/>
  <c r="G34" i="30"/>
  <c r="P593" i="25"/>
  <c r="X29" i="31"/>
  <c r="M325" i="25"/>
  <c r="M585" i="25" s="1"/>
  <c r="Q325" i="25"/>
  <c r="F34" i="31"/>
  <c r="G38" i="31"/>
  <c r="U31" i="31"/>
  <c r="S33" i="31"/>
  <c r="M206" i="25"/>
  <c r="Q206" i="25"/>
  <c r="L584" i="25"/>
  <c r="Q38" i="25"/>
  <c r="M38" i="25"/>
  <c r="G33" i="29"/>
  <c r="H31" i="29"/>
  <c r="I31" i="29" s="1"/>
  <c r="W29" i="29"/>
  <c r="M33" i="31"/>
  <c r="O31" i="31"/>
  <c r="V31" i="31"/>
  <c r="Q396" i="25"/>
  <c r="M396" i="25"/>
  <c r="L436" i="25"/>
  <c r="R35" i="29"/>
  <c r="W35" i="29"/>
  <c r="W32" i="29"/>
  <c r="X32" i="29" s="1"/>
  <c r="N31" i="29"/>
  <c r="N33" i="29" s="1"/>
  <c r="N34" i="29" s="1"/>
  <c r="Q38" i="29" s="1"/>
  <c r="O30" i="29"/>
  <c r="W30" i="29"/>
  <c r="L575" i="25"/>
  <c r="Q115" i="25"/>
  <c r="M115" i="25"/>
  <c r="CH55" i="24"/>
  <c r="CH53" i="24"/>
  <c r="BJ55" i="24"/>
  <c r="BV54" i="24"/>
  <c r="BV53" i="24"/>
  <c r="M31" i="29"/>
  <c r="O29" i="29"/>
  <c r="H33" i="31"/>
  <c r="I31" i="31"/>
  <c r="W31" i="31"/>
  <c r="L34" i="31"/>
  <c r="M38" i="31"/>
  <c r="O38" i="31" s="1"/>
  <c r="J38" i="31"/>
  <c r="L141" i="25"/>
  <c r="L151" i="25" s="1"/>
  <c r="U30" i="29"/>
  <c r="S31" i="29"/>
  <c r="H192" i="14" l="1"/>
  <c r="I162" i="14"/>
  <c r="KA49" i="2"/>
  <c r="CT49" i="24" s="1"/>
  <c r="GK52" i="2"/>
  <c r="KA48" i="2"/>
  <c r="CT48" i="24" s="1"/>
  <c r="O23" i="22"/>
  <c r="T23" i="22"/>
  <c r="I46" i="22"/>
  <c r="C46" i="22"/>
  <c r="T15" i="22"/>
  <c r="O15" i="22"/>
  <c r="T31" i="22"/>
  <c r="O31" i="22"/>
  <c r="K126" i="26"/>
  <c r="G126" i="26"/>
  <c r="N590" i="25"/>
  <c r="L58" i="25"/>
  <c r="L153" i="25"/>
  <c r="H593" i="25"/>
  <c r="Q578" i="25"/>
  <c r="I35" i="24"/>
  <c r="H45" i="22"/>
  <c r="Q584" i="25"/>
  <c r="K248" i="25"/>
  <c r="N586" i="25"/>
  <c r="N583" i="25"/>
  <c r="L438" i="25"/>
  <c r="M578" i="25"/>
  <c r="Q585" i="25"/>
  <c r="Q586" i="25"/>
  <c r="Q576" i="25"/>
  <c r="K343" i="25"/>
  <c r="N585" i="25"/>
  <c r="Q577" i="25"/>
  <c r="O34" i="30"/>
  <c r="Q583" i="25"/>
  <c r="X33" i="24"/>
  <c r="F36" i="24"/>
  <c r="W35" i="24"/>
  <c r="Q580" i="25"/>
  <c r="K535" i="25"/>
  <c r="L246" i="25"/>
  <c r="R31" i="29"/>
  <c r="X30" i="29"/>
  <c r="Q436" i="25"/>
  <c r="X29" i="29"/>
  <c r="X31" i="30"/>
  <c r="O45" i="22"/>
  <c r="L587" i="25"/>
  <c r="Q44" i="25"/>
  <c r="Q587" i="25" s="1"/>
  <c r="M44" i="25"/>
  <c r="M56" i="25" s="1"/>
  <c r="I40" i="24"/>
  <c r="F35" i="24"/>
  <c r="M583" i="25"/>
  <c r="V33" i="30"/>
  <c r="V35" i="24"/>
  <c r="I593" i="25"/>
  <c r="N589" i="25"/>
  <c r="M589" i="25"/>
  <c r="T45" i="22"/>
  <c r="V31" i="29"/>
  <c r="M436" i="25"/>
  <c r="M36" i="24"/>
  <c r="O35" i="24"/>
  <c r="L31" i="29"/>
  <c r="J33" i="29"/>
  <c r="N577" i="25"/>
  <c r="M577" i="25"/>
  <c r="J34" i="30"/>
  <c r="L33" i="30"/>
  <c r="N578" i="25"/>
  <c r="N580" i="25"/>
  <c r="M580" i="25"/>
  <c r="Q222" i="25"/>
  <c r="Q581" i="25" s="1"/>
  <c r="M222" i="25"/>
  <c r="L581" i="25"/>
  <c r="O495" i="25"/>
  <c r="L533" i="25"/>
  <c r="L36" i="24"/>
  <c r="M40" i="24"/>
  <c r="I33" i="30"/>
  <c r="K40" i="24"/>
  <c r="I36" i="24"/>
  <c r="W36" i="24"/>
  <c r="D33" i="29"/>
  <c r="F31" i="29"/>
  <c r="L574" i="25"/>
  <c r="M576" i="25"/>
  <c r="N576" i="25"/>
  <c r="Q218" i="25"/>
  <c r="M218" i="25"/>
  <c r="N579" i="25" s="1"/>
  <c r="T34" i="30"/>
  <c r="U33" i="30"/>
  <c r="R33" i="30"/>
  <c r="P34" i="30"/>
  <c r="D34" i="30"/>
  <c r="F33" i="30"/>
  <c r="P36" i="24"/>
  <c r="R35" i="24"/>
  <c r="W33" i="30"/>
  <c r="O33" i="31"/>
  <c r="M34" i="31"/>
  <c r="V33" i="31"/>
  <c r="I38" i="31"/>
  <c r="M33" i="29"/>
  <c r="O31" i="29"/>
  <c r="N575" i="25"/>
  <c r="M575" i="25"/>
  <c r="H33" i="29"/>
  <c r="I33" i="29" s="1"/>
  <c r="W31" i="29"/>
  <c r="N573" i="25"/>
  <c r="N582" i="25"/>
  <c r="M582" i="25"/>
  <c r="M341" i="25"/>
  <c r="X35" i="29"/>
  <c r="X31" i="31"/>
  <c r="U33" i="31"/>
  <c r="S34" i="31"/>
  <c r="U34" i="31" s="1"/>
  <c r="J38" i="30"/>
  <c r="L38" i="30" s="1"/>
  <c r="I34" i="30"/>
  <c r="H38" i="29"/>
  <c r="Q341" i="25"/>
  <c r="Q582" i="25"/>
  <c r="U31" i="29"/>
  <c r="S33" i="29"/>
  <c r="H34" i="31"/>
  <c r="I33" i="31"/>
  <c r="W33" i="31"/>
  <c r="Q575" i="25"/>
  <c r="R33" i="29"/>
  <c r="P34" i="29"/>
  <c r="M141" i="25"/>
  <c r="L588" i="25"/>
  <c r="Q141" i="25"/>
  <c r="Q588" i="25" s="1"/>
  <c r="Q573" i="25"/>
  <c r="G34" i="29"/>
  <c r="N584" i="25"/>
  <c r="M584" i="25"/>
  <c r="M573" i="25"/>
  <c r="M574" i="25" l="1"/>
  <c r="O533" i="25"/>
  <c r="H222" i="14"/>
  <c r="I192" i="14"/>
  <c r="G31" i="22"/>
  <c r="G23" i="22"/>
  <c r="F31" i="22"/>
  <c r="G15" i="22"/>
  <c r="Q56" i="25"/>
  <c r="Q246" i="25"/>
  <c r="X35" i="24"/>
  <c r="B572" i="25"/>
  <c r="Q572" i="25" s="1"/>
  <c r="X33" i="30"/>
  <c r="M579" i="25"/>
  <c r="N587" i="25"/>
  <c r="M587" i="25"/>
  <c r="X31" i="29"/>
  <c r="P40" i="24"/>
  <c r="R40" i="24" s="1"/>
  <c r="O36" i="24"/>
  <c r="N574" i="25"/>
  <c r="M246" i="25"/>
  <c r="O40" i="24"/>
  <c r="L34" i="30"/>
  <c r="M38" i="30"/>
  <c r="O38" i="30" s="1"/>
  <c r="Q579" i="25"/>
  <c r="L40" i="24"/>
  <c r="W40" i="24"/>
  <c r="N581" i="25"/>
  <c r="M581" i="25"/>
  <c r="L33" i="29"/>
  <c r="J34" i="29"/>
  <c r="L593" i="25"/>
  <c r="Q151" i="25"/>
  <c r="F34" i="30"/>
  <c r="G38" i="30"/>
  <c r="I38" i="30" s="1"/>
  <c r="V34" i="30"/>
  <c r="U34" i="30"/>
  <c r="W34" i="30"/>
  <c r="F33" i="29"/>
  <c r="D34" i="29"/>
  <c r="S40" i="24"/>
  <c r="U40" i="24" s="1"/>
  <c r="R36" i="24"/>
  <c r="V36" i="24"/>
  <c r="X36" i="24" s="1"/>
  <c r="R34" i="30"/>
  <c r="S38" i="30"/>
  <c r="U38" i="30" s="1"/>
  <c r="Q495" i="25"/>
  <c r="K38" i="31"/>
  <c r="W34" i="31"/>
  <c r="I34" i="31"/>
  <c r="P38" i="31"/>
  <c r="O34" i="31"/>
  <c r="V34" i="31"/>
  <c r="N588" i="25"/>
  <c r="M588" i="25"/>
  <c r="S38" i="29"/>
  <c r="U38" i="29" s="1"/>
  <c r="R34" i="29"/>
  <c r="S34" i="29"/>
  <c r="U34" i="29" s="1"/>
  <c r="U33" i="29"/>
  <c r="H34" i="29"/>
  <c r="I34" i="29" s="1"/>
  <c r="W33" i="29"/>
  <c r="J38" i="29"/>
  <c r="M151" i="25"/>
  <c r="M34" i="29"/>
  <c r="O33" i="29"/>
  <c r="V33" i="29"/>
  <c r="X33" i="31"/>
  <c r="I222" i="14" l="1"/>
  <c r="H252" i="14"/>
  <c r="H31" i="22"/>
  <c r="H22" i="22"/>
  <c r="F23" i="22"/>
  <c r="H23" i="22" s="1"/>
  <c r="H30" i="22"/>
  <c r="H16" i="22"/>
  <c r="F15" i="22"/>
  <c r="H15" i="22" s="1"/>
  <c r="M593" i="25"/>
  <c r="V40" i="24"/>
  <c r="X40" i="24" s="1"/>
  <c r="N593" i="25"/>
  <c r="Q533" i="25"/>
  <c r="Q574" i="25"/>
  <c r="Q593" i="25" s="1"/>
  <c r="V38" i="30"/>
  <c r="X38" i="30" s="1"/>
  <c r="G38" i="29"/>
  <c r="I38" i="29" s="1"/>
  <c r="F34" i="29"/>
  <c r="X34" i="30"/>
  <c r="M38" i="29"/>
  <c r="O38" i="29" s="1"/>
  <c r="L34" i="29"/>
  <c r="X33" i="29"/>
  <c r="K38" i="29"/>
  <c r="W38" i="29" s="1"/>
  <c r="W34" i="29"/>
  <c r="X34" i="31"/>
  <c r="P38" i="29"/>
  <c r="R38" i="29" s="1"/>
  <c r="O34" i="29"/>
  <c r="V34" i="29"/>
  <c r="R38" i="31"/>
  <c r="V38" i="31"/>
  <c r="W38" i="31"/>
  <c r="L38" i="31"/>
  <c r="H282" i="14" l="1"/>
  <c r="I252" i="14"/>
  <c r="X34" i="29"/>
  <c r="V38" i="29"/>
  <c r="X38" i="29" s="1"/>
  <c r="L38" i="29"/>
  <c r="X38" i="31"/>
  <c r="H312" i="14" l="1"/>
  <c r="I282" i="14"/>
  <c r="AF10" i="33"/>
  <c r="AJ10" i="33"/>
  <c r="AJ7" i="33"/>
  <c r="H342" i="14" l="1"/>
  <c r="I312" i="14"/>
  <c r="AJ27" i="33"/>
  <c r="AK10" i="33"/>
  <c r="AK7" i="33"/>
  <c r="AF7" i="33"/>
  <c r="AF27" i="33" s="1"/>
  <c r="H372" i="14" l="1"/>
  <c r="I342" i="14"/>
  <c r="AK27" i="33"/>
  <c r="H402" i="14" l="1"/>
  <c r="I372" i="14"/>
  <c r="AA145" i="23"/>
  <c r="I402" i="14" l="1"/>
  <c r="H432" i="14"/>
  <c r="DQ36" i="2"/>
  <c r="AL29" i="2"/>
  <c r="AM33" i="2"/>
  <c r="DO28" i="2"/>
  <c r="AL26" i="2"/>
  <c r="AL35" i="2"/>
  <c r="AL28" i="2"/>
  <c r="DQ34" i="2"/>
  <c r="AM29" i="2"/>
  <c r="AL18" i="2"/>
  <c r="DO33" i="2"/>
  <c r="DQ39" i="2"/>
  <c r="DQ35" i="2"/>
  <c r="DQ38" i="2"/>
  <c r="AL25" i="2"/>
  <c r="DO32" i="2"/>
  <c r="DO38" i="2"/>
  <c r="AP9" i="2"/>
  <c r="DQ30" i="2"/>
  <c r="AL23" i="2"/>
  <c r="J5" i="21"/>
  <c r="AL34" i="2"/>
  <c r="DO41" i="2"/>
  <c r="F2" i="14"/>
  <c r="AM31" i="2"/>
  <c r="AM35" i="2"/>
  <c r="AM30" i="2"/>
  <c r="DQ33" i="2"/>
  <c r="AM27" i="2"/>
  <c r="DO27" i="2"/>
  <c r="DO23" i="2"/>
  <c r="AL33" i="2"/>
  <c r="AL20" i="2"/>
  <c r="AL24" i="2"/>
  <c r="AM25" i="2"/>
  <c r="DQ32" i="2"/>
  <c r="DO30" i="2"/>
  <c r="AM32" i="2"/>
  <c r="AM19" i="2"/>
  <c r="AM20" i="2"/>
  <c r="AM23" i="2"/>
  <c r="DO39" i="2"/>
  <c r="DO36" i="2"/>
  <c r="AM17" i="2"/>
  <c r="AD4" i="18"/>
  <c r="AM28" i="2"/>
  <c r="DO37" i="2"/>
  <c r="DO26" i="2"/>
  <c r="AU7" i="2"/>
  <c r="DO31" i="2"/>
  <c r="L5" i="20"/>
  <c r="DQ25" i="2"/>
  <c r="AM22" i="2"/>
  <c r="AS19" i="2"/>
  <c r="AL22" i="2"/>
  <c r="DQ28" i="2"/>
  <c r="X4" i="11"/>
  <c r="AL31" i="2"/>
  <c r="AL36" i="2"/>
  <c r="DQ26" i="2"/>
  <c r="AL17" i="2"/>
  <c r="DQ29" i="2"/>
  <c r="AL19" i="2"/>
  <c r="AD9" i="2"/>
  <c r="AM21" i="2"/>
  <c r="AL30" i="2"/>
  <c r="AM36" i="2"/>
  <c r="DQ27" i="2"/>
  <c r="M3" i="4"/>
  <c r="DQ37" i="2"/>
  <c r="DO40" i="2"/>
  <c r="AL27" i="2"/>
  <c r="L4" i="8"/>
  <c r="AM18" i="2"/>
  <c r="DQ31" i="2"/>
  <c r="AL21" i="2"/>
  <c r="DQ40" i="2"/>
  <c r="DQ24" i="2"/>
  <c r="DO25" i="2"/>
  <c r="W5" i="12"/>
  <c r="DO34" i="2"/>
  <c r="AL32" i="2"/>
  <c r="AM34" i="2"/>
  <c r="DQ41" i="2"/>
  <c r="AM26" i="2"/>
  <c r="DO24" i="2"/>
  <c r="DO29" i="2"/>
  <c r="AC4" i="3"/>
  <c r="DO35" i="2"/>
  <c r="AM24" i="2"/>
  <c r="J6" i="36"/>
  <c r="AV17" i="2"/>
  <c r="DK24" i="2"/>
  <c r="AP31" i="2"/>
  <c r="I29" i="2"/>
  <c r="AQ33" i="2"/>
  <c r="AA499" i="14" s="1"/>
  <c r="I27" i="2"/>
  <c r="AW24" i="2"/>
  <c r="AW17" i="2"/>
  <c r="C21" i="41" s="1"/>
  <c r="AP19" i="2"/>
  <c r="AS17" i="2"/>
  <c r="S29" i="14" s="1"/>
  <c r="AW18" i="2"/>
  <c r="AP20" i="2"/>
  <c r="AS33" i="2"/>
  <c r="S509" i="14" s="1"/>
  <c r="AP26" i="2"/>
  <c r="AW21" i="2"/>
  <c r="AS18" i="2"/>
  <c r="S59" i="14" s="1"/>
  <c r="AI40" i="2"/>
  <c r="T31" i="15" s="1"/>
  <c r="AV27" i="2"/>
  <c r="DL37" i="2"/>
  <c r="AW19" i="2"/>
  <c r="AW34" i="2"/>
  <c r="DL29" i="2"/>
  <c r="AP29" i="2"/>
  <c r="AQ31" i="2"/>
  <c r="AA439" i="14" s="1"/>
  <c r="AS24" i="2"/>
  <c r="S239" i="14" s="1"/>
  <c r="AQ23" i="2"/>
  <c r="AA199" i="14" s="1"/>
  <c r="AV20" i="2"/>
  <c r="AR24" i="2"/>
  <c r="DK27" i="2"/>
  <c r="AP25" i="2"/>
  <c r="DL28" i="2"/>
  <c r="AJ40" i="2"/>
  <c r="W31" i="15" s="1"/>
  <c r="AV18" i="2"/>
  <c r="AR35" i="2"/>
  <c r="AR34" i="2"/>
  <c r="AW23" i="2"/>
  <c r="AQ21" i="2"/>
  <c r="AA139" i="14" s="1"/>
  <c r="AS27" i="2"/>
  <c r="S329" i="14" s="1"/>
  <c r="DK38" i="2"/>
  <c r="AS28" i="2"/>
  <c r="S359" i="14" s="1"/>
  <c r="AP33" i="2"/>
  <c r="AP28" i="2"/>
  <c r="AV32" i="2"/>
  <c r="DL39" i="2"/>
  <c r="DK39" i="2"/>
  <c r="I19" i="2"/>
  <c r="DK36" i="2"/>
  <c r="AS26" i="2"/>
  <c r="S299" i="14" s="1"/>
  <c r="DL27" i="2"/>
  <c r="I22" i="2"/>
  <c r="AP36" i="2"/>
  <c r="AW33" i="2"/>
  <c r="DK32" i="2"/>
  <c r="AP32" i="2"/>
  <c r="R36" i="41" s="1"/>
  <c r="DL36" i="2"/>
  <c r="AS29" i="2"/>
  <c r="S389" i="14" s="1"/>
  <c r="AQ36" i="2"/>
  <c r="AA589" i="14" s="1"/>
  <c r="AW25" i="2"/>
  <c r="AQ19" i="2"/>
  <c r="AA79" i="14" s="1"/>
  <c r="AR29" i="2"/>
  <c r="DL34" i="2"/>
  <c r="AS36" i="2"/>
  <c r="S599" i="14" s="1"/>
  <c r="DL35" i="2"/>
  <c r="AS20" i="2"/>
  <c r="S119" i="14" s="1"/>
  <c r="AQ22" i="2"/>
  <c r="AA169" i="14" s="1"/>
  <c r="AH40" i="2"/>
  <c r="Q31" i="15" s="1"/>
  <c r="I18" i="2"/>
  <c r="I30" i="2"/>
  <c r="DK41" i="2"/>
  <c r="AV35" i="2"/>
  <c r="DL26" i="2"/>
  <c r="AP35" i="2"/>
  <c r="AQ30" i="2"/>
  <c r="AA409" i="14" s="1"/>
  <c r="AW35" i="2"/>
  <c r="I26" i="2"/>
  <c r="AV26" i="2"/>
  <c r="AS22" i="2"/>
  <c r="S179" i="14" s="1"/>
  <c r="AV36" i="2"/>
  <c r="AW32" i="2"/>
  <c r="DK35" i="2"/>
  <c r="DL25" i="2"/>
  <c r="DK37" i="2"/>
  <c r="DL38" i="2"/>
  <c r="AQ34" i="2"/>
  <c r="AA529" i="14" s="1"/>
  <c r="AV21" i="2"/>
  <c r="AV28" i="2"/>
  <c r="AP30" i="2"/>
  <c r="AR31" i="2"/>
  <c r="AR22" i="2"/>
  <c r="AS32" i="2"/>
  <c r="S479" i="14" s="1"/>
  <c r="AS21" i="2"/>
  <c r="S149" i="14" s="1"/>
  <c r="I28" i="2"/>
  <c r="I32" i="2"/>
  <c r="I23" i="2"/>
  <c r="AW29" i="2"/>
  <c r="AQ35" i="2"/>
  <c r="AA559" i="14" s="1"/>
  <c r="AQ18" i="2"/>
  <c r="AA49" i="14" s="1"/>
  <c r="AR25" i="2"/>
  <c r="AW26" i="2"/>
  <c r="AE40" i="2"/>
  <c r="N31" i="15" s="1"/>
  <c r="I20" i="2"/>
  <c r="AQ29" i="2"/>
  <c r="AA379" i="14" s="1"/>
  <c r="AQ24" i="2"/>
  <c r="AA229" i="14" s="1"/>
  <c r="AP17" i="2"/>
  <c r="DL24" i="2"/>
  <c r="DM40" i="2"/>
  <c r="D24" i="2"/>
  <c r="C21" i="2"/>
  <c r="M9" i="2"/>
  <c r="H9" i="18" s="1"/>
  <c r="C25" i="2"/>
  <c r="AS23" i="2"/>
  <c r="S209" i="14" s="1"/>
  <c r="I36" i="2"/>
  <c r="AW30" i="2"/>
  <c r="AQ32" i="2"/>
  <c r="AA469" i="14" s="1"/>
  <c r="AP18" i="2"/>
  <c r="AQ28" i="2"/>
  <c r="AA349" i="14" s="1"/>
  <c r="AR33" i="2"/>
  <c r="AV24" i="2"/>
  <c r="AV30" i="2"/>
  <c r="AS35" i="2"/>
  <c r="S569" i="14" s="1"/>
  <c r="AR30" i="2"/>
  <c r="AW31" i="2"/>
  <c r="AW28" i="2"/>
  <c r="AH32" i="2"/>
  <c r="D23" i="2"/>
  <c r="C31" i="2"/>
  <c r="D33" i="2"/>
  <c r="DM34" i="2"/>
  <c r="AS30" i="2"/>
  <c r="S419" i="14" s="1"/>
  <c r="AP23" i="2"/>
  <c r="C36" i="2"/>
  <c r="X40" i="41" s="1"/>
  <c r="C27" i="2"/>
  <c r="D21" i="2"/>
  <c r="DM32" i="2"/>
  <c r="AD40" i="2"/>
  <c r="T38" i="3" s="1"/>
  <c r="AV34" i="2"/>
  <c r="D22" i="2"/>
  <c r="DM31" i="2"/>
  <c r="DN34" i="2"/>
  <c r="Z25" i="18" s="1"/>
  <c r="DM38" i="2"/>
  <c r="DK25" i="2"/>
  <c r="C30" i="2"/>
  <c r="C34" i="2"/>
  <c r="X38" i="41" s="1"/>
  <c r="AP34" i="2"/>
  <c r="DK26" i="2"/>
  <c r="M24" i="41" s="1"/>
  <c r="AI39" i="2"/>
  <c r="T27" i="15" s="1"/>
  <c r="W57" i="15" s="1"/>
  <c r="AQ25" i="2"/>
  <c r="AA259" i="14" s="1"/>
  <c r="DK29" i="2"/>
  <c r="AQ17" i="2"/>
  <c r="AA19" i="14" s="1"/>
  <c r="AW20" i="2"/>
  <c r="AV33" i="2"/>
  <c r="AP22" i="2"/>
  <c r="DK31" i="2"/>
  <c r="AS31" i="2"/>
  <c r="S449" i="14" s="1"/>
  <c r="DL33" i="2"/>
  <c r="DL32" i="2"/>
  <c r="DK34" i="2"/>
  <c r="AR28" i="2"/>
  <c r="AV19" i="2"/>
  <c r="DN27" i="2"/>
  <c r="Z19" i="3" s="1"/>
  <c r="D19" i="2"/>
  <c r="Z33" i="18"/>
  <c r="AH28" i="2"/>
  <c r="AP27" i="2"/>
  <c r="Z9" i="2"/>
  <c r="M8" i="18" s="1"/>
  <c r="DK40" i="2"/>
  <c r="DN32" i="2"/>
  <c r="AW22" i="2"/>
  <c r="B23" i="2"/>
  <c r="AH31" i="2"/>
  <c r="AU19" i="2"/>
  <c r="S87" i="14" s="1"/>
  <c r="DL30" i="2"/>
  <c r="AW36" i="2"/>
  <c r="AR32" i="2"/>
  <c r="DK28" i="2"/>
  <c r="AS34" i="2"/>
  <c r="S539" i="14" s="1"/>
  <c r="I17" i="2"/>
  <c r="AU30" i="2"/>
  <c r="S417" i="14" s="1"/>
  <c r="DK33" i="2"/>
  <c r="AU24" i="2"/>
  <c r="S237" i="14" s="1"/>
  <c r="K40" i="2"/>
  <c r="U121" i="26" s="1"/>
  <c r="O121" i="26" s="1"/>
  <c r="AU33" i="2"/>
  <c r="S507" i="14" s="1"/>
  <c r="AC40" i="2"/>
  <c r="DM39" i="2"/>
  <c r="D31" i="2"/>
  <c r="DN28" i="2"/>
  <c r="Z19" i="18" s="1"/>
  <c r="D20" i="2"/>
  <c r="D35" i="2"/>
  <c r="D34" i="2"/>
  <c r="DN24" i="2"/>
  <c r="Z15" i="18" s="1"/>
  <c r="C29" i="2"/>
  <c r="X33" i="41" s="1"/>
  <c r="N18" i="18"/>
  <c r="DM26" i="2"/>
  <c r="AH25" i="2"/>
  <c r="R22" i="18" s="1"/>
  <c r="DM25" i="2"/>
  <c r="D36" i="2"/>
  <c r="K576" i="14" s="1"/>
  <c r="D26" i="2"/>
  <c r="AH27" i="2"/>
  <c r="DM35" i="2"/>
  <c r="DM29" i="2"/>
  <c r="DL40" i="2"/>
  <c r="AV22" i="2"/>
  <c r="I24" i="2"/>
  <c r="AP21" i="2"/>
  <c r="AR23" i="2"/>
  <c r="AR21" i="2"/>
  <c r="AR19" i="2"/>
  <c r="I25" i="2"/>
  <c r="AH24" i="2"/>
  <c r="AN26" i="2"/>
  <c r="AR20" i="2"/>
  <c r="AH20" i="2"/>
  <c r="R17" i="18" s="1"/>
  <c r="AU22" i="2"/>
  <c r="S177" i="14" s="1"/>
  <c r="I21" i="2"/>
  <c r="AQ20" i="2"/>
  <c r="AA109" i="14" s="1"/>
  <c r="AU28" i="2"/>
  <c r="B32" i="2"/>
  <c r="DN26" i="2"/>
  <c r="Z18" i="3" s="1"/>
  <c r="DN38" i="2"/>
  <c r="Z30" i="3" s="1"/>
  <c r="DQ23" i="2"/>
  <c r="AU35" i="2"/>
  <c r="DN25" i="2"/>
  <c r="B29" i="2"/>
  <c r="W33" i="41" s="1"/>
  <c r="DN33" i="2"/>
  <c r="Z24" i="18" s="1"/>
  <c r="AH36" i="2"/>
  <c r="DN23" i="2"/>
  <c r="Z14" i="18" s="1"/>
  <c r="C32" i="2"/>
  <c r="AV25" i="2"/>
  <c r="I31" i="2"/>
  <c r="AQ27" i="2"/>
  <c r="AA319" i="14" s="1"/>
  <c r="AU23" i="2"/>
  <c r="S207" i="14" s="1"/>
  <c r="AV29" i="2"/>
  <c r="AR27" i="2"/>
  <c r="AP24" i="2"/>
  <c r="AV23" i="2"/>
  <c r="I34" i="2"/>
  <c r="AS25" i="2"/>
  <c r="S269" i="14" s="1"/>
  <c r="I35" i="2"/>
  <c r="AH34" i="2"/>
  <c r="N31" i="18" s="1"/>
  <c r="AU29" i="2"/>
  <c r="B21" i="2"/>
  <c r="W25" i="41" s="1"/>
  <c r="AH35" i="2"/>
  <c r="R32" i="18" s="1"/>
  <c r="DL41" i="2"/>
  <c r="AE39" i="2"/>
  <c r="N27" i="15" s="1"/>
  <c r="Q57" i="15" s="1"/>
  <c r="DL23" i="2"/>
  <c r="AQ26" i="2"/>
  <c r="AA289" i="14" s="1"/>
  <c r="AN22" i="2"/>
  <c r="N157" i="14" s="1"/>
  <c r="AN28" i="2"/>
  <c r="O337" i="14" s="1"/>
  <c r="AU36" i="2"/>
  <c r="S597" i="14" s="1"/>
  <c r="AH26" i="2"/>
  <c r="AO29" i="2"/>
  <c r="S386" i="14" s="1"/>
  <c r="DN41" i="2"/>
  <c r="Z32" i="18" s="1"/>
  <c r="C33" i="2"/>
  <c r="V7" i="2"/>
  <c r="DN35" i="2"/>
  <c r="Z27" i="3" s="1"/>
  <c r="D28" i="2"/>
  <c r="DM36" i="2"/>
  <c r="C28" i="2"/>
  <c r="I33" i="2"/>
  <c r="AT28" i="2"/>
  <c r="B20" i="2"/>
  <c r="AU31" i="2"/>
  <c r="AO20" i="2"/>
  <c r="S116" i="14" s="1"/>
  <c r="D30" i="2"/>
  <c r="DP37" i="2"/>
  <c r="N20" i="18"/>
  <c r="D29" i="2"/>
  <c r="D27" i="2"/>
  <c r="C35" i="2"/>
  <c r="D18" i="2"/>
  <c r="AR36" i="2"/>
  <c r="AN18" i="2"/>
  <c r="O37" i="14" s="1"/>
  <c r="DM33" i="2"/>
  <c r="DP35" i="2"/>
  <c r="AE27" i="3" s="1"/>
  <c r="B28" i="2"/>
  <c r="AH17" i="2"/>
  <c r="N14" i="18" s="1"/>
  <c r="DM37" i="2"/>
  <c r="D32" i="2"/>
  <c r="DN30" i="2"/>
  <c r="Z21" i="18" s="1"/>
  <c r="DP27" i="2"/>
  <c r="AE19" i="3" s="1"/>
  <c r="L19" i="3" s="1"/>
  <c r="B35" i="2"/>
  <c r="W39" i="41" s="1"/>
  <c r="DN39" i="2"/>
  <c r="Z30" i="18" s="1"/>
  <c r="AT20" i="2"/>
  <c r="DM24" i="2"/>
  <c r="B31" i="2"/>
  <c r="W35" i="41" s="1"/>
  <c r="AO31" i="2"/>
  <c r="C26" i="2"/>
  <c r="DN37" i="2"/>
  <c r="Z28" i="18" s="1"/>
  <c r="DN36" i="2"/>
  <c r="DP36" i="2"/>
  <c r="AE27" i="18" s="1"/>
  <c r="DM28" i="2"/>
  <c r="DN29" i="2"/>
  <c r="Z20" i="18" s="1"/>
  <c r="DP25" i="2"/>
  <c r="AE16" i="18" s="1"/>
  <c r="AO28" i="2"/>
  <c r="AT26" i="2"/>
  <c r="AW27" i="2"/>
  <c r="DL31" i="2"/>
  <c r="AH29" i="2"/>
  <c r="B33" i="2"/>
  <c r="AN23" i="2"/>
  <c r="N187" i="14" s="1"/>
  <c r="DP40" i="2"/>
  <c r="AE31" i="18" s="1"/>
  <c r="DP31" i="2"/>
  <c r="AE22" i="18" s="1"/>
  <c r="L22" i="18" s="1"/>
  <c r="DP38" i="2"/>
  <c r="AE30" i="3" s="1"/>
  <c r="K30" i="3" s="1"/>
  <c r="DN31" i="2"/>
  <c r="Z23" i="3" s="1"/>
  <c r="AU26" i="2"/>
  <c r="S297" i="14" s="1"/>
  <c r="B36" i="2"/>
  <c r="B19" i="2"/>
  <c r="DM27" i="2"/>
  <c r="AO22" i="2"/>
  <c r="DP34" i="2"/>
  <c r="AE26" i="3" s="1"/>
  <c r="AU25" i="2"/>
  <c r="O249" i="14" s="1"/>
  <c r="AA253" i="14" s="1"/>
  <c r="B25" i="2"/>
  <c r="W29" i="41" s="1"/>
  <c r="AT31" i="2"/>
  <c r="DM41" i="2"/>
  <c r="DM23" i="2"/>
  <c r="DM30" i="2"/>
  <c r="AO21" i="2"/>
  <c r="S146" i="14" s="1"/>
  <c r="DP26" i="2"/>
  <c r="AE17" i="18" s="1"/>
  <c r="DN40" i="2"/>
  <c r="Z31" i="18" s="1"/>
  <c r="AT18" i="2"/>
  <c r="AO32" i="2"/>
  <c r="W457" i="14" s="1"/>
  <c r="AE33" i="18"/>
  <c r="M33" i="18" s="1"/>
  <c r="C24" i="2"/>
  <c r="X28" i="41" s="1"/>
  <c r="AT21" i="2"/>
  <c r="S148" i="14" s="1"/>
  <c r="M40" i="2"/>
  <c r="Q19" i="15" s="1"/>
  <c r="T41" i="15" s="1"/>
  <c r="T49" i="15" s="1"/>
  <c r="AU20" i="2"/>
  <c r="S117" i="14" s="1"/>
  <c r="O40" i="2"/>
  <c r="B27" i="2"/>
  <c r="W31" i="41" s="1"/>
  <c r="B22" i="2"/>
  <c r="W26" i="41" s="1"/>
  <c r="AO25" i="2"/>
  <c r="S266" i="14" s="1"/>
  <c r="AD39" i="2"/>
  <c r="T36" i="18" s="1"/>
  <c r="DP33" i="2"/>
  <c r="AE25" i="3" s="1"/>
  <c r="M25" i="3" s="1"/>
  <c r="AU18" i="2"/>
  <c r="S57" i="14" s="1"/>
  <c r="DP28" i="2"/>
  <c r="AE19" i="18" s="1"/>
  <c r="DP32" i="2"/>
  <c r="AN35" i="2"/>
  <c r="O547" i="14" s="1"/>
  <c r="B34" i="2"/>
  <c r="W38" i="41" s="1"/>
  <c r="DP29" i="2"/>
  <c r="AE21" i="3" s="1"/>
  <c r="AU21" i="2"/>
  <c r="S147" i="14" s="1"/>
  <c r="AN31" i="2"/>
  <c r="DP30" i="2"/>
  <c r="AE21" i="18" s="1"/>
  <c r="DP24" i="2"/>
  <c r="AN20" i="2"/>
  <c r="N97" i="14" s="1"/>
  <c r="C18" i="2"/>
  <c r="DP41" i="2"/>
  <c r="AE33" i="3" s="1"/>
  <c r="AO33" i="2"/>
  <c r="W487" i="14" s="1"/>
  <c r="Y486" i="14" s="1"/>
  <c r="AO17" i="2"/>
  <c r="S26" i="14" s="1"/>
  <c r="C23" i="2"/>
  <c r="C22" i="2"/>
  <c r="X26" i="41" s="1"/>
  <c r="AT30" i="2"/>
  <c r="S418" i="14" s="1"/>
  <c r="AT34" i="2"/>
  <c r="V519" i="14" s="1"/>
  <c r="AC525" i="14" s="1"/>
  <c r="AN29" i="2"/>
  <c r="AO19" i="2"/>
  <c r="AO23" i="2"/>
  <c r="W187" i="14" s="1"/>
  <c r="AN27" i="2"/>
  <c r="S325" i="14" s="1"/>
  <c r="B26" i="2"/>
  <c r="AT23" i="2"/>
  <c r="S208" i="14" s="1"/>
  <c r="DP39" i="2"/>
  <c r="AE31" i="3" s="1"/>
  <c r="L31" i="3" s="1"/>
  <c r="AN24" i="2"/>
  <c r="O217" i="14" s="1"/>
  <c r="AU34" i="2"/>
  <c r="S537" i="14" s="1"/>
  <c r="AT29" i="2"/>
  <c r="V369" i="14" s="1"/>
  <c r="AO26" i="2"/>
  <c r="W277" i="14" s="1"/>
  <c r="Y276" i="14" s="1"/>
  <c r="AT33" i="2"/>
  <c r="S508" i="14" s="1"/>
  <c r="DP23" i="2"/>
  <c r="AE14" i="18" s="1"/>
  <c r="AT36" i="2"/>
  <c r="AT32" i="2"/>
  <c r="C19" i="2"/>
  <c r="X23" i="41" s="1"/>
  <c r="AH39" i="2"/>
  <c r="Q27" i="15" s="1"/>
  <c r="T57" i="15" s="1"/>
  <c r="AN36" i="2"/>
  <c r="O577" i="14" s="1"/>
  <c r="AH22" i="2"/>
  <c r="AH33" i="2"/>
  <c r="AN34" i="2"/>
  <c r="S535" i="14" s="1"/>
  <c r="AH19" i="2"/>
  <c r="V16" i="18" s="1"/>
  <c r="B24" i="2"/>
  <c r="W28" i="41" s="1"/>
  <c r="AO18" i="2"/>
  <c r="W37" i="14" s="1"/>
  <c r="AN32" i="2"/>
  <c r="AO36" i="2"/>
  <c r="AN17" i="2"/>
  <c r="S25" i="14" s="1"/>
  <c r="AN25" i="2"/>
  <c r="O247" i="14" s="1"/>
  <c r="L40" i="2"/>
  <c r="R51" i="18" s="1"/>
  <c r="AT35" i="2"/>
  <c r="S568" i="14" s="1"/>
  <c r="AO27" i="2"/>
  <c r="S326" i="14" s="1"/>
  <c r="AT25" i="2"/>
  <c r="S268" i="14" s="1"/>
  <c r="AT19" i="2"/>
  <c r="V69" i="14" s="1"/>
  <c r="AT24" i="2"/>
  <c r="S238" i="14" s="1"/>
  <c r="AR26" i="2"/>
  <c r="AV31" i="2"/>
  <c r="DK30" i="2"/>
  <c r="AO30" i="2"/>
  <c r="W22" i="41"/>
  <c r="AH30" i="2"/>
  <c r="P27" i="18" s="1"/>
  <c r="AR17" i="2"/>
  <c r="AU27" i="2"/>
  <c r="AH18" i="2"/>
  <c r="V16" i="3" s="1"/>
  <c r="AT27" i="2"/>
  <c r="S328" i="14" s="1"/>
  <c r="AU32" i="2"/>
  <c r="O459" i="14" s="1"/>
  <c r="AA463" i="14" s="1"/>
  <c r="AO35" i="2"/>
  <c r="S566" i="14" s="1"/>
  <c r="AO24" i="2"/>
  <c r="S236" i="14" s="1"/>
  <c r="AJ39" i="2"/>
  <c r="W27" i="15" s="1"/>
  <c r="H57" i="15" s="1"/>
  <c r="AT17" i="2"/>
  <c r="S28" i="14" s="1"/>
  <c r="AR18" i="2"/>
  <c r="E18" i="7"/>
  <c r="AO34" i="2"/>
  <c r="S536" i="14" s="1"/>
  <c r="N40" i="2"/>
  <c r="U124" i="26" s="1"/>
  <c r="O124" i="26" s="1"/>
  <c r="AN30" i="2"/>
  <c r="AN19" i="2"/>
  <c r="E7" i="2"/>
  <c r="AN33" i="2"/>
  <c r="O487" i="14" s="1"/>
  <c r="G8" i="2"/>
  <c r="C17" i="2"/>
  <c r="X21" i="41" s="1"/>
  <c r="AE7" i="2"/>
  <c r="AC39" i="2"/>
  <c r="AN21" i="2"/>
  <c r="O127" i="14" s="1"/>
  <c r="B30" i="2"/>
  <c r="W34" i="41" s="1"/>
  <c r="W21" i="41"/>
  <c r="C20" i="2"/>
  <c r="AT22" i="2"/>
  <c r="S178" i="14" s="1"/>
  <c r="B1" i="39"/>
  <c r="K3" i="39" s="1"/>
  <c r="L3" i="39" s="1"/>
  <c r="J40" i="2"/>
  <c r="B18" i="37" l="1"/>
  <c r="I432" i="14"/>
  <c r="H462" i="14"/>
  <c r="AQ10" i="7"/>
  <c r="B179" i="26"/>
  <c r="C28" i="3"/>
  <c r="B175" i="26"/>
  <c r="C16" i="39"/>
  <c r="B181" i="26"/>
  <c r="B30" i="37"/>
  <c r="B20" i="37"/>
  <c r="R504" i="14"/>
  <c r="C11" i="39"/>
  <c r="DQ43" i="2"/>
  <c r="J16" i="9"/>
  <c r="O16" i="9" s="1"/>
  <c r="Y22" i="41"/>
  <c r="J24" i="9"/>
  <c r="O24" i="9" s="1"/>
  <c r="M34" i="9"/>
  <c r="W40" i="41"/>
  <c r="O23" i="18"/>
  <c r="X30" i="41"/>
  <c r="I16" i="9"/>
  <c r="I28" i="9"/>
  <c r="Y31" i="3"/>
  <c r="X37" i="41"/>
  <c r="F15" i="9"/>
  <c r="J25" i="9"/>
  <c r="O25" i="9" s="1"/>
  <c r="K29" i="9"/>
  <c r="M30" i="9"/>
  <c r="W36" i="41"/>
  <c r="J21" i="9"/>
  <c r="O21" i="9" s="1"/>
  <c r="F32" i="9"/>
  <c r="J17" i="18"/>
  <c r="K15" i="9"/>
  <c r="H34" i="9"/>
  <c r="C40" i="41"/>
  <c r="B1" i="20"/>
  <c r="W27" i="41"/>
  <c r="C26" i="9"/>
  <c r="M32" i="41"/>
  <c r="C23" i="9"/>
  <c r="M29" i="41"/>
  <c r="C18" i="9"/>
  <c r="C17" i="9"/>
  <c r="M23" i="41"/>
  <c r="J28" i="9"/>
  <c r="O28" i="9" s="1"/>
  <c r="G22" i="9"/>
  <c r="I28" i="41"/>
  <c r="W126" i="26"/>
  <c r="X29" i="41"/>
  <c r="J31" i="18"/>
  <c r="J23" i="9"/>
  <c r="O23" i="9" s="1"/>
  <c r="K21" i="9"/>
  <c r="G26" i="9"/>
  <c r="I32" i="41"/>
  <c r="C29" i="9"/>
  <c r="M35" i="41"/>
  <c r="G34" i="9"/>
  <c r="I40" i="41"/>
  <c r="K24" i="9"/>
  <c r="F18" i="9"/>
  <c r="K16" i="9"/>
  <c r="F27" i="9"/>
  <c r="F28" i="9"/>
  <c r="H31" i="9"/>
  <c r="C37" i="41"/>
  <c r="F31" i="9"/>
  <c r="H21" i="9"/>
  <c r="C27" i="41"/>
  <c r="J22" i="9"/>
  <c r="O22" i="9" s="1"/>
  <c r="H17" i="9"/>
  <c r="C23" i="41"/>
  <c r="L17" i="9"/>
  <c r="R23" i="41"/>
  <c r="K25" i="9"/>
  <c r="C16" i="9"/>
  <c r="M22" i="41"/>
  <c r="G100" i="14"/>
  <c r="X24" i="41"/>
  <c r="J15" i="9"/>
  <c r="O15" i="9" s="1"/>
  <c r="Y21" i="41"/>
  <c r="F23" i="9"/>
  <c r="M26" i="9"/>
  <c r="W32" i="41"/>
  <c r="J34" i="9"/>
  <c r="O34" i="9" s="1"/>
  <c r="K32" i="9"/>
  <c r="G27" i="9"/>
  <c r="I33" i="41"/>
  <c r="G23" i="9"/>
  <c r="I29" i="41"/>
  <c r="K23" i="9"/>
  <c r="L19" i="9"/>
  <c r="R25" i="41"/>
  <c r="J20" i="18"/>
  <c r="F22" i="9"/>
  <c r="H20" i="9"/>
  <c r="C26" i="41"/>
  <c r="L25" i="9"/>
  <c r="R31" i="41"/>
  <c r="F24" i="9"/>
  <c r="L20" i="9"/>
  <c r="R26" i="41"/>
  <c r="C21" i="9"/>
  <c r="M27" i="41"/>
  <c r="L32" i="9"/>
  <c r="R38" i="41"/>
  <c r="J30" i="3"/>
  <c r="G32" i="9"/>
  <c r="I38" i="41"/>
  <c r="Q25" i="3"/>
  <c r="X31" i="41"/>
  <c r="J31" i="9"/>
  <c r="O31" i="9" s="1"/>
  <c r="H28" i="9"/>
  <c r="C34" i="41"/>
  <c r="F16" i="9"/>
  <c r="K18" i="9"/>
  <c r="K30" i="9"/>
  <c r="J20" i="9"/>
  <c r="O20" i="9" s="1"/>
  <c r="G19" i="9"/>
  <c r="I25" i="41"/>
  <c r="F17" i="9"/>
  <c r="C34" i="9"/>
  <c r="M40" i="41"/>
  <c r="H33" i="9"/>
  <c r="C39" i="41"/>
  <c r="G33" i="9"/>
  <c r="I39" i="41"/>
  <c r="H23" i="9"/>
  <c r="C29" i="41"/>
  <c r="L30" i="9"/>
  <c r="L34" i="9"/>
  <c r="R40" i="41"/>
  <c r="C28" i="9"/>
  <c r="M34" i="41"/>
  <c r="G30" i="9"/>
  <c r="I36" i="41"/>
  <c r="C30" i="9"/>
  <c r="M36" i="41"/>
  <c r="J32" i="9"/>
  <c r="O32" i="9" s="1"/>
  <c r="F20" i="9"/>
  <c r="G18" i="9"/>
  <c r="I24" i="41"/>
  <c r="L27" i="9"/>
  <c r="R33" i="41"/>
  <c r="F29" i="9"/>
  <c r="L18" i="9"/>
  <c r="R24" i="41"/>
  <c r="H15" i="9"/>
  <c r="F34" i="9"/>
  <c r="N46" i="12"/>
  <c r="J46" i="41"/>
  <c r="V47" i="41" s="1"/>
  <c r="U8" i="3"/>
  <c r="M1" i="41"/>
  <c r="AA17" i="41"/>
  <c r="A2" i="39"/>
  <c r="K1" i="39" s="1"/>
  <c r="L1" i="41"/>
  <c r="C22" i="9"/>
  <c r="M28" i="41"/>
  <c r="G279" i="14"/>
  <c r="W30" i="41"/>
  <c r="W20" i="18"/>
  <c r="X27" i="41"/>
  <c r="Q16" i="3"/>
  <c r="X22" i="41"/>
  <c r="H25" i="9"/>
  <c r="C31" i="41"/>
  <c r="K31" i="9"/>
  <c r="F33" i="9"/>
  <c r="G21" i="9"/>
  <c r="I27" i="41"/>
  <c r="Y30" i="3"/>
  <c r="X36" i="41"/>
  <c r="J18" i="9"/>
  <c r="O18" i="9" s="1"/>
  <c r="J17" i="9"/>
  <c r="O17" i="9" s="1"/>
  <c r="Y23" i="41"/>
  <c r="K22" i="9"/>
  <c r="I27" i="9"/>
  <c r="J17" i="3"/>
  <c r="C25" i="9"/>
  <c r="M31" i="41"/>
  <c r="C20" i="9"/>
  <c r="M26" i="41"/>
  <c r="G17" i="9"/>
  <c r="I23" i="41"/>
  <c r="F25" i="9"/>
  <c r="G31" i="9"/>
  <c r="I37" i="41"/>
  <c r="H26" i="9"/>
  <c r="C32" i="41"/>
  <c r="C15" i="9"/>
  <c r="M21" i="41"/>
  <c r="K34" i="9"/>
  <c r="Y19" i="3"/>
  <c r="X25" i="41"/>
  <c r="L15" i="9"/>
  <c r="R21" i="41"/>
  <c r="K26" i="9"/>
  <c r="J29" i="9"/>
  <c r="O29" i="9" s="1"/>
  <c r="C27" i="9"/>
  <c r="M33" i="41"/>
  <c r="C33" i="9"/>
  <c r="M39" i="41"/>
  <c r="F26" i="9"/>
  <c r="K20" i="9"/>
  <c r="K17" i="9"/>
  <c r="L26" i="9"/>
  <c r="R32" i="41"/>
  <c r="J33" i="9"/>
  <c r="O33" i="9" s="1"/>
  <c r="L23" i="9"/>
  <c r="R29" i="41"/>
  <c r="F21" i="9"/>
  <c r="H19" i="9"/>
  <c r="C25" i="41"/>
  <c r="H16" i="9"/>
  <c r="C22" i="41"/>
  <c r="K27" i="9"/>
  <c r="G29" i="9"/>
  <c r="I35" i="41"/>
  <c r="G69" i="14"/>
  <c r="W23" i="41"/>
  <c r="G489" i="14"/>
  <c r="W37" i="41"/>
  <c r="J24" i="18"/>
  <c r="N33" i="9"/>
  <c r="X39" i="41"/>
  <c r="G99" i="14"/>
  <c r="W24" i="41"/>
  <c r="W129" i="26"/>
  <c r="X32" i="41"/>
  <c r="H1" i="9"/>
  <c r="Q1" i="41"/>
  <c r="K33" i="9"/>
  <c r="L22" i="9"/>
  <c r="R28" i="41"/>
  <c r="K19" i="9"/>
  <c r="J19" i="9"/>
  <c r="O19" i="9" s="1"/>
  <c r="G20" i="9"/>
  <c r="I26" i="41"/>
  <c r="J30" i="9"/>
  <c r="O30" i="9" s="1"/>
  <c r="C32" i="9"/>
  <c r="M38" i="41"/>
  <c r="J26" i="9"/>
  <c r="O26" i="9" s="1"/>
  <c r="H18" i="9"/>
  <c r="C24" i="41"/>
  <c r="Q28" i="3"/>
  <c r="X34" i="41"/>
  <c r="J23" i="3"/>
  <c r="I24" i="9"/>
  <c r="L21" i="9"/>
  <c r="R27" i="41"/>
  <c r="Y28" i="18"/>
  <c r="X35" i="41"/>
  <c r="H29" i="9"/>
  <c r="C35" i="41"/>
  <c r="G28" i="9"/>
  <c r="I34" i="41"/>
  <c r="L16" i="9"/>
  <c r="R22" i="41"/>
  <c r="H24" i="9"/>
  <c r="C30" i="41"/>
  <c r="H27" i="9"/>
  <c r="C33" i="41"/>
  <c r="L28" i="9"/>
  <c r="R34" i="41"/>
  <c r="F30" i="9"/>
  <c r="H30" i="9"/>
  <c r="C36" i="41"/>
  <c r="G24" i="9"/>
  <c r="I30" i="41"/>
  <c r="L33" i="9"/>
  <c r="R39" i="41"/>
  <c r="K28" i="9"/>
  <c r="J27" i="9"/>
  <c r="O27" i="9" s="1"/>
  <c r="C24" i="9"/>
  <c r="M30" i="41"/>
  <c r="F19" i="9"/>
  <c r="C31" i="9"/>
  <c r="M37" i="41"/>
  <c r="L31" i="9"/>
  <c r="R37" i="41"/>
  <c r="G16" i="9"/>
  <c r="I22" i="41"/>
  <c r="C19" i="9"/>
  <c r="M25" i="41"/>
  <c r="H32" i="9"/>
  <c r="C38" i="41"/>
  <c r="G25" i="9"/>
  <c r="I31" i="41"/>
  <c r="L24" i="9"/>
  <c r="R30" i="41"/>
  <c r="H22" i="9"/>
  <c r="C28" i="41"/>
  <c r="L29" i="9"/>
  <c r="R35" i="41"/>
  <c r="G15" i="9"/>
  <c r="I21" i="41"/>
  <c r="K19" i="15"/>
  <c r="N41" i="15" s="1"/>
  <c r="N49" i="15" s="1"/>
  <c r="AI18" i="18"/>
  <c r="AC18" i="18" s="1"/>
  <c r="N247" i="14"/>
  <c r="J247" i="14" s="1"/>
  <c r="AA249" i="14" s="1"/>
  <c r="S476" i="14"/>
  <c r="M30" i="3"/>
  <c r="AE32" i="18"/>
  <c r="M32" i="18" s="1"/>
  <c r="Z20" i="3"/>
  <c r="B13" i="39"/>
  <c r="P51" i="18"/>
  <c r="Z34" i="3"/>
  <c r="W27" i="18"/>
  <c r="R414" i="14"/>
  <c r="B183" i="26"/>
  <c r="P52" i="3"/>
  <c r="V9" i="14"/>
  <c r="Y9" i="14" s="1"/>
  <c r="AA15" i="14" s="1"/>
  <c r="S538" i="14"/>
  <c r="R14" i="18"/>
  <c r="T22" i="18"/>
  <c r="L27" i="3"/>
  <c r="M27" i="3"/>
  <c r="W24" i="18"/>
  <c r="S477" i="14"/>
  <c r="O99" i="14"/>
  <c r="AA103" i="14" s="1"/>
  <c r="AE34" i="3"/>
  <c r="M34" i="3" s="1"/>
  <c r="Z21" i="3"/>
  <c r="B24" i="37"/>
  <c r="AK14" i="18"/>
  <c r="AD14" i="18" s="1"/>
  <c r="X20" i="18"/>
  <c r="Y25" i="18"/>
  <c r="Z17" i="18"/>
  <c r="S24" i="18"/>
  <c r="B18" i="39"/>
  <c r="S234" i="14"/>
  <c r="I32" i="9"/>
  <c r="Z26" i="3"/>
  <c r="B14" i="39"/>
  <c r="O17" i="5"/>
  <c r="Y4" i="5" s="1"/>
  <c r="S28" i="18"/>
  <c r="O8" i="5"/>
  <c r="J32" i="3"/>
  <c r="V21" i="3"/>
  <c r="R21" i="3"/>
  <c r="AE26" i="18"/>
  <c r="L26" i="18" s="1"/>
  <c r="S25" i="18"/>
  <c r="J39" i="2"/>
  <c r="H23" i="15" s="1"/>
  <c r="P41" i="2"/>
  <c r="S206" i="14"/>
  <c r="AE18" i="3"/>
  <c r="L18" i="3" s="1"/>
  <c r="AE29" i="18"/>
  <c r="K29" i="18" s="1"/>
  <c r="O187" i="14"/>
  <c r="J187" i="14" s="1"/>
  <c r="AA189" i="14" s="1"/>
  <c r="AE28" i="3"/>
  <c r="L28" i="3" s="1"/>
  <c r="O7" i="14"/>
  <c r="D30" i="37"/>
  <c r="R15" i="3"/>
  <c r="R20" i="18"/>
  <c r="B6" i="12"/>
  <c r="H11" i="12" s="1"/>
  <c r="Z33" i="3"/>
  <c r="W29" i="18"/>
  <c r="X22" i="18"/>
  <c r="Z16" i="3"/>
  <c r="O489" i="14"/>
  <c r="AA493" i="14" s="1"/>
  <c r="O399" i="14"/>
  <c r="AA403" i="14" s="1"/>
  <c r="S355" i="14"/>
  <c r="V17" i="18"/>
  <c r="O24" i="18"/>
  <c r="C30" i="18"/>
  <c r="W28" i="18"/>
  <c r="AQ9" i="7"/>
  <c r="S506" i="14"/>
  <c r="AE22" i="3"/>
  <c r="K22" i="3" s="1"/>
  <c r="W127" i="14"/>
  <c r="J128" i="14" s="1"/>
  <c r="AE24" i="18"/>
  <c r="K24" i="18" s="1"/>
  <c r="Z31" i="3"/>
  <c r="P15" i="3"/>
  <c r="I25" i="9"/>
  <c r="B28" i="37"/>
  <c r="K19" i="3"/>
  <c r="R18" i="18"/>
  <c r="C18" i="18"/>
  <c r="AT2" i="7"/>
  <c r="AT3" i="7" s="1"/>
  <c r="AT4" i="7" s="1"/>
  <c r="AT5" i="7" s="1"/>
  <c r="AT6" i="7" s="1"/>
  <c r="AT7" i="7" s="1"/>
  <c r="AT8" i="7" s="1"/>
  <c r="AT9" i="7" s="1"/>
  <c r="AT10" i="7" s="1"/>
  <c r="AT11" i="7" s="1"/>
  <c r="AT12" i="7" s="1"/>
  <c r="AT13" i="7" s="1"/>
  <c r="AT14" i="7" s="1"/>
  <c r="AT15" i="7" s="1"/>
  <c r="AT16" i="7" s="1"/>
  <c r="AT17" i="7" s="1"/>
  <c r="AT18" i="7" s="1"/>
  <c r="AT19" i="7" s="1"/>
  <c r="AT20" i="7" s="1"/>
  <c r="AT21" i="7" s="1"/>
  <c r="AR2" i="7"/>
  <c r="AR3" i="7" s="1"/>
  <c r="AR4" i="7" s="1"/>
  <c r="AR5" i="7" s="1"/>
  <c r="AR6" i="7" s="1"/>
  <c r="AR7" i="7" s="1"/>
  <c r="AR8" i="7" s="1"/>
  <c r="AR9" i="7" s="1"/>
  <c r="AR10" i="7" s="1"/>
  <c r="AR11" i="7" s="1"/>
  <c r="AR12" i="7" s="1"/>
  <c r="AR13" i="7" s="1"/>
  <c r="AR14" i="7" s="1"/>
  <c r="AR15" i="7" s="1"/>
  <c r="AR16" i="7" s="1"/>
  <c r="AR17" i="7" s="1"/>
  <c r="AR18" i="7" s="1"/>
  <c r="AR19" i="7" s="1"/>
  <c r="AR20" i="7" s="1"/>
  <c r="AR21" i="7" s="1"/>
  <c r="N7" i="14"/>
  <c r="O519" i="14"/>
  <c r="AA523" i="14" s="1"/>
  <c r="V189" i="14"/>
  <c r="AC195" i="14" s="1"/>
  <c r="W7" i="14"/>
  <c r="Y7" i="14" s="1"/>
  <c r="AA11" i="14" s="1"/>
  <c r="U122" i="26"/>
  <c r="O122" i="26" s="1"/>
  <c r="AE20" i="3"/>
  <c r="K20" i="3" s="1"/>
  <c r="M17" i="9"/>
  <c r="AE32" i="3"/>
  <c r="M32" i="3" s="1"/>
  <c r="U24" i="3"/>
  <c r="Q24" i="3"/>
  <c r="G429" i="14"/>
  <c r="D35" i="37"/>
  <c r="Z22" i="3"/>
  <c r="K456" i="14"/>
  <c r="N15" i="3"/>
  <c r="T15" i="3"/>
  <c r="X14" i="18"/>
  <c r="A15" i="39"/>
  <c r="J25" i="3"/>
  <c r="C27" i="3"/>
  <c r="V20" i="18"/>
  <c r="C27" i="18"/>
  <c r="Z26" i="18"/>
  <c r="S30" i="18"/>
  <c r="N337" i="14"/>
  <c r="J337" i="14" s="1"/>
  <c r="AA339" i="14" s="1"/>
  <c r="O189" i="14"/>
  <c r="AA193" i="14" s="1"/>
  <c r="Z15" i="3"/>
  <c r="AK17" i="18"/>
  <c r="AD17" i="18" s="1"/>
  <c r="J18" i="3"/>
  <c r="N19" i="3"/>
  <c r="R444" i="14"/>
  <c r="Z18" i="18"/>
  <c r="A10" i="39"/>
  <c r="P17" i="18"/>
  <c r="N32" i="3"/>
  <c r="AQ6" i="7"/>
  <c r="H9" i="36"/>
  <c r="Q29" i="3"/>
  <c r="AE30" i="18"/>
  <c r="L30" i="18" s="1"/>
  <c r="O129" i="14"/>
  <c r="AA133" i="14" s="1"/>
  <c r="Z32" i="3"/>
  <c r="B1" i="21"/>
  <c r="W24" i="3"/>
  <c r="O16" i="5"/>
  <c r="T14" i="18"/>
  <c r="AF20" i="2"/>
  <c r="AL39" i="2"/>
  <c r="O16" i="11" s="1"/>
  <c r="A6" i="39"/>
  <c r="W127" i="26"/>
  <c r="AI28" i="18"/>
  <c r="AC28" i="18" s="1"/>
  <c r="V14" i="18"/>
  <c r="AG17" i="2"/>
  <c r="P21" i="3"/>
  <c r="S31" i="3"/>
  <c r="B10" i="39"/>
  <c r="I18" i="9"/>
  <c r="K426" i="14"/>
  <c r="V18" i="3"/>
  <c r="W25" i="3"/>
  <c r="U29" i="3"/>
  <c r="S415" i="14"/>
  <c r="N397" i="14"/>
  <c r="J18" i="18"/>
  <c r="J19" i="3"/>
  <c r="I19" i="9"/>
  <c r="V28" i="18"/>
  <c r="R29" i="3"/>
  <c r="P28" i="18"/>
  <c r="X132" i="26"/>
  <c r="P29" i="3"/>
  <c r="AK28" i="18"/>
  <c r="AD28" i="18" s="1"/>
  <c r="X29" i="3"/>
  <c r="N29" i="3"/>
  <c r="N28" i="18"/>
  <c r="N29" i="18"/>
  <c r="V30" i="3"/>
  <c r="R30" i="3"/>
  <c r="X30" i="3"/>
  <c r="X29" i="18"/>
  <c r="AG32" i="2"/>
  <c r="V29" i="18"/>
  <c r="M16" i="9"/>
  <c r="E7" i="8"/>
  <c r="N30" i="18"/>
  <c r="AK30" i="18"/>
  <c r="AD30" i="18" s="1"/>
  <c r="V30" i="18"/>
  <c r="AG33" i="2"/>
  <c r="K33" i="3"/>
  <c r="L33" i="3"/>
  <c r="S267" i="14"/>
  <c r="O307" i="14"/>
  <c r="O11" i="5"/>
  <c r="R324" i="14"/>
  <c r="N15" i="9"/>
  <c r="G10" i="14"/>
  <c r="W118" i="26"/>
  <c r="W15" i="3"/>
  <c r="AV2" i="7"/>
  <c r="AV3" i="7" s="1"/>
  <c r="AV4" i="7" s="1"/>
  <c r="AV5" i="7" s="1"/>
  <c r="AV6" i="7" s="1"/>
  <c r="AV7" i="7" s="1"/>
  <c r="AV8" i="7" s="1"/>
  <c r="AV9" i="7" s="1"/>
  <c r="AV10" i="7" s="1"/>
  <c r="AV11" i="7" s="1"/>
  <c r="AV12" i="7" s="1"/>
  <c r="AV13" i="7" s="1"/>
  <c r="AV14" i="7" s="1"/>
  <c r="AV15" i="7" s="1"/>
  <c r="AV16" i="7" s="1"/>
  <c r="AV17" i="7" s="1"/>
  <c r="AV18" i="7" s="1"/>
  <c r="AV19" i="7" s="1"/>
  <c r="AV20" i="7" s="1"/>
  <c r="AV21" i="7" s="1"/>
  <c r="AV22" i="7" s="1"/>
  <c r="AV23" i="7" s="1"/>
  <c r="AV24" i="7" s="1"/>
  <c r="AV25" i="7" s="1"/>
  <c r="AV26" i="7" s="1"/>
  <c r="AV27" i="7" s="1"/>
  <c r="AV28" i="7" s="1"/>
  <c r="AV29" i="7" s="1"/>
  <c r="AV30" i="7" s="1"/>
  <c r="AV31" i="7" s="1"/>
  <c r="AV32" i="7" s="1"/>
  <c r="AV33" i="7" s="1"/>
  <c r="AV34" i="7" s="1"/>
  <c r="AV35" i="7" s="1"/>
  <c r="AV36" i="7" s="1"/>
  <c r="AV37" i="7" s="1"/>
  <c r="AV38" i="7" s="1"/>
  <c r="AV39" i="7" s="1"/>
  <c r="AV40" i="7" s="1"/>
  <c r="AV41" i="7" s="1"/>
  <c r="AV42" i="7" s="1"/>
  <c r="AV43" i="7" s="1"/>
  <c r="AV44" i="7" s="1"/>
  <c r="AV45" i="7" s="1"/>
  <c r="AV46" i="7" s="1"/>
  <c r="S596" i="14"/>
  <c r="W577" i="14"/>
  <c r="Y577" i="14" s="1"/>
  <c r="AA581" i="14" s="1"/>
  <c r="X120" i="26"/>
  <c r="R16" i="18"/>
  <c r="N17" i="3"/>
  <c r="C1" i="21"/>
  <c r="N17" i="9"/>
  <c r="AF19" i="2"/>
  <c r="B6" i="39"/>
  <c r="U17" i="3"/>
  <c r="V489" i="14"/>
  <c r="Y489" i="14" s="1"/>
  <c r="N307" i="14"/>
  <c r="S19" i="18"/>
  <c r="Q19" i="18"/>
  <c r="B9" i="39"/>
  <c r="W19" i="18"/>
  <c r="AI24" i="18"/>
  <c r="AC24" i="18" s="1"/>
  <c r="D26" i="37"/>
  <c r="D9" i="36"/>
  <c r="C30" i="36" s="1"/>
  <c r="N29" i="36" s="1"/>
  <c r="AF27" i="2"/>
  <c r="M33" i="3"/>
  <c r="S176" i="14"/>
  <c r="W157" i="14"/>
  <c r="V158" i="14" s="1"/>
  <c r="O279" i="14"/>
  <c r="AA283" i="14" s="1"/>
  <c r="B172" i="26"/>
  <c r="C12" i="39"/>
  <c r="O9" i="5"/>
  <c r="T31" i="3"/>
  <c r="C15" i="39"/>
  <c r="C25" i="18"/>
  <c r="R354" i="14"/>
  <c r="K336" i="14"/>
  <c r="V21" i="18"/>
  <c r="T21" i="18"/>
  <c r="P22" i="3"/>
  <c r="N22" i="3"/>
  <c r="H31" i="15"/>
  <c r="AK40" i="2"/>
  <c r="Z23" i="18"/>
  <c r="Z24" i="3"/>
  <c r="V459" i="14"/>
  <c r="AC465" i="14" s="1"/>
  <c r="S478" i="14"/>
  <c r="A21" i="39"/>
  <c r="G519" i="14"/>
  <c r="J26" i="3"/>
  <c r="I26" i="9"/>
  <c r="J25" i="18"/>
  <c r="T30" i="3"/>
  <c r="AE16" i="3"/>
  <c r="L16" i="3" s="1"/>
  <c r="AE15" i="18"/>
  <c r="M15" i="18" s="1"/>
  <c r="A5" i="39"/>
  <c r="R23" i="18"/>
  <c r="X24" i="3"/>
  <c r="N487" i="14"/>
  <c r="J487" i="14" s="1"/>
  <c r="AA489" i="14" s="1"/>
  <c r="O309" i="14"/>
  <c r="AA313" i="14" s="1"/>
  <c r="S327" i="14"/>
  <c r="W15" i="18"/>
  <c r="G40" i="14"/>
  <c r="O16" i="3"/>
  <c r="AE24" i="3"/>
  <c r="M24" i="3" s="1"/>
  <c r="AE23" i="18"/>
  <c r="L23" i="18" s="1"/>
  <c r="AE23" i="3"/>
  <c r="K23" i="3" s="1"/>
  <c r="K22" i="18"/>
  <c r="V15" i="18"/>
  <c r="D33" i="37"/>
  <c r="C22" i="18"/>
  <c r="J16" i="3"/>
  <c r="J15" i="18"/>
  <c r="B31" i="37"/>
  <c r="C29" i="18"/>
  <c r="R474" i="14"/>
  <c r="C30" i="3"/>
  <c r="C19" i="39"/>
  <c r="S14" i="18"/>
  <c r="Q20" i="3"/>
  <c r="AQ3" i="7"/>
  <c r="C16" i="3"/>
  <c r="S16" i="18"/>
  <c r="U25" i="18"/>
  <c r="O26" i="3"/>
  <c r="G340" i="14"/>
  <c r="N26" i="9"/>
  <c r="W26" i="3"/>
  <c r="AF28" i="2"/>
  <c r="U26" i="3"/>
  <c r="S26" i="3"/>
  <c r="Y26" i="3"/>
  <c r="B15" i="39"/>
  <c r="W25" i="18"/>
  <c r="O25" i="18"/>
  <c r="C22" i="39"/>
  <c r="K546" i="14"/>
  <c r="B182" i="26"/>
  <c r="O19" i="5"/>
  <c r="Y14" i="5" s="1"/>
  <c r="B34" i="37"/>
  <c r="B21" i="37"/>
  <c r="C20" i="3"/>
  <c r="K156" i="14"/>
  <c r="O6" i="5"/>
  <c r="C9" i="39"/>
  <c r="O7" i="20"/>
  <c r="O7" i="36"/>
  <c r="B20" i="39"/>
  <c r="S387" i="14"/>
  <c r="O369" i="14"/>
  <c r="AA373" i="14" s="1"/>
  <c r="X34" i="3"/>
  <c r="AK33" i="18"/>
  <c r="AD33" i="18" s="1"/>
  <c r="Y31" i="18"/>
  <c r="S31" i="18"/>
  <c r="U22" i="18"/>
  <c r="Q22" i="18"/>
  <c r="N23" i="9"/>
  <c r="S23" i="3"/>
  <c r="W517" i="14"/>
  <c r="Y516" i="14" s="1"/>
  <c r="V549" i="14"/>
  <c r="AC555" i="14" s="1"/>
  <c r="Y487" i="14"/>
  <c r="AA491" i="14" s="1"/>
  <c r="AE20" i="18"/>
  <c r="N547" i="14"/>
  <c r="J547" i="14" s="1"/>
  <c r="AA549" i="14" s="1"/>
  <c r="V129" i="14"/>
  <c r="Y129" i="14" s="1"/>
  <c r="M31" i="3"/>
  <c r="S565" i="14"/>
  <c r="S205" i="14"/>
  <c r="AI30" i="18"/>
  <c r="AC30" i="18" s="1"/>
  <c r="Z29" i="3"/>
  <c r="W23" i="18"/>
  <c r="V15" i="3"/>
  <c r="X15" i="3"/>
  <c r="D27" i="37"/>
  <c r="U57" i="3"/>
  <c r="X124" i="26"/>
  <c r="T20" i="18"/>
  <c r="J27" i="18"/>
  <c r="M18" i="9"/>
  <c r="K8" i="12"/>
  <c r="Y30" i="18"/>
  <c r="W367" i="14"/>
  <c r="Y366" i="14" s="1"/>
  <c r="Z25" i="3"/>
  <c r="Z29" i="18"/>
  <c r="AI29" i="18"/>
  <c r="AC29" i="18" s="1"/>
  <c r="AK18" i="18"/>
  <c r="AD18" i="18" s="1"/>
  <c r="V18" i="18"/>
  <c r="X19" i="3"/>
  <c r="X122" i="26"/>
  <c r="T19" i="3"/>
  <c r="P18" i="18"/>
  <c r="B33" i="37"/>
  <c r="R534" i="14"/>
  <c r="K516" i="14"/>
  <c r="C20" i="39"/>
  <c r="B180" i="26"/>
  <c r="B32" i="37"/>
  <c r="K486" i="14"/>
  <c r="C31" i="3"/>
  <c r="D1" i="20"/>
  <c r="AQ8" i="7"/>
  <c r="W23" i="3"/>
  <c r="W31" i="3"/>
  <c r="W134" i="26"/>
  <c r="U30" i="18"/>
  <c r="W30" i="3"/>
  <c r="B19" i="39"/>
  <c r="Q29" i="18"/>
  <c r="U29" i="18"/>
  <c r="AF26" i="2"/>
  <c r="AI23" i="18"/>
  <c r="AC23" i="18" s="1"/>
  <c r="AF33" i="2"/>
  <c r="L33" i="18"/>
  <c r="H6" i="11"/>
  <c r="M31" i="9"/>
  <c r="J28" i="3"/>
  <c r="M10" i="4"/>
  <c r="U31" i="3"/>
  <c r="G490" i="14"/>
  <c r="G460" i="14"/>
  <c r="T34" i="3"/>
  <c r="W21" i="3"/>
  <c r="AQ21" i="7"/>
  <c r="C34" i="3"/>
  <c r="R594" i="14"/>
  <c r="P22" i="18"/>
  <c r="AK22" i="18"/>
  <c r="AD22" i="18" s="1"/>
  <c r="P23" i="3"/>
  <c r="C28" i="18"/>
  <c r="C18" i="39"/>
  <c r="O15" i="5"/>
  <c r="S14" i="5" s="1"/>
  <c r="C29" i="3"/>
  <c r="B178" i="26"/>
  <c r="J29" i="18"/>
  <c r="I30" i="9"/>
  <c r="K66" i="14"/>
  <c r="Y23" i="3"/>
  <c r="Y18" i="18"/>
  <c r="N19" i="9"/>
  <c r="O219" i="14"/>
  <c r="AA223" i="14" s="1"/>
  <c r="O69" i="14"/>
  <c r="AA73" i="14" s="1"/>
  <c r="X18" i="3"/>
  <c r="R18" i="3"/>
  <c r="Y24" i="18"/>
  <c r="S25" i="3"/>
  <c r="W132" i="26"/>
  <c r="Q28" i="18"/>
  <c r="N29" i="9"/>
  <c r="O29" i="3"/>
  <c r="K23" i="39"/>
  <c r="D23" i="39" s="1"/>
  <c r="L15" i="39"/>
  <c r="E15" i="39" s="1"/>
  <c r="L10" i="39"/>
  <c r="E10" i="39" s="1"/>
  <c r="L19" i="39"/>
  <c r="E19" i="39" s="1"/>
  <c r="L23" i="39"/>
  <c r="E23" i="39" s="1"/>
  <c r="L16" i="39"/>
  <c r="E16" i="39" s="1"/>
  <c r="L7" i="39"/>
  <c r="E7" i="39" s="1"/>
  <c r="L9" i="39"/>
  <c r="E9" i="39" s="1"/>
  <c r="L5" i="39"/>
  <c r="E5" i="39" s="1"/>
  <c r="L18" i="39"/>
  <c r="E18" i="39" s="1"/>
  <c r="L17" i="39"/>
  <c r="E17" i="39" s="1"/>
  <c r="L6" i="39"/>
  <c r="E6" i="39" s="1"/>
  <c r="L14" i="39"/>
  <c r="E14" i="39" s="1"/>
  <c r="L4" i="39"/>
  <c r="E4" i="39" s="1"/>
  <c r="L21" i="39"/>
  <c r="E21" i="39" s="1"/>
  <c r="R20" i="3"/>
  <c r="X123" i="26"/>
  <c r="N19" i="18"/>
  <c r="X20" i="3"/>
  <c r="R19" i="18"/>
  <c r="N20" i="3"/>
  <c r="P19" i="18"/>
  <c r="V19" i="18"/>
  <c r="T20" i="3"/>
  <c r="P20" i="3"/>
  <c r="V20" i="3"/>
  <c r="X19" i="18"/>
  <c r="T19" i="18"/>
  <c r="AG22" i="2"/>
  <c r="L8" i="39"/>
  <c r="E8" i="39" s="1"/>
  <c r="S448" i="14"/>
  <c r="V429" i="14"/>
  <c r="N51" i="18"/>
  <c r="H19" i="15"/>
  <c r="U120" i="26"/>
  <c r="N52" i="3"/>
  <c r="P40" i="2"/>
  <c r="Y36" i="14"/>
  <c r="Y38" i="14"/>
  <c r="Y37" i="14"/>
  <c r="AA41" i="14" s="1"/>
  <c r="L11" i="39"/>
  <c r="E11" i="39" s="1"/>
  <c r="K8" i="39"/>
  <c r="D8" i="39" s="1"/>
  <c r="K15" i="39"/>
  <c r="D15" i="39" s="1"/>
  <c r="K16" i="39"/>
  <c r="D16" i="39" s="1"/>
  <c r="K13" i="39"/>
  <c r="D13" i="39" s="1"/>
  <c r="K6" i="39"/>
  <c r="D6" i="39" s="1"/>
  <c r="K9" i="39"/>
  <c r="D9" i="39" s="1"/>
  <c r="K18" i="39"/>
  <c r="D18" i="39" s="1"/>
  <c r="K11" i="39"/>
  <c r="D11" i="39" s="1"/>
  <c r="K14" i="39"/>
  <c r="D14" i="39" s="1"/>
  <c r="K19" i="39"/>
  <c r="D19" i="39" s="1"/>
  <c r="K17" i="39"/>
  <c r="D17" i="39" s="1"/>
  <c r="K4" i="39"/>
  <c r="D4" i="39" s="1"/>
  <c r="K22" i="39"/>
  <c r="D22" i="39" s="1"/>
  <c r="K5" i="39"/>
  <c r="D5" i="39" s="1"/>
  <c r="K10" i="39"/>
  <c r="D10" i="39" s="1"/>
  <c r="K21" i="39"/>
  <c r="D21" i="39" s="1"/>
  <c r="K7" i="39"/>
  <c r="D7" i="39" s="1"/>
  <c r="W18" i="3"/>
  <c r="Q18" i="3"/>
  <c r="O18" i="3"/>
  <c r="Q17" i="18"/>
  <c r="U17" i="18"/>
  <c r="Y17" i="18"/>
  <c r="W121" i="26"/>
  <c r="N18" i="9"/>
  <c r="S18" i="3"/>
  <c r="U18" i="3"/>
  <c r="Y18" i="3"/>
  <c r="W17" i="18"/>
  <c r="O17" i="18"/>
  <c r="B7" i="39"/>
  <c r="S17" i="18"/>
  <c r="T19" i="15"/>
  <c r="W41" i="15" s="1"/>
  <c r="W49" i="15" s="1"/>
  <c r="W217" i="14"/>
  <c r="L12" i="39"/>
  <c r="E12" i="39" s="1"/>
  <c r="S86" i="14"/>
  <c r="W67" i="14"/>
  <c r="W247" i="14"/>
  <c r="O22" i="3"/>
  <c r="N22" i="9"/>
  <c r="Q22" i="3"/>
  <c r="Y21" i="18"/>
  <c r="W125" i="26"/>
  <c r="U22" i="3"/>
  <c r="O21" i="18"/>
  <c r="W22" i="3"/>
  <c r="S22" i="3"/>
  <c r="W21" i="18"/>
  <c r="Q21" i="18"/>
  <c r="Y22" i="3"/>
  <c r="G220" i="14"/>
  <c r="U21" i="18"/>
  <c r="S21" i="18"/>
  <c r="V52" i="3"/>
  <c r="S298" i="14"/>
  <c r="V279" i="14"/>
  <c r="AE17" i="3"/>
  <c r="S235" i="14"/>
  <c r="S446" i="14"/>
  <c r="W427" i="14"/>
  <c r="R294" i="14"/>
  <c r="K276" i="14"/>
  <c r="C23" i="18"/>
  <c r="C13" i="39"/>
  <c r="AQ11" i="7"/>
  <c r="B173" i="26"/>
  <c r="C24" i="3"/>
  <c r="O10" i="5"/>
  <c r="B25" i="37"/>
  <c r="B11" i="39"/>
  <c r="S475" i="14"/>
  <c r="O457" i="14"/>
  <c r="N457" i="14"/>
  <c r="J15" i="3"/>
  <c r="I15" i="9"/>
  <c r="D34" i="37"/>
  <c r="M33" i="9"/>
  <c r="A22" i="39"/>
  <c r="G549" i="14"/>
  <c r="AI32" i="18"/>
  <c r="AC32" i="18" s="1"/>
  <c r="AF35" i="2"/>
  <c r="S447" i="14"/>
  <c r="O429" i="14"/>
  <c r="AA433" i="14" s="1"/>
  <c r="K27" i="18"/>
  <c r="L27" i="18"/>
  <c r="M27" i="18"/>
  <c r="C9" i="18"/>
  <c r="E7" i="36"/>
  <c r="D7" i="21"/>
  <c r="J6" i="15"/>
  <c r="E10" i="4"/>
  <c r="D7" i="20"/>
  <c r="A14" i="37"/>
  <c r="F8" i="3"/>
  <c r="N13" i="14"/>
  <c r="F5" i="8"/>
  <c r="D7" i="11"/>
  <c r="F1" i="9"/>
  <c r="K11" i="9" s="1"/>
  <c r="E7" i="26"/>
  <c r="L19" i="18"/>
  <c r="K19" i="18"/>
  <c r="M19" i="18"/>
  <c r="M3" i="39"/>
  <c r="AF17" i="2"/>
  <c r="M15" i="9"/>
  <c r="D8" i="26"/>
  <c r="D16" i="37"/>
  <c r="G9" i="14"/>
  <c r="A4" i="39"/>
  <c r="N39" i="2"/>
  <c r="K39" i="2"/>
  <c r="M39" i="2"/>
  <c r="AI14" i="18"/>
  <c r="AC14" i="18" s="1"/>
  <c r="L39" i="2"/>
  <c r="O39" i="2"/>
  <c r="L13" i="39"/>
  <c r="E13" i="39" s="1"/>
  <c r="N28" i="3"/>
  <c r="N27" i="18"/>
  <c r="T28" i="3"/>
  <c r="V28" i="3"/>
  <c r="T27" i="18"/>
  <c r="V27" i="18"/>
  <c r="X131" i="26"/>
  <c r="P28" i="3"/>
  <c r="R28" i="3"/>
  <c r="R27" i="18"/>
  <c r="AK27" i="18"/>
  <c r="AD27" i="18" s="1"/>
  <c r="X28" i="3"/>
  <c r="AG30" i="2"/>
  <c r="X27" i="18"/>
  <c r="L20" i="39"/>
  <c r="E20" i="39" s="1"/>
  <c r="AK19" i="18"/>
  <c r="AD19" i="18" s="1"/>
  <c r="K12" i="39"/>
  <c r="D12" i="39" s="1"/>
  <c r="L14" i="18"/>
  <c r="M14" i="18"/>
  <c r="K14" i="18"/>
  <c r="AC375" i="14"/>
  <c r="Y369" i="14"/>
  <c r="N217" i="14"/>
  <c r="J217" i="14" s="1"/>
  <c r="AA219" i="14" s="1"/>
  <c r="Y519" i="14"/>
  <c r="AE15" i="3"/>
  <c r="L21" i="18"/>
  <c r="M21" i="18"/>
  <c r="K21" i="18"/>
  <c r="S445" i="14"/>
  <c r="N427" i="14"/>
  <c r="O427" i="14"/>
  <c r="K25" i="3"/>
  <c r="L25" i="3"/>
  <c r="L22" i="39"/>
  <c r="E22" i="39" s="1"/>
  <c r="S58" i="14"/>
  <c r="V39" i="14"/>
  <c r="J14" i="18"/>
  <c r="V51" i="18"/>
  <c r="K16" i="18"/>
  <c r="L16" i="18"/>
  <c r="M16" i="18"/>
  <c r="I20" i="9"/>
  <c r="J19" i="18"/>
  <c r="J20" i="3"/>
  <c r="K20" i="39"/>
  <c r="D20" i="39" s="1"/>
  <c r="O8" i="12"/>
  <c r="S56" i="14"/>
  <c r="S357" i="14"/>
  <c r="O339" i="14"/>
  <c r="AA343" i="14" s="1"/>
  <c r="AH37" i="2"/>
  <c r="N15" i="18"/>
  <c r="T16" i="3"/>
  <c r="T15" i="18"/>
  <c r="N16" i="3"/>
  <c r="X16" i="3"/>
  <c r="R16" i="3"/>
  <c r="AG18" i="2"/>
  <c r="X119" i="26"/>
  <c r="P15" i="18"/>
  <c r="R15" i="18"/>
  <c r="P16" i="3"/>
  <c r="X15" i="18"/>
  <c r="O1" i="5"/>
  <c r="C24" i="14"/>
  <c r="N229" i="26"/>
  <c r="C15" i="3"/>
  <c r="B164" i="26"/>
  <c r="AQ2" i="7"/>
  <c r="M9" i="26"/>
  <c r="K6" i="14"/>
  <c r="C4" i="39"/>
  <c r="B16" i="37"/>
  <c r="C14" i="18"/>
  <c r="AF24" i="2"/>
  <c r="D23" i="37"/>
  <c r="A11" i="39"/>
  <c r="AI21" i="18"/>
  <c r="AC21" i="18" s="1"/>
  <c r="G219" i="14"/>
  <c r="M22" i="9"/>
  <c r="S598" i="14"/>
  <c r="V579" i="14"/>
  <c r="Y278" i="14"/>
  <c r="Y277" i="14"/>
  <c r="AA281" i="14" s="1"/>
  <c r="O367" i="14"/>
  <c r="S385" i="14"/>
  <c r="S88" i="14"/>
  <c r="X51" i="18"/>
  <c r="X52" i="3"/>
  <c r="U125" i="26"/>
  <c r="O125" i="26" s="1"/>
  <c r="W19" i="15"/>
  <c r="K31" i="3"/>
  <c r="J22" i="3"/>
  <c r="J21" i="18"/>
  <c r="J33" i="3"/>
  <c r="I33" i="9"/>
  <c r="M23" i="9"/>
  <c r="D24" i="37"/>
  <c r="AF25" i="2"/>
  <c r="G249" i="14"/>
  <c r="Y488" i="14"/>
  <c r="W337" i="14"/>
  <c r="S356" i="14"/>
  <c r="A12" i="39"/>
  <c r="I34" i="9"/>
  <c r="J34" i="3"/>
  <c r="J33" i="18"/>
  <c r="S388" i="14"/>
  <c r="S118" i="14"/>
  <c r="V99" i="14"/>
  <c r="T37" i="3"/>
  <c r="S27" i="14"/>
  <c r="O9" i="14"/>
  <c r="AA13" i="14" s="1"/>
  <c r="S358" i="14"/>
  <c r="V339" i="14"/>
  <c r="C228" i="26"/>
  <c r="O549" i="14"/>
  <c r="AA553" i="14" s="1"/>
  <c r="S567" i="14"/>
  <c r="AG27" i="2"/>
  <c r="N25" i="3"/>
  <c r="P24" i="18"/>
  <c r="X25" i="3"/>
  <c r="X128" i="26"/>
  <c r="N24" i="18"/>
  <c r="T25" i="3"/>
  <c r="R24" i="18"/>
  <c r="X24" i="18"/>
  <c r="V24" i="18"/>
  <c r="T24" i="18"/>
  <c r="V25" i="3"/>
  <c r="AK24" i="18"/>
  <c r="AD24" i="18" s="1"/>
  <c r="R25" i="3"/>
  <c r="P25" i="3"/>
  <c r="W26" i="18"/>
  <c r="Q26" i="18"/>
  <c r="U27" i="3"/>
  <c r="O26" i="18"/>
  <c r="W27" i="3"/>
  <c r="W130" i="26"/>
  <c r="N27" i="9"/>
  <c r="U26" i="18"/>
  <c r="O27" i="3"/>
  <c r="S27" i="3"/>
  <c r="Y26" i="18"/>
  <c r="B16" i="39"/>
  <c r="S26" i="18"/>
  <c r="Q27" i="3"/>
  <c r="G370" i="14"/>
  <c r="Y27" i="3"/>
  <c r="O4" i="5"/>
  <c r="C7" i="39"/>
  <c r="R114" i="14"/>
  <c r="C18" i="3"/>
  <c r="AQ5" i="7"/>
  <c r="B19" i="37"/>
  <c r="K96" i="14"/>
  <c r="C17" i="18"/>
  <c r="B167" i="26"/>
  <c r="A17" i="39"/>
  <c r="M28" i="9"/>
  <c r="AF30" i="2"/>
  <c r="D29" i="37"/>
  <c r="A13" i="12"/>
  <c r="A15" i="12" s="1"/>
  <c r="B15" i="12" s="1"/>
  <c r="G399" i="14"/>
  <c r="AI27" i="18"/>
  <c r="AC27" i="18" s="1"/>
  <c r="O67" i="14"/>
  <c r="N67" i="14"/>
  <c r="S85" i="14"/>
  <c r="W547" i="14"/>
  <c r="AK15" i="18"/>
  <c r="AD15" i="18" s="1"/>
  <c r="R24" i="14"/>
  <c r="G15" i="14" s="1"/>
  <c r="G45" i="14" s="1"/>
  <c r="G75" i="14" s="1"/>
  <c r="G105" i="14" s="1"/>
  <c r="G135" i="14" s="1"/>
  <c r="G165" i="14" s="1"/>
  <c r="G195" i="14" s="1"/>
  <c r="G225" i="14" s="1"/>
  <c r="G255" i="14" s="1"/>
  <c r="G285" i="14" s="1"/>
  <c r="G315" i="14" s="1"/>
  <c r="G345" i="14" s="1"/>
  <c r="G375" i="14" s="1"/>
  <c r="G405" i="14" s="1"/>
  <c r="G435" i="14" s="1"/>
  <c r="G465" i="14" s="1"/>
  <c r="G495" i="14" s="1"/>
  <c r="G525" i="14" s="1"/>
  <c r="G555" i="14" s="1"/>
  <c r="G585" i="14" s="1"/>
  <c r="S416" i="14"/>
  <c r="W397" i="14"/>
  <c r="V219" i="14"/>
  <c r="AC75" i="14"/>
  <c r="Y69" i="14"/>
  <c r="S296" i="14"/>
  <c r="Y186" i="14"/>
  <c r="Y187" i="14"/>
  <c r="AA191" i="14" s="1"/>
  <c r="N367" i="14"/>
  <c r="O39" i="14"/>
  <c r="AA43" i="14" s="1"/>
  <c r="K27" i="15"/>
  <c r="N57" i="15" s="1"/>
  <c r="A9" i="39"/>
  <c r="M20" i="9"/>
  <c r="AF22" i="2"/>
  <c r="G159" i="14"/>
  <c r="AI19" i="18"/>
  <c r="AC19" i="18" s="1"/>
  <c r="D21" i="37"/>
  <c r="Y188" i="14"/>
  <c r="Y457" i="14"/>
  <c r="AA461" i="14" s="1"/>
  <c r="Y456" i="14"/>
  <c r="Y458" i="14"/>
  <c r="M17" i="18"/>
  <c r="K17" i="18"/>
  <c r="L17" i="18"/>
  <c r="I22" i="9"/>
  <c r="J32" i="18"/>
  <c r="AI22" i="18"/>
  <c r="AC22" i="18" s="1"/>
  <c r="M26" i="3"/>
  <c r="L26" i="3"/>
  <c r="K26" i="3"/>
  <c r="N26" i="18"/>
  <c r="R27" i="3"/>
  <c r="X26" i="18"/>
  <c r="AG29" i="2"/>
  <c r="P26" i="18"/>
  <c r="X27" i="3"/>
  <c r="X130" i="26"/>
  <c r="V26" i="18"/>
  <c r="R26" i="18"/>
  <c r="T26" i="18"/>
  <c r="N27" i="3"/>
  <c r="AK26" i="18"/>
  <c r="AD26" i="18" s="1"/>
  <c r="P27" i="3"/>
  <c r="V27" i="3"/>
  <c r="T27" i="3"/>
  <c r="K33" i="18"/>
  <c r="Z27" i="18"/>
  <c r="Z28" i="3"/>
  <c r="I29" i="9"/>
  <c r="J29" i="3"/>
  <c r="J28" i="18"/>
  <c r="W33" i="3"/>
  <c r="Q32" i="18"/>
  <c r="Y32" i="18"/>
  <c r="G550" i="14"/>
  <c r="W136" i="26"/>
  <c r="O33" i="3"/>
  <c r="S33" i="3"/>
  <c r="Y33" i="3"/>
  <c r="B22" i="39"/>
  <c r="S32" i="18"/>
  <c r="U33" i="3"/>
  <c r="O32" i="18"/>
  <c r="U32" i="18"/>
  <c r="W32" i="18"/>
  <c r="Q33" i="3"/>
  <c r="P32" i="18"/>
  <c r="V33" i="3"/>
  <c r="X136" i="26"/>
  <c r="X32" i="18"/>
  <c r="AG35" i="2"/>
  <c r="N33" i="3"/>
  <c r="P33" i="3"/>
  <c r="X33" i="3"/>
  <c r="AK32" i="18"/>
  <c r="AD32" i="18" s="1"/>
  <c r="N32" i="18"/>
  <c r="T32" i="18"/>
  <c r="T33" i="3"/>
  <c r="V32" i="18"/>
  <c r="R33" i="3"/>
  <c r="C135" i="36"/>
  <c r="K306" i="14"/>
  <c r="M9" i="36"/>
  <c r="C14" i="39"/>
  <c r="AQ12" i="7"/>
  <c r="B26" i="37"/>
  <c r="B174" i="26"/>
  <c r="A16" i="39"/>
  <c r="AF29" i="2"/>
  <c r="D28" i="37"/>
  <c r="G369" i="14"/>
  <c r="AI26" i="18"/>
  <c r="AC26" i="18" s="1"/>
  <c r="M27" i="9"/>
  <c r="J30" i="18"/>
  <c r="J31" i="3"/>
  <c r="R25" i="18"/>
  <c r="AG28" i="2"/>
  <c r="N26" i="3"/>
  <c r="X25" i="18"/>
  <c r="X26" i="3"/>
  <c r="N25" i="18"/>
  <c r="T25" i="18"/>
  <c r="V25" i="18"/>
  <c r="X129" i="26"/>
  <c r="R26" i="3"/>
  <c r="T26" i="3"/>
  <c r="P25" i="18"/>
  <c r="P26" i="3"/>
  <c r="AK25" i="18"/>
  <c r="AD25" i="18" s="1"/>
  <c r="S33" i="18"/>
  <c r="G580" i="14"/>
  <c r="B23" i="39"/>
  <c r="W34" i="3"/>
  <c r="O33" i="18"/>
  <c r="U33" i="18"/>
  <c r="W137" i="26"/>
  <c r="S34" i="3"/>
  <c r="Q34" i="3"/>
  <c r="U34" i="3"/>
  <c r="N34" i="9"/>
  <c r="Y33" i="18"/>
  <c r="W33" i="18"/>
  <c r="Y34" i="3"/>
  <c r="O34" i="3"/>
  <c r="Q33" i="18"/>
  <c r="V26" i="3"/>
  <c r="V159" i="14"/>
  <c r="N127" i="14"/>
  <c r="J127" i="14" s="1"/>
  <c r="AA129" i="14" s="1"/>
  <c r="AK39" i="2"/>
  <c r="W10" i="18"/>
  <c r="U15" i="3"/>
  <c r="W14" i="18"/>
  <c r="O15" i="3"/>
  <c r="G8" i="26"/>
  <c r="S15" i="3"/>
  <c r="Q14" i="18"/>
  <c r="Y14" i="18"/>
  <c r="Y15" i="3"/>
  <c r="W13" i="14"/>
  <c r="F14" i="14" s="1"/>
  <c r="F44" i="14" s="1"/>
  <c r="F74" i="14" s="1"/>
  <c r="F104" i="14" s="1"/>
  <c r="F134" i="14" s="1"/>
  <c r="F164" i="14" s="1"/>
  <c r="F194" i="14" s="1"/>
  <c r="F224" i="14" s="1"/>
  <c r="F254" i="14" s="1"/>
  <c r="F284" i="14" s="1"/>
  <c r="F314" i="14" s="1"/>
  <c r="F344" i="14" s="1"/>
  <c r="F374" i="14" s="1"/>
  <c r="F404" i="14" s="1"/>
  <c r="F434" i="14" s="1"/>
  <c r="F464" i="14" s="1"/>
  <c r="F494" i="14" s="1"/>
  <c r="F524" i="14" s="1"/>
  <c r="F554" i="14" s="1"/>
  <c r="F584" i="14" s="1"/>
  <c r="V309" i="14"/>
  <c r="AF18" i="2"/>
  <c r="H83" i="8" s="1"/>
  <c r="V249" i="14"/>
  <c r="W307" i="14"/>
  <c r="N19" i="15"/>
  <c r="Q41" i="15" s="1"/>
  <c r="Q49" i="15" s="1"/>
  <c r="AK16" i="18"/>
  <c r="AD16" i="18" s="1"/>
  <c r="N517" i="14"/>
  <c r="V31" i="3"/>
  <c r="R31" i="3"/>
  <c r="X30" i="18"/>
  <c r="N31" i="3"/>
  <c r="X31" i="3"/>
  <c r="P31" i="3"/>
  <c r="X134" i="26"/>
  <c r="P30" i="18"/>
  <c r="N577" i="14"/>
  <c r="J577" i="14" s="1"/>
  <c r="AA579" i="14" s="1"/>
  <c r="G70" i="14"/>
  <c r="V399" i="14"/>
  <c r="G160" i="14"/>
  <c r="G190" i="14"/>
  <c r="U15" i="18"/>
  <c r="S15" i="18"/>
  <c r="O15" i="18"/>
  <c r="B5" i="39"/>
  <c r="Q15" i="18"/>
  <c r="N16" i="9"/>
  <c r="Y16" i="3"/>
  <c r="W16" i="3"/>
  <c r="I7" i="8"/>
  <c r="U16" i="3"/>
  <c r="O97" i="14"/>
  <c r="J97" i="14" s="1"/>
  <c r="S115" i="14"/>
  <c r="K21" i="3"/>
  <c r="M21" i="3"/>
  <c r="AI31" i="18"/>
  <c r="AC31" i="18" s="1"/>
  <c r="T51" i="18"/>
  <c r="T52" i="3"/>
  <c r="U123" i="26"/>
  <c r="O123" i="26" s="1"/>
  <c r="O397" i="14"/>
  <c r="S265" i="14"/>
  <c r="AE25" i="18"/>
  <c r="D18" i="37"/>
  <c r="A23" i="39"/>
  <c r="AF36" i="2"/>
  <c r="AI33" i="18"/>
  <c r="AC33" i="18" s="1"/>
  <c r="Z22" i="18"/>
  <c r="M31" i="18"/>
  <c r="L31" i="18"/>
  <c r="S145" i="14"/>
  <c r="M22" i="18"/>
  <c r="M32" i="9"/>
  <c r="C23" i="3"/>
  <c r="K246" i="14"/>
  <c r="R264" i="14"/>
  <c r="Y23" i="18"/>
  <c r="Q23" i="18"/>
  <c r="U23" i="18"/>
  <c r="G579" i="14"/>
  <c r="L30" i="3"/>
  <c r="AE18" i="18"/>
  <c r="K31" i="18"/>
  <c r="X16" i="18"/>
  <c r="B4" i="39"/>
  <c r="Q15" i="3"/>
  <c r="Y19" i="18"/>
  <c r="T30" i="18"/>
  <c r="C25" i="3"/>
  <c r="K366" i="14"/>
  <c r="S17" i="3"/>
  <c r="S505" i="14"/>
  <c r="W119" i="26"/>
  <c r="V23" i="18"/>
  <c r="AG26" i="2"/>
  <c r="T23" i="18"/>
  <c r="N23" i="18"/>
  <c r="N24" i="3"/>
  <c r="X127" i="26"/>
  <c r="AK23" i="18"/>
  <c r="AD23" i="18" s="1"/>
  <c r="X23" i="18"/>
  <c r="V24" i="3"/>
  <c r="P23" i="18"/>
  <c r="P24" i="3"/>
  <c r="M19" i="9"/>
  <c r="D20" i="37"/>
  <c r="AF21" i="2"/>
  <c r="A8" i="39"/>
  <c r="AK31" i="18"/>
  <c r="AD31" i="18" s="1"/>
  <c r="P34" i="3"/>
  <c r="R33" i="18"/>
  <c r="X137" i="26"/>
  <c r="R34" i="3"/>
  <c r="P33" i="18"/>
  <c r="V33" i="18"/>
  <c r="N34" i="3"/>
  <c r="X33" i="18"/>
  <c r="AG36" i="2"/>
  <c r="T33" i="18"/>
  <c r="N33" i="18"/>
  <c r="V34" i="3"/>
  <c r="Z17" i="3"/>
  <c r="Z16" i="18"/>
  <c r="S295" i="14"/>
  <c r="N277" i="14"/>
  <c r="O277" i="14"/>
  <c r="T24" i="3"/>
  <c r="I31" i="9"/>
  <c r="W32" i="3"/>
  <c r="O32" i="3"/>
  <c r="Q31" i="18"/>
  <c r="O31" i="18"/>
  <c r="G520" i="14"/>
  <c r="W31" i="18"/>
  <c r="U32" i="3"/>
  <c r="N32" i="9"/>
  <c r="W135" i="26"/>
  <c r="U31" i="18"/>
  <c r="Y32" i="3"/>
  <c r="Q32" i="3"/>
  <c r="S32" i="3"/>
  <c r="O27" i="18"/>
  <c r="S28" i="3"/>
  <c r="W131" i="26"/>
  <c r="Q27" i="18"/>
  <c r="W28" i="3"/>
  <c r="N28" i="9"/>
  <c r="U28" i="3"/>
  <c r="U27" i="18"/>
  <c r="G13" i="12"/>
  <c r="O28" i="3"/>
  <c r="G400" i="14"/>
  <c r="B17" i="39"/>
  <c r="Y28" i="3"/>
  <c r="S27" i="18"/>
  <c r="G129" i="14"/>
  <c r="AE29" i="3"/>
  <c r="AE28" i="18"/>
  <c r="E12" i="4"/>
  <c r="R7" i="21"/>
  <c r="G1" i="9"/>
  <c r="Q11" i="9"/>
  <c r="D11" i="9" s="1"/>
  <c r="W10" i="3"/>
  <c r="D17" i="37"/>
  <c r="AI15" i="18"/>
  <c r="AC15" i="18" s="1"/>
  <c r="T17" i="3"/>
  <c r="R17" i="3"/>
  <c r="X17" i="3"/>
  <c r="V17" i="3"/>
  <c r="AG19" i="2"/>
  <c r="P16" i="18"/>
  <c r="N16" i="18"/>
  <c r="Q17" i="3"/>
  <c r="Q16" i="18"/>
  <c r="U16" i="18"/>
  <c r="Y17" i="3"/>
  <c r="W16" i="18"/>
  <c r="W17" i="3"/>
  <c r="Y16" i="18"/>
  <c r="O16" i="18"/>
  <c r="M24" i="9"/>
  <c r="A13" i="39"/>
  <c r="D25" i="37"/>
  <c r="C38" i="9"/>
  <c r="L40" i="9" s="1"/>
  <c r="S20" i="3"/>
  <c r="W123" i="26"/>
  <c r="W20" i="3"/>
  <c r="U20" i="3"/>
  <c r="N20" i="9"/>
  <c r="Y20" i="3"/>
  <c r="O20" i="3"/>
  <c r="O19" i="18"/>
  <c r="O20" i="18"/>
  <c r="C1" i="20"/>
  <c r="Y21" i="3"/>
  <c r="Q20" i="18"/>
  <c r="S20" i="18"/>
  <c r="Q21" i="3"/>
  <c r="S21" i="3"/>
  <c r="Y20" i="18"/>
  <c r="D22" i="37"/>
  <c r="N21" i="9"/>
  <c r="U21" i="3"/>
  <c r="AI20" i="18"/>
  <c r="AC20" i="18" s="1"/>
  <c r="O21" i="3"/>
  <c r="U20" i="18"/>
  <c r="M25" i="9"/>
  <c r="G309" i="14"/>
  <c r="H27" i="15"/>
  <c r="AI16" i="18"/>
  <c r="AC16" i="18" s="1"/>
  <c r="O517" i="14"/>
  <c r="BA3" i="15"/>
  <c r="R52" i="3"/>
  <c r="AF34" i="2"/>
  <c r="S24" i="3"/>
  <c r="N24" i="9"/>
  <c r="S23" i="18"/>
  <c r="G280" i="14"/>
  <c r="O24" i="3"/>
  <c r="Y24" i="3"/>
  <c r="AF31" i="2"/>
  <c r="A18" i="39"/>
  <c r="M29" i="9"/>
  <c r="P17" i="3"/>
  <c r="T16" i="18"/>
  <c r="O14" i="18"/>
  <c r="U14" i="18"/>
  <c r="K27" i="3"/>
  <c r="U19" i="18"/>
  <c r="A14" i="39"/>
  <c r="S55" i="14"/>
  <c r="N37" i="14"/>
  <c r="J37" i="14" s="1"/>
  <c r="AA39" i="14" s="1"/>
  <c r="B165" i="26"/>
  <c r="R54" i="14"/>
  <c r="C15" i="18"/>
  <c r="M7" i="8"/>
  <c r="C107" i="8"/>
  <c r="C5" i="39"/>
  <c r="B17" i="37"/>
  <c r="K36" i="14"/>
  <c r="O2" i="5"/>
  <c r="R30" i="18"/>
  <c r="C24" i="18"/>
  <c r="O13" i="5"/>
  <c r="S4" i="5" s="1"/>
  <c r="C26" i="18"/>
  <c r="AQ14" i="7"/>
  <c r="B176" i="26"/>
  <c r="R384" i="14"/>
  <c r="G39" i="14"/>
  <c r="K396" i="14"/>
  <c r="O14" i="5"/>
  <c r="C17" i="39"/>
  <c r="B177" i="26"/>
  <c r="AQ15" i="7"/>
  <c r="B29" i="37"/>
  <c r="W120" i="26"/>
  <c r="O17" i="3"/>
  <c r="P7" i="26"/>
  <c r="S16" i="3"/>
  <c r="Y15" i="18"/>
  <c r="AG34" i="2"/>
  <c r="X31" i="18"/>
  <c r="R31" i="18"/>
  <c r="R32" i="3"/>
  <c r="T31" i="18"/>
  <c r="P32" i="3"/>
  <c r="P31" i="18"/>
  <c r="X32" i="3"/>
  <c r="T32" i="3"/>
  <c r="V31" i="18"/>
  <c r="X135" i="26"/>
  <c r="V32" i="3"/>
  <c r="M19" i="3"/>
  <c r="L21" i="3"/>
  <c r="J21" i="3"/>
  <c r="I21" i="9"/>
  <c r="R24" i="3"/>
  <c r="W124" i="26"/>
  <c r="S595" i="14"/>
  <c r="B21" i="39"/>
  <c r="Y27" i="18"/>
  <c r="AQ17" i="7"/>
  <c r="X118" i="26"/>
  <c r="P14" i="18"/>
  <c r="AI25" i="18"/>
  <c r="AC25" i="18" s="1"/>
  <c r="G339" i="14"/>
  <c r="AK20" i="18"/>
  <c r="AD20" i="18" s="1"/>
  <c r="T21" i="3"/>
  <c r="P20" i="18"/>
  <c r="N21" i="3"/>
  <c r="A20" i="39"/>
  <c r="W97" i="14"/>
  <c r="AI17" i="18"/>
  <c r="AC17" i="18" s="1"/>
  <c r="Q26" i="3"/>
  <c r="Q25" i="18"/>
  <c r="B27" i="37"/>
  <c r="C26" i="3"/>
  <c r="O12" i="5"/>
  <c r="A7" i="39"/>
  <c r="L7" i="26"/>
  <c r="N8" i="3"/>
  <c r="Q30" i="18"/>
  <c r="W30" i="18"/>
  <c r="O30" i="18"/>
  <c r="O31" i="3"/>
  <c r="Q31" i="3"/>
  <c r="N31" i="9"/>
  <c r="O579" i="14"/>
  <c r="AA583" i="14" s="1"/>
  <c r="O157" i="14"/>
  <c r="J157" i="14" s="1"/>
  <c r="AA159" i="14" s="1"/>
  <c r="S175" i="14"/>
  <c r="N30" i="9"/>
  <c r="Q30" i="3"/>
  <c r="O29" i="18"/>
  <c r="D31" i="37"/>
  <c r="X23" i="3"/>
  <c r="X126" i="26"/>
  <c r="T23" i="3"/>
  <c r="V23" i="3"/>
  <c r="AG25" i="2"/>
  <c r="V22" i="18"/>
  <c r="N22" i="18"/>
  <c r="N23" i="3"/>
  <c r="R23" i="3"/>
  <c r="C32" i="3"/>
  <c r="O18" i="5"/>
  <c r="Y9" i="5" s="1"/>
  <c r="C21" i="39"/>
  <c r="C31" i="18"/>
  <c r="AQ19" i="7"/>
  <c r="AL40" i="2"/>
  <c r="AG23" i="2"/>
  <c r="X21" i="3"/>
  <c r="D32" i="37"/>
  <c r="AQ13" i="7"/>
  <c r="D19" i="37"/>
  <c r="T13" i="14"/>
  <c r="Q7" i="11"/>
  <c r="M7" i="21"/>
  <c r="O5" i="8"/>
  <c r="AE6" i="15"/>
  <c r="S29" i="18"/>
  <c r="U30" i="3"/>
  <c r="W133" i="26"/>
  <c r="Y29" i="18"/>
  <c r="S30" i="3"/>
  <c r="O30" i="3"/>
  <c r="J27" i="3"/>
  <c r="J26" i="18"/>
  <c r="I17" i="9"/>
  <c r="J16" i="18"/>
  <c r="AF32" i="2"/>
  <c r="V4" i="3"/>
  <c r="J12" i="4"/>
  <c r="J22" i="18"/>
  <c r="I23" i="9"/>
  <c r="K31" i="15"/>
  <c r="T37" i="18"/>
  <c r="J24" i="3"/>
  <c r="J23" i="18"/>
  <c r="K186" i="14"/>
  <c r="B170" i="26"/>
  <c r="C10" i="39"/>
  <c r="C20" i="18"/>
  <c r="B22" i="37"/>
  <c r="C154" i="20"/>
  <c r="O7" i="5"/>
  <c r="R204" i="14"/>
  <c r="C21" i="3"/>
  <c r="E9" i="26"/>
  <c r="F14" i="4"/>
  <c r="F8" i="15"/>
  <c r="E9" i="3"/>
  <c r="O159" i="14"/>
  <c r="AA163" i="14" s="1"/>
  <c r="X17" i="18"/>
  <c r="T18" i="3"/>
  <c r="AG20" i="2"/>
  <c r="AK21" i="18"/>
  <c r="AD21" i="18" s="1"/>
  <c r="B35" i="37"/>
  <c r="C33" i="18"/>
  <c r="C23" i="39"/>
  <c r="X18" i="18"/>
  <c r="T18" i="18"/>
  <c r="P19" i="3"/>
  <c r="AG21" i="2"/>
  <c r="E37" i="2" s="1"/>
  <c r="C32" i="18"/>
  <c r="C33" i="3"/>
  <c r="AQ20" i="7"/>
  <c r="AQ16" i="7"/>
  <c r="G459" i="14"/>
  <c r="X28" i="18"/>
  <c r="T29" i="3"/>
  <c r="AG31" i="2"/>
  <c r="AF23" i="2"/>
  <c r="G189" i="14"/>
  <c r="O3" i="5"/>
  <c r="M21" i="9"/>
  <c r="V29" i="3"/>
  <c r="R28" i="18"/>
  <c r="T28" i="18"/>
  <c r="C19" i="18"/>
  <c r="P18" i="3"/>
  <c r="X121" i="26"/>
  <c r="N17" i="18"/>
  <c r="C19" i="3"/>
  <c r="O18" i="18"/>
  <c r="W19" i="3"/>
  <c r="G130" i="14"/>
  <c r="W18" i="18"/>
  <c r="Q19" i="3"/>
  <c r="W122" i="26"/>
  <c r="S18" i="18"/>
  <c r="Q18" i="18"/>
  <c r="U19" i="3"/>
  <c r="O19" i="3"/>
  <c r="S19" i="3"/>
  <c r="U18" i="18"/>
  <c r="B8" i="39"/>
  <c r="X21" i="18"/>
  <c r="AG24" i="2"/>
  <c r="R22" i="3"/>
  <c r="X22" i="3"/>
  <c r="X125" i="26"/>
  <c r="T22" i="3"/>
  <c r="P21" i="18"/>
  <c r="V22" i="3"/>
  <c r="R21" i="18"/>
  <c r="R19" i="3"/>
  <c r="V19" i="3"/>
  <c r="R564" i="14"/>
  <c r="A19" i="39"/>
  <c r="C16" i="18"/>
  <c r="C17" i="3"/>
  <c r="R84" i="14"/>
  <c r="J149" i="21"/>
  <c r="AQ4" i="7"/>
  <c r="C6" i="39"/>
  <c r="B166" i="26"/>
  <c r="B169" i="26"/>
  <c r="R174" i="14"/>
  <c r="AQ7" i="7"/>
  <c r="N18" i="3"/>
  <c r="T17" i="18"/>
  <c r="O5" i="5"/>
  <c r="C8" i="39"/>
  <c r="K126" i="14"/>
  <c r="B168" i="26"/>
  <c r="R144" i="14"/>
  <c r="N21" i="18"/>
  <c r="D1" i="21"/>
  <c r="Y25" i="3"/>
  <c r="N25" i="9"/>
  <c r="W128" i="26"/>
  <c r="G310" i="14"/>
  <c r="O25" i="3"/>
  <c r="W29" i="3"/>
  <c r="U28" i="18"/>
  <c r="O28" i="18"/>
  <c r="G430" i="14"/>
  <c r="Y29" i="3"/>
  <c r="S29" i="3"/>
  <c r="R29" i="18"/>
  <c r="T29" i="18"/>
  <c r="P30" i="3"/>
  <c r="AK29" i="18"/>
  <c r="AD29" i="18" s="1"/>
  <c r="X133" i="26"/>
  <c r="P29" i="18"/>
  <c r="N30" i="3"/>
  <c r="U23" i="3"/>
  <c r="O23" i="3"/>
  <c r="S22" i="18"/>
  <c r="B171" i="26"/>
  <c r="C21" i="18"/>
  <c r="C22" i="3"/>
  <c r="K216" i="14"/>
  <c r="B23" i="37"/>
  <c r="U25" i="3"/>
  <c r="Q24" i="18"/>
  <c r="U24" i="18"/>
  <c r="Q23" i="3"/>
  <c r="O22" i="18"/>
  <c r="B12" i="39"/>
  <c r="Y22" i="18"/>
  <c r="W22" i="18"/>
  <c r="G250" i="14"/>
  <c r="AQ18" i="7"/>
  <c r="H492" i="14" l="1"/>
  <c r="I462" i="14"/>
  <c r="C18" i="5"/>
  <c r="C7" i="5" s="1"/>
  <c r="S19" i="5"/>
  <c r="AK17" i="5"/>
  <c r="G9" i="21"/>
  <c r="E154" i="21" s="1"/>
  <c r="S9" i="5"/>
  <c r="J307" i="14"/>
  <c r="AA309" i="14" s="1"/>
  <c r="AS25" i="7"/>
  <c r="AS26" i="7" s="1"/>
  <c r="AS27" i="7" s="1"/>
  <c r="AS28" i="7" s="1"/>
  <c r="AS29" i="7" s="1"/>
  <c r="AS30" i="7" s="1"/>
  <c r="AS31" i="7" s="1"/>
  <c r="AS32" i="7" s="1"/>
  <c r="AS33" i="7" s="1"/>
  <c r="AS34" i="7" s="1"/>
  <c r="AS35" i="7" s="1"/>
  <c r="AS36" i="7" s="1"/>
  <c r="AS37" i="7" s="1"/>
  <c r="AS38" i="7" s="1"/>
  <c r="AS39" i="7" s="1"/>
  <c r="AS40" i="7" s="1"/>
  <c r="AS41" i="7" s="1"/>
  <c r="AS42" i="7" s="1"/>
  <c r="AS43" i="7" s="1"/>
  <c r="AS44" i="7" s="1"/>
  <c r="AS45" i="7" s="1"/>
  <c r="AS46" i="7" s="1"/>
  <c r="K26" i="7"/>
  <c r="M16" i="7"/>
  <c r="Q8" i="9"/>
  <c r="M28" i="3"/>
  <c r="Q7" i="9"/>
  <c r="AM40" i="2"/>
  <c r="H77" i="36"/>
  <c r="K30" i="18"/>
  <c r="L32" i="18"/>
  <c r="M26" i="18"/>
  <c r="J367" i="14"/>
  <c r="AA369" i="14" s="1"/>
  <c r="L29" i="18"/>
  <c r="M30" i="18"/>
  <c r="L24" i="18"/>
  <c r="W9" i="14"/>
  <c r="M18" i="3"/>
  <c r="M24" i="18"/>
  <c r="K24" i="3"/>
  <c r="AC15" i="14"/>
  <c r="L20" i="3"/>
  <c r="R29" i="36"/>
  <c r="K32" i="18"/>
  <c r="K28" i="3"/>
  <c r="M23" i="3"/>
  <c r="K26" i="18"/>
  <c r="C23" i="36"/>
  <c r="O66" i="15"/>
  <c r="Y517" i="14"/>
  <c r="AA521" i="14" s="1"/>
  <c r="K18" i="3"/>
  <c r="L34" i="3"/>
  <c r="O52" i="3"/>
  <c r="Y189" i="14"/>
  <c r="AA195" i="14" s="1"/>
  <c r="Y459" i="14"/>
  <c r="AA465" i="14" s="1"/>
  <c r="V26" i="7"/>
  <c r="Y8" i="14"/>
  <c r="K34" i="3"/>
  <c r="C26" i="7"/>
  <c r="J7" i="14"/>
  <c r="AA9" i="14" s="1"/>
  <c r="L32" i="3"/>
  <c r="L22" i="3"/>
  <c r="Y367" i="14"/>
  <c r="AA371" i="14" s="1"/>
  <c r="K23" i="18"/>
  <c r="K15" i="18"/>
  <c r="Z31" i="15"/>
  <c r="M29" i="18"/>
  <c r="M16" i="3"/>
  <c r="M23" i="18"/>
  <c r="O51" i="18"/>
  <c r="H16" i="4"/>
  <c r="Y576" i="14"/>
  <c r="Y6" i="14"/>
  <c r="Y368" i="14"/>
  <c r="K16" i="3"/>
  <c r="K32" i="3"/>
  <c r="G9" i="20"/>
  <c r="M22" i="3"/>
  <c r="J67" i="14"/>
  <c r="AA69" i="14" s="1"/>
  <c r="J457" i="14"/>
  <c r="AA459" i="14" s="1"/>
  <c r="Y157" i="14"/>
  <c r="AA161" i="14" s="1"/>
  <c r="J30" i="36"/>
  <c r="L15" i="18"/>
  <c r="M20" i="3"/>
  <c r="S46" i="36"/>
  <c r="F29" i="36"/>
  <c r="Y127" i="14"/>
  <c r="AA131" i="14" s="1"/>
  <c r="AC495" i="14"/>
  <c r="Y518" i="14"/>
  <c r="W158" i="14"/>
  <c r="N30" i="36"/>
  <c r="Y578" i="14"/>
  <c r="L23" i="3"/>
  <c r="J397" i="14"/>
  <c r="AA399" i="14" s="1"/>
  <c r="I157" i="14"/>
  <c r="J517" i="14"/>
  <c r="AA519" i="14" s="1"/>
  <c r="L24" i="3"/>
  <c r="J427" i="14"/>
  <c r="AA429" i="14" s="1"/>
  <c r="P39" i="2"/>
  <c r="R30" i="36"/>
  <c r="F30" i="36"/>
  <c r="J29" i="36"/>
  <c r="AC135" i="14"/>
  <c r="Y549" i="14"/>
  <c r="W549" i="14" s="1"/>
  <c r="L23" i="36"/>
  <c r="S47" i="36"/>
  <c r="C47" i="36" s="1"/>
  <c r="K20" i="18"/>
  <c r="M20" i="18"/>
  <c r="L20" i="18"/>
  <c r="J116" i="14"/>
  <c r="AA99" i="14"/>
  <c r="L29" i="3"/>
  <c r="M29" i="3"/>
  <c r="K29" i="3"/>
  <c r="O25" i="11"/>
  <c r="AM39" i="2"/>
  <c r="O32" i="11" s="1"/>
  <c r="Y51" i="18"/>
  <c r="W23" i="15"/>
  <c r="H53" i="15" s="1"/>
  <c r="Y52" i="3"/>
  <c r="K17" i="3"/>
  <c r="M17" i="3"/>
  <c r="L17" i="3"/>
  <c r="Y429" i="14"/>
  <c r="AC435" i="14"/>
  <c r="Y96" i="14"/>
  <c r="Y98" i="14"/>
  <c r="Y97" i="14"/>
  <c r="AA101" i="14" s="1"/>
  <c r="AF18" i="3"/>
  <c r="W9" i="3" s="1"/>
  <c r="AF17" i="3"/>
  <c r="W8" i="3" s="1"/>
  <c r="M18" i="18"/>
  <c r="L18" i="18"/>
  <c r="K18" i="18"/>
  <c r="I187" i="14"/>
  <c r="Y306" i="14"/>
  <c r="Y308" i="14"/>
  <c r="Y307" i="14"/>
  <c r="AA311" i="14" s="1"/>
  <c r="AC165" i="14"/>
  <c r="Y159" i="14"/>
  <c r="Y219" i="14"/>
  <c r="AC225" i="14"/>
  <c r="AC105" i="14"/>
  <c r="Y99" i="14"/>
  <c r="Y338" i="14"/>
  <c r="Y337" i="14"/>
  <c r="AA341" i="14" s="1"/>
  <c r="Y336" i="14"/>
  <c r="AC585" i="14"/>
  <c r="Y579" i="14"/>
  <c r="AA525" i="14"/>
  <c r="W519" i="14"/>
  <c r="AA375" i="14"/>
  <c r="W369" i="14"/>
  <c r="AC285" i="14"/>
  <c r="Y279" i="14"/>
  <c r="I217" i="14"/>
  <c r="W129" i="14"/>
  <c r="AA135" i="14"/>
  <c r="I97" i="14"/>
  <c r="Z19" i="15"/>
  <c r="K41" i="15"/>
  <c r="AT10" i="15"/>
  <c r="AT8" i="15"/>
  <c r="L28" i="18"/>
  <c r="M28" i="18"/>
  <c r="K28" i="18"/>
  <c r="D37" i="2"/>
  <c r="I38" i="2"/>
  <c r="AC255" i="14"/>
  <c r="Y249" i="14"/>
  <c r="AF16" i="18"/>
  <c r="X8" i="18" s="1"/>
  <c r="AF17" i="18"/>
  <c r="X9" i="18" s="1"/>
  <c r="Y398" i="14"/>
  <c r="Y396" i="14"/>
  <c r="Y397" i="14"/>
  <c r="AA401" i="14" s="1"/>
  <c r="Y547" i="14"/>
  <c r="AA551" i="14" s="1"/>
  <c r="Y546" i="14"/>
  <c r="Y548" i="14"/>
  <c r="U52" i="3"/>
  <c r="U51" i="18"/>
  <c r="Q23" i="15"/>
  <c r="T53" i="15" s="1"/>
  <c r="K53" i="15"/>
  <c r="Y247" i="14"/>
  <c r="AA251" i="14" s="1"/>
  <c r="Y246" i="14"/>
  <c r="Y248" i="14"/>
  <c r="Y67" i="14"/>
  <c r="AA71" i="14" s="1"/>
  <c r="Y68" i="14"/>
  <c r="Y66" i="14"/>
  <c r="I37" i="14"/>
  <c r="Z51" i="18"/>
  <c r="K57" i="15"/>
  <c r="Z57" i="15" s="1"/>
  <c r="Z27" i="15"/>
  <c r="J277" i="14"/>
  <c r="AA279" i="14" s="1"/>
  <c r="AC405" i="14"/>
  <c r="Y399" i="14"/>
  <c r="W69" i="14"/>
  <c r="AA75" i="14"/>
  <c r="Q51" i="18"/>
  <c r="Q52" i="3"/>
  <c r="K23" i="15"/>
  <c r="N53" i="15" s="1"/>
  <c r="M17" i="39"/>
  <c r="F17" i="39" s="1"/>
  <c r="M4" i="39"/>
  <c r="F4" i="39" s="1"/>
  <c r="M6" i="39"/>
  <c r="F6" i="39" s="1"/>
  <c r="M13" i="39"/>
  <c r="F13" i="39" s="1"/>
  <c r="M20" i="39"/>
  <c r="F20" i="39" s="1"/>
  <c r="M21" i="39"/>
  <c r="F21" i="39" s="1"/>
  <c r="M22" i="39"/>
  <c r="F22" i="39" s="1"/>
  <c r="M11" i="39"/>
  <c r="F11" i="39" s="1"/>
  <c r="M18" i="39"/>
  <c r="F18" i="39" s="1"/>
  <c r="M16" i="39"/>
  <c r="F16" i="39" s="1"/>
  <c r="M7" i="39"/>
  <c r="F7" i="39" s="1"/>
  <c r="M9" i="39"/>
  <c r="F9" i="39" s="1"/>
  <c r="M12" i="39"/>
  <c r="F12" i="39" s="1"/>
  <c r="N3" i="39"/>
  <c r="M8" i="39"/>
  <c r="F8" i="39" s="1"/>
  <c r="M19" i="39"/>
  <c r="F19" i="39" s="1"/>
  <c r="M5" i="39"/>
  <c r="F5" i="39" s="1"/>
  <c r="M10" i="39"/>
  <c r="F10" i="39" s="1"/>
  <c r="M23" i="39"/>
  <c r="F23" i="39" s="1"/>
  <c r="M15" i="39"/>
  <c r="F15" i="39" s="1"/>
  <c r="M14" i="39"/>
  <c r="F14" i="39" s="1"/>
  <c r="Y218" i="14"/>
  <c r="Y216" i="14"/>
  <c r="Y217" i="14"/>
  <c r="AA221" i="14" s="1"/>
  <c r="Z52" i="3"/>
  <c r="K25" i="18"/>
  <c r="M25" i="18"/>
  <c r="L25" i="18"/>
  <c r="I67" i="14"/>
  <c r="I7" i="14"/>
  <c r="Y309" i="14"/>
  <c r="AC315" i="14"/>
  <c r="N30" i="12"/>
  <c r="N21" i="12"/>
  <c r="N24" i="12"/>
  <c r="N28" i="12"/>
  <c r="R32" i="12"/>
  <c r="S32" i="12" s="1"/>
  <c r="AC345" i="14"/>
  <c r="Y339" i="14"/>
  <c r="AJ37" i="2"/>
  <c r="T35" i="3"/>
  <c r="T34" i="18"/>
  <c r="AC45" i="14"/>
  <c r="Y39" i="14"/>
  <c r="M15" i="3"/>
  <c r="L15" i="3"/>
  <c r="K15" i="3"/>
  <c r="S52" i="3"/>
  <c r="S51" i="18"/>
  <c r="N23" i="15"/>
  <c r="Q53" i="15" s="1"/>
  <c r="W51" i="18"/>
  <c r="T23" i="15"/>
  <c r="W53" i="15" s="1"/>
  <c r="W52" i="3"/>
  <c r="AA495" i="14"/>
  <c r="W489" i="14"/>
  <c r="Y428" i="14"/>
  <c r="Y427" i="14"/>
  <c r="AA431" i="14" s="1"/>
  <c r="Y426" i="14"/>
  <c r="U126" i="26"/>
  <c r="S116" i="26"/>
  <c r="O120" i="26"/>
  <c r="O126" i="26" s="1"/>
  <c r="I492" i="14" l="1"/>
  <c r="H522" i="14"/>
  <c r="Q9" i="9"/>
  <c r="W459" i="14"/>
  <c r="W189" i="14"/>
  <c r="AB52" i="3"/>
  <c r="AB51" i="18"/>
  <c r="AA555" i="14"/>
  <c r="AA345" i="14"/>
  <c r="W339" i="14"/>
  <c r="R21" i="12"/>
  <c r="S21" i="12" s="1"/>
  <c r="R24" i="12"/>
  <c r="S24" i="12" s="1"/>
  <c r="AA315" i="14"/>
  <c r="W309" i="14"/>
  <c r="W399" i="14"/>
  <c r="AA405" i="14"/>
  <c r="W249" i="14"/>
  <c r="AA255" i="14"/>
  <c r="N10" i="39"/>
  <c r="G10" i="39" s="1"/>
  <c r="N4" i="39"/>
  <c r="G4" i="39" s="1"/>
  <c r="N20" i="39"/>
  <c r="G20" i="39" s="1"/>
  <c r="N11" i="39"/>
  <c r="G11" i="39" s="1"/>
  <c r="O3" i="39"/>
  <c r="N13" i="39"/>
  <c r="G13" i="39" s="1"/>
  <c r="N9" i="39"/>
  <c r="G9" i="39" s="1"/>
  <c r="N16" i="39"/>
  <c r="G16" i="39" s="1"/>
  <c r="N6" i="39"/>
  <c r="G6" i="39" s="1"/>
  <c r="N23" i="39"/>
  <c r="G23" i="39" s="1"/>
  <c r="N5" i="39"/>
  <c r="G5" i="39" s="1"/>
  <c r="N21" i="39"/>
  <c r="G21" i="39" s="1"/>
  <c r="N18" i="39"/>
  <c r="G18" i="39" s="1"/>
  <c r="N22" i="39"/>
  <c r="G22" i="39" s="1"/>
  <c r="N7" i="39"/>
  <c r="G7" i="39" s="1"/>
  <c r="N8" i="39"/>
  <c r="G8" i="39" s="1"/>
  <c r="N19" i="39"/>
  <c r="G19" i="39" s="1"/>
  <c r="N17" i="39"/>
  <c r="G17" i="39" s="1"/>
  <c r="N14" i="39"/>
  <c r="G14" i="39" s="1"/>
  <c r="N12" i="39"/>
  <c r="G12" i="39" s="1"/>
  <c r="N15" i="39"/>
  <c r="G15" i="39" s="1"/>
  <c r="K49" i="15"/>
  <c r="Z23" i="15"/>
  <c r="AA585" i="14"/>
  <c r="W579" i="14"/>
  <c r="AA225" i="14"/>
  <c r="W219" i="14"/>
  <c r="AA435" i="14"/>
  <c r="W429" i="14"/>
  <c r="AA45" i="14"/>
  <c r="W39" i="14"/>
  <c r="R28" i="12"/>
  <c r="R30" i="12"/>
  <c r="AA285" i="14"/>
  <c r="W279" i="14"/>
  <c r="W99" i="14"/>
  <c r="AA105" i="14"/>
  <c r="AA165" i="14"/>
  <c r="W159" i="14"/>
  <c r="Z53" i="15"/>
  <c r="H552" i="14" l="1"/>
  <c r="I522" i="14"/>
  <c r="S30" i="12"/>
  <c r="S28" i="12"/>
  <c r="O23" i="39"/>
  <c r="H23" i="39" s="1"/>
  <c r="O16" i="39"/>
  <c r="H16" i="39" s="1"/>
  <c r="O14" i="39"/>
  <c r="H14" i="39" s="1"/>
  <c r="O17" i="39"/>
  <c r="H17" i="39" s="1"/>
  <c r="O9" i="39"/>
  <c r="H9" i="39" s="1"/>
  <c r="O10" i="39"/>
  <c r="H10" i="39" s="1"/>
  <c r="O11" i="39"/>
  <c r="H11" i="39" s="1"/>
  <c r="O21" i="39"/>
  <c r="H21" i="39" s="1"/>
  <c r="O5" i="39"/>
  <c r="H5" i="39" s="1"/>
  <c r="O13" i="39"/>
  <c r="H13" i="39" s="1"/>
  <c r="O6" i="39"/>
  <c r="H6" i="39" s="1"/>
  <c r="O15" i="39"/>
  <c r="H15" i="39" s="1"/>
  <c r="O19" i="39"/>
  <c r="H19" i="39" s="1"/>
  <c r="O18" i="39"/>
  <c r="H18" i="39" s="1"/>
  <c r="O20" i="39"/>
  <c r="H20" i="39" s="1"/>
  <c r="O4" i="39"/>
  <c r="H4" i="39" s="1"/>
  <c r="O8" i="39"/>
  <c r="H8" i="39" s="1"/>
  <c r="O22" i="39"/>
  <c r="H22" i="39" s="1"/>
  <c r="O12" i="39"/>
  <c r="H12" i="39" s="1"/>
  <c r="O7" i="39"/>
  <c r="H7" i="39" s="1"/>
  <c r="O16" i="41"/>
  <c r="S16" i="41" s="1"/>
  <c r="V39" i="41"/>
  <c r="H582" i="14" l="1"/>
  <c r="I582" i="14" s="1"/>
  <c r="I552" i="14"/>
  <c r="T104" i="23"/>
  <c r="T264" i="23"/>
  <c r="T344" i="23"/>
  <c r="W505" i="23"/>
  <c r="AB505" i="23" s="1"/>
  <c r="V105" i="23"/>
  <c r="X105" i="23"/>
  <c r="U146" i="23"/>
  <c r="GK4" i="2" s="1"/>
  <c r="V145" i="23"/>
  <c r="AB145" i="23" s="1"/>
  <c r="Z225" i="23"/>
  <c r="AB225" i="23" s="1"/>
  <c r="Y345" i="23"/>
  <c r="AB345" i="23" s="1"/>
  <c r="I40" i="2" l="1"/>
  <c r="H41" i="15" s="1"/>
  <c r="H49" i="15" s="1"/>
  <c r="Z49" i="15" s="1"/>
  <c r="GK46" i="2"/>
  <c r="GK48" i="2" s="1"/>
  <c r="U12" i="17"/>
  <c r="AB105" i="23"/>
  <c r="Z41" i="15" l="1"/>
  <c r="W12" i="17"/>
  <c r="U30" i="17"/>
  <c r="W30" i="17" s="1"/>
  <c r="Z506" i="23" l="1"/>
  <c r="AB506" i="23" l="1"/>
  <c r="GH13" i="2"/>
  <c r="AA504" i="23"/>
  <c r="GH47" i="2" l="1"/>
  <c r="GH48" i="2" s="1"/>
  <c r="GJ13" i="2"/>
  <c r="GJ47" i="2" s="1"/>
  <c r="GJ48" i="2" s="1"/>
</calcChain>
</file>

<file path=xl/comments1.xml><?xml version="1.0" encoding="utf-8"?>
<comments xmlns="http://schemas.openxmlformats.org/spreadsheetml/2006/main">
  <authors>
    <author>WinuE</author>
    <author>Tony</author>
  </authors>
  <commentList>
    <comment ref="HH2" authorId="0">
      <text>
        <r>
          <rPr>
            <sz val="10"/>
            <color indexed="81"/>
            <rFont val="Tahoma"/>
            <family val="2"/>
          </rPr>
          <t>E-MAIL</t>
        </r>
      </text>
    </comment>
    <comment ref="HI2" authorId="0">
      <text>
        <r>
          <rPr>
            <sz val="10"/>
            <color indexed="81"/>
            <rFont val="Tahoma"/>
            <family val="2"/>
          </rPr>
          <t>NOMBRE</t>
        </r>
      </text>
    </comment>
    <comment ref="HJ2" authorId="0">
      <text>
        <r>
          <rPr>
            <sz val="10"/>
            <color indexed="81"/>
            <rFont val="Tahoma"/>
            <family val="2"/>
          </rPr>
          <t>C.C.T.</t>
        </r>
      </text>
    </comment>
    <comment ref="HK2" authorId="0">
      <text>
        <r>
          <rPr>
            <sz val="10"/>
            <color indexed="81"/>
            <rFont val="Tahoma"/>
            <family val="2"/>
          </rPr>
          <t>DOMICILIO</t>
        </r>
      </text>
    </comment>
    <comment ref="HL2" authorId="0">
      <text>
        <r>
          <rPr>
            <sz val="10"/>
            <color indexed="81"/>
            <rFont val="Tahoma"/>
            <family val="2"/>
          </rPr>
          <t>TEL / LADA</t>
        </r>
      </text>
    </comment>
    <comment ref="HM2" authorId="0">
      <text>
        <r>
          <rPr>
            <sz val="10"/>
            <color indexed="81"/>
            <rFont val="Tahoma"/>
            <family val="2"/>
          </rPr>
          <t>LOCALIDAD</t>
        </r>
      </text>
    </comment>
    <comment ref="HN2" authorId="0">
      <text>
        <r>
          <rPr>
            <sz val="10"/>
            <color indexed="81"/>
            <rFont val="Tahoma"/>
            <family val="2"/>
          </rPr>
          <t>MUNICIPIO</t>
        </r>
      </text>
    </comment>
    <comment ref="HO2" authorId="0">
      <text>
        <r>
          <rPr>
            <sz val="10"/>
            <color indexed="81"/>
            <rFont val="Tahoma"/>
            <family val="2"/>
          </rPr>
          <t>CONTROL PUBLICA</t>
        </r>
      </text>
    </comment>
    <comment ref="HP2" authorId="0">
      <text>
        <r>
          <rPr>
            <sz val="10"/>
            <color indexed="81"/>
            <rFont val="Tahoma"/>
            <family val="2"/>
          </rPr>
          <t>CONTROL PARTICULAR</t>
        </r>
      </text>
    </comment>
    <comment ref="HQ2" authorId="0">
      <text>
        <r>
          <rPr>
            <sz val="10"/>
            <color indexed="81"/>
            <rFont val="Tahoma"/>
            <family val="2"/>
          </rPr>
          <t>TURNOS MATUTINOS</t>
        </r>
      </text>
    </comment>
    <comment ref="HR2" authorId="0">
      <text>
        <r>
          <rPr>
            <sz val="10"/>
            <color indexed="81"/>
            <rFont val="Tahoma"/>
            <family val="2"/>
          </rPr>
          <t>TURNOS VESPERTINOS</t>
        </r>
      </text>
    </comment>
    <comment ref="HS2" authorId="0">
      <text>
        <r>
          <rPr>
            <sz val="10"/>
            <color indexed="81"/>
            <rFont val="Tahoma"/>
            <family val="2"/>
          </rPr>
          <t>CATEGORIAS URBANAS</t>
        </r>
      </text>
    </comment>
    <comment ref="HT2" authorId="0">
      <text>
        <r>
          <rPr>
            <sz val="10"/>
            <color indexed="81"/>
            <rFont val="Tahoma"/>
            <family val="2"/>
          </rPr>
          <t>CATEGORIAS RURALES</t>
        </r>
      </text>
    </comment>
    <comment ref="HU2" authorId="0">
      <text>
        <r>
          <rPr>
            <sz val="10"/>
            <color indexed="81"/>
            <rFont val="Tahoma"/>
            <family val="2"/>
          </rPr>
          <t>ORGANIZACIÓN COMPLETAS</t>
        </r>
      </text>
    </comment>
    <comment ref="HV2" authorId="0">
      <text>
        <r>
          <rPr>
            <sz val="10"/>
            <color indexed="81"/>
            <rFont val="Tahoma"/>
            <family val="2"/>
          </rPr>
          <t>ORGANIZACIÓN INCOMPLETAS</t>
        </r>
      </text>
    </comment>
    <comment ref="HW2" authorId="0">
      <text>
        <r>
          <rPr>
            <sz val="10"/>
            <color indexed="81"/>
            <rFont val="Tahoma"/>
            <family val="2"/>
          </rPr>
          <t>ORGANIZACIÓN UNITARIASS</t>
        </r>
      </text>
    </comment>
    <comment ref="HX2" authorId="0">
      <text>
        <r>
          <rPr>
            <sz val="10"/>
            <color indexed="81"/>
            <rFont val="Tahoma"/>
            <family val="2"/>
          </rPr>
          <t>PARCELA SI</t>
        </r>
      </text>
    </comment>
    <comment ref="HY2" authorId="0">
      <text>
        <r>
          <rPr>
            <sz val="10"/>
            <color indexed="81"/>
            <rFont val="Tahoma"/>
            <family val="2"/>
          </rPr>
          <t>PARCELAS NO</t>
        </r>
      </text>
    </comment>
    <comment ref="HZ2" authorId="0">
      <text>
        <r>
          <rPr>
            <sz val="10"/>
            <color indexed="81"/>
            <rFont val="Tahoma"/>
            <family val="2"/>
          </rPr>
          <t>TIENDA ESCOLAR SI</t>
        </r>
      </text>
    </comment>
    <comment ref="IA2" authorId="0">
      <text>
        <r>
          <rPr>
            <sz val="10"/>
            <color indexed="81"/>
            <rFont val="Tahoma"/>
            <family val="2"/>
          </rPr>
          <t>TIENDA ESCOLAR NO</t>
        </r>
      </text>
    </comment>
    <comment ref="IB2" authorId="0">
      <text>
        <r>
          <rPr>
            <sz val="10"/>
            <color indexed="81"/>
            <rFont val="Tahoma"/>
            <family val="2"/>
          </rPr>
          <t>AULAS EN USO
DOCENTE</t>
        </r>
      </text>
    </comment>
    <comment ref="IC2" authorId="0">
      <text>
        <r>
          <rPr>
            <sz val="10"/>
            <color indexed="81"/>
            <rFont val="Tahoma"/>
            <family val="2"/>
          </rPr>
          <t>AULAS DE USAER</t>
        </r>
      </text>
    </comment>
    <comment ref="ID2" authorId="0">
      <text>
        <r>
          <rPr>
            <sz val="10"/>
            <color indexed="81"/>
            <rFont val="Tahoma"/>
            <family val="2"/>
          </rPr>
          <t>AULAS DE MEDIOS</t>
        </r>
      </text>
    </comment>
    <comment ref="IE2" authorId="0">
      <text>
        <r>
          <rPr>
            <sz val="10"/>
            <color indexed="81"/>
            <rFont val="Tahoma"/>
            <family val="2"/>
          </rPr>
          <t>AULAS DE OTROS</t>
        </r>
      </text>
    </comment>
    <comment ref="IF2" authorId="0">
      <text>
        <r>
          <rPr>
            <sz val="10"/>
            <color indexed="81"/>
            <rFont val="Tahoma"/>
            <family val="2"/>
          </rPr>
          <t>AULAS DISPONIBLES</t>
        </r>
      </text>
    </comment>
    <comment ref="IG2" authorId="0">
      <text>
        <r>
          <rPr>
            <sz val="8"/>
            <color indexed="81"/>
            <rFont val="Tahoma"/>
            <family val="2"/>
          </rPr>
          <t>DIRECTOR CON GRUPO CLAVE 21</t>
        </r>
      </text>
    </comment>
    <comment ref="IH2" authorId="0">
      <text>
        <r>
          <rPr>
            <sz val="8"/>
            <color indexed="81"/>
            <rFont val="Tahoma"/>
            <family val="2"/>
          </rPr>
          <t>DIRECTOR SIN
 GRUPO CLAVE 21</t>
        </r>
      </text>
    </comment>
    <comment ref="II2" authorId="0">
      <text>
        <r>
          <rPr>
            <sz val="8"/>
            <color indexed="81"/>
            <rFont val="Tahoma"/>
            <family val="2"/>
          </rPr>
          <t>DIRECTOR CON GRUPO CLAVE 81</t>
        </r>
      </text>
    </comment>
    <comment ref="IJ2" authorId="0">
      <text>
        <r>
          <rPr>
            <sz val="8"/>
            <color indexed="81"/>
            <rFont val="Tahoma"/>
            <family val="2"/>
          </rPr>
          <t>DIRECTOR SIN    GRUPO CLAVE 81</t>
        </r>
      </text>
    </comment>
    <comment ref="IK2" authorId="0">
      <text>
        <r>
          <rPr>
            <sz val="8"/>
            <color indexed="81"/>
            <rFont val="Tahoma"/>
            <family val="2"/>
          </rPr>
          <t>DOCENTES</t>
        </r>
      </text>
    </comment>
    <comment ref="IL2" authorId="0">
      <text>
        <r>
          <rPr>
            <sz val="8"/>
            <color indexed="81"/>
            <rFont val="Tahoma"/>
            <family val="2"/>
          </rPr>
          <t>EDUCACION FISICA</t>
        </r>
      </text>
    </comment>
    <comment ref="IM2" authorId="0">
      <text>
        <r>
          <rPr>
            <sz val="8"/>
            <color indexed="81"/>
            <rFont val="Tahoma"/>
            <family val="2"/>
          </rPr>
          <t>USAER</t>
        </r>
      </text>
    </comment>
    <comment ref="IN2" authorId="0">
      <text>
        <r>
          <rPr>
            <sz val="8"/>
            <color indexed="81"/>
            <rFont val="Tahoma"/>
            <family val="2"/>
          </rPr>
          <t>INTENDENTES</t>
        </r>
      </text>
    </comment>
    <comment ref="IO2" authorId="0">
      <text>
        <r>
          <rPr>
            <sz val="8"/>
            <color indexed="81"/>
            <rFont val="Tahoma"/>
            <family val="2"/>
          </rPr>
          <t>OTROS</t>
        </r>
      </text>
    </comment>
    <comment ref="IP2" authorId="0">
      <text>
        <r>
          <rPr>
            <sz val="8"/>
            <color indexed="8"/>
            <rFont val="Tahoma"/>
            <family val="2"/>
          </rPr>
          <t>PREINSCRIPCION DE PRIMERO HOMBRES</t>
        </r>
      </text>
    </comment>
    <comment ref="IQ2" authorId="0">
      <text>
        <r>
          <rPr>
            <sz val="8"/>
            <color indexed="8"/>
            <rFont val="Tahoma"/>
            <family val="2"/>
          </rPr>
          <t>PREINSCRIPCION DE PRIMERO MUJERES</t>
        </r>
      </text>
    </comment>
    <comment ref="IR2" authorId="0">
      <text>
        <r>
          <rPr>
            <sz val="8"/>
            <color indexed="81"/>
            <rFont val="Tahoma"/>
            <family val="2"/>
          </rPr>
          <t>DIRECTIVOS CON CARRERA MAGISTERIAL</t>
        </r>
      </text>
    </comment>
    <comment ref="IS2" authorId="0">
      <text>
        <r>
          <rPr>
            <sz val="8"/>
            <color indexed="81"/>
            <rFont val="Tahoma"/>
            <family val="2"/>
          </rPr>
          <t>DOCENTES CON CARRERA MAGISTERIAL</t>
        </r>
      </text>
    </comment>
    <comment ref="IT2" authorId="0">
      <text>
        <r>
          <rPr>
            <sz val="8"/>
            <color indexed="81"/>
            <rFont val="Tahoma"/>
            <family val="2"/>
          </rPr>
          <t>EDUCACION FISICA CON CARRERA MAGISTERIAL</t>
        </r>
      </text>
    </comment>
    <comment ref="IU2" authorId="1">
      <text>
        <r>
          <rPr>
            <sz val="9"/>
            <color indexed="81"/>
            <rFont val="Tahoma"/>
            <family val="2"/>
          </rPr>
          <t xml:space="preserve">
USERA CON CARRERA MAGISTERIAL</t>
        </r>
      </text>
    </comment>
    <comment ref="IV2" authorId="1">
      <text>
        <r>
          <rPr>
            <b/>
            <sz val="9"/>
            <color indexed="81"/>
            <rFont val="Tahoma"/>
            <family val="2"/>
          </rPr>
          <t>Tony:</t>
        </r>
        <r>
          <rPr>
            <sz val="9"/>
            <color indexed="81"/>
            <rFont val="Tahoma"/>
            <family val="2"/>
          </rPr>
          <t xml:space="preserve">
</t>
        </r>
      </text>
    </comment>
    <comment ref="IW2" authorId="1">
      <text>
        <r>
          <rPr>
            <b/>
            <sz val="9"/>
            <color indexed="81"/>
            <rFont val="Tahoma"/>
            <family val="2"/>
          </rPr>
          <t>Tony:</t>
        </r>
        <r>
          <rPr>
            <sz val="9"/>
            <color indexed="81"/>
            <rFont val="Tahoma"/>
            <family val="2"/>
          </rPr>
          <t xml:space="preserve">
</t>
        </r>
      </text>
    </comment>
    <comment ref="IX2" authorId="1">
      <text>
        <r>
          <rPr>
            <b/>
            <sz val="9"/>
            <color indexed="81"/>
            <rFont val="Tahoma"/>
            <family val="2"/>
          </rPr>
          <t>Tony:</t>
        </r>
        <r>
          <rPr>
            <sz val="9"/>
            <color indexed="81"/>
            <rFont val="Tahoma"/>
            <family val="2"/>
          </rPr>
          <t xml:space="preserve">
</t>
        </r>
      </text>
    </comment>
    <comment ref="IY2" authorId="1">
      <text>
        <r>
          <rPr>
            <b/>
            <sz val="9"/>
            <color indexed="81"/>
            <rFont val="Tahoma"/>
            <family val="2"/>
          </rPr>
          <t>Tony:</t>
        </r>
        <r>
          <rPr>
            <sz val="9"/>
            <color indexed="81"/>
            <rFont val="Tahoma"/>
            <family val="2"/>
          </rPr>
          <t xml:space="preserve">
</t>
        </r>
      </text>
    </comment>
    <comment ref="IZ2" authorId="1">
      <text>
        <r>
          <rPr>
            <b/>
            <sz val="9"/>
            <color indexed="81"/>
            <rFont val="Tahoma"/>
            <family val="2"/>
          </rPr>
          <t>Tony:</t>
        </r>
        <r>
          <rPr>
            <sz val="9"/>
            <color indexed="81"/>
            <rFont val="Tahoma"/>
            <family val="2"/>
          </rPr>
          <t xml:space="preserve">
</t>
        </r>
      </text>
    </comment>
    <comment ref="JA2" authorId="1">
      <text>
        <r>
          <rPr>
            <b/>
            <sz val="9"/>
            <color indexed="81"/>
            <rFont val="Tahoma"/>
            <family val="2"/>
          </rPr>
          <t>Tony:</t>
        </r>
        <r>
          <rPr>
            <sz val="9"/>
            <color indexed="81"/>
            <rFont val="Tahoma"/>
            <family val="2"/>
          </rPr>
          <t xml:space="preserve">
</t>
        </r>
      </text>
    </comment>
    <comment ref="JB2" authorId="1">
      <text>
        <r>
          <rPr>
            <b/>
            <sz val="9"/>
            <color indexed="81"/>
            <rFont val="Tahoma"/>
            <family val="2"/>
          </rPr>
          <t>Tony:</t>
        </r>
        <r>
          <rPr>
            <sz val="9"/>
            <color indexed="81"/>
            <rFont val="Tahoma"/>
            <family val="2"/>
          </rPr>
          <t xml:space="preserve">
</t>
        </r>
      </text>
    </comment>
    <comment ref="JC2" authorId="1">
      <text>
        <r>
          <rPr>
            <b/>
            <sz val="9"/>
            <color indexed="81"/>
            <rFont val="Tahoma"/>
            <family val="2"/>
          </rPr>
          <t>Tony:</t>
        </r>
        <r>
          <rPr>
            <sz val="9"/>
            <color indexed="81"/>
            <rFont val="Tahoma"/>
            <family val="2"/>
          </rPr>
          <t xml:space="preserve">
</t>
        </r>
      </text>
    </comment>
    <comment ref="T6" authorId="0">
      <text>
        <r>
          <rPr>
            <b/>
            <sz val="10"/>
            <color indexed="12"/>
            <rFont val="Tahoma"/>
            <family val="2"/>
          </rPr>
          <t>Escriba en este espacio de 1 en 1 hasta que se visualice los datos de su escuela y su personal docente.</t>
        </r>
      </text>
    </comment>
  </commentList>
</comments>
</file>

<file path=xl/comments10.xml><?xml version="1.0" encoding="utf-8"?>
<comments xmlns="http://schemas.openxmlformats.org/spreadsheetml/2006/main">
  <authors>
    <author>WinuE</author>
  </authors>
  <commentList>
    <comment ref="J7" authorId="0">
      <text>
        <r>
          <rPr>
            <sz val="8"/>
            <color indexed="12"/>
            <rFont val="Tahoma"/>
            <family val="2"/>
          </rPr>
          <t xml:space="preserve">Escriba en este espacio de </t>
        </r>
        <r>
          <rPr>
            <b/>
            <sz val="8"/>
            <color indexed="12"/>
            <rFont val="Tahoma"/>
            <family val="2"/>
          </rPr>
          <t xml:space="preserve">1 </t>
        </r>
        <r>
          <rPr>
            <sz val="8"/>
            <color indexed="12"/>
            <rFont val="Tahoma"/>
            <family val="2"/>
          </rPr>
          <t>en</t>
        </r>
        <r>
          <rPr>
            <b/>
            <sz val="8"/>
            <color indexed="12"/>
            <rFont val="Tahoma"/>
            <family val="2"/>
          </rPr>
          <t xml:space="preserve"> 1 </t>
        </r>
        <r>
          <rPr>
            <sz val="8"/>
            <color indexed="12"/>
            <rFont val="Tahoma"/>
            <family val="2"/>
          </rPr>
          <t>hasta visualizar lo deseado.</t>
        </r>
      </text>
    </comment>
    <comment ref="K7" authorId="0">
      <text>
        <r>
          <rPr>
            <b/>
            <sz val="7"/>
            <color indexed="12"/>
            <rFont val="Tahoma"/>
            <family val="2"/>
          </rPr>
          <t>ESCRIBA:</t>
        </r>
        <r>
          <rPr>
            <sz val="7"/>
            <color indexed="12"/>
            <rFont val="Tahoma"/>
            <family val="2"/>
          </rPr>
          <t xml:space="preserve">
</t>
        </r>
        <r>
          <rPr>
            <b/>
            <sz val="7"/>
            <color indexed="12"/>
            <rFont val="Tahoma"/>
            <family val="2"/>
          </rPr>
          <t xml:space="preserve"> 1 </t>
        </r>
        <r>
          <rPr>
            <sz val="7"/>
            <color indexed="12"/>
            <rFont val="Tahoma"/>
            <family val="2"/>
          </rPr>
          <t xml:space="preserve">para Docente
</t>
        </r>
        <r>
          <rPr>
            <b/>
            <sz val="7"/>
            <color indexed="12"/>
            <rFont val="Tahoma"/>
            <family val="2"/>
          </rPr>
          <t>2</t>
        </r>
        <r>
          <rPr>
            <sz val="7"/>
            <color indexed="12"/>
            <rFont val="Tahoma"/>
            <family val="2"/>
          </rPr>
          <t xml:space="preserve"> para No docente</t>
        </r>
      </text>
    </comment>
    <comment ref="L7" authorId="0">
      <text>
        <r>
          <rPr>
            <sz val="8"/>
            <color indexed="81"/>
            <rFont val="Tahoma"/>
            <family val="2"/>
          </rPr>
          <t xml:space="preserve">
</t>
        </r>
        <r>
          <rPr>
            <b/>
            <sz val="8"/>
            <color indexed="12"/>
            <rFont val="Tahoma"/>
            <family val="2"/>
          </rPr>
          <t>GRUPO ESCALAFONARIO</t>
        </r>
        <r>
          <rPr>
            <sz val="8"/>
            <color indexed="12"/>
            <rFont val="Tahoma"/>
            <family val="2"/>
          </rPr>
          <t xml:space="preserve">
I Primaria.
II Secundaria.
III Otros</t>
        </r>
      </text>
    </comment>
    <comment ref="M7" authorId="0">
      <text>
        <r>
          <rPr>
            <sz val="8"/>
            <color indexed="12"/>
            <rFont val="Tahoma"/>
            <family val="2"/>
          </rPr>
          <t xml:space="preserve">
</t>
        </r>
        <r>
          <rPr>
            <b/>
            <sz val="8"/>
            <color indexed="12"/>
            <rFont val="Tahoma"/>
            <family val="2"/>
          </rPr>
          <t>Esta viene de visita automatizado</t>
        </r>
      </text>
    </comment>
  </commentList>
</comments>
</file>

<file path=xl/comments11.xml><?xml version="1.0" encoding="utf-8"?>
<comments xmlns="http://schemas.openxmlformats.org/spreadsheetml/2006/main">
  <authors>
    <author>WinuE</author>
    <author>BlackCrystal™ v8</author>
    <author>USUARIO</author>
  </authors>
  <commentList>
    <comment ref="AV2" authorId="0">
      <text>
        <r>
          <rPr>
            <b/>
            <sz val="8"/>
            <color indexed="81"/>
            <rFont val="Tahoma"/>
            <family val="2"/>
          </rPr>
          <t>Antonio Garcia:</t>
        </r>
        <r>
          <rPr>
            <sz val="8"/>
            <color indexed="81"/>
            <rFont val="Tahoma"/>
            <family val="2"/>
          </rPr>
          <t xml:space="preserve">
Director sin grupo</t>
        </r>
      </text>
    </comment>
    <comment ref="AV3" authorId="0">
      <text>
        <r>
          <rPr>
            <b/>
            <sz val="8"/>
            <color indexed="81"/>
            <rFont val="Tahoma"/>
            <family val="2"/>
          </rPr>
          <t>Antonio Garcia:</t>
        </r>
        <r>
          <rPr>
            <sz val="8"/>
            <color indexed="81"/>
            <rFont val="Tahoma"/>
            <family val="2"/>
          </rPr>
          <t xml:space="preserve">
Director con grupo o comisionado</t>
        </r>
      </text>
    </comment>
    <comment ref="AV4" authorId="0">
      <text>
        <r>
          <rPr>
            <b/>
            <sz val="8"/>
            <color indexed="81"/>
            <rFont val="Tahoma"/>
            <family val="2"/>
          </rPr>
          <t>Antonio Garcia:</t>
        </r>
        <r>
          <rPr>
            <sz val="8"/>
            <color indexed="81"/>
            <rFont val="Tahoma"/>
            <family val="2"/>
          </rPr>
          <t xml:space="preserve">
Docentes o maestros frente a grupo</t>
        </r>
      </text>
    </comment>
    <comment ref="O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5" authorId="1">
      <text>
        <r>
          <rPr>
            <b/>
            <sz val="8"/>
            <color indexed="81"/>
            <rFont val="Tahoma"/>
            <family val="2"/>
          </rPr>
          <t>TONY GARCIA:</t>
        </r>
        <r>
          <rPr>
            <sz val="8"/>
            <color indexed="81"/>
            <rFont val="Tahoma"/>
            <family val="2"/>
          </rPr>
          <t xml:space="preserve">
EL ESPACIO DE LA DERECHA SE LLENARA AUTOMATICAMENTE</t>
        </r>
      </text>
    </comment>
    <comment ref="AV5" authorId="0">
      <text>
        <r>
          <rPr>
            <b/>
            <sz val="8"/>
            <color indexed="81"/>
            <rFont val="Tahoma"/>
            <family val="2"/>
          </rPr>
          <t>Antonio Garcia:</t>
        </r>
        <r>
          <rPr>
            <sz val="8"/>
            <color indexed="81"/>
            <rFont val="Tahoma"/>
            <family val="2"/>
          </rPr>
          <t xml:space="preserve">
Personal administrativo y auxiliar</t>
        </r>
      </text>
    </comment>
    <comment ref="AV6" authorId="0">
      <text>
        <r>
          <rPr>
            <b/>
            <sz val="8"/>
            <color indexed="81"/>
            <rFont val="Tahoma"/>
            <family val="2"/>
          </rPr>
          <t>Antonio Garcia:</t>
        </r>
        <r>
          <rPr>
            <sz val="8"/>
            <color indexed="81"/>
            <rFont val="Tahoma"/>
            <family val="2"/>
          </rPr>
          <t xml:space="preserve">
Educacion Fisisca</t>
        </r>
      </text>
    </comment>
    <comment ref="N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7" authorId="1">
      <text>
        <r>
          <rPr>
            <b/>
            <sz val="8"/>
            <color indexed="81"/>
            <rFont val="Tahoma"/>
            <family val="2"/>
          </rPr>
          <t>TONY GARCIA:</t>
        </r>
        <r>
          <rPr>
            <sz val="8"/>
            <color indexed="81"/>
            <rFont val="Tahoma"/>
            <family val="2"/>
          </rPr>
          <t xml:space="preserve">
EL ESPACIO DE LA DERECHA SE LLENARA AUTOMATICAMENTE</t>
        </r>
      </text>
    </comment>
    <comment ref="AV7" authorId="0">
      <text>
        <r>
          <rPr>
            <b/>
            <sz val="8"/>
            <color indexed="81"/>
            <rFont val="Tahoma"/>
            <family val="2"/>
          </rPr>
          <t>Antonio Garcia:</t>
        </r>
        <r>
          <rPr>
            <sz val="8"/>
            <color indexed="81"/>
            <rFont val="Tahoma"/>
            <family val="2"/>
          </rPr>
          <t xml:space="preserve">
Maestro de musica o de actividades artisticas</t>
        </r>
      </text>
    </comment>
    <comment ref="AV8" authorId="0">
      <text>
        <r>
          <rPr>
            <b/>
            <sz val="8"/>
            <color indexed="81"/>
            <rFont val="Tahoma"/>
            <family val="2"/>
          </rPr>
          <t>Antonio Garcia:</t>
        </r>
        <r>
          <rPr>
            <sz val="8"/>
            <color indexed="81"/>
            <rFont val="Tahoma"/>
            <family val="2"/>
          </rPr>
          <t xml:space="preserve">
Maestro de actividades culturales</t>
        </r>
      </text>
    </comment>
    <comment ref="O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9" authorId="1">
      <text>
        <r>
          <rPr>
            <b/>
            <sz val="8"/>
            <color indexed="81"/>
            <rFont val="Tahoma"/>
            <family val="2"/>
          </rPr>
          <t>TONY GARCIA:</t>
        </r>
        <r>
          <rPr>
            <sz val="8"/>
            <color indexed="81"/>
            <rFont val="Tahoma"/>
            <family val="2"/>
          </rPr>
          <t xml:space="preserve">
</t>
        </r>
      </text>
    </comment>
    <comment ref="Z9" authorId="1">
      <text>
        <r>
          <rPr>
            <b/>
            <sz val="8"/>
            <color indexed="81"/>
            <rFont val="Tahoma"/>
            <family val="2"/>
          </rPr>
          <t>TONY GARCIA:</t>
        </r>
        <r>
          <rPr>
            <sz val="8"/>
            <color indexed="81"/>
            <rFont val="Tahoma"/>
            <family val="2"/>
          </rPr>
          <t xml:space="preserve">
EL ESPACIO DE LA DERECHA SE LLENARA AUTOMATICAMENTE</t>
        </r>
      </text>
    </comment>
    <comment ref="AV9" authorId="0">
      <text>
        <r>
          <rPr>
            <b/>
            <sz val="8"/>
            <color indexed="81"/>
            <rFont val="Tahoma"/>
            <family val="2"/>
          </rPr>
          <t>Antonio Garcia:</t>
        </r>
        <r>
          <rPr>
            <sz val="8"/>
            <color indexed="81"/>
            <rFont val="Tahoma"/>
            <family val="2"/>
          </rPr>
          <t xml:space="preserve">
Intendentes</t>
        </r>
      </text>
    </comment>
    <comment ref="AV10" authorId="0">
      <text>
        <r>
          <rPr>
            <b/>
            <sz val="8"/>
            <color indexed="81"/>
            <rFont val="Tahoma"/>
            <family val="2"/>
          </rPr>
          <t>WinuE:</t>
        </r>
        <r>
          <rPr>
            <sz val="8"/>
            <color indexed="81"/>
            <rFont val="Tahoma"/>
            <family val="2"/>
          </rPr>
          <t xml:space="preserve">
Maestro de idiomas o actividades tecnologicas</t>
        </r>
      </text>
    </comment>
    <comment ref="M1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1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1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1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1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1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1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1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11" authorId="1">
      <text>
        <r>
          <rPr>
            <b/>
            <sz val="8"/>
            <color indexed="81"/>
            <rFont val="Tahoma"/>
            <family val="2"/>
          </rPr>
          <t>TONY GARCIA:</t>
        </r>
        <r>
          <rPr>
            <sz val="8"/>
            <color indexed="81"/>
            <rFont val="Tahoma"/>
            <family val="2"/>
          </rPr>
          <t xml:space="preserve">
EL ESPACIO DE LA DERECHA SE LLENARA AUTOMATICAMENTE</t>
        </r>
      </text>
    </comment>
    <comment ref="AV11" authorId="0">
      <text>
        <r>
          <rPr>
            <b/>
            <sz val="8"/>
            <color indexed="81"/>
            <rFont val="Tahoma"/>
            <family val="2"/>
          </rPr>
          <t>Anonio Garcia:</t>
        </r>
        <r>
          <rPr>
            <sz val="8"/>
            <color indexed="81"/>
            <rFont val="Tahoma"/>
            <family val="2"/>
          </rPr>
          <t xml:space="preserve">
Maestro (a) de USAER</t>
        </r>
      </text>
    </comment>
    <comment ref="AV12" authorId="0">
      <text>
        <r>
          <rPr>
            <b/>
            <sz val="8"/>
            <color indexed="81"/>
            <rFont val="Tahoma"/>
            <family val="2"/>
          </rPr>
          <t>Antonio Garcia:</t>
        </r>
        <r>
          <rPr>
            <sz val="8"/>
            <color indexed="81"/>
            <rFont val="Tahoma"/>
            <family val="2"/>
          </rPr>
          <t xml:space="preserve">
Otros</t>
        </r>
      </text>
    </comment>
    <comment ref="N1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1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1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13" authorId="1">
      <text>
        <r>
          <rPr>
            <b/>
            <sz val="8"/>
            <color indexed="81"/>
            <rFont val="Tahoma"/>
            <family val="2"/>
          </rPr>
          <t>TONY GARCIA:</t>
        </r>
        <r>
          <rPr>
            <sz val="8"/>
            <color indexed="81"/>
            <rFont val="Tahoma"/>
            <family val="2"/>
          </rPr>
          <t xml:space="preserve">
</t>
        </r>
      </text>
    </comment>
    <comment ref="F15" authorId="1">
      <text>
        <r>
          <rPr>
            <b/>
            <sz val="8"/>
            <color indexed="81"/>
            <rFont val="Tahoma"/>
            <family val="2"/>
          </rPr>
          <t>TONY GARCIA:</t>
        </r>
        <r>
          <rPr>
            <sz val="8"/>
            <color indexed="81"/>
            <rFont val="Tahoma"/>
            <family val="2"/>
          </rPr>
          <t xml:space="preserve">
EL ESPACIO DE LA DERECHA SE LLENARA AUTOMATICAMENTE</t>
        </r>
      </text>
    </comment>
    <comment ref="R1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15" authorId="1">
      <text>
        <r>
          <rPr>
            <b/>
            <sz val="8"/>
            <color indexed="81"/>
            <rFont val="Tahoma"/>
            <family val="2"/>
          </rPr>
          <t>TONY GARCIA:</t>
        </r>
        <r>
          <rPr>
            <sz val="8"/>
            <color indexed="81"/>
            <rFont val="Tahoma"/>
            <family val="2"/>
          </rPr>
          <t xml:space="preserve">
EL ESPACIO DE LA DERECHA SE LLENARA AUTOMATICAMENTE</t>
        </r>
      </text>
    </comment>
    <comment ref="F16" authorId="1">
      <text>
        <r>
          <rPr>
            <b/>
            <sz val="8"/>
            <color indexed="81"/>
            <rFont val="Tahoma"/>
            <family val="2"/>
          </rPr>
          <t>TONY GARCIA:</t>
        </r>
        <r>
          <rPr>
            <sz val="8"/>
            <color indexed="81"/>
            <rFont val="Tahoma"/>
            <family val="2"/>
          </rPr>
          <t xml:space="preserve">
EL ESPACIO DE LA DERECHA SE LLENARA AUTOMATICAMENTE</t>
        </r>
      </text>
    </comment>
    <comment ref="R1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17" authorId="1">
      <text>
        <r>
          <rPr>
            <b/>
            <sz val="8"/>
            <color indexed="81"/>
            <rFont val="Tahoma"/>
            <family val="2"/>
          </rPr>
          <t>TONY GARCIA:</t>
        </r>
        <r>
          <rPr>
            <sz val="8"/>
            <color indexed="81"/>
            <rFont val="Tahoma"/>
            <family val="2"/>
          </rPr>
          <t xml:space="preserve">
EL ESPACIO DE LA DERECHA SE LLENARA AUTOMATICAMENTE</t>
        </r>
      </text>
    </comment>
    <comment ref="R1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17" authorId="1">
      <text>
        <r>
          <rPr>
            <b/>
            <sz val="8"/>
            <color indexed="81"/>
            <rFont val="Tahoma"/>
            <family val="2"/>
          </rPr>
          <t>TONY GARCIA:</t>
        </r>
        <r>
          <rPr>
            <sz val="8"/>
            <color indexed="81"/>
            <rFont val="Tahoma"/>
            <family val="2"/>
          </rPr>
          <t xml:space="preserve">
EL ESPACIO DE LA DERECHA SE LLENARA AUTOMATICAMENTE</t>
        </r>
      </text>
    </comment>
    <comment ref="R1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1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1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2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2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2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2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2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29" authorId="1">
      <text>
        <r>
          <rPr>
            <b/>
            <sz val="8"/>
            <color indexed="81"/>
            <rFont val="Tahoma"/>
            <family val="2"/>
          </rPr>
          <t>TONY GARCIA:</t>
        </r>
        <r>
          <rPr>
            <sz val="8"/>
            <color indexed="81"/>
            <rFont val="Tahoma"/>
            <family val="2"/>
          </rPr>
          <t xml:space="preserve">
EL ESPACIO DE LA DERECHA SE LLENARA AUTOMATICAMENTE</t>
        </r>
      </text>
    </comment>
    <comment ref="Z31" authorId="1">
      <text>
        <r>
          <rPr>
            <b/>
            <sz val="8"/>
            <color indexed="81"/>
            <rFont val="Tahoma"/>
            <family val="2"/>
          </rPr>
          <t>TONY GARCIA:</t>
        </r>
        <r>
          <rPr>
            <sz val="8"/>
            <color indexed="81"/>
            <rFont val="Tahoma"/>
            <family val="2"/>
          </rPr>
          <t xml:space="preserve">
EL ESPACIO DE LA DERECHA SE LLENARA AUTOMATICAMENTE</t>
        </r>
      </text>
    </comment>
    <comment ref="F3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3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3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3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3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32" authorId="1">
      <text>
        <r>
          <rPr>
            <b/>
            <sz val="8"/>
            <color indexed="81"/>
            <rFont val="Tahoma"/>
            <family val="2"/>
          </rPr>
          <t>TONY GARCIA:</t>
        </r>
        <r>
          <rPr>
            <sz val="8"/>
            <color indexed="81"/>
            <rFont val="Tahoma"/>
            <family val="2"/>
          </rPr>
          <t xml:space="preserve">
EL ESPACIO DE LA DERECHA SE LLENARA AUTOMATICAMENTE</t>
        </r>
      </text>
    </comment>
    <comment ref="Z33" authorId="1">
      <text>
        <r>
          <rPr>
            <b/>
            <sz val="8"/>
            <color indexed="81"/>
            <rFont val="Tahoma"/>
            <family val="2"/>
          </rPr>
          <t>TONY GARCIA:</t>
        </r>
        <r>
          <rPr>
            <sz val="8"/>
            <color indexed="81"/>
            <rFont val="Tahoma"/>
            <family val="2"/>
          </rPr>
          <t xml:space="preserve">
EL ESPACIO DE LA DERECHA SE LLENARA AUTOMATICAMENTE</t>
        </r>
      </text>
    </comment>
    <comment ref="O3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3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3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35" authorId="1">
      <text>
        <r>
          <rPr>
            <b/>
            <sz val="8"/>
            <color indexed="81"/>
            <rFont val="Tahoma"/>
            <family val="2"/>
          </rPr>
          <t>TONY GARCIA:</t>
        </r>
        <r>
          <rPr>
            <sz val="8"/>
            <color indexed="81"/>
            <rFont val="Tahoma"/>
            <family val="2"/>
          </rPr>
          <t xml:space="preserve">
EL ESPACIO DE LA DERECHA SE LLENARA AUTOMATICAMENTE</t>
        </r>
      </text>
    </comment>
    <comment ref="N3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3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3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3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37" authorId="1">
      <text>
        <r>
          <rPr>
            <b/>
            <sz val="8"/>
            <color indexed="81"/>
            <rFont val="Tahoma"/>
            <family val="2"/>
          </rPr>
          <t>TONY GARCIA:</t>
        </r>
        <r>
          <rPr>
            <sz val="8"/>
            <color indexed="81"/>
            <rFont val="Tahoma"/>
            <family val="2"/>
          </rPr>
          <t xml:space="preserve">
EL ESPACIO DE LA DERECHA SE LLENARA AUTOMATICAMENTE</t>
        </r>
      </text>
    </comment>
    <comment ref="O3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39" authorId="1">
      <text>
        <r>
          <rPr>
            <b/>
            <sz val="8"/>
            <color indexed="81"/>
            <rFont val="Tahoma"/>
            <family val="2"/>
          </rPr>
          <t>TONY GARCIA:</t>
        </r>
        <r>
          <rPr>
            <sz val="8"/>
            <color indexed="81"/>
            <rFont val="Tahoma"/>
            <family val="2"/>
          </rPr>
          <t xml:space="preserve">
</t>
        </r>
      </text>
    </comment>
    <comment ref="Z39" authorId="1">
      <text>
        <r>
          <rPr>
            <b/>
            <sz val="8"/>
            <color indexed="81"/>
            <rFont val="Tahoma"/>
            <family val="2"/>
          </rPr>
          <t>TONY GARCIA:</t>
        </r>
        <r>
          <rPr>
            <sz val="8"/>
            <color indexed="81"/>
            <rFont val="Tahoma"/>
            <family val="2"/>
          </rPr>
          <t xml:space="preserve">
EL ESPACIO DE LA DERECHA SE LLENARA AUTOMATICAMENTE</t>
        </r>
      </text>
    </comment>
    <comment ref="M4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4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4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4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4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4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4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4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41" authorId="1">
      <text>
        <r>
          <rPr>
            <b/>
            <sz val="8"/>
            <color indexed="81"/>
            <rFont val="Tahoma"/>
            <family val="2"/>
          </rPr>
          <t>TONY GARCIA:</t>
        </r>
        <r>
          <rPr>
            <sz val="8"/>
            <color indexed="81"/>
            <rFont val="Tahoma"/>
            <family val="2"/>
          </rPr>
          <t xml:space="preserve">
EL ESPACIO DE LA DERECHA SE LLENARA AUTOMATICAMENTE</t>
        </r>
      </text>
    </comment>
    <comment ref="N4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4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4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43" authorId="1">
      <text>
        <r>
          <rPr>
            <b/>
            <sz val="8"/>
            <color indexed="81"/>
            <rFont val="Tahoma"/>
            <family val="2"/>
          </rPr>
          <t>TONY GARCIA:</t>
        </r>
        <r>
          <rPr>
            <sz val="8"/>
            <color indexed="81"/>
            <rFont val="Tahoma"/>
            <family val="2"/>
          </rPr>
          <t xml:space="preserve">
</t>
        </r>
      </text>
    </comment>
    <comment ref="F45" authorId="1">
      <text>
        <r>
          <rPr>
            <b/>
            <sz val="8"/>
            <color indexed="81"/>
            <rFont val="Tahoma"/>
            <family val="2"/>
          </rPr>
          <t>TONY GARCIA:</t>
        </r>
        <r>
          <rPr>
            <sz val="8"/>
            <color indexed="81"/>
            <rFont val="Tahoma"/>
            <family val="2"/>
          </rPr>
          <t xml:space="preserve">
EL ESPACIO DE LA DERECHA SE LLENARA AUTOMATICAMENTE</t>
        </r>
      </text>
    </comment>
    <comment ref="R4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45" authorId="1">
      <text>
        <r>
          <rPr>
            <b/>
            <sz val="8"/>
            <color indexed="81"/>
            <rFont val="Tahoma"/>
            <family val="2"/>
          </rPr>
          <t>TONY GARCIA:</t>
        </r>
        <r>
          <rPr>
            <sz val="8"/>
            <color indexed="81"/>
            <rFont val="Tahoma"/>
            <family val="2"/>
          </rPr>
          <t xml:space="preserve">
EL ESPACIO DE LA DERECHA SE LLENARA AUTOMATICAMENTE</t>
        </r>
      </text>
    </comment>
    <comment ref="F46" authorId="1">
      <text>
        <r>
          <rPr>
            <b/>
            <sz val="8"/>
            <color indexed="81"/>
            <rFont val="Tahoma"/>
            <family val="2"/>
          </rPr>
          <t>TONY GARCIA:</t>
        </r>
        <r>
          <rPr>
            <sz val="8"/>
            <color indexed="81"/>
            <rFont val="Tahoma"/>
            <family val="2"/>
          </rPr>
          <t xml:space="preserve">
EL ESPACIO DE LA DERECHA SE LLENARA AUTOMATICAMENTE</t>
        </r>
      </text>
    </comment>
    <comment ref="R4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47" authorId="1">
      <text>
        <r>
          <rPr>
            <b/>
            <sz val="8"/>
            <color indexed="81"/>
            <rFont val="Tahoma"/>
            <family val="2"/>
          </rPr>
          <t>TONY GARCIA:</t>
        </r>
        <r>
          <rPr>
            <sz val="8"/>
            <color indexed="81"/>
            <rFont val="Tahoma"/>
            <family val="2"/>
          </rPr>
          <t xml:space="preserve">
EL ESPACIO DE LA DERECHA SE LLENARA AUTOMATICAMENTE</t>
        </r>
      </text>
    </comment>
    <comment ref="R4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47" authorId="1">
      <text>
        <r>
          <rPr>
            <b/>
            <sz val="8"/>
            <color indexed="81"/>
            <rFont val="Tahoma"/>
            <family val="2"/>
          </rPr>
          <t>TONY GARCIA:</t>
        </r>
        <r>
          <rPr>
            <sz val="8"/>
            <color indexed="81"/>
            <rFont val="Tahoma"/>
            <family val="2"/>
          </rPr>
          <t xml:space="preserve">
EL ESPACIO DE LA DERECHA SE LLENARA AUTOMATICAMENTE</t>
        </r>
      </text>
    </comment>
    <comment ref="R4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4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4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5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5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5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5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5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59" authorId="1">
      <text>
        <r>
          <rPr>
            <b/>
            <sz val="8"/>
            <color indexed="81"/>
            <rFont val="Tahoma"/>
            <family val="2"/>
          </rPr>
          <t>TONY GARCIA:</t>
        </r>
        <r>
          <rPr>
            <sz val="8"/>
            <color indexed="81"/>
            <rFont val="Tahoma"/>
            <family val="2"/>
          </rPr>
          <t xml:space="preserve">
EL ESPACIO DE LA DERECHA SE LLENARA AUTOMATICAMENTE</t>
        </r>
      </text>
    </comment>
    <comment ref="Z61" authorId="1">
      <text>
        <r>
          <rPr>
            <b/>
            <sz val="8"/>
            <color indexed="81"/>
            <rFont val="Tahoma"/>
            <family val="2"/>
          </rPr>
          <t>TONY GARCIA:</t>
        </r>
        <r>
          <rPr>
            <sz val="8"/>
            <color indexed="81"/>
            <rFont val="Tahoma"/>
            <family val="2"/>
          </rPr>
          <t xml:space="preserve">
EL ESPACIO DE LA DERECHA SE LLENARA AUTOMATICAMENTE</t>
        </r>
      </text>
    </comment>
    <comment ref="F6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6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6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6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6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62" authorId="1">
      <text>
        <r>
          <rPr>
            <b/>
            <sz val="8"/>
            <color indexed="81"/>
            <rFont val="Tahoma"/>
            <family val="2"/>
          </rPr>
          <t>TONY GARCIA:</t>
        </r>
        <r>
          <rPr>
            <sz val="8"/>
            <color indexed="81"/>
            <rFont val="Tahoma"/>
            <family val="2"/>
          </rPr>
          <t xml:space="preserve">
EL ESPACIO DE LA DERECHA SE LLENARA AUTOMATICAMENTE</t>
        </r>
      </text>
    </comment>
    <comment ref="Z63" authorId="1">
      <text>
        <r>
          <rPr>
            <b/>
            <sz val="8"/>
            <color indexed="81"/>
            <rFont val="Tahoma"/>
            <family val="2"/>
          </rPr>
          <t>TONY GARCIA:</t>
        </r>
        <r>
          <rPr>
            <sz val="8"/>
            <color indexed="81"/>
            <rFont val="Tahoma"/>
            <family val="2"/>
          </rPr>
          <t xml:space="preserve">
EL ESPACIO DE LA DERECHA SE LLENARA AUTOMATICAMENTE</t>
        </r>
      </text>
    </comment>
    <comment ref="O6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6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6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65" authorId="1">
      <text>
        <r>
          <rPr>
            <b/>
            <sz val="8"/>
            <color indexed="81"/>
            <rFont val="Tahoma"/>
            <family val="2"/>
          </rPr>
          <t>TONY GARCIA:</t>
        </r>
        <r>
          <rPr>
            <sz val="8"/>
            <color indexed="81"/>
            <rFont val="Tahoma"/>
            <family val="2"/>
          </rPr>
          <t xml:space="preserve">
EL ESPACIO DE LA DERECHA SE LLENARA AUTOMATICAMENTE</t>
        </r>
      </text>
    </comment>
    <comment ref="N6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6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6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6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67" authorId="1">
      <text>
        <r>
          <rPr>
            <b/>
            <sz val="8"/>
            <color indexed="81"/>
            <rFont val="Tahoma"/>
            <family val="2"/>
          </rPr>
          <t>TONY GARCIA:</t>
        </r>
        <r>
          <rPr>
            <sz val="8"/>
            <color indexed="81"/>
            <rFont val="Tahoma"/>
            <family val="2"/>
          </rPr>
          <t xml:space="preserve">
EL ESPACIO DE LA DERECHA SE LLENARA AUTOMATICAMENTE</t>
        </r>
      </text>
    </comment>
    <comment ref="O6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69" authorId="1">
      <text>
        <r>
          <rPr>
            <b/>
            <sz val="8"/>
            <color indexed="81"/>
            <rFont val="Tahoma"/>
            <family val="2"/>
          </rPr>
          <t>TONY GARCIA:</t>
        </r>
        <r>
          <rPr>
            <sz val="8"/>
            <color indexed="81"/>
            <rFont val="Tahoma"/>
            <family val="2"/>
          </rPr>
          <t xml:space="preserve">
</t>
        </r>
      </text>
    </comment>
    <comment ref="Z69" authorId="1">
      <text>
        <r>
          <rPr>
            <b/>
            <sz val="8"/>
            <color indexed="81"/>
            <rFont val="Tahoma"/>
            <family val="2"/>
          </rPr>
          <t>TONY GARCIA:</t>
        </r>
        <r>
          <rPr>
            <sz val="8"/>
            <color indexed="81"/>
            <rFont val="Tahoma"/>
            <family val="2"/>
          </rPr>
          <t xml:space="preserve">
EL ESPACIO DE LA DERECHA SE LLENARA AUTOMATICAMENTE</t>
        </r>
      </text>
    </comment>
    <comment ref="M7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7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7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7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7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7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7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7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71" authorId="1">
      <text>
        <r>
          <rPr>
            <b/>
            <sz val="8"/>
            <color indexed="81"/>
            <rFont val="Tahoma"/>
            <family val="2"/>
          </rPr>
          <t>TONY GARCIA:</t>
        </r>
        <r>
          <rPr>
            <sz val="8"/>
            <color indexed="81"/>
            <rFont val="Tahoma"/>
            <family val="2"/>
          </rPr>
          <t xml:space="preserve">
EL ESPACIO DE LA DERECHA SE LLENARA AUTOMATICAMENTE</t>
        </r>
      </text>
    </comment>
    <comment ref="N7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7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7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73" authorId="1">
      <text>
        <r>
          <rPr>
            <b/>
            <sz val="8"/>
            <color indexed="81"/>
            <rFont val="Tahoma"/>
            <family val="2"/>
          </rPr>
          <t>TONY GARCIA:</t>
        </r>
        <r>
          <rPr>
            <sz val="8"/>
            <color indexed="81"/>
            <rFont val="Tahoma"/>
            <family val="2"/>
          </rPr>
          <t xml:space="preserve">
</t>
        </r>
      </text>
    </comment>
    <comment ref="F75" authorId="1">
      <text>
        <r>
          <rPr>
            <b/>
            <sz val="8"/>
            <color indexed="81"/>
            <rFont val="Tahoma"/>
            <family val="2"/>
          </rPr>
          <t>TONY GARCIA:</t>
        </r>
        <r>
          <rPr>
            <sz val="8"/>
            <color indexed="81"/>
            <rFont val="Tahoma"/>
            <family val="2"/>
          </rPr>
          <t xml:space="preserve">
EL ESPACIO DE LA DERECHA SE LLENARA AUTOMATICAMENTE</t>
        </r>
      </text>
    </comment>
    <comment ref="R7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75" authorId="1">
      <text>
        <r>
          <rPr>
            <b/>
            <sz val="8"/>
            <color indexed="81"/>
            <rFont val="Tahoma"/>
            <family val="2"/>
          </rPr>
          <t>TONY GARCIA:</t>
        </r>
        <r>
          <rPr>
            <sz val="8"/>
            <color indexed="81"/>
            <rFont val="Tahoma"/>
            <family val="2"/>
          </rPr>
          <t xml:space="preserve">
EL ESPACIO DE LA DERECHA SE LLENARA AUTOMATICAMENTE</t>
        </r>
      </text>
    </comment>
    <comment ref="F76" authorId="1">
      <text>
        <r>
          <rPr>
            <b/>
            <sz val="8"/>
            <color indexed="81"/>
            <rFont val="Tahoma"/>
            <family val="2"/>
          </rPr>
          <t>TONY GARCIA:</t>
        </r>
        <r>
          <rPr>
            <sz val="8"/>
            <color indexed="81"/>
            <rFont val="Tahoma"/>
            <family val="2"/>
          </rPr>
          <t xml:space="preserve">
EL ESPACIO DE LA DERECHA SE LLENARA AUTOMATICAMENTE</t>
        </r>
      </text>
    </comment>
    <comment ref="R7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77" authorId="1">
      <text>
        <r>
          <rPr>
            <b/>
            <sz val="8"/>
            <color indexed="81"/>
            <rFont val="Tahoma"/>
            <family val="2"/>
          </rPr>
          <t>TONY GARCIA:</t>
        </r>
        <r>
          <rPr>
            <sz val="8"/>
            <color indexed="81"/>
            <rFont val="Tahoma"/>
            <family val="2"/>
          </rPr>
          <t xml:space="preserve">
EL ESPACIO DE LA DERECHA SE LLENARA AUTOMATICAMENTE</t>
        </r>
      </text>
    </comment>
    <comment ref="R7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77" authorId="1">
      <text>
        <r>
          <rPr>
            <b/>
            <sz val="8"/>
            <color indexed="81"/>
            <rFont val="Tahoma"/>
            <family val="2"/>
          </rPr>
          <t>TONY GARCIA:</t>
        </r>
        <r>
          <rPr>
            <sz val="8"/>
            <color indexed="81"/>
            <rFont val="Tahoma"/>
            <family val="2"/>
          </rPr>
          <t xml:space="preserve">
EL ESPACIO DE LA DERECHA SE LLENARA AUTOMATICAMENTE</t>
        </r>
      </text>
    </comment>
    <comment ref="R7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7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7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7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8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8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8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8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8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8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89" authorId="1">
      <text>
        <r>
          <rPr>
            <b/>
            <sz val="8"/>
            <color indexed="81"/>
            <rFont val="Tahoma"/>
            <family val="2"/>
          </rPr>
          <t>TONY GARCIA:</t>
        </r>
        <r>
          <rPr>
            <sz val="8"/>
            <color indexed="81"/>
            <rFont val="Tahoma"/>
            <family val="2"/>
          </rPr>
          <t xml:space="preserve">
EL ESPACIO DE LA DERECHA SE LLENARA AUTOMATICAMENTE</t>
        </r>
      </text>
    </comment>
    <comment ref="Z91" authorId="1">
      <text>
        <r>
          <rPr>
            <b/>
            <sz val="8"/>
            <color indexed="81"/>
            <rFont val="Tahoma"/>
            <family val="2"/>
          </rPr>
          <t>TONY GARCIA:</t>
        </r>
        <r>
          <rPr>
            <sz val="8"/>
            <color indexed="81"/>
            <rFont val="Tahoma"/>
            <family val="2"/>
          </rPr>
          <t xml:space="preserve">
EL ESPACIO DE LA DERECHA SE LLENARA AUTOMATICAMENTE</t>
        </r>
      </text>
    </comment>
    <comment ref="F9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9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9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9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9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92" authorId="1">
      <text>
        <r>
          <rPr>
            <b/>
            <sz val="8"/>
            <color indexed="81"/>
            <rFont val="Tahoma"/>
            <family val="2"/>
          </rPr>
          <t>TONY GARCIA:</t>
        </r>
        <r>
          <rPr>
            <sz val="8"/>
            <color indexed="81"/>
            <rFont val="Tahoma"/>
            <family val="2"/>
          </rPr>
          <t xml:space="preserve">
EL ESPACIO DE LA DERECHA SE LLENARA AUTOMATICAMENTE</t>
        </r>
      </text>
    </comment>
    <comment ref="Z93" authorId="1">
      <text>
        <r>
          <rPr>
            <b/>
            <sz val="8"/>
            <color indexed="81"/>
            <rFont val="Tahoma"/>
            <family val="2"/>
          </rPr>
          <t>TONY GARCIA:</t>
        </r>
        <r>
          <rPr>
            <sz val="8"/>
            <color indexed="81"/>
            <rFont val="Tahoma"/>
            <family val="2"/>
          </rPr>
          <t xml:space="preserve">
EL ESPACIO DE LA DERECHA SE LLENARA AUTOMATICAMENTE</t>
        </r>
      </text>
    </comment>
    <comment ref="O9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9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9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95" authorId="1">
      <text>
        <r>
          <rPr>
            <b/>
            <sz val="8"/>
            <color indexed="81"/>
            <rFont val="Tahoma"/>
            <family val="2"/>
          </rPr>
          <t>TONY GARCIA:</t>
        </r>
        <r>
          <rPr>
            <sz val="8"/>
            <color indexed="81"/>
            <rFont val="Tahoma"/>
            <family val="2"/>
          </rPr>
          <t xml:space="preserve">
EL ESPACIO DE LA DERECHA SE LLENARA AUTOMATICAMENTE</t>
        </r>
      </text>
    </comment>
    <comment ref="N9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9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9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9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97" authorId="1">
      <text>
        <r>
          <rPr>
            <b/>
            <sz val="8"/>
            <color indexed="81"/>
            <rFont val="Tahoma"/>
            <family val="2"/>
          </rPr>
          <t>TONY GARCIA:</t>
        </r>
        <r>
          <rPr>
            <sz val="8"/>
            <color indexed="81"/>
            <rFont val="Tahoma"/>
            <family val="2"/>
          </rPr>
          <t xml:space="preserve">
EL ESPACIO DE LA DERECHA SE LLENARA AUTOMATICAMENTE</t>
        </r>
      </text>
    </comment>
    <comment ref="O9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99" authorId="1">
      <text>
        <r>
          <rPr>
            <b/>
            <sz val="8"/>
            <color indexed="81"/>
            <rFont val="Tahoma"/>
            <family val="2"/>
          </rPr>
          <t>TONY GARCIA:</t>
        </r>
        <r>
          <rPr>
            <sz val="8"/>
            <color indexed="81"/>
            <rFont val="Tahoma"/>
            <family val="2"/>
          </rPr>
          <t xml:space="preserve">
</t>
        </r>
      </text>
    </comment>
    <comment ref="Z99" authorId="1">
      <text>
        <r>
          <rPr>
            <b/>
            <sz val="8"/>
            <color indexed="81"/>
            <rFont val="Tahoma"/>
            <family val="2"/>
          </rPr>
          <t>TONY GARCIA:</t>
        </r>
        <r>
          <rPr>
            <sz val="8"/>
            <color indexed="81"/>
            <rFont val="Tahoma"/>
            <family val="2"/>
          </rPr>
          <t xml:space="preserve">
EL ESPACIO DE LA DERECHA SE LLENARA AUTOMATICAMENTE</t>
        </r>
      </text>
    </comment>
    <comment ref="M10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10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10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10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10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10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10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10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101" authorId="1">
      <text>
        <r>
          <rPr>
            <b/>
            <sz val="8"/>
            <color indexed="81"/>
            <rFont val="Tahoma"/>
            <family val="2"/>
          </rPr>
          <t>TONY GARCIA:</t>
        </r>
        <r>
          <rPr>
            <sz val="8"/>
            <color indexed="81"/>
            <rFont val="Tahoma"/>
            <family val="2"/>
          </rPr>
          <t xml:space="preserve">
EL ESPACIO DE LA DERECHA SE LLENARA AUTOMATICAMENTE</t>
        </r>
      </text>
    </comment>
    <comment ref="N10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10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10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103" authorId="1">
      <text>
        <r>
          <rPr>
            <b/>
            <sz val="8"/>
            <color indexed="81"/>
            <rFont val="Tahoma"/>
            <family val="2"/>
          </rPr>
          <t>TONY GARCIA:</t>
        </r>
        <r>
          <rPr>
            <sz val="8"/>
            <color indexed="81"/>
            <rFont val="Tahoma"/>
            <family val="2"/>
          </rPr>
          <t xml:space="preserve">
</t>
        </r>
      </text>
    </comment>
    <comment ref="F105" authorId="1">
      <text>
        <r>
          <rPr>
            <b/>
            <sz val="8"/>
            <color indexed="81"/>
            <rFont val="Tahoma"/>
            <family val="2"/>
          </rPr>
          <t>TONY GARCIA:</t>
        </r>
        <r>
          <rPr>
            <sz val="8"/>
            <color indexed="81"/>
            <rFont val="Tahoma"/>
            <family val="2"/>
          </rPr>
          <t xml:space="preserve">
EL ESPACIO DE LA DERECHA SE LLENARA AUTOMATICAMENTE</t>
        </r>
      </text>
    </comment>
    <comment ref="R10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105" authorId="1">
      <text>
        <r>
          <rPr>
            <b/>
            <sz val="8"/>
            <color indexed="81"/>
            <rFont val="Tahoma"/>
            <family val="2"/>
          </rPr>
          <t>TONY GARCIA:</t>
        </r>
        <r>
          <rPr>
            <sz val="8"/>
            <color indexed="81"/>
            <rFont val="Tahoma"/>
            <family val="2"/>
          </rPr>
          <t xml:space="preserve">
EL ESPACIO DE LA DERECHA SE LLENARA AUTOMATICAMENTE</t>
        </r>
      </text>
    </comment>
    <comment ref="F106" authorId="1">
      <text>
        <r>
          <rPr>
            <b/>
            <sz val="8"/>
            <color indexed="81"/>
            <rFont val="Tahoma"/>
            <family val="2"/>
          </rPr>
          <t>TONY GARCIA:</t>
        </r>
        <r>
          <rPr>
            <sz val="8"/>
            <color indexed="81"/>
            <rFont val="Tahoma"/>
            <family val="2"/>
          </rPr>
          <t xml:space="preserve">
EL ESPACIO DE LA DERECHA SE LLENARA AUTOMATICAMENTE</t>
        </r>
      </text>
    </comment>
    <comment ref="R10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107" authorId="1">
      <text>
        <r>
          <rPr>
            <b/>
            <sz val="8"/>
            <color indexed="81"/>
            <rFont val="Tahoma"/>
            <family val="2"/>
          </rPr>
          <t>TONY GARCIA:</t>
        </r>
        <r>
          <rPr>
            <sz val="8"/>
            <color indexed="81"/>
            <rFont val="Tahoma"/>
            <family val="2"/>
          </rPr>
          <t xml:space="preserve">
EL ESPACIO DE LA DERECHA SE LLENARA AUTOMATICAMENTE</t>
        </r>
      </text>
    </comment>
    <comment ref="R10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107" authorId="1">
      <text>
        <r>
          <rPr>
            <b/>
            <sz val="8"/>
            <color indexed="81"/>
            <rFont val="Tahoma"/>
            <family val="2"/>
          </rPr>
          <t>TONY GARCIA:</t>
        </r>
        <r>
          <rPr>
            <sz val="8"/>
            <color indexed="81"/>
            <rFont val="Tahoma"/>
            <family val="2"/>
          </rPr>
          <t xml:space="preserve">
EL ESPACIO DE LA DERECHA SE LLENARA AUTOMATICAMENTE</t>
        </r>
      </text>
    </comment>
    <comment ref="R10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10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10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0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11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11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1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11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11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11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119" authorId="1">
      <text>
        <r>
          <rPr>
            <b/>
            <sz val="8"/>
            <color indexed="81"/>
            <rFont val="Tahoma"/>
            <family val="2"/>
          </rPr>
          <t>TONY GARCIA:</t>
        </r>
        <r>
          <rPr>
            <sz val="8"/>
            <color indexed="81"/>
            <rFont val="Tahoma"/>
            <family val="2"/>
          </rPr>
          <t xml:space="preserve">
EL ESPACIO DE LA DERECHA SE LLENARA AUTOMATICAMENTE</t>
        </r>
      </text>
    </comment>
    <comment ref="Z121" authorId="1">
      <text>
        <r>
          <rPr>
            <b/>
            <sz val="8"/>
            <color indexed="81"/>
            <rFont val="Tahoma"/>
            <family val="2"/>
          </rPr>
          <t>TONY GARCIA:</t>
        </r>
        <r>
          <rPr>
            <sz val="8"/>
            <color indexed="81"/>
            <rFont val="Tahoma"/>
            <family val="2"/>
          </rPr>
          <t xml:space="preserve">
EL ESPACIO DE LA DERECHA SE LLENARA AUTOMATICAMENTE</t>
        </r>
      </text>
    </comment>
    <comment ref="F12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12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12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12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12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122" authorId="1">
      <text>
        <r>
          <rPr>
            <b/>
            <sz val="8"/>
            <color indexed="81"/>
            <rFont val="Tahoma"/>
            <family val="2"/>
          </rPr>
          <t>TONY GARCIA:</t>
        </r>
        <r>
          <rPr>
            <sz val="8"/>
            <color indexed="81"/>
            <rFont val="Tahoma"/>
            <family val="2"/>
          </rPr>
          <t xml:space="preserve">
EL ESPACIO DE LA DERECHA SE LLENARA AUTOMATICAMENTE</t>
        </r>
      </text>
    </comment>
    <comment ref="Z123" authorId="1">
      <text>
        <r>
          <rPr>
            <b/>
            <sz val="8"/>
            <color indexed="81"/>
            <rFont val="Tahoma"/>
            <family val="2"/>
          </rPr>
          <t>TONY GARCIA:</t>
        </r>
        <r>
          <rPr>
            <sz val="8"/>
            <color indexed="81"/>
            <rFont val="Tahoma"/>
            <family val="2"/>
          </rPr>
          <t xml:space="preserve">
EL ESPACIO DE LA DERECHA SE LLENARA AUTOMATICAMENTE</t>
        </r>
      </text>
    </comment>
    <comment ref="O12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12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12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125" authorId="1">
      <text>
        <r>
          <rPr>
            <b/>
            <sz val="8"/>
            <color indexed="81"/>
            <rFont val="Tahoma"/>
            <family val="2"/>
          </rPr>
          <t>TONY GARCIA:</t>
        </r>
        <r>
          <rPr>
            <sz val="8"/>
            <color indexed="81"/>
            <rFont val="Tahoma"/>
            <family val="2"/>
          </rPr>
          <t xml:space="preserve">
EL ESPACIO DE LA DERECHA SE LLENARA AUTOMATICAMENTE</t>
        </r>
      </text>
    </comment>
    <comment ref="N12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12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127" authorId="1">
      <text>
        <r>
          <rPr>
            <b/>
            <sz val="8"/>
            <color indexed="81"/>
            <rFont val="Tahoma"/>
            <family val="2"/>
          </rPr>
          <t>TONY GARCIA:</t>
        </r>
        <r>
          <rPr>
            <sz val="8"/>
            <color indexed="81"/>
            <rFont val="Tahoma"/>
            <family val="2"/>
          </rPr>
          <t xml:space="preserve">
ESCRIBA EN ESTE ESPACIO SU CLAVE DE PLAZA (11007831200.0)</t>
        </r>
      </text>
    </comment>
    <comment ref="W12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127" authorId="1">
      <text>
        <r>
          <rPr>
            <b/>
            <sz val="8"/>
            <color indexed="81"/>
            <rFont val="Tahoma"/>
            <family val="2"/>
          </rPr>
          <t>TONY GARCIA:</t>
        </r>
        <r>
          <rPr>
            <sz val="8"/>
            <color indexed="81"/>
            <rFont val="Tahoma"/>
            <family val="2"/>
          </rPr>
          <t xml:space="preserve">
EL ESPACIO DE LA DERECHA SE LLENARA AUTOMATICAMENTE</t>
        </r>
      </text>
    </comment>
    <comment ref="O12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129" authorId="1">
      <text>
        <r>
          <rPr>
            <b/>
            <sz val="8"/>
            <color indexed="81"/>
            <rFont val="Tahoma"/>
            <family val="2"/>
          </rPr>
          <t>TONY GARCIA:</t>
        </r>
        <r>
          <rPr>
            <sz val="8"/>
            <color indexed="81"/>
            <rFont val="Tahoma"/>
            <family val="2"/>
          </rPr>
          <t xml:space="preserve">
</t>
        </r>
      </text>
    </comment>
    <comment ref="Z129" authorId="1">
      <text>
        <r>
          <rPr>
            <b/>
            <sz val="8"/>
            <color indexed="81"/>
            <rFont val="Tahoma"/>
            <family val="2"/>
          </rPr>
          <t>TONY GARCIA:</t>
        </r>
        <r>
          <rPr>
            <sz val="8"/>
            <color indexed="81"/>
            <rFont val="Tahoma"/>
            <family val="2"/>
          </rPr>
          <t xml:space="preserve">
EL ESPACIO DE LA DERECHA SE LLENARA AUTOMATICAMENTE</t>
        </r>
      </text>
    </comment>
    <comment ref="M131" authorId="1">
      <text>
        <r>
          <rPr>
            <b/>
            <sz val="8"/>
            <color indexed="81"/>
            <rFont val="Tahoma"/>
            <family val="2"/>
          </rPr>
          <t>TONY GARCIA:</t>
        </r>
        <r>
          <rPr>
            <sz val="8"/>
            <color indexed="81"/>
            <rFont val="Tahoma"/>
            <family val="2"/>
          </rPr>
          <t xml:space="preserve">
ESCRIBA EN ESTE ESPACIO EL NUMERFO DE SU REGION DESU DOMICILIO EN CASO DE NO TENER PONER </t>
        </r>
        <r>
          <rPr>
            <b/>
            <sz val="8"/>
            <color indexed="81"/>
            <rFont val="Tahoma"/>
            <family val="2"/>
          </rPr>
          <t>S/N</t>
        </r>
      </text>
    </comment>
    <comment ref="N131" authorId="1">
      <text>
        <r>
          <rPr>
            <b/>
            <sz val="8"/>
            <color indexed="81"/>
            <rFont val="Tahoma"/>
            <family val="2"/>
          </rPr>
          <t>TONY GARCIA:</t>
        </r>
        <r>
          <rPr>
            <sz val="8"/>
            <color indexed="81"/>
            <rFont val="Tahoma"/>
            <family val="2"/>
          </rPr>
          <t xml:space="preserve">
ESCRIBA EN ESTE ESPACIO EL NUMERO DE SU SUPERMANZANA DE SU DOMICILIO, EN CASO DE NO TENER PONER </t>
        </r>
        <r>
          <rPr>
            <b/>
            <sz val="8"/>
            <color indexed="81"/>
            <rFont val="Tahoma"/>
            <family val="2"/>
          </rPr>
          <t>S/N</t>
        </r>
      </text>
    </comment>
    <comment ref="O131" authorId="1">
      <text>
        <r>
          <rPr>
            <b/>
            <sz val="8"/>
            <color indexed="81"/>
            <rFont val="Tahoma"/>
            <family val="2"/>
          </rPr>
          <t>TONY GARCIA:</t>
        </r>
        <r>
          <rPr>
            <sz val="8"/>
            <color indexed="81"/>
            <rFont val="Tahoma"/>
            <family val="2"/>
          </rPr>
          <t xml:space="preserve">
ESCRIBA EN ESTE ESPACIO EL NUMERO DE SU MANZANA DE SU DOMICILIO</t>
        </r>
      </text>
    </comment>
    <comment ref="P131" authorId="1">
      <text>
        <r>
          <rPr>
            <b/>
            <sz val="8"/>
            <color indexed="81"/>
            <rFont val="Tahoma"/>
            <family val="2"/>
          </rPr>
          <t>TONY GARCIA:</t>
        </r>
        <r>
          <rPr>
            <sz val="8"/>
            <color indexed="81"/>
            <rFont val="Tahoma"/>
            <family val="2"/>
          </rPr>
          <t xml:space="preserve">
ESCRIBA EN ESTE ESPACIO EL NUMERO DE LOTE DE SU DOMICILIO</t>
        </r>
      </text>
    </comment>
    <comment ref="Q131" authorId="1">
      <text>
        <r>
          <rPr>
            <b/>
            <sz val="8"/>
            <color indexed="81"/>
            <rFont val="Tahoma"/>
            <family val="2"/>
          </rPr>
          <t>TONY GARCIA:</t>
        </r>
        <r>
          <rPr>
            <sz val="8"/>
            <color indexed="81"/>
            <rFont val="Tahoma"/>
            <family val="2"/>
          </rPr>
          <t xml:space="preserve">
ESCRIBA EN ESTE ESPACIO EL NOMBRE O NUMERO DE LA CALLE DE SU DOMICILIO</t>
        </r>
      </text>
    </comment>
    <comment ref="S131" authorId="1">
      <text>
        <r>
          <rPr>
            <b/>
            <sz val="8"/>
            <color indexed="81"/>
            <rFont val="Tahoma"/>
            <family val="2"/>
          </rPr>
          <t>TONY GARCIA:</t>
        </r>
        <r>
          <rPr>
            <sz val="8"/>
            <color indexed="81"/>
            <rFont val="Tahoma"/>
            <family val="2"/>
          </rPr>
          <t xml:space="preserve">
ESRIBA EN ESTE ESPACIO SOLO EL NOMBRE DE SU COLONIA DE SU DOMICILIO </t>
        </r>
      </text>
    </comment>
    <comment ref="U13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131" authorId="1">
      <text>
        <r>
          <rPr>
            <b/>
            <sz val="8"/>
            <color indexed="81"/>
            <rFont val="Tahoma"/>
            <family val="2"/>
          </rPr>
          <t>TONY GARCIA:</t>
        </r>
        <r>
          <rPr>
            <sz val="8"/>
            <color indexed="81"/>
            <rFont val="Tahoma"/>
            <family val="2"/>
          </rPr>
          <t xml:space="preserve">
ESCRIBA EN ESTE ESPACIO EL NUMERO TELEFONICO DE SU CCT O EL PERSONAL</t>
        </r>
      </text>
    </comment>
    <comment ref="Z131" authorId="1">
      <text>
        <r>
          <rPr>
            <b/>
            <sz val="8"/>
            <color indexed="81"/>
            <rFont val="Tahoma"/>
            <family val="2"/>
          </rPr>
          <t>TONY GARCIA:</t>
        </r>
        <r>
          <rPr>
            <sz val="8"/>
            <color indexed="81"/>
            <rFont val="Tahoma"/>
            <family val="2"/>
          </rPr>
          <t xml:space="preserve">
EL ESPACIO DE LA DERECHA SE LLENARA AUTOMATICAMENTE</t>
        </r>
      </text>
    </comment>
    <comment ref="N133" authorId="1">
      <text>
        <r>
          <rPr>
            <b/>
            <sz val="8"/>
            <color indexed="81"/>
            <rFont val="Tahoma"/>
            <family val="2"/>
          </rPr>
          <t>TONY GARCIA:</t>
        </r>
        <r>
          <rPr>
            <sz val="8"/>
            <color indexed="81"/>
            <rFont val="Tahoma"/>
            <family val="2"/>
          </rPr>
          <t xml:space="preserve">
ESCRIBA EN ESTE ESPACIO EL NOMBRE DE SU CENTRO DE TRABAJA SEGÚN EL CATALOGO DE LA SEP</t>
        </r>
      </text>
    </comment>
    <comment ref="T133" authorId="1">
      <text>
        <r>
          <rPr>
            <b/>
            <sz val="8"/>
            <color indexed="81"/>
            <rFont val="Tahoma"/>
            <family val="2"/>
          </rPr>
          <t>TONY GARCIA:</t>
        </r>
        <r>
          <rPr>
            <sz val="8"/>
            <color indexed="81"/>
            <rFont val="Tahoma"/>
            <family val="2"/>
          </rPr>
          <t xml:space="preserve">
ESCRIBA EN ESTE ESPACIO LA CLAVE DE SU CENTRO DE TRABAJO </t>
        </r>
        <r>
          <rPr>
            <b/>
            <sz val="8"/>
            <color indexed="12"/>
            <rFont val="Tahoma"/>
            <family val="2"/>
          </rPr>
          <t>(23DPR…)</t>
        </r>
      </text>
    </comment>
    <comment ref="W133" authorId="1">
      <text>
        <r>
          <rPr>
            <b/>
            <sz val="8"/>
            <color indexed="81"/>
            <rFont val="Tahoma"/>
            <family val="2"/>
          </rPr>
          <t>TONY GARCIA:</t>
        </r>
        <r>
          <rPr>
            <sz val="8"/>
            <color indexed="81"/>
            <rFont val="Tahoma"/>
            <family val="2"/>
          </rPr>
          <t xml:space="preserve">
ESCRIBA EN ESTE ESPACIO EL TURNO DE SU CENTRO DE TRABAJO</t>
        </r>
      </text>
    </comment>
    <comment ref="Z133" authorId="1">
      <text>
        <r>
          <rPr>
            <b/>
            <sz val="8"/>
            <color indexed="81"/>
            <rFont val="Tahoma"/>
            <family val="2"/>
          </rPr>
          <t>TONY GARCIA:</t>
        </r>
        <r>
          <rPr>
            <sz val="8"/>
            <color indexed="81"/>
            <rFont val="Tahoma"/>
            <family val="2"/>
          </rPr>
          <t xml:space="preserve">
</t>
        </r>
      </text>
    </comment>
    <comment ref="F135" authorId="1">
      <text>
        <r>
          <rPr>
            <b/>
            <sz val="8"/>
            <color indexed="81"/>
            <rFont val="Tahoma"/>
            <family val="2"/>
          </rPr>
          <t>TONY GARCIA:</t>
        </r>
        <r>
          <rPr>
            <sz val="8"/>
            <color indexed="81"/>
            <rFont val="Tahoma"/>
            <family val="2"/>
          </rPr>
          <t xml:space="preserve">
EL ESPACIO DE LA DERECHA SE LLENARA AUTOMATICAMENTE</t>
        </r>
      </text>
    </comment>
    <comment ref="R13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135" authorId="1">
      <text>
        <r>
          <rPr>
            <b/>
            <sz val="8"/>
            <color indexed="81"/>
            <rFont val="Tahoma"/>
            <family val="2"/>
          </rPr>
          <t>TONY GARCIA:</t>
        </r>
        <r>
          <rPr>
            <sz val="8"/>
            <color indexed="81"/>
            <rFont val="Tahoma"/>
            <family val="2"/>
          </rPr>
          <t xml:space="preserve">
EL ESPACIO DE LA DERECHA SE LLENARA AUTOMATICAMENTE</t>
        </r>
      </text>
    </comment>
    <comment ref="F136" authorId="1">
      <text>
        <r>
          <rPr>
            <b/>
            <sz val="8"/>
            <color indexed="81"/>
            <rFont val="Tahoma"/>
            <family val="2"/>
          </rPr>
          <t>TONY GARCIA:</t>
        </r>
        <r>
          <rPr>
            <sz val="8"/>
            <color indexed="81"/>
            <rFont val="Tahoma"/>
            <family val="2"/>
          </rPr>
          <t xml:space="preserve">
EL ESPACIO DE LA DERECHA SE LLENARA AUTOMATICAMENTE</t>
        </r>
      </text>
    </comment>
    <comment ref="R13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137" authorId="1">
      <text>
        <r>
          <rPr>
            <b/>
            <sz val="8"/>
            <color indexed="81"/>
            <rFont val="Tahoma"/>
            <family val="2"/>
          </rPr>
          <t>TONY GARCIA:</t>
        </r>
        <r>
          <rPr>
            <sz val="8"/>
            <color indexed="81"/>
            <rFont val="Tahoma"/>
            <family val="2"/>
          </rPr>
          <t xml:space="preserve">
EL ESPACIO DE LA DERECHA SE LLENARA AUTOMATICAMENTE</t>
        </r>
      </text>
    </comment>
    <comment ref="R13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137" authorId="1">
      <text>
        <r>
          <rPr>
            <b/>
            <sz val="8"/>
            <color indexed="81"/>
            <rFont val="Tahoma"/>
            <family val="2"/>
          </rPr>
          <t>TONY GARCIA:</t>
        </r>
        <r>
          <rPr>
            <sz val="8"/>
            <color indexed="81"/>
            <rFont val="Tahoma"/>
            <family val="2"/>
          </rPr>
          <t xml:space="preserve">
EL ESPACIO DE LA DERECHA SE LLENARA AUTOMATICAMENTE</t>
        </r>
      </text>
    </comment>
    <comment ref="R13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13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13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3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14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14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4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14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14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14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149" authorId="1">
      <text>
        <r>
          <rPr>
            <b/>
            <sz val="8"/>
            <color indexed="81"/>
            <rFont val="Tahoma"/>
            <family val="2"/>
          </rPr>
          <t>TONY GARCIA:</t>
        </r>
        <r>
          <rPr>
            <sz val="8"/>
            <color indexed="81"/>
            <rFont val="Tahoma"/>
            <family val="2"/>
          </rPr>
          <t xml:space="preserve">
EL ESPACIO DE LA DERECHA SE LLENARA AUTOMATICAMENTE</t>
        </r>
      </text>
    </comment>
    <comment ref="Z151" authorId="1">
      <text>
        <r>
          <rPr>
            <b/>
            <sz val="8"/>
            <color indexed="81"/>
            <rFont val="Tahoma"/>
            <family val="2"/>
          </rPr>
          <t>TONY GARCIA:</t>
        </r>
        <r>
          <rPr>
            <sz val="8"/>
            <color indexed="81"/>
            <rFont val="Tahoma"/>
            <family val="2"/>
          </rPr>
          <t xml:space="preserve">
EL ESPACIO DE LA DERECHA SE LLENARA AUTOMATICAMENTE</t>
        </r>
      </text>
    </comment>
    <comment ref="F15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15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15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15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15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152" authorId="1">
      <text>
        <r>
          <rPr>
            <b/>
            <sz val="8"/>
            <color indexed="81"/>
            <rFont val="Tahoma"/>
            <family val="2"/>
          </rPr>
          <t>TONY GARCIA:</t>
        </r>
        <r>
          <rPr>
            <sz val="8"/>
            <color indexed="81"/>
            <rFont val="Tahoma"/>
            <family val="2"/>
          </rPr>
          <t xml:space="preserve">
EL ESPACIO DE LA DERECHA SE LLENARA AUTOMATICAMENTE</t>
        </r>
      </text>
    </comment>
    <comment ref="Z153" authorId="1">
      <text>
        <r>
          <rPr>
            <b/>
            <sz val="8"/>
            <color indexed="81"/>
            <rFont val="Tahoma"/>
            <family val="2"/>
          </rPr>
          <t>TONY GARCIA:</t>
        </r>
        <r>
          <rPr>
            <sz val="8"/>
            <color indexed="81"/>
            <rFont val="Tahoma"/>
            <family val="2"/>
          </rPr>
          <t xml:space="preserve">
EL ESPACIO DE LA DERECHA SE LLENARA AUTOMATICAMENTE</t>
        </r>
      </text>
    </comment>
    <comment ref="O15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15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15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155" authorId="1">
      <text>
        <r>
          <rPr>
            <b/>
            <sz val="8"/>
            <color indexed="81"/>
            <rFont val="Tahoma"/>
            <family val="2"/>
          </rPr>
          <t>TONY GARCIA:</t>
        </r>
        <r>
          <rPr>
            <sz val="8"/>
            <color indexed="81"/>
            <rFont val="Tahoma"/>
            <family val="2"/>
          </rPr>
          <t xml:space="preserve">
EL ESPACIO DE LA DERECHA SE LLENARA AUTOMATICAMENTE</t>
        </r>
      </text>
    </comment>
    <comment ref="N15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15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15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15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157" authorId="1">
      <text>
        <r>
          <rPr>
            <b/>
            <sz val="8"/>
            <color indexed="81"/>
            <rFont val="Tahoma"/>
            <family val="2"/>
          </rPr>
          <t>TONY GARCIA:</t>
        </r>
        <r>
          <rPr>
            <sz val="8"/>
            <color indexed="81"/>
            <rFont val="Tahoma"/>
            <family val="2"/>
          </rPr>
          <t xml:space="preserve">
EL ESPACIO DE LA DERECHA SE LLENARA AUTOMATICAMENTE</t>
        </r>
      </text>
    </comment>
    <comment ref="O15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159" authorId="1">
      <text>
        <r>
          <rPr>
            <b/>
            <sz val="8"/>
            <color indexed="81"/>
            <rFont val="Tahoma"/>
            <family val="2"/>
          </rPr>
          <t>TONY GARCIA:</t>
        </r>
        <r>
          <rPr>
            <sz val="8"/>
            <color indexed="81"/>
            <rFont val="Tahoma"/>
            <family val="2"/>
          </rPr>
          <t xml:space="preserve">
</t>
        </r>
      </text>
    </comment>
    <comment ref="Z159" authorId="1">
      <text>
        <r>
          <rPr>
            <b/>
            <sz val="8"/>
            <color indexed="81"/>
            <rFont val="Tahoma"/>
            <family val="2"/>
          </rPr>
          <t>TONY GARCIA:</t>
        </r>
        <r>
          <rPr>
            <sz val="8"/>
            <color indexed="81"/>
            <rFont val="Tahoma"/>
            <family val="2"/>
          </rPr>
          <t xml:space="preserve">
EL ESPACIO DE LA DERECHA SE LLENARA AUTOMATICAMENTE</t>
        </r>
      </text>
    </comment>
    <comment ref="M16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16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16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16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16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16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16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16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161" authorId="1">
      <text>
        <r>
          <rPr>
            <b/>
            <sz val="8"/>
            <color indexed="81"/>
            <rFont val="Tahoma"/>
            <family val="2"/>
          </rPr>
          <t>TONY GARCIA:</t>
        </r>
        <r>
          <rPr>
            <sz val="8"/>
            <color indexed="81"/>
            <rFont val="Tahoma"/>
            <family val="2"/>
          </rPr>
          <t xml:space="preserve">
EL ESPACIO DE LA DERECHA SE LLENARA AUTOMATICAMENTE</t>
        </r>
      </text>
    </comment>
    <comment ref="N16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16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16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163" authorId="1">
      <text>
        <r>
          <rPr>
            <b/>
            <sz val="8"/>
            <color indexed="81"/>
            <rFont val="Tahoma"/>
            <family val="2"/>
          </rPr>
          <t>TONY GARCIA:</t>
        </r>
        <r>
          <rPr>
            <sz val="8"/>
            <color indexed="81"/>
            <rFont val="Tahoma"/>
            <family val="2"/>
          </rPr>
          <t xml:space="preserve">
</t>
        </r>
      </text>
    </comment>
    <comment ref="F165" authorId="1">
      <text>
        <r>
          <rPr>
            <b/>
            <sz val="8"/>
            <color indexed="81"/>
            <rFont val="Tahoma"/>
            <family val="2"/>
          </rPr>
          <t>TONY GARCIA:</t>
        </r>
        <r>
          <rPr>
            <sz val="8"/>
            <color indexed="81"/>
            <rFont val="Tahoma"/>
            <family val="2"/>
          </rPr>
          <t xml:space="preserve">
EL ESPACIO DE LA DERECHA SE LLENARA AUTOMATICAMENTE</t>
        </r>
      </text>
    </comment>
    <comment ref="R16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165" authorId="1">
      <text>
        <r>
          <rPr>
            <b/>
            <sz val="8"/>
            <color indexed="81"/>
            <rFont val="Tahoma"/>
            <family val="2"/>
          </rPr>
          <t>TONY GARCIA:</t>
        </r>
        <r>
          <rPr>
            <sz val="8"/>
            <color indexed="81"/>
            <rFont val="Tahoma"/>
            <family val="2"/>
          </rPr>
          <t xml:space="preserve">
EL ESPACIO DE LA DERECHA SE LLENARA AUTOMATICAMENTE</t>
        </r>
      </text>
    </comment>
    <comment ref="F166" authorId="1">
      <text>
        <r>
          <rPr>
            <b/>
            <sz val="8"/>
            <color indexed="81"/>
            <rFont val="Tahoma"/>
            <family val="2"/>
          </rPr>
          <t>TONY GARCIA:</t>
        </r>
        <r>
          <rPr>
            <sz val="8"/>
            <color indexed="81"/>
            <rFont val="Tahoma"/>
            <family val="2"/>
          </rPr>
          <t xml:space="preserve">
EL ESPACIO DE LA DERECHA SE LLENARA AUTOMATICAMENTE</t>
        </r>
      </text>
    </comment>
    <comment ref="R16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167" authorId="1">
      <text>
        <r>
          <rPr>
            <b/>
            <sz val="8"/>
            <color indexed="81"/>
            <rFont val="Tahoma"/>
            <family val="2"/>
          </rPr>
          <t>TONY GARCIA:</t>
        </r>
        <r>
          <rPr>
            <sz val="8"/>
            <color indexed="81"/>
            <rFont val="Tahoma"/>
            <family val="2"/>
          </rPr>
          <t xml:space="preserve">
EL ESPACIO DE LA DERECHA SE LLENARA AUTOMATICAMENTE</t>
        </r>
      </text>
    </comment>
    <comment ref="R16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167" authorId="1">
      <text>
        <r>
          <rPr>
            <b/>
            <sz val="8"/>
            <color indexed="81"/>
            <rFont val="Tahoma"/>
            <family val="2"/>
          </rPr>
          <t>TONY GARCIA:</t>
        </r>
        <r>
          <rPr>
            <sz val="8"/>
            <color indexed="81"/>
            <rFont val="Tahoma"/>
            <family val="2"/>
          </rPr>
          <t xml:space="preserve">
EL ESPACIO DE LA DERECHA SE LLENARA AUTOMATICAMENTE</t>
        </r>
      </text>
    </comment>
    <comment ref="R16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16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16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6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17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17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7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17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17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17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179" authorId="1">
      <text>
        <r>
          <rPr>
            <b/>
            <sz val="8"/>
            <color indexed="81"/>
            <rFont val="Tahoma"/>
            <family val="2"/>
          </rPr>
          <t>TONY GARCIA:</t>
        </r>
        <r>
          <rPr>
            <sz val="8"/>
            <color indexed="81"/>
            <rFont val="Tahoma"/>
            <family val="2"/>
          </rPr>
          <t xml:space="preserve">
EL ESPACIO DE LA DERECHA SE LLENARA AUTOMATICAMENTE</t>
        </r>
      </text>
    </comment>
    <comment ref="Z181" authorId="1">
      <text>
        <r>
          <rPr>
            <b/>
            <sz val="8"/>
            <color indexed="81"/>
            <rFont val="Tahoma"/>
            <family val="2"/>
          </rPr>
          <t>TONY GARCIA:</t>
        </r>
        <r>
          <rPr>
            <sz val="8"/>
            <color indexed="81"/>
            <rFont val="Tahoma"/>
            <family val="2"/>
          </rPr>
          <t xml:space="preserve">
EL ESPACIO DE LA DERECHA SE LLENARA AUTOMATICAMENTE</t>
        </r>
      </text>
    </comment>
    <comment ref="F18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18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18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18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18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182" authorId="1">
      <text>
        <r>
          <rPr>
            <b/>
            <sz val="8"/>
            <color indexed="81"/>
            <rFont val="Tahoma"/>
            <family val="2"/>
          </rPr>
          <t>TONY GARCIA:</t>
        </r>
        <r>
          <rPr>
            <sz val="8"/>
            <color indexed="81"/>
            <rFont val="Tahoma"/>
            <family val="2"/>
          </rPr>
          <t xml:space="preserve">
EL ESPACIO DE LA DERECHA SE LLENARA AUTOMATICAMENTE</t>
        </r>
      </text>
    </comment>
    <comment ref="Z183" authorId="1">
      <text>
        <r>
          <rPr>
            <b/>
            <sz val="8"/>
            <color indexed="81"/>
            <rFont val="Tahoma"/>
            <family val="2"/>
          </rPr>
          <t>TONY GARCIA:</t>
        </r>
        <r>
          <rPr>
            <sz val="8"/>
            <color indexed="81"/>
            <rFont val="Tahoma"/>
            <family val="2"/>
          </rPr>
          <t xml:space="preserve">
EL ESPACIO DE LA DERECHA SE LLENARA AUTOMATICAMENTE</t>
        </r>
      </text>
    </comment>
    <comment ref="O18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18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18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185" authorId="1">
      <text>
        <r>
          <rPr>
            <b/>
            <sz val="8"/>
            <color indexed="81"/>
            <rFont val="Tahoma"/>
            <family val="2"/>
          </rPr>
          <t>TONY GARCIA:</t>
        </r>
        <r>
          <rPr>
            <sz val="8"/>
            <color indexed="81"/>
            <rFont val="Tahoma"/>
            <family val="2"/>
          </rPr>
          <t xml:space="preserve">
EL ESPACIO DE LA DERECHA SE LLENARA AUTOMATICAMENTE</t>
        </r>
      </text>
    </comment>
    <comment ref="N18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18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18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18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187" authorId="1">
      <text>
        <r>
          <rPr>
            <b/>
            <sz val="8"/>
            <color indexed="81"/>
            <rFont val="Tahoma"/>
            <family val="2"/>
          </rPr>
          <t>TONY GARCIA:</t>
        </r>
        <r>
          <rPr>
            <sz val="8"/>
            <color indexed="81"/>
            <rFont val="Tahoma"/>
            <family val="2"/>
          </rPr>
          <t xml:space="preserve">
EL ESPACIO DE LA DERECHA SE LLENARA AUTOMATICAMENTE</t>
        </r>
      </text>
    </comment>
    <comment ref="O18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189" authorId="1">
      <text>
        <r>
          <rPr>
            <b/>
            <sz val="8"/>
            <color indexed="81"/>
            <rFont val="Tahoma"/>
            <family val="2"/>
          </rPr>
          <t>TONY GARCIA:</t>
        </r>
        <r>
          <rPr>
            <sz val="8"/>
            <color indexed="81"/>
            <rFont val="Tahoma"/>
            <family val="2"/>
          </rPr>
          <t xml:space="preserve">
</t>
        </r>
      </text>
    </comment>
    <comment ref="Z189" authorId="1">
      <text>
        <r>
          <rPr>
            <b/>
            <sz val="8"/>
            <color indexed="81"/>
            <rFont val="Tahoma"/>
            <family val="2"/>
          </rPr>
          <t>TONY GARCIA:</t>
        </r>
        <r>
          <rPr>
            <sz val="8"/>
            <color indexed="81"/>
            <rFont val="Tahoma"/>
            <family val="2"/>
          </rPr>
          <t xml:space="preserve">
EL ESPACIO DE LA DERECHA SE LLENARA AUTOMATICAMENTE</t>
        </r>
      </text>
    </comment>
    <comment ref="M19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19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19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19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19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19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19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19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191" authorId="1">
      <text>
        <r>
          <rPr>
            <b/>
            <sz val="8"/>
            <color indexed="81"/>
            <rFont val="Tahoma"/>
            <family val="2"/>
          </rPr>
          <t>TONY GARCIA:</t>
        </r>
        <r>
          <rPr>
            <sz val="8"/>
            <color indexed="81"/>
            <rFont val="Tahoma"/>
            <family val="2"/>
          </rPr>
          <t xml:space="preserve">
EL ESPACIO DE LA DERECHA SE LLENARA AUTOMATICAMENTE</t>
        </r>
      </text>
    </comment>
    <comment ref="N19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19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19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193" authorId="1">
      <text>
        <r>
          <rPr>
            <b/>
            <sz val="8"/>
            <color indexed="81"/>
            <rFont val="Tahoma"/>
            <family val="2"/>
          </rPr>
          <t>TONY GARCIA:</t>
        </r>
        <r>
          <rPr>
            <sz val="8"/>
            <color indexed="81"/>
            <rFont val="Tahoma"/>
            <family val="2"/>
          </rPr>
          <t xml:space="preserve">
</t>
        </r>
      </text>
    </comment>
    <comment ref="F195" authorId="1">
      <text>
        <r>
          <rPr>
            <b/>
            <sz val="8"/>
            <color indexed="81"/>
            <rFont val="Tahoma"/>
            <family val="2"/>
          </rPr>
          <t>TONY GARCIA:</t>
        </r>
        <r>
          <rPr>
            <sz val="8"/>
            <color indexed="81"/>
            <rFont val="Tahoma"/>
            <family val="2"/>
          </rPr>
          <t xml:space="preserve">
EL ESPACIO DE LA DERECHA SE LLENARA AUTOMATICAMENTE</t>
        </r>
      </text>
    </comment>
    <comment ref="R19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195" authorId="1">
      <text>
        <r>
          <rPr>
            <b/>
            <sz val="8"/>
            <color indexed="81"/>
            <rFont val="Tahoma"/>
            <family val="2"/>
          </rPr>
          <t>TONY GARCIA:</t>
        </r>
        <r>
          <rPr>
            <sz val="8"/>
            <color indexed="81"/>
            <rFont val="Tahoma"/>
            <family val="2"/>
          </rPr>
          <t xml:space="preserve">
EL ESPACIO DE LA DERECHA SE LLENARA AUTOMATICAMENTE</t>
        </r>
      </text>
    </comment>
    <comment ref="F196" authorId="1">
      <text>
        <r>
          <rPr>
            <b/>
            <sz val="8"/>
            <color indexed="81"/>
            <rFont val="Tahoma"/>
            <family val="2"/>
          </rPr>
          <t>TONY GARCIA:</t>
        </r>
        <r>
          <rPr>
            <sz val="8"/>
            <color indexed="81"/>
            <rFont val="Tahoma"/>
            <family val="2"/>
          </rPr>
          <t xml:space="preserve">
EL ESPACIO DE LA DERECHA SE LLENARA AUTOMATICAMENTE</t>
        </r>
      </text>
    </comment>
    <comment ref="R19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197" authorId="1">
      <text>
        <r>
          <rPr>
            <b/>
            <sz val="8"/>
            <color indexed="81"/>
            <rFont val="Tahoma"/>
            <family val="2"/>
          </rPr>
          <t>TONY GARCIA:</t>
        </r>
        <r>
          <rPr>
            <sz val="8"/>
            <color indexed="81"/>
            <rFont val="Tahoma"/>
            <family val="2"/>
          </rPr>
          <t xml:space="preserve">
EL ESPACIO DE LA DERECHA SE LLENARA AUTOMATICAMENTE</t>
        </r>
      </text>
    </comment>
    <comment ref="R19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197" authorId="1">
      <text>
        <r>
          <rPr>
            <b/>
            <sz val="8"/>
            <color indexed="81"/>
            <rFont val="Tahoma"/>
            <family val="2"/>
          </rPr>
          <t>TONY GARCIA:</t>
        </r>
        <r>
          <rPr>
            <sz val="8"/>
            <color indexed="81"/>
            <rFont val="Tahoma"/>
            <family val="2"/>
          </rPr>
          <t xml:space="preserve">
EL ESPACIO DE LA DERECHA SE LLENARA AUTOMATICAMENTE</t>
        </r>
      </text>
    </comment>
    <comment ref="R19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19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19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19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20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20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0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20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20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20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209" authorId="1">
      <text>
        <r>
          <rPr>
            <b/>
            <sz val="8"/>
            <color indexed="81"/>
            <rFont val="Tahoma"/>
            <family val="2"/>
          </rPr>
          <t>TONY GARCIA:</t>
        </r>
        <r>
          <rPr>
            <sz val="8"/>
            <color indexed="81"/>
            <rFont val="Tahoma"/>
            <family val="2"/>
          </rPr>
          <t xml:space="preserve">
EL ESPACIO DE LA DERECHA SE LLENARA AUTOMATICAMENTE</t>
        </r>
      </text>
    </comment>
    <comment ref="Z211" authorId="1">
      <text>
        <r>
          <rPr>
            <b/>
            <sz val="8"/>
            <color indexed="81"/>
            <rFont val="Tahoma"/>
            <family val="2"/>
          </rPr>
          <t>TONY GARCIA:</t>
        </r>
        <r>
          <rPr>
            <sz val="8"/>
            <color indexed="81"/>
            <rFont val="Tahoma"/>
            <family val="2"/>
          </rPr>
          <t xml:space="preserve">
EL ESPACIO DE LA DERECHA SE LLENARA AUTOMATICAMENTE</t>
        </r>
      </text>
    </comment>
    <comment ref="F21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21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21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21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21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212" authorId="1">
      <text>
        <r>
          <rPr>
            <b/>
            <sz val="8"/>
            <color indexed="81"/>
            <rFont val="Tahoma"/>
            <family val="2"/>
          </rPr>
          <t>TONY GARCIA:</t>
        </r>
        <r>
          <rPr>
            <sz val="8"/>
            <color indexed="81"/>
            <rFont val="Tahoma"/>
            <family val="2"/>
          </rPr>
          <t xml:space="preserve">
EL ESPACIO DE LA DERECHA SE LLENARA AUTOMATICAMENTE</t>
        </r>
      </text>
    </comment>
    <comment ref="Z213" authorId="1">
      <text>
        <r>
          <rPr>
            <b/>
            <sz val="8"/>
            <color indexed="81"/>
            <rFont val="Tahoma"/>
            <family val="2"/>
          </rPr>
          <t>TONY GARCIA:</t>
        </r>
        <r>
          <rPr>
            <sz val="8"/>
            <color indexed="81"/>
            <rFont val="Tahoma"/>
            <family val="2"/>
          </rPr>
          <t xml:space="preserve">
EL ESPACIO DE LA DERECHA SE LLENARA AUTOMATICAMENTE</t>
        </r>
      </text>
    </comment>
    <comment ref="O21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21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21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215" authorId="1">
      <text>
        <r>
          <rPr>
            <b/>
            <sz val="8"/>
            <color indexed="81"/>
            <rFont val="Tahoma"/>
            <family val="2"/>
          </rPr>
          <t>TONY GARCIA:</t>
        </r>
        <r>
          <rPr>
            <sz val="8"/>
            <color indexed="81"/>
            <rFont val="Tahoma"/>
            <family val="2"/>
          </rPr>
          <t xml:space="preserve">
EL ESPACIO DE LA DERECHA SE LLENARA AUTOMATICAMENTE</t>
        </r>
      </text>
    </comment>
    <comment ref="N21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21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21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21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217" authorId="1">
      <text>
        <r>
          <rPr>
            <b/>
            <sz val="8"/>
            <color indexed="81"/>
            <rFont val="Tahoma"/>
            <family val="2"/>
          </rPr>
          <t>TONY GARCIA:</t>
        </r>
        <r>
          <rPr>
            <sz val="8"/>
            <color indexed="81"/>
            <rFont val="Tahoma"/>
            <family val="2"/>
          </rPr>
          <t xml:space="preserve">
EL ESPACIO DE LA DERECHA SE LLENARA AUTOMATICAMENTE</t>
        </r>
      </text>
    </comment>
    <comment ref="O21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219" authorId="1">
      <text>
        <r>
          <rPr>
            <b/>
            <sz val="8"/>
            <color indexed="81"/>
            <rFont val="Tahoma"/>
            <family val="2"/>
          </rPr>
          <t>TONY GARCIA:</t>
        </r>
        <r>
          <rPr>
            <sz val="8"/>
            <color indexed="81"/>
            <rFont val="Tahoma"/>
            <family val="2"/>
          </rPr>
          <t xml:space="preserve">
</t>
        </r>
      </text>
    </comment>
    <comment ref="Z219" authorId="1">
      <text>
        <r>
          <rPr>
            <b/>
            <sz val="8"/>
            <color indexed="81"/>
            <rFont val="Tahoma"/>
            <family val="2"/>
          </rPr>
          <t>TONY GARCIA:</t>
        </r>
        <r>
          <rPr>
            <sz val="8"/>
            <color indexed="81"/>
            <rFont val="Tahoma"/>
            <family val="2"/>
          </rPr>
          <t xml:space="preserve">
EL ESPACIO DE LA DERECHA SE LLENARA AUTOMATICAMENTE</t>
        </r>
      </text>
    </comment>
    <comment ref="M22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22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22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22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22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22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22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22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221" authorId="1">
      <text>
        <r>
          <rPr>
            <b/>
            <sz val="8"/>
            <color indexed="81"/>
            <rFont val="Tahoma"/>
            <family val="2"/>
          </rPr>
          <t>TONY GARCIA:</t>
        </r>
        <r>
          <rPr>
            <sz val="8"/>
            <color indexed="81"/>
            <rFont val="Tahoma"/>
            <family val="2"/>
          </rPr>
          <t xml:space="preserve">
EL ESPACIO DE LA DERECHA SE LLENARA AUTOMATICAMENTE</t>
        </r>
      </text>
    </comment>
    <comment ref="N22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22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22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223" authorId="1">
      <text>
        <r>
          <rPr>
            <b/>
            <sz val="8"/>
            <color indexed="81"/>
            <rFont val="Tahoma"/>
            <family val="2"/>
          </rPr>
          <t>TONY GARCIA:</t>
        </r>
        <r>
          <rPr>
            <sz val="8"/>
            <color indexed="81"/>
            <rFont val="Tahoma"/>
            <family val="2"/>
          </rPr>
          <t xml:space="preserve">
</t>
        </r>
      </text>
    </comment>
    <comment ref="F225" authorId="1">
      <text>
        <r>
          <rPr>
            <b/>
            <sz val="8"/>
            <color indexed="81"/>
            <rFont val="Tahoma"/>
            <family val="2"/>
          </rPr>
          <t>TONY GARCIA:</t>
        </r>
        <r>
          <rPr>
            <sz val="8"/>
            <color indexed="81"/>
            <rFont val="Tahoma"/>
            <family val="2"/>
          </rPr>
          <t xml:space="preserve">
EL ESPACIO DE LA DERECHA SE LLENARA AUTOMATICAMENTE</t>
        </r>
      </text>
    </comment>
    <comment ref="R22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225" authorId="1">
      <text>
        <r>
          <rPr>
            <b/>
            <sz val="8"/>
            <color indexed="81"/>
            <rFont val="Tahoma"/>
            <family val="2"/>
          </rPr>
          <t>TONY GARCIA:</t>
        </r>
        <r>
          <rPr>
            <sz val="8"/>
            <color indexed="81"/>
            <rFont val="Tahoma"/>
            <family val="2"/>
          </rPr>
          <t xml:space="preserve">
EL ESPACIO DE LA DERECHA SE LLENARA AUTOMATICAMENTE</t>
        </r>
      </text>
    </comment>
    <comment ref="F226" authorId="1">
      <text>
        <r>
          <rPr>
            <b/>
            <sz val="8"/>
            <color indexed="81"/>
            <rFont val="Tahoma"/>
            <family val="2"/>
          </rPr>
          <t>TONY GARCIA:</t>
        </r>
        <r>
          <rPr>
            <sz val="8"/>
            <color indexed="81"/>
            <rFont val="Tahoma"/>
            <family val="2"/>
          </rPr>
          <t xml:space="preserve">
EL ESPACIO DE LA DERECHA SE LLENARA AUTOMATICAMENTE</t>
        </r>
      </text>
    </comment>
    <comment ref="R22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227" authorId="1">
      <text>
        <r>
          <rPr>
            <b/>
            <sz val="8"/>
            <color indexed="81"/>
            <rFont val="Tahoma"/>
            <family val="2"/>
          </rPr>
          <t>TONY GARCIA:</t>
        </r>
        <r>
          <rPr>
            <sz val="8"/>
            <color indexed="81"/>
            <rFont val="Tahoma"/>
            <family val="2"/>
          </rPr>
          <t xml:space="preserve">
EL ESPACIO DE LA DERECHA SE LLENARA AUTOMATICAMENTE</t>
        </r>
      </text>
    </comment>
    <comment ref="R22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227" authorId="1">
      <text>
        <r>
          <rPr>
            <b/>
            <sz val="8"/>
            <color indexed="81"/>
            <rFont val="Tahoma"/>
            <family val="2"/>
          </rPr>
          <t>TONY GARCIA:</t>
        </r>
        <r>
          <rPr>
            <sz val="8"/>
            <color indexed="81"/>
            <rFont val="Tahoma"/>
            <family val="2"/>
          </rPr>
          <t xml:space="preserve">
EL ESPACIO DE LA DERECHA SE LLENARA AUTOMATICAMENTE</t>
        </r>
      </text>
    </comment>
    <comment ref="R22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22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22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2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23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23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3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23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23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23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239" authorId="1">
      <text>
        <r>
          <rPr>
            <b/>
            <sz val="8"/>
            <color indexed="81"/>
            <rFont val="Tahoma"/>
            <family val="2"/>
          </rPr>
          <t>TONY GARCIA:</t>
        </r>
        <r>
          <rPr>
            <sz val="8"/>
            <color indexed="81"/>
            <rFont val="Tahoma"/>
            <family val="2"/>
          </rPr>
          <t xml:space="preserve">
EL ESPACIO DE LA DERECHA SE LLENARA AUTOMATICAMENTE</t>
        </r>
      </text>
    </comment>
    <comment ref="Z241" authorId="1">
      <text>
        <r>
          <rPr>
            <b/>
            <sz val="8"/>
            <color indexed="81"/>
            <rFont val="Tahoma"/>
            <family val="2"/>
          </rPr>
          <t>TONY GARCIA:</t>
        </r>
        <r>
          <rPr>
            <sz val="8"/>
            <color indexed="81"/>
            <rFont val="Tahoma"/>
            <family val="2"/>
          </rPr>
          <t xml:space="preserve">
EL ESPACIO DE LA DERECHA SE LLENARA AUTOMATICAMENTE</t>
        </r>
      </text>
    </comment>
    <comment ref="F24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24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24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24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24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242" authorId="1">
      <text>
        <r>
          <rPr>
            <b/>
            <sz val="8"/>
            <color indexed="81"/>
            <rFont val="Tahoma"/>
            <family val="2"/>
          </rPr>
          <t>TONY GARCIA:</t>
        </r>
        <r>
          <rPr>
            <sz val="8"/>
            <color indexed="81"/>
            <rFont val="Tahoma"/>
            <family val="2"/>
          </rPr>
          <t xml:space="preserve">
EL ESPACIO DE LA DERECHA SE LLENARA AUTOMATICAMENTE</t>
        </r>
      </text>
    </comment>
    <comment ref="Z243" authorId="1">
      <text>
        <r>
          <rPr>
            <b/>
            <sz val="8"/>
            <color indexed="81"/>
            <rFont val="Tahoma"/>
            <family val="2"/>
          </rPr>
          <t>TONY GARCIA:</t>
        </r>
        <r>
          <rPr>
            <sz val="8"/>
            <color indexed="81"/>
            <rFont val="Tahoma"/>
            <family val="2"/>
          </rPr>
          <t xml:space="preserve">
EL ESPACIO DE LA DERECHA SE LLENARA AUTOMATICAMENTE</t>
        </r>
      </text>
    </comment>
    <comment ref="O24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24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24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245" authorId="1">
      <text>
        <r>
          <rPr>
            <b/>
            <sz val="8"/>
            <color indexed="81"/>
            <rFont val="Tahoma"/>
            <family val="2"/>
          </rPr>
          <t>TONY GARCIA:</t>
        </r>
        <r>
          <rPr>
            <sz val="8"/>
            <color indexed="81"/>
            <rFont val="Tahoma"/>
            <family val="2"/>
          </rPr>
          <t xml:space="preserve">
EL ESPACIO DE LA DERECHA SE LLENARA AUTOMATICAMENTE</t>
        </r>
      </text>
    </comment>
    <comment ref="N24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24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24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24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247" authorId="1">
      <text>
        <r>
          <rPr>
            <b/>
            <sz val="8"/>
            <color indexed="81"/>
            <rFont val="Tahoma"/>
            <family val="2"/>
          </rPr>
          <t>TONY GARCIA:</t>
        </r>
        <r>
          <rPr>
            <sz val="8"/>
            <color indexed="81"/>
            <rFont val="Tahoma"/>
            <family val="2"/>
          </rPr>
          <t xml:space="preserve">
EL ESPACIO DE LA DERECHA SE LLENARA AUTOMATICAMENTE</t>
        </r>
      </text>
    </comment>
    <comment ref="O24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249" authorId="1">
      <text>
        <r>
          <rPr>
            <b/>
            <sz val="8"/>
            <color indexed="81"/>
            <rFont val="Tahoma"/>
            <family val="2"/>
          </rPr>
          <t>TONY GARCIA:</t>
        </r>
        <r>
          <rPr>
            <sz val="8"/>
            <color indexed="81"/>
            <rFont val="Tahoma"/>
            <family val="2"/>
          </rPr>
          <t xml:space="preserve">
</t>
        </r>
      </text>
    </comment>
    <comment ref="Z249" authorId="1">
      <text>
        <r>
          <rPr>
            <b/>
            <sz val="8"/>
            <color indexed="81"/>
            <rFont val="Tahoma"/>
            <family val="2"/>
          </rPr>
          <t>TONY GARCIA:</t>
        </r>
        <r>
          <rPr>
            <sz val="8"/>
            <color indexed="81"/>
            <rFont val="Tahoma"/>
            <family val="2"/>
          </rPr>
          <t xml:space="preserve">
EL ESPACIO DE LA DERECHA SE LLENARA AUTOMATICAMENTE</t>
        </r>
      </text>
    </comment>
    <comment ref="M25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25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25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25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25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25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25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25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251" authorId="1">
      <text>
        <r>
          <rPr>
            <b/>
            <sz val="8"/>
            <color indexed="81"/>
            <rFont val="Tahoma"/>
            <family val="2"/>
          </rPr>
          <t>TONY GARCIA:</t>
        </r>
        <r>
          <rPr>
            <sz val="8"/>
            <color indexed="81"/>
            <rFont val="Tahoma"/>
            <family val="2"/>
          </rPr>
          <t xml:space="preserve">
EL ESPACIO DE LA DERECHA SE LLENARA AUTOMATICAMENTE</t>
        </r>
      </text>
    </comment>
    <comment ref="N25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25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25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253" authorId="1">
      <text>
        <r>
          <rPr>
            <b/>
            <sz val="8"/>
            <color indexed="81"/>
            <rFont val="Tahoma"/>
            <family val="2"/>
          </rPr>
          <t>TONY GARCIA:</t>
        </r>
        <r>
          <rPr>
            <sz val="8"/>
            <color indexed="81"/>
            <rFont val="Tahoma"/>
            <family val="2"/>
          </rPr>
          <t xml:space="preserve">
</t>
        </r>
      </text>
    </comment>
    <comment ref="F255" authorId="1">
      <text>
        <r>
          <rPr>
            <b/>
            <sz val="8"/>
            <color indexed="81"/>
            <rFont val="Tahoma"/>
            <family val="2"/>
          </rPr>
          <t>TONY GARCIA:</t>
        </r>
        <r>
          <rPr>
            <sz val="8"/>
            <color indexed="81"/>
            <rFont val="Tahoma"/>
            <family val="2"/>
          </rPr>
          <t xml:space="preserve">
EL ESPACIO DE LA DERECHA SE LLENARA AUTOMATICAMENTE</t>
        </r>
      </text>
    </comment>
    <comment ref="R25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255" authorId="1">
      <text>
        <r>
          <rPr>
            <b/>
            <sz val="8"/>
            <color indexed="81"/>
            <rFont val="Tahoma"/>
            <family val="2"/>
          </rPr>
          <t>TONY GARCIA:</t>
        </r>
        <r>
          <rPr>
            <sz val="8"/>
            <color indexed="81"/>
            <rFont val="Tahoma"/>
            <family val="2"/>
          </rPr>
          <t xml:space="preserve">
EL ESPACIO DE LA DERECHA SE LLENARA AUTOMATICAMENTE</t>
        </r>
      </text>
    </comment>
    <comment ref="F256" authorId="1">
      <text>
        <r>
          <rPr>
            <b/>
            <sz val="8"/>
            <color indexed="81"/>
            <rFont val="Tahoma"/>
            <family val="2"/>
          </rPr>
          <t>TONY GARCIA:</t>
        </r>
        <r>
          <rPr>
            <sz val="8"/>
            <color indexed="81"/>
            <rFont val="Tahoma"/>
            <family val="2"/>
          </rPr>
          <t xml:space="preserve">
EL ESPACIO DE LA DERECHA SE LLENARA AUTOMATICAMENTE</t>
        </r>
      </text>
    </comment>
    <comment ref="R25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257" authorId="1">
      <text>
        <r>
          <rPr>
            <b/>
            <sz val="8"/>
            <color indexed="81"/>
            <rFont val="Tahoma"/>
            <family val="2"/>
          </rPr>
          <t>TONY GARCIA:</t>
        </r>
        <r>
          <rPr>
            <sz val="8"/>
            <color indexed="81"/>
            <rFont val="Tahoma"/>
            <family val="2"/>
          </rPr>
          <t xml:space="preserve">
EL ESPACIO DE LA DERECHA SE LLENARA AUTOMATICAMENTE</t>
        </r>
      </text>
    </comment>
    <comment ref="R25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257" authorId="1">
      <text>
        <r>
          <rPr>
            <b/>
            <sz val="8"/>
            <color indexed="81"/>
            <rFont val="Tahoma"/>
            <family val="2"/>
          </rPr>
          <t>TONY GARCIA:</t>
        </r>
        <r>
          <rPr>
            <sz val="8"/>
            <color indexed="81"/>
            <rFont val="Tahoma"/>
            <family val="2"/>
          </rPr>
          <t xml:space="preserve">
EL ESPACIO DE LA DERECHA SE LLENARA AUTOMATICAMENTE</t>
        </r>
      </text>
    </comment>
    <comment ref="R25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25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25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5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26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26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6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26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26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26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269" authorId="1">
      <text>
        <r>
          <rPr>
            <b/>
            <sz val="8"/>
            <color indexed="81"/>
            <rFont val="Tahoma"/>
            <family val="2"/>
          </rPr>
          <t>TONY GARCIA:</t>
        </r>
        <r>
          <rPr>
            <sz val="8"/>
            <color indexed="81"/>
            <rFont val="Tahoma"/>
            <family val="2"/>
          </rPr>
          <t xml:space="preserve">
EL ESPACIO DE LA DERECHA SE LLENARA AUTOMATICAMENTE</t>
        </r>
      </text>
    </comment>
    <comment ref="Z271" authorId="1">
      <text>
        <r>
          <rPr>
            <b/>
            <sz val="8"/>
            <color indexed="81"/>
            <rFont val="Tahoma"/>
            <family val="2"/>
          </rPr>
          <t>TONY GARCIA:</t>
        </r>
        <r>
          <rPr>
            <sz val="8"/>
            <color indexed="81"/>
            <rFont val="Tahoma"/>
            <family val="2"/>
          </rPr>
          <t xml:space="preserve">
EL ESPACIO DE LA DERECHA SE LLENARA AUTOMATICAMENTE</t>
        </r>
      </text>
    </comment>
    <comment ref="F27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27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27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27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27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272" authorId="1">
      <text>
        <r>
          <rPr>
            <b/>
            <sz val="8"/>
            <color indexed="81"/>
            <rFont val="Tahoma"/>
            <family val="2"/>
          </rPr>
          <t>TONY GARCIA:</t>
        </r>
        <r>
          <rPr>
            <sz val="8"/>
            <color indexed="81"/>
            <rFont val="Tahoma"/>
            <family val="2"/>
          </rPr>
          <t xml:space="preserve">
EL ESPACIO DE LA DERECHA SE LLENARA AUTOMATICAMENTE</t>
        </r>
      </text>
    </comment>
    <comment ref="Z273" authorId="1">
      <text>
        <r>
          <rPr>
            <b/>
            <sz val="8"/>
            <color indexed="81"/>
            <rFont val="Tahoma"/>
            <family val="2"/>
          </rPr>
          <t>TONY GARCIA:</t>
        </r>
        <r>
          <rPr>
            <sz val="8"/>
            <color indexed="81"/>
            <rFont val="Tahoma"/>
            <family val="2"/>
          </rPr>
          <t xml:space="preserve">
EL ESPACIO DE LA DERECHA SE LLENARA AUTOMATICAMENTE</t>
        </r>
      </text>
    </comment>
    <comment ref="O27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27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27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275" authorId="1">
      <text>
        <r>
          <rPr>
            <b/>
            <sz val="8"/>
            <color indexed="81"/>
            <rFont val="Tahoma"/>
            <family val="2"/>
          </rPr>
          <t>TONY GARCIA:</t>
        </r>
        <r>
          <rPr>
            <sz val="8"/>
            <color indexed="81"/>
            <rFont val="Tahoma"/>
            <family val="2"/>
          </rPr>
          <t xml:space="preserve">
EL ESPACIO DE LA DERECHA SE LLENARA AUTOMATICAMENTE</t>
        </r>
      </text>
    </comment>
    <comment ref="N27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27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27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27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277" authorId="1">
      <text>
        <r>
          <rPr>
            <b/>
            <sz val="8"/>
            <color indexed="81"/>
            <rFont val="Tahoma"/>
            <family val="2"/>
          </rPr>
          <t>TONY GARCIA:</t>
        </r>
        <r>
          <rPr>
            <sz val="8"/>
            <color indexed="81"/>
            <rFont val="Tahoma"/>
            <family val="2"/>
          </rPr>
          <t xml:space="preserve">
EL ESPACIO DE LA DERECHA SE LLENARA AUTOMATICAMENTE</t>
        </r>
      </text>
    </comment>
    <comment ref="O27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279" authorId="1">
      <text>
        <r>
          <rPr>
            <b/>
            <sz val="8"/>
            <color indexed="81"/>
            <rFont val="Tahoma"/>
            <family val="2"/>
          </rPr>
          <t>TONY GARCIA:</t>
        </r>
        <r>
          <rPr>
            <sz val="8"/>
            <color indexed="81"/>
            <rFont val="Tahoma"/>
            <family val="2"/>
          </rPr>
          <t xml:space="preserve">
</t>
        </r>
      </text>
    </comment>
    <comment ref="Z279" authorId="1">
      <text>
        <r>
          <rPr>
            <b/>
            <sz val="8"/>
            <color indexed="81"/>
            <rFont val="Tahoma"/>
            <family val="2"/>
          </rPr>
          <t>TONY GARCIA:</t>
        </r>
        <r>
          <rPr>
            <sz val="8"/>
            <color indexed="81"/>
            <rFont val="Tahoma"/>
            <family val="2"/>
          </rPr>
          <t xml:space="preserve">
EL ESPACIO DE LA DERECHA SE LLENARA AUTOMATICAMENTE</t>
        </r>
      </text>
    </comment>
    <comment ref="M28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28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28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28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28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28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28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28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281" authorId="1">
      <text>
        <r>
          <rPr>
            <b/>
            <sz val="8"/>
            <color indexed="81"/>
            <rFont val="Tahoma"/>
            <family val="2"/>
          </rPr>
          <t>TONY GARCIA:</t>
        </r>
        <r>
          <rPr>
            <sz val="8"/>
            <color indexed="81"/>
            <rFont val="Tahoma"/>
            <family val="2"/>
          </rPr>
          <t xml:space="preserve">
EL ESPACIO DE LA DERECHA SE LLENARA AUTOMATICAMENTE</t>
        </r>
      </text>
    </comment>
    <comment ref="N28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28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28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283" authorId="1">
      <text>
        <r>
          <rPr>
            <b/>
            <sz val="8"/>
            <color indexed="81"/>
            <rFont val="Tahoma"/>
            <family val="2"/>
          </rPr>
          <t>TONY GARCIA:</t>
        </r>
        <r>
          <rPr>
            <sz val="8"/>
            <color indexed="81"/>
            <rFont val="Tahoma"/>
            <family val="2"/>
          </rPr>
          <t xml:space="preserve">
</t>
        </r>
      </text>
    </comment>
    <comment ref="F285" authorId="1">
      <text>
        <r>
          <rPr>
            <b/>
            <sz val="8"/>
            <color indexed="81"/>
            <rFont val="Tahoma"/>
            <family val="2"/>
          </rPr>
          <t>TONY GARCIA:</t>
        </r>
        <r>
          <rPr>
            <sz val="8"/>
            <color indexed="81"/>
            <rFont val="Tahoma"/>
            <family val="2"/>
          </rPr>
          <t xml:space="preserve">
EL ESPACIO DE LA DERECHA SE LLENARA AUTOMATICAMENTE</t>
        </r>
      </text>
    </comment>
    <comment ref="R28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285" authorId="1">
      <text>
        <r>
          <rPr>
            <b/>
            <sz val="8"/>
            <color indexed="81"/>
            <rFont val="Tahoma"/>
            <family val="2"/>
          </rPr>
          <t>TONY GARCIA:</t>
        </r>
        <r>
          <rPr>
            <sz val="8"/>
            <color indexed="81"/>
            <rFont val="Tahoma"/>
            <family val="2"/>
          </rPr>
          <t xml:space="preserve">
EL ESPACIO DE LA DERECHA SE LLENARA AUTOMATICAMENTE</t>
        </r>
      </text>
    </comment>
    <comment ref="F286" authorId="1">
      <text>
        <r>
          <rPr>
            <b/>
            <sz val="8"/>
            <color indexed="81"/>
            <rFont val="Tahoma"/>
            <family val="2"/>
          </rPr>
          <t>TONY GARCIA:</t>
        </r>
        <r>
          <rPr>
            <sz val="8"/>
            <color indexed="81"/>
            <rFont val="Tahoma"/>
            <family val="2"/>
          </rPr>
          <t xml:space="preserve">
EL ESPACIO DE LA DERECHA SE LLENARA AUTOMATICAMENTE</t>
        </r>
      </text>
    </comment>
    <comment ref="R28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287" authorId="1">
      <text>
        <r>
          <rPr>
            <b/>
            <sz val="8"/>
            <color indexed="81"/>
            <rFont val="Tahoma"/>
            <family val="2"/>
          </rPr>
          <t>TONY GARCIA:</t>
        </r>
        <r>
          <rPr>
            <sz val="8"/>
            <color indexed="81"/>
            <rFont val="Tahoma"/>
            <family val="2"/>
          </rPr>
          <t xml:space="preserve">
EL ESPACIO DE LA DERECHA SE LLENARA AUTOMATICAMENTE</t>
        </r>
      </text>
    </comment>
    <comment ref="R28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287" authorId="1">
      <text>
        <r>
          <rPr>
            <b/>
            <sz val="8"/>
            <color indexed="81"/>
            <rFont val="Tahoma"/>
            <family val="2"/>
          </rPr>
          <t>TONY GARCIA:</t>
        </r>
        <r>
          <rPr>
            <sz val="8"/>
            <color indexed="81"/>
            <rFont val="Tahoma"/>
            <family val="2"/>
          </rPr>
          <t xml:space="preserve">
EL ESPACIO DE LA DERECHA SE LLENARA AUTOMATICAMENTE</t>
        </r>
      </text>
    </comment>
    <comment ref="R28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28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28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8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29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29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29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29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29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29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299" authorId="1">
      <text>
        <r>
          <rPr>
            <b/>
            <sz val="8"/>
            <color indexed="81"/>
            <rFont val="Tahoma"/>
            <family val="2"/>
          </rPr>
          <t>TONY GARCIA:</t>
        </r>
        <r>
          <rPr>
            <sz val="8"/>
            <color indexed="81"/>
            <rFont val="Tahoma"/>
            <family val="2"/>
          </rPr>
          <t xml:space="preserve">
EL ESPACIO DE LA DERECHA SE LLENARA AUTOMATICAMENTE</t>
        </r>
      </text>
    </comment>
    <comment ref="Z301" authorId="1">
      <text>
        <r>
          <rPr>
            <b/>
            <sz val="8"/>
            <color indexed="81"/>
            <rFont val="Tahoma"/>
            <family val="2"/>
          </rPr>
          <t>TONY GARCIA:</t>
        </r>
        <r>
          <rPr>
            <sz val="8"/>
            <color indexed="81"/>
            <rFont val="Tahoma"/>
            <family val="2"/>
          </rPr>
          <t xml:space="preserve">
EL ESPACIO DE LA DERECHA SE LLENARA AUTOMATICAMENTE</t>
        </r>
      </text>
    </comment>
    <comment ref="F30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30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30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30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30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302" authorId="1">
      <text>
        <r>
          <rPr>
            <b/>
            <sz val="8"/>
            <color indexed="81"/>
            <rFont val="Tahoma"/>
            <family val="2"/>
          </rPr>
          <t>TONY GARCIA:</t>
        </r>
        <r>
          <rPr>
            <sz val="8"/>
            <color indexed="81"/>
            <rFont val="Tahoma"/>
            <family val="2"/>
          </rPr>
          <t xml:space="preserve">
EL ESPACIO DE LA DERECHA SE LLENARA AUTOMATICAMENTE</t>
        </r>
      </text>
    </comment>
    <comment ref="Z303" authorId="1">
      <text>
        <r>
          <rPr>
            <b/>
            <sz val="8"/>
            <color indexed="81"/>
            <rFont val="Tahoma"/>
            <family val="2"/>
          </rPr>
          <t>TONY GARCIA:</t>
        </r>
        <r>
          <rPr>
            <sz val="8"/>
            <color indexed="81"/>
            <rFont val="Tahoma"/>
            <family val="2"/>
          </rPr>
          <t xml:space="preserve">
EL ESPACIO DE LA DERECHA SE LLENARA AUTOMATICAMENTE</t>
        </r>
      </text>
    </comment>
    <comment ref="O30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30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30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305" authorId="1">
      <text>
        <r>
          <rPr>
            <b/>
            <sz val="8"/>
            <color indexed="81"/>
            <rFont val="Tahoma"/>
            <family val="2"/>
          </rPr>
          <t>TONY GARCIA:</t>
        </r>
        <r>
          <rPr>
            <sz val="8"/>
            <color indexed="81"/>
            <rFont val="Tahoma"/>
            <family val="2"/>
          </rPr>
          <t xml:space="preserve">
EL ESPACIO DE LA DERECHA SE LLENARA AUTOMATICAMENTE</t>
        </r>
      </text>
    </comment>
    <comment ref="N30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30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30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30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307" authorId="1">
      <text>
        <r>
          <rPr>
            <b/>
            <sz val="8"/>
            <color indexed="81"/>
            <rFont val="Tahoma"/>
            <family val="2"/>
          </rPr>
          <t>TONY GARCIA:</t>
        </r>
        <r>
          <rPr>
            <sz val="8"/>
            <color indexed="81"/>
            <rFont val="Tahoma"/>
            <family val="2"/>
          </rPr>
          <t xml:space="preserve">
EL ESPACIO DE LA DERECHA SE LLENARA AUTOMATICAMENTE</t>
        </r>
      </text>
    </comment>
    <comment ref="O30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309" authorId="1">
      <text>
        <r>
          <rPr>
            <b/>
            <sz val="8"/>
            <color indexed="81"/>
            <rFont val="Tahoma"/>
            <family val="2"/>
          </rPr>
          <t>TONY GARCIA:</t>
        </r>
        <r>
          <rPr>
            <sz val="8"/>
            <color indexed="81"/>
            <rFont val="Tahoma"/>
            <family val="2"/>
          </rPr>
          <t xml:space="preserve">
</t>
        </r>
      </text>
    </comment>
    <comment ref="Z309" authorId="1">
      <text>
        <r>
          <rPr>
            <b/>
            <sz val="8"/>
            <color indexed="81"/>
            <rFont val="Tahoma"/>
            <family val="2"/>
          </rPr>
          <t>TONY GARCIA:</t>
        </r>
        <r>
          <rPr>
            <sz val="8"/>
            <color indexed="81"/>
            <rFont val="Tahoma"/>
            <family val="2"/>
          </rPr>
          <t xml:space="preserve">
EL ESPACIO DE LA DERECHA SE LLENARA AUTOMATICAMENTE</t>
        </r>
      </text>
    </comment>
    <comment ref="M31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31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31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31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31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31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31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31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311" authorId="1">
      <text>
        <r>
          <rPr>
            <b/>
            <sz val="8"/>
            <color indexed="81"/>
            <rFont val="Tahoma"/>
            <family val="2"/>
          </rPr>
          <t>TONY GARCIA:</t>
        </r>
        <r>
          <rPr>
            <sz val="8"/>
            <color indexed="81"/>
            <rFont val="Tahoma"/>
            <family val="2"/>
          </rPr>
          <t xml:space="preserve">
EL ESPACIO DE LA DERECHA SE LLENARA AUTOMATICAMENTE</t>
        </r>
      </text>
    </comment>
    <comment ref="N31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31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31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313" authorId="1">
      <text>
        <r>
          <rPr>
            <b/>
            <sz val="8"/>
            <color indexed="81"/>
            <rFont val="Tahoma"/>
            <family val="2"/>
          </rPr>
          <t>TONY GARCIA:</t>
        </r>
        <r>
          <rPr>
            <sz val="8"/>
            <color indexed="81"/>
            <rFont val="Tahoma"/>
            <family val="2"/>
          </rPr>
          <t xml:space="preserve">
</t>
        </r>
      </text>
    </comment>
    <comment ref="F315" authorId="1">
      <text>
        <r>
          <rPr>
            <b/>
            <sz val="8"/>
            <color indexed="81"/>
            <rFont val="Tahoma"/>
            <family val="2"/>
          </rPr>
          <t>TONY GARCIA:</t>
        </r>
        <r>
          <rPr>
            <sz val="8"/>
            <color indexed="81"/>
            <rFont val="Tahoma"/>
            <family val="2"/>
          </rPr>
          <t xml:space="preserve">
EL ESPACIO DE LA DERECHA SE LLENARA AUTOMATICAMENTE</t>
        </r>
      </text>
    </comment>
    <comment ref="R31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315" authorId="1">
      <text>
        <r>
          <rPr>
            <b/>
            <sz val="8"/>
            <color indexed="81"/>
            <rFont val="Tahoma"/>
            <family val="2"/>
          </rPr>
          <t>TONY GARCIA:</t>
        </r>
        <r>
          <rPr>
            <sz val="8"/>
            <color indexed="81"/>
            <rFont val="Tahoma"/>
            <family val="2"/>
          </rPr>
          <t xml:space="preserve">
EL ESPACIO DE LA DERECHA SE LLENARA AUTOMATICAMENTE</t>
        </r>
      </text>
    </comment>
    <comment ref="F316" authorId="1">
      <text>
        <r>
          <rPr>
            <b/>
            <sz val="8"/>
            <color indexed="81"/>
            <rFont val="Tahoma"/>
            <family val="2"/>
          </rPr>
          <t>TONY GARCIA:</t>
        </r>
        <r>
          <rPr>
            <sz val="8"/>
            <color indexed="81"/>
            <rFont val="Tahoma"/>
            <family val="2"/>
          </rPr>
          <t xml:space="preserve">
EL ESPACIO DE LA DERECHA SE LLENARA AUTOMATICAMENTE</t>
        </r>
      </text>
    </comment>
    <comment ref="R31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317" authorId="1">
      <text>
        <r>
          <rPr>
            <b/>
            <sz val="8"/>
            <color indexed="81"/>
            <rFont val="Tahoma"/>
            <family val="2"/>
          </rPr>
          <t>TONY GARCIA:</t>
        </r>
        <r>
          <rPr>
            <sz val="8"/>
            <color indexed="81"/>
            <rFont val="Tahoma"/>
            <family val="2"/>
          </rPr>
          <t xml:space="preserve">
EL ESPACIO DE LA DERECHA SE LLENARA AUTOMATICAMENTE</t>
        </r>
      </text>
    </comment>
    <comment ref="R31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317" authorId="1">
      <text>
        <r>
          <rPr>
            <b/>
            <sz val="8"/>
            <color indexed="81"/>
            <rFont val="Tahoma"/>
            <family val="2"/>
          </rPr>
          <t>TONY GARCIA:</t>
        </r>
        <r>
          <rPr>
            <sz val="8"/>
            <color indexed="81"/>
            <rFont val="Tahoma"/>
            <family val="2"/>
          </rPr>
          <t xml:space="preserve">
EL ESPACIO DE LA DERECHA SE LLENARA AUTOMATICAMENTE</t>
        </r>
      </text>
    </comment>
    <comment ref="R31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31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31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1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32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32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2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32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32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32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329" authorId="1">
      <text>
        <r>
          <rPr>
            <b/>
            <sz val="8"/>
            <color indexed="81"/>
            <rFont val="Tahoma"/>
            <family val="2"/>
          </rPr>
          <t>TONY GARCIA:</t>
        </r>
        <r>
          <rPr>
            <sz val="8"/>
            <color indexed="81"/>
            <rFont val="Tahoma"/>
            <family val="2"/>
          </rPr>
          <t xml:space="preserve">
EL ESPACIO DE LA DERECHA SE LLENARA AUTOMATICAMENTE</t>
        </r>
      </text>
    </comment>
    <comment ref="Z331" authorId="1">
      <text>
        <r>
          <rPr>
            <b/>
            <sz val="8"/>
            <color indexed="81"/>
            <rFont val="Tahoma"/>
            <family val="2"/>
          </rPr>
          <t>TONY GARCIA:</t>
        </r>
        <r>
          <rPr>
            <sz val="8"/>
            <color indexed="81"/>
            <rFont val="Tahoma"/>
            <family val="2"/>
          </rPr>
          <t xml:space="preserve">
EL ESPACIO DE LA DERECHA SE LLENARA AUTOMATICAMENTE</t>
        </r>
      </text>
    </comment>
    <comment ref="F33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33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33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33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33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332" authorId="1">
      <text>
        <r>
          <rPr>
            <b/>
            <sz val="8"/>
            <color indexed="81"/>
            <rFont val="Tahoma"/>
            <family val="2"/>
          </rPr>
          <t>TONY GARCIA:</t>
        </r>
        <r>
          <rPr>
            <sz val="8"/>
            <color indexed="81"/>
            <rFont val="Tahoma"/>
            <family val="2"/>
          </rPr>
          <t xml:space="preserve">
EL ESPACIO DE LA DERECHA SE LLENARA AUTOMATICAMENTE</t>
        </r>
      </text>
    </comment>
    <comment ref="Z333" authorId="1">
      <text>
        <r>
          <rPr>
            <b/>
            <sz val="8"/>
            <color indexed="81"/>
            <rFont val="Tahoma"/>
            <family val="2"/>
          </rPr>
          <t>TONY GARCIA:</t>
        </r>
        <r>
          <rPr>
            <sz val="8"/>
            <color indexed="81"/>
            <rFont val="Tahoma"/>
            <family val="2"/>
          </rPr>
          <t xml:space="preserve">
EL ESPACIO DE LA DERECHA SE LLENARA AUTOMATICAMENTE</t>
        </r>
      </text>
    </comment>
    <comment ref="O33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33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33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335" authorId="1">
      <text>
        <r>
          <rPr>
            <b/>
            <sz val="8"/>
            <color indexed="81"/>
            <rFont val="Tahoma"/>
            <family val="2"/>
          </rPr>
          <t>TONY GARCIA:</t>
        </r>
        <r>
          <rPr>
            <sz val="8"/>
            <color indexed="81"/>
            <rFont val="Tahoma"/>
            <family val="2"/>
          </rPr>
          <t xml:space="preserve">
EL ESPACIO DE LA DERECHA SE LLENARA AUTOMATICAMENTE</t>
        </r>
      </text>
    </comment>
    <comment ref="N33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33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33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33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337" authorId="1">
      <text>
        <r>
          <rPr>
            <b/>
            <sz val="8"/>
            <color indexed="81"/>
            <rFont val="Tahoma"/>
            <family val="2"/>
          </rPr>
          <t>TONY GARCIA:</t>
        </r>
        <r>
          <rPr>
            <sz val="8"/>
            <color indexed="81"/>
            <rFont val="Tahoma"/>
            <family val="2"/>
          </rPr>
          <t xml:space="preserve">
EL ESPACIO DE LA DERECHA SE LLENARA AUTOMATICAMENTE</t>
        </r>
      </text>
    </comment>
    <comment ref="O33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339" authorId="1">
      <text>
        <r>
          <rPr>
            <b/>
            <sz val="8"/>
            <color indexed="81"/>
            <rFont val="Tahoma"/>
            <family val="2"/>
          </rPr>
          <t>TONY GARCIA:</t>
        </r>
        <r>
          <rPr>
            <sz val="8"/>
            <color indexed="81"/>
            <rFont val="Tahoma"/>
            <family val="2"/>
          </rPr>
          <t xml:space="preserve">
</t>
        </r>
      </text>
    </comment>
    <comment ref="Z339" authorId="1">
      <text>
        <r>
          <rPr>
            <b/>
            <sz val="8"/>
            <color indexed="81"/>
            <rFont val="Tahoma"/>
            <family val="2"/>
          </rPr>
          <t>TONY GARCIA:</t>
        </r>
        <r>
          <rPr>
            <sz val="8"/>
            <color indexed="81"/>
            <rFont val="Tahoma"/>
            <family val="2"/>
          </rPr>
          <t xml:space="preserve">
EL ESPACIO DE LA DERECHA SE LLENARA AUTOMATICAMENTE</t>
        </r>
      </text>
    </comment>
    <comment ref="M34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34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34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34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34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34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34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34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341" authorId="1">
      <text>
        <r>
          <rPr>
            <b/>
            <sz val="8"/>
            <color indexed="81"/>
            <rFont val="Tahoma"/>
            <family val="2"/>
          </rPr>
          <t>TONY GARCIA:</t>
        </r>
        <r>
          <rPr>
            <sz val="8"/>
            <color indexed="81"/>
            <rFont val="Tahoma"/>
            <family val="2"/>
          </rPr>
          <t xml:space="preserve">
EL ESPACIO DE LA DERECHA SE LLENARA AUTOMATICAMENTE</t>
        </r>
      </text>
    </comment>
    <comment ref="N34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34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34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343" authorId="1">
      <text>
        <r>
          <rPr>
            <b/>
            <sz val="8"/>
            <color indexed="81"/>
            <rFont val="Tahoma"/>
            <family val="2"/>
          </rPr>
          <t>TONY GARCIA:</t>
        </r>
        <r>
          <rPr>
            <sz val="8"/>
            <color indexed="81"/>
            <rFont val="Tahoma"/>
            <family val="2"/>
          </rPr>
          <t xml:space="preserve">
</t>
        </r>
      </text>
    </comment>
    <comment ref="F345" authorId="1">
      <text>
        <r>
          <rPr>
            <b/>
            <sz val="8"/>
            <color indexed="81"/>
            <rFont val="Tahoma"/>
            <family val="2"/>
          </rPr>
          <t>TONY GARCIA:</t>
        </r>
        <r>
          <rPr>
            <sz val="8"/>
            <color indexed="81"/>
            <rFont val="Tahoma"/>
            <family val="2"/>
          </rPr>
          <t xml:space="preserve">
EL ESPACIO DE LA DERECHA SE LLENARA AUTOMATICAMENTE</t>
        </r>
      </text>
    </comment>
    <comment ref="R34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345" authorId="1">
      <text>
        <r>
          <rPr>
            <b/>
            <sz val="8"/>
            <color indexed="81"/>
            <rFont val="Tahoma"/>
            <family val="2"/>
          </rPr>
          <t>TONY GARCIA:</t>
        </r>
        <r>
          <rPr>
            <sz val="8"/>
            <color indexed="81"/>
            <rFont val="Tahoma"/>
            <family val="2"/>
          </rPr>
          <t xml:space="preserve">
EL ESPACIO DE LA DERECHA SE LLENARA AUTOMATICAMENTE</t>
        </r>
      </text>
    </comment>
    <comment ref="F346" authorId="1">
      <text>
        <r>
          <rPr>
            <b/>
            <sz val="8"/>
            <color indexed="81"/>
            <rFont val="Tahoma"/>
            <family val="2"/>
          </rPr>
          <t>TONY GARCIA:</t>
        </r>
        <r>
          <rPr>
            <sz val="8"/>
            <color indexed="81"/>
            <rFont val="Tahoma"/>
            <family val="2"/>
          </rPr>
          <t xml:space="preserve">
EL ESPACIO DE LA DERECHA SE LLENARA AUTOMATICAMENTE</t>
        </r>
      </text>
    </comment>
    <comment ref="R34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347" authorId="1">
      <text>
        <r>
          <rPr>
            <b/>
            <sz val="8"/>
            <color indexed="81"/>
            <rFont val="Tahoma"/>
            <family val="2"/>
          </rPr>
          <t>TONY GARCIA:</t>
        </r>
        <r>
          <rPr>
            <sz val="8"/>
            <color indexed="81"/>
            <rFont val="Tahoma"/>
            <family val="2"/>
          </rPr>
          <t xml:space="preserve">
EL ESPACIO DE LA DERECHA SE LLENARA AUTOMATICAMENTE</t>
        </r>
      </text>
    </comment>
    <comment ref="R34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347" authorId="1">
      <text>
        <r>
          <rPr>
            <b/>
            <sz val="8"/>
            <color indexed="81"/>
            <rFont val="Tahoma"/>
            <family val="2"/>
          </rPr>
          <t>TONY GARCIA:</t>
        </r>
        <r>
          <rPr>
            <sz val="8"/>
            <color indexed="81"/>
            <rFont val="Tahoma"/>
            <family val="2"/>
          </rPr>
          <t xml:space="preserve">
EL ESPACIO DE LA DERECHA SE LLENARA AUTOMATICAMENTE</t>
        </r>
      </text>
    </comment>
    <comment ref="R34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34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34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4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35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35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5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35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35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35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359" authorId="1">
      <text>
        <r>
          <rPr>
            <b/>
            <sz val="8"/>
            <color indexed="81"/>
            <rFont val="Tahoma"/>
            <family val="2"/>
          </rPr>
          <t>TONY GARCIA:</t>
        </r>
        <r>
          <rPr>
            <sz val="8"/>
            <color indexed="81"/>
            <rFont val="Tahoma"/>
            <family val="2"/>
          </rPr>
          <t xml:space="preserve">
EL ESPACIO DE LA DERECHA SE LLENARA AUTOMATICAMENTE</t>
        </r>
      </text>
    </comment>
    <comment ref="Z361" authorId="1">
      <text>
        <r>
          <rPr>
            <b/>
            <sz val="8"/>
            <color indexed="81"/>
            <rFont val="Tahoma"/>
            <family val="2"/>
          </rPr>
          <t>TONY GARCIA:</t>
        </r>
        <r>
          <rPr>
            <sz val="8"/>
            <color indexed="81"/>
            <rFont val="Tahoma"/>
            <family val="2"/>
          </rPr>
          <t xml:space="preserve">
EL ESPACIO DE LA DERECHA SE LLENARA AUTOMATICAMENTE</t>
        </r>
      </text>
    </comment>
    <comment ref="F36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36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36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36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36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362" authorId="1">
      <text>
        <r>
          <rPr>
            <b/>
            <sz val="8"/>
            <color indexed="81"/>
            <rFont val="Tahoma"/>
            <family val="2"/>
          </rPr>
          <t>TONY GARCIA:</t>
        </r>
        <r>
          <rPr>
            <sz val="8"/>
            <color indexed="81"/>
            <rFont val="Tahoma"/>
            <family val="2"/>
          </rPr>
          <t xml:space="preserve">
EL ESPACIO DE LA DERECHA SE LLENARA AUTOMATICAMENTE</t>
        </r>
      </text>
    </comment>
    <comment ref="Z363" authorId="1">
      <text>
        <r>
          <rPr>
            <b/>
            <sz val="8"/>
            <color indexed="81"/>
            <rFont val="Tahoma"/>
            <family val="2"/>
          </rPr>
          <t>TONY GARCIA:</t>
        </r>
        <r>
          <rPr>
            <sz val="8"/>
            <color indexed="81"/>
            <rFont val="Tahoma"/>
            <family val="2"/>
          </rPr>
          <t xml:space="preserve">
EL ESPACIO DE LA DERECHA SE LLENARA AUTOMATICAMENTE</t>
        </r>
      </text>
    </comment>
    <comment ref="O36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36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36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365" authorId="1">
      <text>
        <r>
          <rPr>
            <b/>
            <sz val="8"/>
            <color indexed="81"/>
            <rFont val="Tahoma"/>
            <family val="2"/>
          </rPr>
          <t>TONY GARCIA:</t>
        </r>
        <r>
          <rPr>
            <sz val="8"/>
            <color indexed="81"/>
            <rFont val="Tahoma"/>
            <family val="2"/>
          </rPr>
          <t xml:space="preserve">
EL ESPACIO DE LA DERECHA SE LLENARA AUTOMATICAMENTE</t>
        </r>
      </text>
    </comment>
    <comment ref="N36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36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36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36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367" authorId="1">
      <text>
        <r>
          <rPr>
            <b/>
            <sz val="8"/>
            <color indexed="81"/>
            <rFont val="Tahoma"/>
            <family val="2"/>
          </rPr>
          <t>TONY GARCIA:</t>
        </r>
        <r>
          <rPr>
            <sz val="8"/>
            <color indexed="81"/>
            <rFont val="Tahoma"/>
            <family val="2"/>
          </rPr>
          <t xml:space="preserve">
EL ESPACIO DE LA DERECHA SE LLENARA AUTOMATICAMENTE</t>
        </r>
      </text>
    </comment>
    <comment ref="O36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369" authorId="1">
      <text>
        <r>
          <rPr>
            <b/>
            <sz val="8"/>
            <color indexed="81"/>
            <rFont val="Tahoma"/>
            <family val="2"/>
          </rPr>
          <t>TONY GARCIA:</t>
        </r>
        <r>
          <rPr>
            <sz val="8"/>
            <color indexed="81"/>
            <rFont val="Tahoma"/>
            <family val="2"/>
          </rPr>
          <t xml:space="preserve">
</t>
        </r>
      </text>
    </comment>
    <comment ref="Z369" authorId="1">
      <text>
        <r>
          <rPr>
            <b/>
            <sz val="8"/>
            <color indexed="81"/>
            <rFont val="Tahoma"/>
            <family val="2"/>
          </rPr>
          <t>TONY GARCIA:</t>
        </r>
        <r>
          <rPr>
            <sz val="8"/>
            <color indexed="81"/>
            <rFont val="Tahoma"/>
            <family val="2"/>
          </rPr>
          <t xml:space="preserve">
EL ESPACIO DE LA DERECHA SE LLENARA AUTOMATICAMENTE</t>
        </r>
      </text>
    </comment>
    <comment ref="M37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37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37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37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37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37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37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37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371" authorId="1">
      <text>
        <r>
          <rPr>
            <b/>
            <sz val="8"/>
            <color indexed="81"/>
            <rFont val="Tahoma"/>
            <family val="2"/>
          </rPr>
          <t>TONY GARCIA:</t>
        </r>
        <r>
          <rPr>
            <sz val="8"/>
            <color indexed="81"/>
            <rFont val="Tahoma"/>
            <family val="2"/>
          </rPr>
          <t xml:space="preserve">
EL ESPACIO DE LA DERECHA SE LLENARA AUTOMATICAMENTE</t>
        </r>
      </text>
    </comment>
    <comment ref="N37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37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37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373" authorId="1">
      <text>
        <r>
          <rPr>
            <b/>
            <sz val="8"/>
            <color indexed="81"/>
            <rFont val="Tahoma"/>
            <family val="2"/>
          </rPr>
          <t>TONY GARCIA:</t>
        </r>
        <r>
          <rPr>
            <sz val="8"/>
            <color indexed="81"/>
            <rFont val="Tahoma"/>
            <family val="2"/>
          </rPr>
          <t xml:space="preserve">
</t>
        </r>
      </text>
    </comment>
    <comment ref="F375" authorId="1">
      <text>
        <r>
          <rPr>
            <b/>
            <sz val="8"/>
            <color indexed="81"/>
            <rFont val="Tahoma"/>
            <family val="2"/>
          </rPr>
          <t>TONY GARCIA:</t>
        </r>
        <r>
          <rPr>
            <sz val="8"/>
            <color indexed="81"/>
            <rFont val="Tahoma"/>
            <family val="2"/>
          </rPr>
          <t xml:space="preserve">
EL ESPACIO DE LA DERECHA SE LLENARA AUTOMATICAMENTE</t>
        </r>
      </text>
    </comment>
    <comment ref="R37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375" authorId="1">
      <text>
        <r>
          <rPr>
            <b/>
            <sz val="8"/>
            <color indexed="81"/>
            <rFont val="Tahoma"/>
            <family val="2"/>
          </rPr>
          <t>TONY GARCIA:</t>
        </r>
        <r>
          <rPr>
            <sz val="8"/>
            <color indexed="81"/>
            <rFont val="Tahoma"/>
            <family val="2"/>
          </rPr>
          <t xml:space="preserve">
EL ESPACIO DE LA DERECHA SE LLENARA AUTOMATICAMENTE</t>
        </r>
      </text>
    </comment>
    <comment ref="F376" authorId="1">
      <text>
        <r>
          <rPr>
            <b/>
            <sz val="8"/>
            <color indexed="81"/>
            <rFont val="Tahoma"/>
            <family val="2"/>
          </rPr>
          <t>TONY GARCIA:</t>
        </r>
        <r>
          <rPr>
            <sz val="8"/>
            <color indexed="81"/>
            <rFont val="Tahoma"/>
            <family val="2"/>
          </rPr>
          <t xml:space="preserve">
EL ESPACIO DE LA DERECHA SE LLENARA AUTOMATICAMENTE</t>
        </r>
      </text>
    </comment>
    <comment ref="R37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377" authorId="1">
      <text>
        <r>
          <rPr>
            <b/>
            <sz val="8"/>
            <color indexed="81"/>
            <rFont val="Tahoma"/>
            <family val="2"/>
          </rPr>
          <t>TONY GARCIA:</t>
        </r>
        <r>
          <rPr>
            <sz val="8"/>
            <color indexed="81"/>
            <rFont val="Tahoma"/>
            <family val="2"/>
          </rPr>
          <t xml:space="preserve">
EL ESPACIO DE LA DERECHA SE LLENARA AUTOMATICAMENTE</t>
        </r>
      </text>
    </comment>
    <comment ref="R37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377" authorId="1">
      <text>
        <r>
          <rPr>
            <b/>
            <sz val="8"/>
            <color indexed="81"/>
            <rFont val="Tahoma"/>
            <family val="2"/>
          </rPr>
          <t>TONY GARCIA:</t>
        </r>
        <r>
          <rPr>
            <sz val="8"/>
            <color indexed="81"/>
            <rFont val="Tahoma"/>
            <family val="2"/>
          </rPr>
          <t xml:space="preserve">
EL ESPACIO DE LA DERECHA SE LLENARA AUTOMATICAMENTE</t>
        </r>
      </text>
    </comment>
    <comment ref="R37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37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37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7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38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38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38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38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38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38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389" authorId="1">
      <text>
        <r>
          <rPr>
            <b/>
            <sz val="8"/>
            <color indexed="81"/>
            <rFont val="Tahoma"/>
            <family val="2"/>
          </rPr>
          <t>TONY GARCIA:</t>
        </r>
        <r>
          <rPr>
            <sz val="8"/>
            <color indexed="81"/>
            <rFont val="Tahoma"/>
            <family val="2"/>
          </rPr>
          <t xml:space="preserve">
EL ESPACIO DE LA DERECHA SE LLENARA AUTOMATICAMENTE</t>
        </r>
      </text>
    </comment>
    <comment ref="Z391" authorId="1">
      <text>
        <r>
          <rPr>
            <b/>
            <sz val="8"/>
            <color indexed="81"/>
            <rFont val="Tahoma"/>
            <family val="2"/>
          </rPr>
          <t>TONY GARCIA:</t>
        </r>
        <r>
          <rPr>
            <sz val="8"/>
            <color indexed="81"/>
            <rFont val="Tahoma"/>
            <family val="2"/>
          </rPr>
          <t xml:space="preserve">
EL ESPACIO DE LA DERECHA SE LLENARA AUTOMATICAMENTE</t>
        </r>
      </text>
    </comment>
    <comment ref="F39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39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39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39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39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392" authorId="1">
      <text>
        <r>
          <rPr>
            <b/>
            <sz val="8"/>
            <color indexed="81"/>
            <rFont val="Tahoma"/>
            <family val="2"/>
          </rPr>
          <t>TONY GARCIA:</t>
        </r>
        <r>
          <rPr>
            <sz val="8"/>
            <color indexed="81"/>
            <rFont val="Tahoma"/>
            <family val="2"/>
          </rPr>
          <t xml:space="preserve">
EL ESPACIO DE LA DERECHA SE LLENARA AUTOMATICAMENTE</t>
        </r>
      </text>
    </comment>
    <comment ref="Z393" authorId="1">
      <text>
        <r>
          <rPr>
            <b/>
            <sz val="8"/>
            <color indexed="81"/>
            <rFont val="Tahoma"/>
            <family val="2"/>
          </rPr>
          <t>TONY GARCIA:</t>
        </r>
        <r>
          <rPr>
            <sz val="8"/>
            <color indexed="81"/>
            <rFont val="Tahoma"/>
            <family val="2"/>
          </rPr>
          <t xml:space="preserve">
EL ESPACIO DE LA DERECHA SE LLENARA AUTOMATICAMENTE</t>
        </r>
      </text>
    </comment>
    <comment ref="O39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39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39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395" authorId="1">
      <text>
        <r>
          <rPr>
            <b/>
            <sz val="8"/>
            <color indexed="81"/>
            <rFont val="Tahoma"/>
            <family val="2"/>
          </rPr>
          <t>TONY GARCIA:</t>
        </r>
        <r>
          <rPr>
            <sz val="8"/>
            <color indexed="81"/>
            <rFont val="Tahoma"/>
            <family val="2"/>
          </rPr>
          <t xml:space="preserve">
EL ESPACIO DE LA DERECHA SE LLENARA AUTOMATICAMENTE</t>
        </r>
      </text>
    </comment>
    <comment ref="N39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39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39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39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397" authorId="1">
      <text>
        <r>
          <rPr>
            <b/>
            <sz val="8"/>
            <color indexed="81"/>
            <rFont val="Tahoma"/>
            <family val="2"/>
          </rPr>
          <t>TONY GARCIA:</t>
        </r>
        <r>
          <rPr>
            <sz val="8"/>
            <color indexed="81"/>
            <rFont val="Tahoma"/>
            <family val="2"/>
          </rPr>
          <t xml:space="preserve">
EL ESPACIO DE LA DERECHA SE LLENARA AUTOMATICAMENTE</t>
        </r>
      </text>
    </comment>
    <comment ref="O39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399" authorId="1">
      <text>
        <r>
          <rPr>
            <b/>
            <sz val="8"/>
            <color indexed="81"/>
            <rFont val="Tahoma"/>
            <family val="2"/>
          </rPr>
          <t>TONY GARCIA:</t>
        </r>
        <r>
          <rPr>
            <sz val="8"/>
            <color indexed="81"/>
            <rFont val="Tahoma"/>
            <family val="2"/>
          </rPr>
          <t xml:space="preserve">
</t>
        </r>
      </text>
    </comment>
    <comment ref="Z399" authorId="1">
      <text>
        <r>
          <rPr>
            <b/>
            <sz val="8"/>
            <color indexed="81"/>
            <rFont val="Tahoma"/>
            <family val="2"/>
          </rPr>
          <t>TONY GARCIA:</t>
        </r>
        <r>
          <rPr>
            <sz val="8"/>
            <color indexed="81"/>
            <rFont val="Tahoma"/>
            <family val="2"/>
          </rPr>
          <t xml:space="preserve">
EL ESPACIO DE LA DERECHA SE LLENARA AUTOMATICAMENTE</t>
        </r>
      </text>
    </comment>
    <comment ref="M40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40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40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40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40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40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40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40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401" authorId="1">
      <text>
        <r>
          <rPr>
            <b/>
            <sz val="8"/>
            <color indexed="81"/>
            <rFont val="Tahoma"/>
            <family val="2"/>
          </rPr>
          <t>TONY GARCIA:</t>
        </r>
        <r>
          <rPr>
            <sz val="8"/>
            <color indexed="81"/>
            <rFont val="Tahoma"/>
            <family val="2"/>
          </rPr>
          <t xml:space="preserve">
EL ESPACIO DE LA DERECHA SE LLENARA AUTOMATICAMENTE</t>
        </r>
      </text>
    </comment>
    <comment ref="N40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40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40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403" authorId="1">
      <text>
        <r>
          <rPr>
            <b/>
            <sz val="8"/>
            <color indexed="81"/>
            <rFont val="Tahoma"/>
            <family val="2"/>
          </rPr>
          <t>TONY GARCIA:</t>
        </r>
        <r>
          <rPr>
            <sz val="8"/>
            <color indexed="81"/>
            <rFont val="Tahoma"/>
            <family val="2"/>
          </rPr>
          <t xml:space="preserve">
</t>
        </r>
      </text>
    </comment>
    <comment ref="F405" authorId="1">
      <text>
        <r>
          <rPr>
            <b/>
            <sz val="8"/>
            <color indexed="81"/>
            <rFont val="Tahoma"/>
            <family val="2"/>
          </rPr>
          <t>TONY GARCIA:</t>
        </r>
        <r>
          <rPr>
            <sz val="8"/>
            <color indexed="81"/>
            <rFont val="Tahoma"/>
            <family val="2"/>
          </rPr>
          <t xml:space="preserve">
EL ESPACIO DE LA DERECHA SE LLENARA AUTOMATICAMENTE</t>
        </r>
      </text>
    </comment>
    <comment ref="R40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405" authorId="1">
      <text>
        <r>
          <rPr>
            <b/>
            <sz val="8"/>
            <color indexed="81"/>
            <rFont val="Tahoma"/>
            <family val="2"/>
          </rPr>
          <t>TONY GARCIA:</t>
        </r>
        <r>
          <rPr>
            <sz val="8"/>
            <color indexed="81"/>
            <rFont val="Tahoma"/>
            <family val="2"/>
          </rPr>
          <t xml:space="preserve">
EL ESPACIO DE LA DERECHA SE LLENARA AUTOMATICAMENTE</t>
        </r>
      </text>
    </comment>
    <comment ref="F406" authorId="1">
      <text>
        <r>
          <rPr>
            <b/>
            <sz val="8"/>
            <color indexed="81"/>
            <rFont val="Tahoma"/>
            <family val="2"/>
          </rPr>
          <t>TONY GARCIA:</t>
        </r>
        <r>
          <rPr>
            <sz val="8"/>
            <color indexed="81"/>
            <rFont val="Tahoma"/>
            <family val="2"/>
          </rPr>
          <t xml:space="preserve">
EL ESPACIO DE LA DERECHA SE LLENARA AUTOMATICAMENTE</t>
        </r>
      </text>
    </comment>
    <comment ref="R40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407" authorId="1">
      <text>
        <r>
          <rPr>
            <b/>
            <sz val="8"/>
            <color indexed="81"/>
            <rFont val="Tahoma"/>
            <family val="2"/>
          </rPr>
          <t>TONY GARCIA:</t>
        </r>
        <r>
          <rPr>
            <sz val="8"/>
            <color indexed="81"/>
            <rFont val="Tahoma"/>
            <family val="2"/>
          </rPr>
          <t xml:space="preserve">
EL ESPACIO DE LA DERECHA SE LLENARA AUTOMATICAMENTE</t>
        </r>
      </text>
    </comment>
    <comment ref="R40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407" authorId="1">
      <text>
        <r>
          <rPr>
            <b/>
            <sz val="8"/>
            <color indexed="81"/>
            <rFont val="Tahoma"/>
            <family val="2"/>
          </rPr>
          <t>TONY GARCIA:</t>
        </r>
        <r>
          <rPr>
            <sz val="8"/>
            <color indexed="81"/>
            <rFont val="Tahoma"/>
            <family val="2"/>
          </rPr>
          <t xml:space="preserve">
EL ESPACIO DE LA DERECHA SE LLENARA AUTOMATICAMENTE</t>
        </r>
      </text>
    </comment>
    <comment ref="R40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40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40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0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41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41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1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41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41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41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419" authorId="1">
      <text>
        <r>
          <rPr>
            <b/>
            <sz val="8"/>
            <color indexed="81"/>
            <rFont val="Tahoma"/>
            <family val="2"/>
          </rPr>
          <t>TONY GARCIA:</t>
        </r>
        <r>
          <rPr>
            <sz val="8"/>
            <color indexed="81"/>
            <rFont val="Tahoma"/>
            <family val="2"/>
          </rPr>
          <t xml:space="preserve">
EL ESPACIO DE LA DERECHA SE LLENARA AUTOMATICAMENTE</t>
        </r>
      </text>
    </comment>
    <comment ref="Z421" authorId="1">
      <text>
        <r>
          <rPr>
            <b/>
            <sz val="8"/>
            <color indexed="81"/>
            <rFont val="Tahoma"/>
            <family val="2"/>
          </rPr>
          <t>TONY GARCIA:</t>
        </r>
        <r>
          <rPr>
            <sz val="8"/>
            <color indexed="81"/>
            <rFont val="Tahoma"/>
            <family val="2"/>
          </rPr>
          <t xml:space="preserve">
EL ESPACIO DE LA DERECHA SE LLENARA AUTOMATICAMENTE</t>
        </r>
      </text>
    </comment>
    <comment ref="F42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42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42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42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42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422" authorId="1">
      <text>
        <r>
          <rPr>
            <b/>
            <sz val="8"/>
            <color indexed="81"/>
            <rFont val="Tahoma"/>
            <family val="2"/>
          </rPr>
          <t>TONY GARCIA:</t>
        </r>
        <r>
          <rPr>
            <sz val="8"/>
            <color indexed="81"/>
            <rFont val="Tahoma"/>
            <family val="2"/>
          </rPr>
          <t xml:space="preserve">
EL ESPACIO DE LA DERECHA SE LLENARA AUTOMATICAMENTE</t>
        </r>
      </text>
    </comment>
    <comment ref="Z423" authorId="1">
      <text>
        <r>
          <rPr>
            <b/>
            <sz val="8"/>
            <color indexed="81"/>
            <rFont val="Tahoma"/>
            <family val="2"/>
          </rPr>
          <t>TONY GARCIA:</t>
        </r>
        <r>
          <rPr>
            <sz val="8"/>
            <color indexed="81"/>
            <rFont val="Tahoma"/>
            <family val="2"/>
          </rPr>
          <t xml:space="preserve">
EL ESPACIO DE LA DERECHA SE LLENARA AUTOMATICAMENTE</t>
        </r>
      </text>
    </comment>
    <comment ref="O42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42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42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425" authorId="1">
      <text>
        <r>
          <rPr>
            <b/>
            <sz val="8"/>
            <color indexed="81"/>
            <rFont val="Tahoma"/>
            <family val="2"/>
          </rPr>
          <t>TONY GARCIA:</t>
        </r>
        <r>
          <rPr>
            <sz val="8"/>
            <color indexed="81"/>
            <rFont val="Tahoma"/>
            <family val="2"/>
          </rPr>
          <t xml:space="preserve">
EL ESPACIO DE LA DERECHA SE LLENARA AUTOMATICAMENTE</t>
        </r>
      </text>
    </comment>
    <comment ref="N42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42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42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42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427" authorId="1">
      <text>
        <r>
          <rPr>
            <b/>
            <sz val="8"/>
            <color indexed="81"/>
            <rFont val="Tahoma"/>
            <family val="2"/>
          </rPr>
          <t>TONY GARCIA:</t>
        </r>
        <r>
          <rPr>
            <sz val="8"/>
            <color indexed="81"/>
            <rFont val="Tahoma"/>
            <family val="2"/>
          </rPr>
          <t xml:space="preserve">
EL ESPACIO DE LA DERECHA SE LLENARA AUTOMATICAMENTE</t>
        </r>
      </text>
    </comment>
    <comment ref="O42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429" authorId="1">
      <text>
        <r>
          <rPr>
            <b/>
            <sz val="8"/>
            <color indexed="81"/>
            <rFont val="Tahoma"/>
            <family val="2"/>
          </rPr>
          <t>TONY GARCIA:</t>
        </r>
        <r>
          <rPr>
            <sz val="8"/>
            <color indexed="81"/>
            <rFont val="Tahoma"/>
            <family val="2"/>
          </rPr>
          <t xml:space="preserve">
</t>
        </r>
      </text>
    </comment>
    <comment ref="Z429" authorId="1">
      <text>
        <r>
          <rPr>
            <b/>
            <sz val="8"/>
            <color indexed="81"/>
            <rFont val="Tahoma"/>
            <family val="2"/>
          </rPr>
          <t>TONY GARCIA:</t>
        </r>
        <r>
          <rPr>
            <sz val="8"/>
            <color indexed="81"/>
            <rFont val="Tahoma"/>
            <family val="2"/>
          </rPr>
          <t xml:space="preserve">
EL ESPACIO DE LA DERECHA SE LLENARA AUTOMATICAMENTE</t>
        </r>
      </text>
    </comment>
    <comment ref="M43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43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43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43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43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43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43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43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431" authorId="1">
      <text>
        <r>
          <rPr>
            <b/>
            <sz val="8"/>
            <color indexed="81"/>
            <rFont val="Tahoma"/>
            <family val="2"/>
          </rPr>
          <t>TONY GARCIA:</t>
        </r>
        <r>
          <rPr>
            <sz val="8"/>
            <color indexed="81"/>
            <rFont val="Tahoma"/>
            <family val="2"/>
          </rPr>
          <t xml:space="preserve">
EL ESPACIO DE LA DERECHA SE LLENARA AUTOMATICAMENTE</t>
        </r>
      </text>
    </comment>
    <comment ref="N43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43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43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433" authorId="1">
      <text>
        <r>
          <rPr>
            <b/>
            <sz val="8"/>
            <color indexed="81"/>
            <rFont val="Tahoma"/>
            <family val="2"/>
          </rPr>
          <t>TONY GARCIA:</t>
        </r>
        <r>
          <rPr>
            <sz val="8"/>
            <color indexed="81"/>
            <rFont val="Tahoma"/>
            <family val="2"/>
          </rPr>
          <t xml:space="preserve">
</t>
        </r>
      </text>
    </comment>
    <comment ref="F435" authorId="1">
      <text>
        <r>
          <rPr>
            <b/>
            <sz val="8"/>
            <color indexed="81"/>
            <rFont val="Tahoma"/>
            <family val="2"/>
          </rPr>
          <t>TONY GARCIA:</t>
        </r>
        <r>
          <rPr>
            <sz val="8"/>
            <color indexed="81"/>
            <rFont val="Tahoma"/>
            <family val="2"/>
          </rPr>
          <t xml:space="preserve">
EL ESPACIO DE LA DERECHA SE LLENARA AUTOMATICAMENTE</t>
        </r>
      </text>
    </comment>
    <comment ref="R43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435" authorId="1">
      <text>
        <r>
          <rPr>
            <b/>
            <sz val="8"/>
            <color indexed="81"/>
            <rFont val="Tahoma"/>
            <family val="2"/>
          </rPr>
          <t>TONY GARCIA:</t>
        </r>
        <r>
          <rPr>
            <sz val="8"/>
            <color indexed="81"/>
            <rFont val="Tahoma"/>
            <family val="2"/>
          </rPr>
          <t xml:space="preserve">
EL ESPACIO DE LA DERECHA SE LLENARA AUTOMATICAMENTE</t>
        </r>
      </text>
    </comment>
    <comment ref="F436" authorId="1">
      <text>
        <r>
          <rPr>
            <b/>
            <sz val="8"/>
            <color indexed="81"/>
            <rFont val="Tahoma"/>
            <family val="2"/>
          </rPr>
          <t>TONY GARCIA:</t>
        </r>
        <r>
          <rPr>
            <sz val="8"/>
            <color indexed="81"/>
            <rFont val="Tahoma"/>
            <family val="2"/>
          </rPr>
          <t xml:space="preserve">
EL ESPACIO DE LA DERECHA SE LLENARA AUTOMATICAMENTE</t>
        </r>
      </text>
    </comment>
    <comment ref="R43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437" authorId="1">
      <text>
        <r>
          <rPr>
            <b/>
            <sz val="8"/>
            <color indexed="81"/>
            <rFont val="Tahoma"/>
            <family val="2"/>
          </rPr>
          <t>TONY GARCIA:</t>
        </r>
        <r>
          <rPr>
            <sz val="8"/>
            <color indexed="81"/>
            <rFont val="Tahoma"/>
            <family val="2"/>
          </rPr>
          <t xml:space="preserve">
EL ESPACIO DE LA DERECHA SE LLENARA AUTOMATICAMENTE</t>
        </r>
      </text>
    </comment>
    <comment ref="R43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437" authorId="1">
      <text>
        <r>
          <rPr>
            <b/>
            <sz val="8"/>
            <color indexed="81"/>
            <rFont val="Tahoma"/>
            <family val="2"/>
          </rPr>
          <t>TONY GARCIA:</t>
        </r>
        <r>
          <rPr>
            <sz val="8"/>
            <color indexed="81"/>
            <rFont val="Tahoma"/>
            <family val="2"/>
          </rPr>
          <t xml:space="preserve">
EL ESPACIO DE LA DERECHA SE LLENARA AUTOMATICAMENTE</t>
        </r>
      </text>
    </comment>
    <comment ref="R43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43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43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3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44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44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4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44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44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44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449" authorId="1">
      <text>
        <r>
          <rPr>
            <b/>
            <sz val="8"/>
            <color indexed="81"/>
            <rFont val="Tahoma"/>
            <family val="2"/>
          </rPr>
          <t>TONY GARCIA:</t>
        </r>
        <r>
          <rPr>
            <sz val="8"/>
            <color indexed="81"/>
            <rFont val="Tahoma"/>
            <family val="2"/>
          </rPr>
          <t xml:space="preserve">
EL ESPACIO DE LA DERECHA SE LLENARA AUTOMATICAMENTE</t>
        </r>
      </text>
    </comment>
    <comment ref="Z451" authorId="1">
      <text>
        <r>
          <rPr>
            <b/>
            <sz val="8"/>
            <color indexed="81"/>
            <rFont val="Tahoma"/>
            <family val="2"/>
          </rPr>
          <t>TONY GARCIA:</t>
        </r>
        <r>
          <rPr>
            <sz val="8"/>
            <color indexed="81"/>
            <rFont val="Tahoma"/>
            <family val="2"/>
          </rPr>
          <t xml:space="preserve">
EL ESPACIO DE LA DERECHA SE LLENARA AUTOMATICAMENTE</t>
        </r>
      </text>
    </comment>
    <comment ref="F45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45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45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45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45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452" authorId="1">
      <text>
        <r>
          <rPr>
            <b/>
            <sz val="8"/>
            <color indexed="81"/>
            <rFont val="Tahoma"/>
            <family val="2"/>
          </rPr>
          <t>TONY GARCIA:</t>
        </r>
        <r>
          <rPr>
            <sz val="8"/>
            <color indexed="81"/>
            <rFont val="Tahoma"/>
            <family val="2"/>
          </rPr>
          <t xml:space="preserve">
EL ESPACIO DE LA DERECHA SE LLENARA AUTOMATICAMENTE</t>
        </r>
      </text>
    </comment>
    <comment ref="Z453" authorId="1">
      <text>
        <r>
          <rPr>
            <b/>
            <sz val="8"/>
            <color indexed="81"/>
            <rFont val="Tahoma"/>
            <family val="2"/>
          </rPr>
          <t>TONY GARCIA:</t>
        </r>
        <r>
          <rPr>
            <sz val="8"/>
            <color indexed="81"/>
            <rFont val="Tahoma"/>
            <family val="2"/>
          </rPr>
          <t xml:space="preserve">
EL ESPACIO DE LA DERECHA SE LLENARA AUTOMATICAMENTE</t>
        </r>
      </text>
    </comment>
    <comment ref="O45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45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45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455" authorId="1">
      <text>
        <r>
          <rPr>
            <b/>
            <sz val="8"/>
            <color indexed="81"/>
            <rFont val="Tahoma"/>
            <family val="2"/>
          </rPr>
          <t>TONY GARCIA:</t>
        </r>
        <r>
          <rPr>
            <sz val="8"/>
            <color indexed="81"/>
            <rFont val="Tahoma"/>
            <family val="2"/>
          </rPr>
          <t xml:space="preserve">
EL ESPACIO DE LA DERECHA SE LLENARA AUTOMATICAMENTE</t>
        </r>
      </text>
    </comment>
    <comment ref="N45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45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45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45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457" authorId="1">
      <text>
        <r>
          <rPr>
            <b/>
            <sz val="8"/>
            <color indexed="81"/>
            <rFont val="Tahoma"/>
            <family val="2"/>
          </rPr>
          <t>TONY GARCIA:</t>
        </r>
        <r>
          <rPr>
            <sz val="8"/>
            <color indexed="81"/>
            <rFont val="Tahoma"/>
            <family val="2"/>
          </rPr>
          <t xml:space="preserve">
EL ESPACIO DE LA DERECHA SE LLENARA AUTOMATICAMENTE</t>
        </r>
      </text>
    </comment>
    <comment ref="O45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459" authorId="1">
      <text>
        <r>
          <rPr>
            <b/>
            <sz val="8"/>
            <color indexed="81"/>
            <rFont val="Tahoma"/>
            <family val="2"/>
          </rPr>
          <t>TONY GARCIA:</t>
        </r>
        <r>
          <rPr>
            <sz val="8"/>
            <color indexed="81"/>
            <rFont val="Tahoma"/>
            <family val="2"/>
          </rPr>
          <t xml:space="preserve">
</t>
        </r>
      </text>
    </comment>
    <comment ref="Z459" authorId="1">
      <text>
        <r>
          <rPr>
            <b/>
            <sz val="8"/>
            <color indexed="81"/>
            <rFont val="Tahoma"/>
            <family val="2"/>
          </rPr>
          <t>TONY GARCIA:</t>
        </r>
        <r>
          <rPr>
            <sz val="8"/>
            <color indexed="81"/>
            <rFont val="Tahoma"/>
            <family val="2"/>
          </rPr>
          <t xml:space="preserve">
EL ESPACIO DE LA DERECHA SE LLENARA AUTOMATICAMENTE</t>
        </r>
      </text>
    </comment>
    <comment ref="M46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46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46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46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46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46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46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46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461" authorId="1">
      <text>
        <r>
          <rPr>
            <b/>
            <sz val="8"/>
            <color indexed="81"/>
            <rFont val="Tahoma"/>
            <family val="2"/>
          </rPr>
          <t>TONY GARCIA:</t>
        </r>
        <r>
          <rPr>
            <sz val="8"/>
            <color indexed="81"/>
            <rFont val="Tahoma"/>
            <family val="2"/>
          </rPr>
          <t xml:space="preserve">
EL ESPACIO DE LA DERECHA SE LLENARA AUTOMATICAMENTE</t>
        </r>
      </text>
    </comment>
    <comment ref="N46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46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46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463" authorId="1">
      <text>
        <r>
          <rPr>
            <b/>
            <sz val="8"/>
            <color indexed="81"/>
            <rFont val="Tahoma"/>
            <family val="2"/>
          </rPr>
          <t>TONY GARCIA:</t>
        </r>
        <r>
          <rPr>
            <sz val="8"/>
            <color indexed="81"/>
            <rFont val="Tahoma"/>
            <family val="2"/>
          </rPr>
          <t xml:space="preserve">
</t>
        </r>
      </text>
    </comment>
    <comment ref="F465" authorId="1">
      <text>
        <r>
          <rPr>
            <b/>
            <sz val="8"/>
            <color indexed="81"/>
            <rFont val="Tahoma"/>
            <family val="2"/>
          </rPr>
          <t>TONY GARCIA:</t>
        </r>
        <r>
          <rPr>
            <sz val="8"/>
            <color indexed="81"/>
            <rFont val="Tahoma"/>
            <family val="2"/>
          </rPr>
          <t xml:space="preserve">
EL ESPACIO DE LA DERECHA SE LLENARA AUTOMATICAMENTE</t>
        </r>
      </text>
    </comment>
    <comment ref="R46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465" authorId="1">
      <text>
        <r>
          <rPr>
            <b/>
            <sz val="8"/>
            <color indexed="81"/>
            <rFont val="Tahoma"/>
            <family val="2"/>
          </rPr>
          <t>TONY GARCIA:</t>
        </r>
        <r>
          <rPr>
            <sz val="8"/>
            <color indexed="81"/>
            <rFont val="Tahoma"/>
            <family val="2"/>
          </rPr>
          <t xml:space="preserve">
EL ESPACIO DE LA DERECHA SE LLENARA AUTOMATICAMENTE</t>
        </r>
      </text>
    </comment>
    <comment ref="F466" authorId="1">
      <text>
        <r>
          <rPr>
            <b/>
            <sz val="8"/>
            <color indexed="81"/>
            <rFont val="Tahoma"/>
            <family val="2"/>
          </rPr>
          <t>TONY GARCIA:</t>
        </r>
        <r>
          <rPr>
            <sz val="8"/>
            <color indexed="81"/>
            <rFont val="Tahoma"/>
            <family val="2"/>
          </rPr>
          <t xml:space="preserve">
EL ESPACIO DE LA DERECHA SE LLENARA AUTOMATICAMENTE</t>
        </r>
      </text>
    </comment>
    <comment ref="R46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467" authorId="1">
      <text>
        <r>
          <rPr>
            <b/>
            <sz val="8"/>
            <color indexed="81"/>
            <rFont val="Tahoma"/>
            <family val="2"/>
          </rPr>
          <t>TONY GARCIA:</t>
        </r>
        <r>
          <rPr>
            <sz val="8"/>
            <color indexed="81"/>
            <rFont val="Tahoma"/>
            <family val="2"/>
          </rPr>
          <t xml:space="preserve">
EL ESPACIO DE LA DERECHA SE LLENARA AUTOMATICAMENTE</t>
        </r>
      </text>
    </comment>
    <comment ref="R46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467" authorId="1">
      <text>
        <r>
          <rPr>
            <b/>
            <sz val="8"/>
            <color indexed="81"/>
            <rFont val="Tahoma"/>
            <family val="2"/>
          </rPr>
          <t>TONY GARCIA:</t>
        </r>
        <r>
          <rPr>
            <sz val="8"/>
            <color indexed="81"/>
            <rFont val="Tahoma"/>
            <family val="2"/>
          </rPr>
          <t xml:space="preserve">
EL ESPACIO DE LA DERECHA SE LLENARA AUTOMATICAMENTE</t>
        </r>
      </text>
    </comment>
    <comment ref="R46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46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46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6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47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47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7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47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47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47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479" authorId="1">
      <text>
        <r>
          <rPr>
            <b/>
            <sz val="8"/>
            <color indexed="81"/>
            <rFont val="Tahoma"/>
            <family val="2"/>
          </rPr>
          <t>TONY GARCIA:</t>
        </r>
        <r>
          <rPr>
            <sz val="8"/>
            <color indexed="81"/>
            <rFont val="Tahoma"/>
            <family val="2"/>
          </rPr>
          <t xml:space="preserve">
EL ESPACIO DE LA DERECHA SE LLENARA AUTOMATICAMENTE</t>
        </r>
      </text>
    </comment>
    <comment ref="Z481" authorId="1">
      <text>
        <r>
          <rPr>
            <b/>
            <sz val="8"/>
            <color indexed="81"/>
            <rFont val="Tahoma"/>
            <family val="2"/>
          </rPr>
          <t>TONY GARCIA:</t>
        </r>
        <r>
          <rPr>
            <sz val="8"/>
            <color indexed="81"/>
            <rFont val="Tahoma"/>
            <family val="2"/>
          </rPr>
          <t xml:space="preserve">
EL ESPACIO DE LA DERECHA SE LLENARA AUTOMATICAMENTE</t>
        </r>
      </text>
    </comment>
    <comment ref="F48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48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48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48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48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482" authorId="1">
      <text>
        <r>
          <rPr>
            <b/>
            <sz val="8"/>
            <color indexed="81"/>
            <rFont val="Tahoma"/>
            <family val="2"/>
          </rPr>
          <t>TONY GARCIA:</t>
        </r>
        <r>
          <rPr>
            <sz val="8"/>
            <color indexed="81"/>
            <rFont val="Tahoma"/>
            <family val="2"/>
          </rPr>
          <t xml:space="preserve">
EL ESPACIO DE LA DERECHA SE LLENARA AUTOMATICAMENTE</t>
        </r>
      </text>
    </comment>
    <comment ref="Z483" authorId="1">
      <text>
        <r>
          <rPr>
            <b/>
            <sz val="8"/>
            <color indexed="81"/>
            <rFont val="Tahoma"/>
            <family val="2"/>
          </rPr>
          <t>TONY GARCIA:</t>
        </r>
        <r>
          <rPr>
            <sz val="8"/>
            <color indexed="81"/>
            <rFont val="Tahoma"/>
            <family val="2"/>
          </rPr>
          <t xml:space="preserve">
EL ESPACIO DE LA DERECHA SE LLENARA AUTOMATICAMENTE</t>
        </r>
      </text>
    </comment>
    <comment ref="O48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48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48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485" authorId="1">
      <text>
        <r>
          <rPr>
            <b/>
            <sz val="8"/>
            <color indexed="81"/>
            <rFont val="Tahoma"/>
            <family val="2"/>
          </rPr>
          <t>TONY GARCIA:</t>
        </r>
        <r>
          <rPr>
            <sz val="8"/>
            <color indexed="81"/>
            <rFont val="Tahoma"/>
            <family val="2"/>
          </rPr>
          <t xml:space="preserve">
EL ESPACIO DE LA DERECHA SE LLENARA AUTOMATICAMENTE</t>
        </r>
      </text>
    </comment>
    <comment ref="N48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48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48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48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487" authorId="1">
      <text>
        <r>
          <rPr>
            <b/>
            <sz val="8"/>
            <color indexed="81"/>
            <rFont val="Tahoma"/>
            <family val="2"/>
          </rPr>
          <t>TONY GARCIA:</t>
        </r>
        <r>
          <rPr>
            <sz val="8"/>
            <color indexed="81"/>
            <rFont val="Tahoma"/>
            <family val="2"/>
          </rPr>
          <t xml:space="preserve">
EL ESPACIO DE LA DERECHA SE LLENARA AUTOMATICAMENTE</t>
        </r>
      </text>
    </comment>
    <comment ref="O48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489" authorId="1">
      <text>
        <r>
          <rPr>
            <b/>
            <sz val="8"/>
            <color indexed="81"/>
            <rFont val="Tahoma"/>
            <family val="2"/>
          </rPr>
          <t>TONY GARCIA:</t>
        </r>
        <r>
          <rPr>
            <sz val="8"/>
            <color indexed="81"/>
            <rFont val="Tahoma"/>
            <family val="2"/>
          </rPr>
          <t xml:space="preserve">
</t>
        </r>
      </text>
    </comment>
    <comment ref="Z489" authorId="1">
      <text>
        <r>
          <rPr>
            <b/>
            <sz val="8"/>
            <color indexed="81"/>
            <rFont val="Tahoma"/>
            <family val="2"/>
          </rPr>
          <t>TONY GARCIA:</t>
        </r>
        <r>
          <rPr>
            <sz val="8"/>
            <color indexed="81"/>
            <rFont val="Tahoma"/>
            <family val="2"/>
          </rPr>
          <t xml:space="preserve">
EL ESPACIO DE LA DERECHA SE LLENARA AUTOMATICAMENTE</t>
        </r>
      </text>
    </comment>
    <comment ref="M49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49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49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49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49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49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49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49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491" authorId="1">
      <text>
        <r>
          <rPr>
            <b/>
            <sz val="8"/>
            <color indexed="81"/>
            <rFont val="Tahoma"/>
            <family val="2"/>
          </rPr>
          <t>TONY GARCIA:</t>
        </r>
        <r>
          <rPr>
            <sz val="8"/>
            <color indexed="81"/>
            <rFont val="Tahoma"/>
            <family val="2"/>
          </rPr>
          <t xml:space="preserve">
EL ESPACIO DE LA DERECHA SE LLENARA AUTOMATICAMENTE</t>
        </r>
      </text>
    </comment>
    <comment ref="N49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49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49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493" authorId="1">
      <text>
        <r>
          <rPr>
            <b/>
            <sz val="8"/>
            <color indexed="81"/>
            <rFont val="Tahoma"/>
            <family val="2"/>
          </rPr>
          <t>TONY GARCIA:</t>
        </r>
        <r>
          <rPr>
            <sz val="8"/>
            <color indexed="81"/>
            <rFont val="Tahoma"/>
            <family val="2"/>
          </rPr>
          <t xml:space="preserve">
</t>
        </r>
      </text>
    </comment>
    <comment ref="F495" authorId="1">
      <text>
        <r>
          <rPr>
            <b/>
            <sz val="8"/>
            <color indexed="81"/>
            <rFont val="Tahoma"/>
            <family val="2"/>
          </rPr>
          <t>TONY GARCIA:</t>
        </r>
        <r>
          <rPr>
            <sz val="8"/>
            <color indexed="81"/>
            <rFont val="Tahoma"/>
            <family val="2"/>
          </rPr>
          <t xml:space="preserve">
EL ESPACIO DE LA DERECHA SE LLENARA AUTOMATICAMENTE</t>
        </r>
      </text>
    </comment>
    <comment ref="R49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495" authorId="1">
      <text>
        <r>
          <rPr>
            <b/>
            <sz val="8"/>
            <color indexed="81"/>
            <rFont val="Tahoma"/>
            <family val="2"/>
          </rPr>
          <t>TONY GARCIA:</t>
        </r>
        <r>
          <rPr>
            <sz val="8"/>
            <color indexed="81"/>
            <rFont val="Tahoma"/>
            <family val="2"/>
          </rPr>
          <t xml:space="preserve">
EL ESPACIO DE LA DERECHA SE LLENARA AUTOMATICAMENTE</t>
        </r>
      </text>
    </comment>
    <comment ref="F496" authorId="1">
      <text>
        <r>
          <rPr>
            <b/>
            <sz val="8"/>
            <color indexed="81"/>
            <rFont val="Tahoma"/>
            <family val="2"/>
          </rPr>
          <t>TONY GARCIA:</t>
        </r>
        <r>
          <rPr>
            <sz val="8"/>
            <color indexed="81"/>
            <rFont val="Tahoma"/>
            <family val="2"/>
          </rPr>
          <t xml:space="preserve">
EL ESPACIO DE LA DERECHA SE LLENARA AUTOMATICAMENTE</t>
        </r>
      </text>
    </comment>
    <comment ref="R49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497" authorId="1">
      <text>
        <r>
          <rPr>
            <b/>
            <sz val="8"/>
            <color indexed="81"/>
            <rFont val="Tahoma"/>
            <family val="2"/>
          </rPr>
          <t>TONY GARCIA:</t>
        </r>
        <r>
          <rPr>
            <sz val="8"/>
            <color indexed="81"/>
            <rFont val="Tahoma"/>
            <family val="2"/>
          </rPr>
          <t xml:space="preserve">
EL ESPACIO DE LA DERECHA SE LLENARA AUTOMATICAMENTE</t>
        </r>
      </text>
    </comment>
    <comment ref="R49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497" authorId="1">
      <text>
        <r>
          <rPr>
            <b/>
            <sz val="8"/>
            <color indexed="81"/>
            <rFont val="Tahoma"/>
            <family val="2"/>
          </rPr>
          <t>TONY GARCIA:</t>
        </r>
        <r>
          <rPr>
            <sz val="8"/>
            <color indexed="81"/>
            <rFont val="Tahoma"/>
            <family val="2"/>
          </rPr>
          <t xml:space="preserve">
EL ESPACIO DE LA DERECHA SE LLENARA AUTOMATICAMENTE</t>
        </r>
      </text>
    </comment>
    <comment ref="R49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49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49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49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50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50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0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50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50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50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509" authorId="1">
      <text>
        <r>
          <rPr>
            <b/>
            <sz val="8"/>
            <color indexed="81"/>
            <rFont val="Tahoma"/>
            <family val="2"/>
          </rPr>
          <t>TONY GARCIA:</t>
        </r>
        <r>
          <rPr>
            <sz val="8"/>
            <color indexed="81"/>
            <rFont val="Tahoma"/>
            <family val="2"/>
          </rPr>
          <t xml:space="preserve">
EL ESPACIO DE LA DERECHA SE LLENARA AUTOMATICAMENTE</t>
        </r>
      </text>
    </comment>
    <comment ref="Z511" authorId="1">
      <text>
        <r>
          <rPr>
            <b/>
            <sz val="8"/>
            <color indexed="81"/>
            <rFont val="Tahoma"/>
            <family val="2"/>
          </rPr>
          <t>TONY GARCIA:</t>
        </r>
        <r>
          <rPr>
            <sz val="8"/>
            <color indexed="81"/>
            <rFont val="Tahoma"/>
            <family val="2"/>
          </rPr>
          <t xml:space="preserve">
EL ESPACIO DE LA DERECHA SE LLENARA AUTOMATICAMENTE</t>
        </r>
      </text>
    </comment>
    <comment ref="F51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51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51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51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51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512" authorId="1">
      <text>
        <r>
          <rPr>
            <b/>
            <sz val="8"/>
            <color indexed="81"/>
            <rFont val="Tahoma"/>
            <family val="2"/>
          </rPr>
          <t>TONY GARCIA:</t>
        </r>
        <r>
          <rPr>
            <sz val="8"/>
            <color indexed="81"/>
            <rFont val="Tahoma"/>
            <family val="2"/>
          </rPr>
          <t xml:space="preserve">
EL ESPACIO DE LA DERECHA SE LLENARA AUTOMATICAMENTE</t>
        </r>
      </text>
    </comment>
    <comment ref="Z513" authorId="1">
      <text>
        <r>
          <rPr>
            <b/>
            <sz val="8"/>
            <color indexed="81"/>
            <rFont val="Tahoma"/>
            <family val="2"/>
          </rPr>
          <t>TONY GARCIA:</t>
        </r>
        <r>
          <rPr>
            <sz val="8"/>
            <color indexed="81"/>
            <rFont val="Tahoma"/>
            <family val="2"/>
          </rPr>
          <t xml:space="preserve">
EL ESPACIO DE LA DERECHA SE LLENARA AUTOMATICAMENTE</t>
        </r>
      </text>
    </comment>
    <comment ref="O51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51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51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515" authorId="1">
      <text>
        <r>
          <rPr>
            <b/>
            <sz val="8"/>
            <color indexed="81"/>
            <rFont val="Tahoma"/>
            <family val="2"/>
          </rPr>
          <t>TONY GARCIA:</t>
        </r>
        <r>
          <rPr>
            <sz val="8"/>
            <color indexed="81"/>
            <rFont val="Tahoma"/>
            <family val="2"/>
          </rPr>
          <t xml:space="preserve">
EL ESPACIO DE LA DERECHA SE LLENARA AUTOMATICAMENTE</t>
        </r>
      </text>
    </comment>
    <comment ref="N51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51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51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51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517" authorId="1">
      <text>
        <r>
          <rPr>
            <b/>
            <sz val="8"/>
            <color indexed="81"/>
            <rFont val="Tahoma"/>
            <family val="2"/>
          </rPr>
          <t>TONY GARCIA:</t>
        </r>
        <r>
          <rPr>
            <sz val="8"/>
            <color indexed="81"/>
            <rFont val="Tahoma"/>
            <family val="2"/>
          </rPr>
          <t xml:space="preserve">
EL ESPACIO DE LA DERECHA SE LLENARA AUTOMATICAMENTE</t>
        </r>
      </text>
    </comment>
    <comment ref="O51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519" authorId="1">
      <text>
        <r>
          <rPr>
            <b/>
            <sz val="8"/>
            <color indexed="81"/>
            <rFont val="Tahoma"/>
            <family val="2"/>
          </rPr>
          <t>TONY GARCIA:</t>
        </r>
        <r>
          <rPr>
            <sz val="8"/>
            <color indexed="81"/>
            <rFont val="Tahoma"/>
            <family val="2"/>
          </rPr>
          <t xml:space="preserve">
</t>
        </r>
      </text>
    </comment>
    <comment ref="Z519" authorId="1">
      <text>
        <r>
          <rPr>
            <b/>
            <sz val="8"/>
            <color indexed="81"/>
            <rFont val="Tahoma"/>
            <family val="2"/>
          </rPr>
          <t>TONY GARCIA:</t>
        </r>
        <r>
          <rPr>
            <sz val="8"/>
            <color indexed="81"/>
            <rFont val="Tahoma"/>
            <family val="2"/>
          </rPr>
          <t xml:space="preserve">
EL ESPACIO DE LA DERECHA SE LLENARA AUTOMATICAMENTE</t>
        </r>
      </text>
    </comment>
    <comment ref="M52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52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52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52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52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52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52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52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521" authorId="1">
      <text>
        <r>
          <rPr>
            <b/>
            <sz val="8"/>
            <color indexed="81"/>
            <rFont val="Tahoma"/>
            <family val="2"/>
          </rPr>
          <t>TONY GARCIA:</t>
        </r>
        <r>
          <rPr>
            <sz val="8"/>
            <color indexed="81"/>
            <rFont val="Tahoma"/>
            <family val="2"/>
          </rPr>
          <t xml:space="preserve">
EL ESPACIO DE LA DERECHA SE LLENARA AUTOMATICAMENTE</t>
        </r>
      </text>
    </comment>
    <comment ref="N52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52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52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523" authorId="1">
      <text>
        <r>
          <rPr>
            <b/>
            <sz val="8"/>
            <color indexed="81"/>
            <rFont val="Tahoma"/>
            <family val="2"/>
          </rPr>
          <t>TONY GARCIA:</t>
        </r>
        <r>
          <rPr>
            <sz val="8"/>
            <color indexed="81"/>
            <rFont val="Tahoma"/>
            <family val="2"/>
          </rPr>
          <t xml:space="preserve">
</t>
        </r>
      </text>
    </comment>
    <comment ref="F525" authorId="1">
      <text>
        <r>
          <rPr>
            <b/>
            <sz val="8"/>
            <color indexed="81"/>
            <rFont val="Tahoma"/>
            <family val="2"/>
          </rPr>
          <t>TONY GARCIA:</t>
        </r>
        <r>
          <rPr>
            <sz val="8"/>
            <color indexed="81"/>
            <rFont val="Tahoma"/>
            <family val="2"/>
          </rPr>
          <t xml:space="preserve">
EL ESPACIO DE LA DERECHA SE LLENARA AUTOMATICAMENTE</t>
        </r>
      </text>
    </comment>
    <comment ref="R52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525" authorId="1">
      <text>
        <r>
          <rPr>
            <b/>
            <sz val="8"/>
            <color indexed="81"/>
            <rFont val="Tahoma"/>
            <family val="2"/>
          </rPr>
          <t>TONY GARCIA:</t>
        </r>
        <r>
          <rPr>
            <sz val="8"/>
            <color indexed="81"/>
            <rFont val="Tahoma"/>
            <family val="2"/>
          </rPr>
          <t xml:space="preserve">
EL ESPACIO DE LA DERECHA SE LLENARA AUTOMATICAMENTE</t>
        </r>
      </text>
    </comment>
    <comment ref="F526" authorId="1">
      <text>
        <r>
          <rPr>
            <b/>
            <sz val="8"/>
            <color indexed="81"/>
            <rFont val="Tahoma"/>
            <family val="2"/>
          </rPr>
          <t>TONY GARCIA:</t>
        </r>
        <r>
          <rPr>
            <sz val="8"/>
            <color indexed="81"/>
            <rFont val="Tahoma"/>
            <family val="2"/>
          </rPr>
          <t xml:space="preserve">
EL ESPACIO DE LA DERECHA SE LLENARA AUTOMATICAMENTE</t>
        </r>
      </text>
    </comment>
    <comment ref="R52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527" authorId="1">
      <text>
        <r>
          <rPr>
            <b/>
            <sz val="8"/>
            <color indexed="81"/>
            <rFont val="Tahoma"/>
            <family val="2"/>
          </rPr>
          <t>TONY GARCIA:</t>
        </r>
        <r>
          <rPr>
            <sz val="8"/>
            <color indexed="81"/>
            <rFont val="Tahoma"/>
            <family val="2"/>
          </rPr>
          <t xml:space="preserve">
EL ESPACIO DE LA DERECHA SE LLENARA AUTOMATICAMENTE</t>
        </r>
      </text>
    </comment>
    <comment ref="R52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527" authorId="1">
      <text>
        <r>
          <rPr>
            <b/>
            <sz val="8"/>
            <color indexed="81"/>
            <rFont val="Tahoma"/>
            <family val="2"/>
          </rPr>
          <t>TONY GARCIA:</t>
        </r>
        <r>
          <rPr>
            <sz val="8"/>
            <color indexed="81"/>
            <rFont val="Tahoma"/>
            <family val="2"/>
          </rPr>
          <t xml:space="preserve">
EL ESPACIO DE LA DERECHA SE LLENARA AUTOMATICAMENTE</t>
        </r>
      </text>
    </comment>
    <comment ref="R52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52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52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2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53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53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3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53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53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53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539" authorId="1">
      <text>
        <r>
          <rPr>
            <b/>
            <sz val="8"/>
            <color indexed="81"/>
            <rFont val="Tahoma"/>
            <family val="2"/>
          </rPr>
          <t>TONY GARCIA:</t>
        </r>
        <r>
          <rPr>
            <sz val="8"/>
            <color indexed="81"/>
            <rFont val="Tahoma"/>
            <family val="2"/>
          </rPr>
          <t xml:space="preserve">
EL ESPACIO DE LA DERECHA SE LLENARA AUTOMATICAMENTE</t>
        </r>
      </text>
    </comment>
    <comment ref="Z541" authorId="1">
      <text>
        <r>
          <rPr>
            <b/>
            <sz val="8"/>
            <color indexed="81"/>
            <rFont val="Tahoma"/>
            <family val="2"/>
          </rPr>
          <t>TONY GARCIA:</t>
        </r>
        <r>
          <rPr>
            <sz val="8"/>
            <color indexed="81"/>
            <rFont val="Tahoma"/>
            <family val="2"/>
          </rPr>
          <t xml:space="preserve">
EL ESPACIO DE LA DERECHA SE LLENARA AUTOMATICAMENTE</t>
        </r>
      </text>
    </comment>
    <comment ref="F54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54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54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54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54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542" authorId="1">
      <text>
        <r>
          <rPr>
            <b/>
            <sz val="8"/>
            <color indexed="81"/>
            <rFont val="Tahoma"/>
            <family val="2"/>
          </rPr>
          <t>TONY GARCIA:</t>
        </r>
        <r>
          <rPr>
            <sz val="8"/>
            <color indexed="81"/>
            <rFont val="Tahoma"/>
            <family val="2"/>
          </rPr>
          <t xml:space="preserve">
EL ESPACIO DE LA DERECHA SE LLENARA AUTOMATICAMENTE</t>
        </r>
      </text>
    </comment>
    <comment ref="Z543" authorId="1">
      <text>
        <r>
          <rPr>
            <b/>
            <sz val="8"/>
            <color indexed="81"/>
            <rFont val="Tahoma"/>
            <family val="2"/>
          </rPr>
          <t>TONY GARCIA:</t>
        </r>
        <r>
          <rPr>
            <sz val="8"/>
            <color indexed="81"/>
            <rFont val="Tahoma"/>
            <family val="2"/>
          </rPr>
          <t xml:space="preserve">
EL ESPACIO DE LA DERECHA SE LLENARA AUTOMATICAMENTE</t>
        </r>
      </text>
    </comment>
    <comment ref="O54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54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54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545" authorId="1">
      <text>
        <r>
          <rPr>
            <b/>
            <sz val="8"/>
            <color indexed="81"/>
            <rFont val="Tahoma"/>
            <family val="2"/>
          </rPr>
          <t>TONY GARCIA:</t>
        </r>
        <r>
          <rPr>
            <sz val="8"/>
            <color indexed="81"/>
            <rFont val="Tahoma"/>
            <family val="2"/>
          </rPr>
          <t xml:space="preserve">
EL ESPACIO DE LA DERECHA SE LLENARA AUTOMATICAMENTE</t>
        </r>
      </text>
    </comment>
    <comment ref="N54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54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54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54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547" authorId="1">
      <text>
        <r>
          <rPr>
            <b/>
            <sz val="8"/>
            <color indexed="81"/>
            <rFont val="Tahoma"/>
            <family val="2"/>
          </rPr>
          <t>TONY GARCIA:</t>
        </r>
        <r>
          <rPr>
            <sz val="8"/>
            <color indexed="81"/>
            <rFont val="Tahoma"/>
            <family val="2"/>
          </rPr>
          <t xml:space="preserve">
EL ESPACIO DE LA DERECHA SE LLENARA AUTOMATICAMENTE</t>
        </r>
      </text>
    </comment>
    <comment ref="O54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549" authorId="1">
      <text>
        <r>
          <rPr>
            <b/>
            <sz val="8"/>
            <color indexed="81"/>
            <rFont val="Tahoma"/>
            <family val="2"/>
          </rPr>
          <t>TONY GARCIA:</t>
        </r>
        <r>
          <rPr>
            <sz val="8"/>
            <color indexed="81"/>
            <rFont val="Tahoma"/>
            <family val="2"/>
          </rPr>
          <t xml:space="preserve">
</t>
        </r>
      </text>
    </comment>
    <comment ref="Z549" authorId="1">
      <text>
        <r>
          <rPr>
            <b/>
            <sz val="8"/>
            <color indexed="81"/>
            <rFont val="Tahoma"/>
            <family val="2"/>
          </rPr>
          <t>TONY GARCIA:</t>
        </r>
        <r>
          <rPr>
            <sz val="8"/>
            <color indexed="81"/>
            <rFont val="Tahoma"/>
            <family val="2"/>
          </rPr>
          <t xml:space="preserve">
EL ESPACIO DE LA DERECHA SE LLENARA AUTOMATICAMENTE</t>
        </r>
      </text>
    </comment>
    <comment ref="M55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55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55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55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55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55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55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55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551" authorId="1">
      <text>
        <r>
          <rPr>
            <b/>
            <sz val="8"/>
            <color indexed="81"/>
            <rFont val="Tahoma"/>
            <family val="2"/>
          </rPr>
          <t>TONY GARCIA:</t>
        </r>
        <r>
          <rPr>
            <sz val="8"/>
            <color indexed="81"/>
            <rFont val="Tahoma"/>
            <family val="2"/>
          </rPr>
          <t xml:space="preserve">
EL ESPACIO DE LA DERECHA SE LLENARA AUTOMATICAMENTE</t>
        </r>
      </text>
    </comment>
    <comment ref="N55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55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55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553" authorId="1">
      <text>
        <r>
          <rPr>
            <b/>
            <sz val="8"/>
            <color indexed="81"/>
            <rFont val="Tahoma"/>
            <family val="2"/>
          </rPr>
          <t>TONY GARCIA:</t>
        </r>
        <r>
          <rPr>
            <sz val="8"/>
            <color indexed="81"/>
            <rFont val="Tahoma"/>
            <family val="2"/>
          </rPr>
          <t xml:space="preserve">
</t>
        </r>
      </text>
    </comment>
    <comment ref="F555" authorId="1">
      <text>
        <r>
          <rPr>
            <b/>
            <sz val="8"/>
            <color indexed="81"/>
            <rFont val="Tahoma"/>
            <family val="2"/>
          </rPr>
          <t>TONY GARCIA:</t>
        </r>
        <r>
          <rPr>
            <sz val="8"/>
            <color indexed="81"/>
            <rFont val="Tahoma"/>
            <family val="2"/>
          </rPr>
          <t xml:space="preserve">
EL ESPACIO DE LA DERECHA SE LLENARA AUTOMATICAMENTE</t>
        </r>
      </text>
    </comment>
    <comment ref="R55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555" authorId="1">
      <text>
        <r>
          <rPr>
            <b/>
            <sz val="8"/>
            <color indexed="81"/>
            <rFont val="Tahoma"/>
            <family val="2"/>
          </rPr>
          <t>TONY GARCIA:</t>
        </r>
        <r>
          <rPr>
            <sz val="8"/>
            <color indexed="81"/>
            <rFont val="Tahoma"/>
            <family val="2"/>
          </rPr>
          <t xml:space="preserve">
EL ESPACIO DE LA DERECHA SE LLENARA AUTOMATICAMENTE</t>
        </r>
      </text>
    </comment>
    <comment ref="F556" authorId="1">
      <text>
        <r>
          <rPr>
            <b/>
            <sz val="8"/>
            <color indexed="81"/>
            <rFont val="Tahoma"/>
            <family val="2"/>
          </rPr>
          <t>TONY GARCIA:</t>
        </r>
        <r>
          <rPr>
            <sz val="8"/>
            <color indexed="81"/>
            <rFont val="Tahoma"/>
            <family val="2"/>
          </rPr>
          <t xml:space="preserve">
EL ESPACIO DE LA DERECHA SE LLENARA AUTOMATICAMENTE</t>
        </r>
      </text>
    </comment>
    <comment ref="R55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557" authorId="1">
      <text>
        <r>
          <rPr>
            <b/>
            <sz val="8"/>
            <color indexed="81"/>
            <rFont val="Tahoma"/>
            <family val="2"/>
          </rPr>
          <t>TONY GARCIA:</t>
        </r>
        <r>
          <rPr>
            <sz val="8"/>
            <color indexed="81"/>
            <rFont val="Tahoma"/>
            <family val="2"/>
          </rPr>
          <t xml:space="preserve">
EL ESPACIO DE LA DERECHA SE LLENARA AUTOMATICAMENTE</t>
        </r>
      </text>
    </comment>
    <comment ref="R55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557" authorId="1">
      <text>
        <r>
          <rPr>
            <b/>
            <sz val="8"/>
            <color indexed="81"/>
            <rFont val="Tahoma"/>
            <family val="2"/>
          </rPr>
          <t>TONY GARCIA:</t>
        </r>
        <r>
          <rPr>
            <sz val="8"/>
            <color indexed="81"/>
            <rFont val="Tahoma"/>
            <family val="2"/>
          </rPr>
          <t xml:space="preserve">
EL ESPACIO DE LA DERECHA SE LLENARA AUTOMATICAMENTE</t>
        </r>
      </text>
    </comment>
    <comment ref="R55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55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55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5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56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56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6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56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56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56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569" authorId="1">
      <text>
        <r>
          <rPr>
            <b/>
            <sz val="8"/>
            <color indexed="81"/>
            <rFont val="Tahoma"/>
            <family val="2"/>
          </rPr>
          <t>TONY GARCIA:</t>
        </r>
        <r>
          <rPr>
            <sz val="8"/>
            <color indexed="81"/>
            <rFont val="Tahoma"/>
            <family val="2"/>
          </rPr>
          <t xml:space="preserve">
EL ESPACIO DE LA DERECHA SE LLENARA AUTOMATICAMENTE</t>
        </r>
      </text>
    </comment>
    <comment ref="Z571" authorId="1">
      <text>
        <r>
          <rPr>
            <b/>
            <sz val="8"/>
            <color indexed="81"/>
            <rFont val="Tahoma"/>
            <family val="2"/>
          </rPr>
          <t>TONY GARCIA:</t>
        </r>
        <r>
          <rPr>
            <sz val="8"/>
            <color indexed="81"/>
            <rFont val="Tahoma"/>
            <family val="2"/>
          </rPr>
          <t xml:space="preserve">
EL ESPACIO DE LA DERECHA SE LLENARA AUTOMATICAMENTE</t>
        </r>
      </text>
    </comment>
    <comment ref="F57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57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57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57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57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572" authorId="1">
      <text>
        <r>
          <rPr>
            <b/>
            <sz val="8"/>
            <color indexed="81"/>
            <rFont val="Tahoma"/>
            <family val="2"/>
          </rPr>
          <t>TONY GARCIA:</t>
        </r>
        <r>
          <rPr>
            <sz val="8"/>
            <color indexed="81"/>
            <rFont val="Tahoma"/>
            <family val="2"/>
          </rPr>
          <t xml:space="preserve">
EL ESPACIO DE LA DERECHA SE LLENARA AUTOMATICAMENTE</t>
        </r>
      </text>
    </comment>
    <comment ref="Z573" authorId="1">
      <text>
        <r>
          <rPr>
            <b/>
            <sz val="8"/>
            <color indexed="81"/>
            <rFont val="Tahoma"/>
            <family val="2"/>
          </rPr>
          <t>TONY GARCIA:</t>
        </r>
        <r>
          <rPr>
            <sz val="8"/>
            <color indexed="81"/>
            <rFont val="Tahoma"/>
            <family val="2"/>
          </rPr>
          <t xml:space="preserve">
EL ESPACIO DE LA DERECHA SE LLENARA AUTOMATICAMENTE</t>
        </r>
      </text>
    </comment>
    <comment ref="O57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PATERNO.</t>
        </r>
      </text>
    </comment>
    <comment ref="R575" authorId="1">
      <text>
        <r>
          <rPr>
            <b/>
            <sz val="8"/>
            <color indexed="81"/>
            <rFont val="Tahoma"/>
            <family val="2"/>
          </rPr>
          <t>TONY GARCIA:</t>
        </r>
        <r>
          <rPr>
            <sz val="8"/>
            <color indexed="81"/>
            <rFont val="Tahoma"/>
            <family val="2"/>
          </rPr>
          <t xml:space="preserve">
ESCRIBA EN ESTE ESPACIO EL </t>
        </r>
        <r>
          <rPr>
            <b/>
            <sz val="8"/>
            <color indexed="12"/>
            <rFont val="Tahoma"/>
            <family val="2"/>
          </rPr>
          <t>APELLIDO MATERNO</t>
        </r>
      </text>
    </comment>
    <comment ref="U575" authorId="1">
      <text>
        <r>
          <rPr>
            <b/>
            <sz val="8"/>
            <color indexed="81"/>
            <rFont val="Tahoma"/>
            <family val="2"/>
          </rPr>
          <t>TONY GARCIA:</t>
        </r>
        <r>
          <rPr>
            <sz val="8"/>
            <color indexed="81"/>
            <rFont val="Tahoma"/>
            <family val="2"/>
          </rPr>
          <t xml:space="preserve">
ESCRIBA EN ESTE ESPACIO EL O LOS NOBRES QUE TENGA </t>
        </r>
        <r>
          <rPr>
            <b/>
            <sz val="8"/>
            <color indexed="12"/>
            <rFont val="Tahoma"/>
            <family val="2"/>
          </rPr>
          <t>(COMPLETOS NO ABREVIE)</t>
        </r>
      </text>
    </comment>
    <comment ref="Z575" authorId="1">
      <text>
        <r>
          <rPr>
            <b/>
            <sz val="8"/>
            <color indexed="81"/>
            <rFont val="Tahoma"/>
            <family val="2"/>
          </rPr>
          <t>TONY GARCIA:</t>
        </r>
        <r>
          <rPr>
            <sz val="8"/>
            <color indexed="81"/>
            <rFont val="Tahoma"/>
            <family val="2"/>
          </rPr>
          <t xml:space="preserve">
EL ESPACIO DE LA DERECHA SE LLENARA AUTOMATICAMENTE</t>
        </r>
      </text>
    </comment>
    <comment ref="N577" authorId="1">
      <text>
        <r>
          <rPr>
            <b/>
            <sz val="8"/>
            <color indexed="81"/>
            <rFont val="Tahoma"/>
            <family val="2"/>
          </rPr>
          <t>TONY GARCIA:</t>
        </r>
        <r>
          <rPr>
            <sz val="8"/>
            <color indexed="81"/>
            <rFont val="Tahoma"/>
            <family val="2"/>
          </rPr>
          <t xml:space="preserve">
ESCRIBA EN ESTE ESPACIO LA RAIZ DE SU FILIACION </t>
        </r>
        <r>
          <rPr>
            <b/>
            <sz val="8"/>
            <color indexed="12"/>
            <rFont val="Tahoma"/>
            <family val="2"/>
          </rPr>
          <t>(4 LETRAS Y 6 NUMEROS)</t>
        </r>
      </text>
    </comment>
    <comment ref="O577" authorId="1">
      <text>
        <r>
          <rPr>
            <b/>
            <sz val="8"/>
            <color indexed="81"/>
            <rFont val="Tahoma"/>
            <family val="2"/>
          </rPr>
          <t>TON GARCIA:</t>
        </r>
        <r>
          <rPr>
            <sz val="8"/>
            <color indexed="81"/>
            <rFont val="Tahoma"/>
            <family val="2"/>
          </rPr>
          <t xml:space="preserve">
ESCRIBA EN ESTE ESPACIO SOLO LA HOMOCLAVE </t>
        </r>
        <r>
          <rPr>
            <b/>
            <sz val="8"/>
            <color indexed="12"/>
            <rFont val="Tahoma"/>
            <family val="2"/>
          </rPr>
          <t>(3 LETRAS O NUMEROS VC4)</t>
        </r>
      </text>
    </comment>
    <comment ref="V577" authorId="1">
      <text>
        <r>
          <rPr>
            <b/>
            <sz val="8"/>
            <color indexed="81"/>
            <rFont val="Tahoma"/>
            <family val="2"/>
          </rPr>
          <t>TONY GARCIA:</t>
        </r>
        <r>
          <rPr>
            <sz val="8"/>
            <color indexed="81"/>
            <rFont val="Tahoma"/>
            <family val="2"/>
          </rPr>
          <t xml:space="preserve">
ESCRIBA EN ESTE ESPACIO SU CLAVE DE PLAZA</t>
        </r>
        <r>
          <rPr>
            <b/>
            <sz val="8"/>
            <color indexed="12"/>
            <rFont val="Tahoma"/>
            <family val="2"/>
          </rPr>
          <t xml:space="preserve"> (11007831200.0)</t>
        </r>
      </text>
    </comment>
    <comment ref="W577" authorId="1">
      <text>
        <r>
          <rPr>
            <b/>
            <sz val="8"/>
            <color indexed="81"/>
            <rFont val="Tahoma"/>
            <family val="2"/>
          </rPr>
          <t>TONY GARCIA:</t>
        </r>
        <r>
          <rPr>
            <sz val="8"/>
            <color indexed="81"/>
            <rFont val="Tahoma"/>
            <family val="2"/>
          </rPr>
          <t xml:space="preserve">
ESCRIBA EN ESTE ESPACIO LA CLAVE DE SU PLAZA EMPEZANDO CON</t>
        </r>
        <r>
          <rPr>
            <b/>
            <sz val="8"/>
            <color indexed="12"/>
            <rFont val="Tahoma"/>
            <family val="2"/>
          </rPr>
          <t xml:space="preserve"> E0281(21)…..</t>
        </r>
      </text>
    </comment>
    <comment ref="Z577" authorId="1">
      <text>
        <r>
          <rPr>
            <b/>
            <sz val="8"/>
            <color indexed="81"/>
            <rFont val="Tahoma"/>
            <family val="2"/>
          </rPr>
          <t>TONY GARCIA:</t>
        </r>
        <r>
          <rPr>
            <sz val="8"/>
            <color indexed="81"/>
            <rFont val="Tahoma"/>
            <family val="2"/>
          </rPr>
          <t xml:space="preserve">
EL ESPACIO DE LA DERECHA SE LLENARA AUTOMATICAMENTE</t>
        </r>
      </text>
    </comment>
    <comment ref="O579" authorId="1">
      <text>
        <r>
          <rPr>
            <b/>
            <sz val="8"/>
            <color indexed="81"/>
            <rFont val="Tahoma"/>
            <family val="2"/>
          </rPr>
          <t>TONY GARCIA:</t>
        </r>
        <r>
          <rPr>
            <sz val="8"/>
            <color indexed="81"/>
            <rFont val="Tahoma"/>
            <family val="2"/>
          </rPr>
          <t xml:space="preserve">
ESCRIBA EN ESTE ESPACIO LA FECHA EN QUE INGRESO AL SISTEMA DE LA SEP </t>
        </r>
        <r>
          <rPr>
            <b/>
            <sz val="8"/>
            <color indexed="12"/>
            <rFont val="Tahoma"/>
            <family val="2"/>
          </rPr>
          <t>(01/09/1982)</t>
        </r>
      </text>
    </comment>
    <comment ref="V579" authorId="1">
      <text>
        <r>
          <rPr>
            <b/>
            <sz val="8"/>
            <color indexed="81"/>
            <rFont val="Tahoma"/>
            <family val="2"/>
          </rPr>
          <t>TONY GARCIA:</t>
        </r>
        <r>
          <rPr>
            <sz val="8"/>
            <color indexed="81"/>
            <rFont val="Tahoma"/>
            <family val="2"/>
          </rPr>
          <t xml:space="preserve">
</t>
        </r>
      </text>
    </comment>
    <comment ref="Z579" authorId="1">
      <text>
        <r>
          <rPr>
            <b/>
            <sz val="8"/>
            <color indexed="81"/>
            <rFont val="Tahoma"/>
            <family val="2"/>
          </rPr>
          <t>TONY GARCIA:</t>
        </r>
        <r>
          <rPr>
            <sz val="8"/>
            <color indexed="81"/>
            <rFont val="Tahoma"/>
            <family val="2"/>
          </rPr>
          <t xml:space="preserve">
EL ESPACIO DE LA DERECHA SE LLENARA AUTOMATICAMENTE</t>
        </r>
      </text>
    </comment>
    <comment ref="M581" authorId="1">
      <text>
        <r>
          <rPr>
            <b/>
            <sz val="8"/>
            <color indexed="81"/>
            <rFont val="Tahoma"/>
            <family val="2"/>
          </rPr>
          <t>TONY GARCIA:</t>
        </r>
        <r>
          <rPr>
            <sz val="8"/>
            <color indexed="81"/>
            <rFont val="Tahoma"/>
            <family val="2"/>
          </rPr>
          <t xml:space="preserve">
ESCRIBA EN ESTE ESPACIO EL NUMERO DE REGION SI NO TIENE REGION ESCRIBIR </t>
        </r>
        <r>
          <rPr>
            <b/>
            <sz val="8"/>
            <color indexed="12"/>
            <rFont val="Tahoma"/>
            <family val="2"/>
          </rPr>
          <t>S/N</t>
        </r>
      </text>
    </comment>
    <comment ref="N581" authorId="1">
      <text>
        <r>
          <rPr>
            <b/>
            <sz val="8"/>
            <color indexed="81"/>
            <rFont val="Tahoma"/>
            <family val="2"/>
          </rPr>
          <t>TONY GARCIA:</t>
        </r>
        <r>
          <rPr>
            <sz val="8"/>
            <color indexed="81"/>
            <rFont val="Tahoma"/>
            <family val="2"/>
          </rPr>
          <t xml:space="preserve">
ESCRIBA EN ESTE ESPACIO EL NUMERO DE SUPERMANZANA DE SU DOMICILIO DE NO TENER PONER </t>
        </r>
        <r>
          <rPr>
            <b/>
            <sz val="8"/>
            <color indexed="12"/>
            <rFont val="Tahoma"/>
            <family val="2"/>
          </rPr>
          <t>S/N</t>
        </r>
      </text>
    </comment>
    <comment ref="O58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MANZANA DE SU DOMICILIO</t>
        </r>
      </text>
    </comment>
    <comment ref="P581" authorId="1">
      <text>
        <r>
          <rPr>
            <b/>
            <sz val="8"/>
            <color indexed="81"/>
            <rFont val="Tahoma"/>
            <family val="2"/>
          </rPr>
          <t>TONY GARCIA:</t>
        </r>
        <r>
          <rPr>
            <sz val="8"/>
            <color indexed="81"/>
            <rFont val="Tahoma"/>
            <family val="2"/>
          </rPr>
          <t xml:space="preserve">
ESCRIBA EN ESTE ESPACIO EL </t>
        </r>
        <r>
          <rPr>
            <b/>
            <sz val="8"/>
            <color indexed="12"/>
            <rFont val="Tahoma"/>
            <family val="2"/>
          </rPr>
          <t xml:space="preserve">NUMERO </t>
        </r>
        <r>
          <rPr>
            <sz val="8"/>
            <color indexed="81"/>
            <rFont val="Tahoma"/>
            <family val="2"/>
          </rPr>
          <t>DE LOTE DE SU DOMICILIO</t>
        </r>
      </text>
    </comment>
    <comment ref="Q581" authorId="1">
      <text>
        <r>
          <rPr>
            <b/>
            <sz val="8"/>
            <color indexed="81"/>
            <rFont val="Tahoma"/>
            <family val="2"/>
          </rPr>
          <t>TONY GARCIA:</t>
        </r>
        <r>
          <rPr>
            <sz val="8"/>
            <color indexed="81"/>
            <rFont val="Tahoma"/>
            <family val="2"/>
          </rPr>
          <t xml:space="preserve">
ESCRIBA EN ESTE ESPACIO EL </t>
        </r>
        <r>
          <rPr>
            <b/>
            <sz val="8"/>
            <color indexed="12"/>
            <rFont val="Tahoma"/>
            <family val="2"/>
          </rPr>
          <t>NUMERO</t>
        </r>
        <r>
          <rPr>
            <sz val="8"/>
            <color indexed="81"/>
            <rFont val="Tahoma"/>
            <family val="2"/>
          </rPr>
          <t xml:space="preserve"> O </t>
        </r>
        <r>
          <rPr>
            <b/>
            <sz val="8"/>
            <color indexed="12"/>
            <rFont val="Tahoma"/>
            <family val="2"/>
          </rPr>
          <t>NOMBRE</t>
        </r>
        <r>
          <rPr>
            <sz val="8"/>
            <color indexed="81"/>
            <rFont val="Tahoma"/>
            <family val="2"/>
          </rPr>
          <t xml:space="preserve"> DE LA CALLE DE SU DOMICILIO</t>
        </r>
      </text>
    </comment>
    <comment ref="S581" authorId="1">
      <text>
        <r>
          <rPr>
            <b/>
            <sz val="8"/>
            <color indexed="81"/>
            <rFont val="Tahoma"/>
            <family val="2"/>
          </rPr>
          <t>TONY GARCIA:</t>
        </r>
        <r>
          <rPr>
            <sz val="8"/>
            <color indexed="81"/>
            <rFont val="Tahoma"/>
            <family val="2"/>
          </rPr>
          <t xml:space="preserve">
ESCRIBA EN ESTE ESPACIO EN </t>
        </r>
        <r>
          <rPr>
            <b/>
            <sz val="8"/>
            <color indexed="12"/>
            <rFont val="Tahoma"/>
            <family val="2"/>
          </rPr>
          <t xml:space="preserve">NOMBRE </t>
        </r>
        <r>
          <rPr>
            <sz val="8"/>
            <color indexed="81"/>
            <rFont val="Tahoma"/>
            <family val="2"/>
          </rPr>
          <t>DE SU COLONIA</t>
        </r>
      </text>
    </comment>
    <comment ref="U581" authorId="1">
      <text>
        <r>
          <rPr>
            <b/>
            <sz val="8"/>
            <color indexed="81"/>
            <rFont val="Tahoma"/>
            <family val="2"/>
          </rPr>
          <t>TONY GARCIA:</t>
        </r>
        <r>
          <rPr>
            <sz val="8"/>
            <color indexed="81"/>
            <rFont val="Tahoma"/>
            <family val="2"/>
          </rPr>
          <t xml:space="preserve">
ESCRIBA EN ESTE ESPACIO EL NUMERO DE SU CODIGO POSTAL </t>
        </r>
        <r>
          <rPr>
            <b/>
            <sz val="8"/>
            <color indexed="12"/>
            <rFont val="Tahoma"/>
            <family val="2"/>
          </rPr>
          <t>(77500)</t>
        </r>
      </text>
    </comment>
    <comment ref="W581" authorId="1">
      <text>
        <r>
          <rPr>
            <b/>
            <sz val="8"/>
            <color indexed="81"/>
            <rFont val="Tahoma"/>
            <family val="2"/>
          </rPr>
          <t>TONY GARCIA:</t>
        </r>
        <r>
          <rPr>
            <sz val="8"/>
            <color indexed="81"/>
            <rFont val="Tahoma"/>
            <family val="2"/>
          </rPr>
          <t xml:space="preserve">
ESCRIBA EN ESTE ESPACIO SU </t>
        </r>
        <r>
          <rPr>
            <b/>
            <sz val="8"/>
            <color indexed="12"/>
            <rFont val="Tahoma"/>
            <family val="2"/>
          </rPr>
          <t>NUMERO TELEFONICO</t>
        </r>
        <r>
          <rPr>
            <sz val="8"/>
            <color indexed="81"/>
            <rFont val="Tahoma"/>
            <family val="2"/>
          </rPr>
          <t xml:space="preserve"> DE LINEA O CELULAR</t>
        </r>
      </text>
    </comment>
    <comment ref="Z581" authorId="1">
      <text>
        <r>
          <rPr>
            <b/>
            <sz val="8"/>
            <color indexed="81"/>
            <rFont val="Tahoma"/>
            <family val="2"/>
          </rPr>
          <t>TONY GARCIA:</t>
        </r>
        <r>
          <rPr>
            <sz val="8"/>
            <color indexed="81"/>
            <rFont val="Tahoma"/>
            <family val="2"/>
          </rPr>
          <t xml:space="preserve">
EL ESPACIO DE LA DERECHA SE LLENARA AUTOMATICAMENTE</t>
        </r>
      </text>
    </comment>
    <comment ref="N583" authorId="1">
      <text>
        <r>
          <rPr>
            <b/>
            <sz val="8"/>
            <color indexed="81"/>
            <rFont val="Tahoma"/>
            <family val="2"/>
          </rPr>
          <t>TON GARCIA:</t>
        </r>
        <r>
          <rPr>
            <sz val="8"/>
            <color indexed="81"/>
            <rFont val="Tahoma"/>
            <family val="2"/>
          </rPr>
          <t xml:space="preserve">
ESCRIBA EN ESTE ESPACIO EL </t>
        </r>
        <r>
          <rPr>
            <b/>
            <sz val="8"/>
            <color indexed="12"/>
            <rFont val="Tahoma"/>
            <family val="2"/>
          </rPr>
          <t>NOMBRE DE SU CENTRO DE TRABAJO</t>
        </r>
        <r>
          <rPr>
            <sz val="8"/>
            <color indexed="81"/>
            <rFont val="Tahoma"/>
            <family val="2"/>
          </rPr>
          <t xml:space="preserve"> SEGÚN EL CATALOGO DE LA SEP</t>
        </r>
      </text>
    </comment>
    <comment ref="T583" authorId="1">
      <text>
        <r>
          <rPr>
            <b/>
            <sz val="8"/>
            <color indexed="81"/>
            <rFont val="Tahoma"/>
            <family val="2"/>
          </rPr>
          <t>TONY GARCIA:</t>
        </r>
        <r>
          <rPr>
            <sz val="8"/>
            <color indexed="81"/>
            <rFont val="Tahoma"/>
            <family val="2"/>
          </rPr>
          <t xml:space="preserve">
ESCRIBA EN ESTE ESPACIO LA CLAVE DE SU CENTRO DE TRABAJO</t>
        </r>
        <r>
          <rPr>
            <b/>
            <sz val="8"/>
            <color indexed="12"/>
            <rFont val="Tahoma"/>
            <family val="2"/>
          </rPr>
          <t xml:space="preserve"> (23DPR…)</t>
        </r>
      </text>
    </comment>
    <comment ref="W583" authorId="1">
      <text>
        <r>
          <rPr>
            <b/>
            <sz val="8"/>
            <color indexed="81"/>
            <rFont val="Tahoma"/>
            <family val="2"/>
          </rPr>
          <t>TONY GARCIA:</t>
        </r>
        <r>
          <rPr>
            <sz val="8"/>
            <color indexed="81"/>
            <rFont val="Tahoma"/>
            <family val="2"/>
          </rPr>
          <t xml:space="preserve">
ESCRIBA EN ESTE ESPACIO EL </t>
        </r>
        <r>
          <rPr>
            <b/>
            <sz val="8"/>
            <color indexed="12"/>
            <rFont val="Tahoma"/>
            <family val="2"/>
          </rPr>
          <t>TURNO</t>
        </r>
        <r>
          <rPr>
            <sz val="8"/>
            <color indexed="81"/>
            <rFont val="Tahoma"/>
            <family val="2"/>
          </rPr>
          <t xml:space="preserve"> DE SU CENTRO DE TRABAJO</t>
        </r>
      </text>
    </comment>
    <comment ref="Z583" authorId="1">
      <text>
        <r>
          <rPr>
            <b/>
            <sz val="8"/>
            <color indexed="81"/>
            <rFont val="Tahoma"/>
            <family val="2"/>
          </rPr>
          <t>TONY GARCIA:</t>
        </r>
        <r>
          <rPr>
            <sz val="8"/>
            <color indexed="81"/>
            <rFont val="Tahoma"/>
            <family val="2"/>
          </rPr>
          <t xml:space="preserve">
</t>
        </r>
      </text>
    </comment>
    <comment ref="F585" authorId="1">
      <text>
        <r>
          <rPr>
            <b/>
            <sz val="8"/>
            <color indexed="81"/>
            <rFont val="Tahoma"/>
            <family val="2"/>
          </rPr>
          <t>TONY GARCIA:</t>
        </r>
        <r>
          <rPr>
            <sz val="8"/>
            <color indexed="81"/>
            <rFont val="Tahoma"/>
            <family val="2"/>
          </rPr>
          <t xml:space="preserve">
EL ESPACIO DE LA DERECHA SE LLENARA AUTOMATICAMENTE</t>
        </r>
      </text>
    </comment>
    <comment ref="R585" authorId="2">
      <text>
        <r>
          <rPr>
            <b/>
            <sz val="8"/>
            <color indexed="81"/>
            <rFont val="Tahoma"/>
            <family val="2"/>
          </rPr>
          <t>TONY GARCIA:</t>
        </r>
        <r>
          <rPr>
            <sz val="8"/>
            <color indexed="81"/>
            <rFont val="Tahoma"/>
            <family val="2"/>
          </rPr>
          <t xml:space="preserve">
ESCRIBA DE LA LETRA </t>
        </r>
        <r>
          <rPr>
            <b/>
            <sz val="8"/>
            <color indexed="12"/>
            <rFont val="Tahoma"/>
            <family val="2"/>
          </rPr>
          <t xml:space="preserve">A </t>
        </r>
        <r>
          <rPr>
            <sz val="8"/>
            <color indexed="81"/>
            <rFont val="Tahoma"/>
            <family val="2"/>
          </rPr>
          <t>A</t>
        </r>
        <r>
          <rPr>
            <sz val="8"/>
            <color indexed="81"/>
            <rFont val="Tahoma"/>
            <family val="2"/>
          </rPr>
          <t xml:space="preserve"> LA</t>
        </r>
        <r>
          <rPr>
            <b/>
            <sz val="8"/>
            <color indexed="12"/>
            <rFont val="Tahoma"/>
            <family val="2"/>
          </rPr>
          <t xml:space="preserve"> W</t>
        </r>
        <r>
          <rPr>
            <sz val="8"/>
            <color indexed="81"/>
            <rFont val="Tahoma"/>
            <family val="2"/>
          </rPr>
          <t xml:space="preserve"> PARA ESTE RUBRO SEGÚN LE CORRESPONDA</t>
        </r>
      </text>
    </comment>
    <comment ref="Z585" authorId="1">
      <text>
        <r>
          <rPr>
            <b/>
            <sz val="8"/>
            <color indexed="81"/>
            <rFont val="Tahoma"/>
            <family val="2"/>
          </rPr>
          <t>TONY GARCIA:</t>
        </r>
        <r>
          <rPr>
            <sz val="8"/>
            <color indexed="81"/>
            <rFont val="Tahoma"/>
            <family val="2"/>
          </rPr>
          <t xml:space="preserve">
EL ESPACIO DE LA DERECHA SE LLENARA AUTOMATICAMENTE</t>
        </r>
      </text>
    </comment>
    <comment ref="F586" authorId="1">
      <text>
        <r>
          <rPr>
            <b/>
            <sz val="8"/>
            <color indexed="81"/>
            <rFont val="Tahoma"/>
            <family val="2"/>
          </rPr>
          <t>TONY GARCIA:</t>
        </r>
        <r>
          <rPr>
            <sz val="8"/>
            <color indexed="81"/>
            <rFont val="Tahoma"/>
            <family val="2"/>
          </rPr>
          <t xml:space="preserve">
EL ESPACIO DE LA DERECHA SE LLENARA AUTOMATICAMENTE</t>
        </r>
      </text>
    </comment>
    <comment ref="R586" authorId="2">
      <text>
        <r>
          <rPr>
            <b/>
            <sz val="8"/>
            <color indexed="81"/>
            <rFont val="Tahoma"/>
            <family val="2"/>
          </rPr>
          <t>TONY GARCIA:</t>
        </r>
        <r>
          <rPr>
            <sz val="8"/>
            <color indexed="81"/>
            <rFont val="Tahoma"/>
            <family val="2"/>
          </rPr>
          <t xml:space="preserve">
ESCRIBA DEL NUMERO</t>
        </r>
        <r>
          <rPr>
            <b/>
            <sz val="8"/>
            <color indexed="12"/>
            <rFont val="Tahoma"/>
            <family val="2"/>
          </rPr>
          <t xml:space="preserve"> 1 </t>
        </r>
        <r>
          <rPr>
            <sz val="8"/>
            <color indexed="81"/>
            <rFont val="Tahoma"/>
            <family val="2"/>
          </rPr>
          <t xml:space="preserve">AL </t>
        </r>
        <r>
          <rPr>
            <b/>
            <sz val="8"/>
            <color indexed="12"/>
            <rFont val="Tahoma"/>
            <family val="2"/>
          </rPr>
          <t>3</t>
        </r>
        <r>
          <rPr>
            <sz val="8"/>
            <color indexed="81"/>
            <rFont val="Tahoma"/>
            <family val="2"/>
          </rPr>
          <t xml:space="preserve"> EN ESTE RUBRO SEGÚN LE CORRESPONDA</t>
        </r>
      </text>
    </comment>
    <comment ref="F587" authorId="1">
      <text>
        <r>
          <rPr>
            <b/>
            <sz val="8"/>
            <color indexed="81"/>
            <rFont val="Tahoma"/>
            <family val="2"/>
          </rPr>
          <t>TONY GARCIA:</t>
        </r>
        <r>
          <rPr>
            <sz val="8"/>
            <color indexed="81"/>
            <rFont val="Tahoma"/>
            <family val="2"/>
          </rPr>
          <t xml:space="preserve">
EL ESPACIO DE LA DERECHA SE LLENARA AUTOMATICAMENTE</t>
        </r>
      </text>
    </comment>
    <comment ref="R587" authorId="2">
      <text>
        <r>
          <rPr>
            <b/>
            <sz val="8"/>
            <color indexed="81"/>
            <rFont val="Tahoma"/>
            <family val="2"/>
          </rPr>
          <t>TONY GARCIA:</t>
        </r>
        <r>
          <rPr>
            <sz val="8"/>
            <color indexed="81"/>
            <rFont val="Tahoma"/>
            <family val="2"/>
          </rPr>
          <t xml:space="preserve">
ESCRIBA DEL NUMERO </t>
        </r>
        <r>
          <rPr>
            <b/>
            <sz val="8"/>
            <color indexed="12"/>
            <rFont val="Tahoma"/>
            <family val="2"/>
          </rPr>
          <t>3</t>
        </r>
        <r>
          <rPr>
            <sz val="8"/>
            <color indexed="81"/>
            <rFont val="Tahoma"/>
            <family val="2"/>
          </rPr>
          <t xml:space="preserve"> AL</t>
        </r>
        <r>
          <rPr>
            <b/>
            <sz val="8"/>
            <color indexed="12"/>
            <rFont val="Tahoma"/>
            <family val="2"/>
          </rPr>
          <t xml:space="preserve"> 9</t>
        </r>
        <r>
          <rPr>
            <sz val="8"/>
            <color indexed="81"/>
            <rFont val="Tahoma"/>
            <family val="2"/>
          </rPr>
          <t xml:space="preserve"> EN ESTE RUBRO SEGÚN LE CORRESPONDA.</t>
        </r>
      </text>
    </comment>
    <comment ref="Z587" authorId="1">
      <text>
        <r>
          <rPr>
            <b/>
            <sz val="8"/>
            <color indexed="81"/>
            <rFont val="Tahoma"/>
            <family val="2"/>
          </rPr>
          <t>TONY GARCIA:</t>
        </r>
        <r>
          <rPr>
            <sz val="8"/>
            <color indexed="81"/>
            <rFont val="Tahoma"/>
            <family val="2"/>
          </rPr>
          <t xml:space="preserve">
EL ESPACIO DE LA DERECHA SE LLENARA AUTOMATICAMENTE</t>
        </r>
      </text>
    </comment>
    <comment ref="R588" authorId="2">
      <text>
        <r>
          <rPr>
            <b/>
            <sz val="8"/>
            <color indexed="81"/>
            <rFont val="Tahoma"/>
            <family val="2"/>
          </rPr>
          <t>TONY GARCIA:</t>
        </r>
        <r>
          <rPr>
            <sz val="8"/>
            <color indexed="81"/>
            <rFont val="Tahoma"/>
            <family val="2"/>
          </rPr>
          <t xml:space="preserve">
ESCRIBA EN ESTE RUBRO LOS NUMERO DEL </t>
        </r>
        <r>
          <rPr>
            <b/>
            <sz val="8"/>
            <color indexed="12"/>
            <rFont val="Tahoma"/>
            <family val="2"/>
          </rPr>
          <t>1</t>
        </r>
        <r>
          <rPr>
            <sz val="8"/>
            <color indexed="81"/>
            <rFont val="Tahoma"/>
            <family val="2"/>
          </rPr>
          <t xml:space="preserve"> AL </t>
        </r>
        <r>
          <rPr>
            <b/>
            <sz val="8"/>
            <color indexed="12"/>
            <rFont val="Tahoma"/>
            <family val="2"/>
          </rPr>
          <t>5</t>
        </r>
        <r>
          <rPr>
            <sz val="8"/>
            <color indexed="81"/>
            <rFont val="Tahoma"/>
            <family val="2"/>
          </rPr>
          <t xml:space="preserve"> Y </t>
        </r>
        <r>
          <rPr>
            <b/>
            <sz val="8"/>
            <color indexed="12"/>
            <rFont val="Tahoma"/>
            <family val="2"/>
          </rPr>
          <t>9</t>
        </r>
        <r>
          <rPr>
            <sz val="8"/>
            <color indexed="81"/>
            <rFont val="Tahoma"/>
            <family val="2"/>
          </rPr>
          <t xml:space="preserve"> SEGÚN LE CORRESPONDA</t>
        </r>
      </text>
    </comment>
    <comment ref="F589" authorId="2">
      <text>
        <r>
          <rPr>
            <b/>
            <sz val="8"/>
            <color indexed="81"/>
            <rFont val="Tahoma"/>
            <family val="2"/>
          </rPr>
          <t>TONY GARCIA:</t>
        </r>
        <r>
          <rPr>
            <sz val="8"/>
            <color indexed="81"/>
            <rFont val="Tahoma"/>
            <family val="2"/>
          </rPr>
          <t xml:space="preserve">
ESCRIB A EN ESTE RUBRO DEL </t>
        </r>
        <r>
          <rPr>
            <b/>
            <sz val="8"/>
            <color indexed="12"/>
            <rFont val="Tahoma"/>
            <family val="2"/>
          </rPr>
          <t>0</t>
        </r>
        <r>
          <rPr>
            <sz val="8"/>
            <color indexed="81"/>
            <rFont val="Tahoma"/>
            <family val="2"/>
          </rPr>
          <t xml:space="preserve"> AL</t>
        </r>
        <r>
          <rPr>
            <b/>
            <sz val="8"/>
            <color indexed="12"/>
            <rFont val="Tahoma"/>
            <family val="2"/>
          </rPr>
          <t xml:space="preserve"> 5 </t>
        </r>
        <r>
          <rPr>
            <sz val="8"/>
            <color indexed="81"/>
            <rFont val="Tahoma"/>
            <family val="2"/>
          </rPr>
          <t>SEGÚN LE CORRESPONDA (MANTENGA 0 EN ESTE RUBRO SI NO TIENE CM)</t>
        </r>
      </text>
    </comment>
    <comment ref="R589"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89" authorId="1">
      <text>
        <r>
          <rPr>
            <b/>
            <sz val="8"/>
            <color indexed="81"/>
            <rFont val="Tahoma"/>
            <family val="2"/>
          </rPr>
          <t>TONY GARCIA:</t>
        </r>
        <r>
          <rPr>
            <sz val="8"/>
            <color indexed="81"/>
            <rFont val="Tahoma"/>
            <family val="2"/>
          </rPr>
          <t xml:space="preserve">
ESCRIBA EN EL ESPACIO DE LA DERECHA LA CLAVE DE SU </t>
        </r>
        <r>
          <rPr>
            <b/>
            <sz val="8"/>
            <color indexed="12"/>
            <rFont val="Tahoma"/>
            <family val="2"/>
          </rPr>
          <t xml:space="preserve">CCT </t>
        </r>
        <r>
          <rPr>
            <sz val="8"/>
            <color indexed="81"/>
            <rFont val="Tahoma"/>
            <family val="2"/>
          </rPr>
          <t>EN CASO DE TENER DOBLE PLAZA</t>
        </r>
      </text>
    </comment>
    <comment ref="F590" authorId="2">
      <text>
        <r>
          <rPr>
            <b/>
            <sz val="8"/>
            <color indexed="81"/>
            <rFont val="Tahoma"/>
            <family val="2"/>
          </rPr>
          <t>TONY GARCIA:</t>
        </r>
        <r>
          <rPr>
            <sz val="8"/>
            <color indexed="81"/>
            <rFont val="Tahoma"/>
            <family val="2"/>
          </rPr>
          <t xml:space="preserve">
ESCRIBA DEL NUMERO</t>
        </r>
        <r>
          <rPr>
            <b/>
            <sz val="8"/>
            <color indexed="81"/>
            <rFont val="Tahoma"/>
            <family val="2"/>
          </rPr>
          <t xml:space="preserve"> </t>
        </r>
        <r>
          <rPr>
            <b/>
            <sz val="8"/>
            <color indexed="12"/>
            <rFont val="Tahoma"/>
            <family val="2"/>
          </rPr>
          <t>1</t>
        </r>
        <r>
          <rPr>
            <b/>
            <sz val="8"/>
            <color indexed="81"/>
            <rFont val="Tahoma"/>
            <family val="2"/>
          </rPr>
          <t xml:space="preserve"> </t>
        </r>
        <r>
          <rPr>
            <sz val="8"/>
            <color indexed="81"/>
            <rFont val="Tahoma"/>
            <family val="2"/>
          </rPr>
          <t xml:space="preserve">AL </t>
        </r>
        <r>
          <rPr>
            <b/>
            <sz val="8"/>
            <color indexed="12"/>
            <rFont val="Tahoma"/>
            <family val="2"/>
          </rPr>
          <t xml:space="preserve">3 </t>
        </r>
        <r>
          <rPr>
            <sz val="8"/>
            <color indexed="81"/>
            <rFont val="Tahoma"/>
            <family val="2"/>
          </rPr>
          <t>SEGÚN LE CORRESPONDA</t>
        </r>
      </text>
    </comment>
    <comment ref="R590" authorId="2">
      <text>
        <r>
          <rPr>
            <b/>
            <sz val="8"/>
            <color indexed="81"/>
            <rFont val="Tahoma"/>
            <family val="2"/>
          </rPr>
          <t>TONY GARCIA:</t>
        </r>
        <r>
          <rPr>
            <sz val="8"/>
            <color indexed="81"/>
            <rFont val="Tahoma"/>
            <family val="2"/>
          </rPr>
          <t xml:space="preserve">
ESCRIBA EN ESTE RUBRO LA LETRA DE LA </t>
        </r>
        <r>
          <rPr>
            <b/>
            <sz val="8"/>
            <color indexed="12"/>
            <rFont val="Tahoma"/>
            <family val="2"/>
          </rPr>
          <t>A</t>
        </r>
        <r>
          <rPr>
            <sz val="8"/>
            <color indexed="81"/>
            <rFont val="Tahoma"/>
            <family val="2"/>
          </rPr>
          <t xml:space="preserve"> A LA </t>
        </r>
        <r>
          <rPr>
            <b/>
            <sz val="8"/>
            <color indexed="12"/>
            <rFont val="Tahoma"/>
            <family val="2"/>
          </rPr>
          <t>T</t>
        </r>
        <r>
          <rPr>
            <sz val="8"/>
            <color indexed="81"/>
            <rFont val="Tahoma"/>
            <family val="2"/>
          </rPr>
          <t xml:space="preserve"> SEGÚN LE CORRESPONDA</t>
        </r>
      </text>
    </comment>
    <comment ref="Z591" authorId="1">
      <text>
        <r>
          <rPr>
            <b/>
            <sz val="8"/>
            <color indexed="81"/>
            <rFont val="Tahoma"/>
            <family val="2"/>
          </rPr>
          <t>TONY GARCIA:</t>
        </r>
        <r>
          <rPr>
            <sz val="8"/>
            <color indexed="81"/>
            <rFont val="Tahoma"/>
            <family val="2"/>
          </rPr>
          <t xml:space="preserve">
ESCRIBA EN EL ESPACIO DE LA DERECHA EL </t>
        </r>
        <r>
          <rPr>
            <b/>
            <sz val="8"/>
            <color indexed="12"/>
            <rFont val="Tahoma"/>
            <family val="2"/>
          </rPr>
          <t xml:space="preserve">CURP </t>
        </r>
        <r>
          <rPr>
            <sz val="8"/>
            <color indexed="81"/>
            <rFont val="Tahoma"/>
            <family val="2"/>
          </rPr>
          <t xml:space="preserve">DEL MTRO DE GRUPO </t>
        </r>
      </text>
    </comment>
    <comment ref="Z593" authorId="1">
      <text>
        <r>
          <rPr>
            <b/>
            <sz val="8"/>
            <color indexed="81"/>
            <rFont val="Tahoma"/>
            <family val="2"/>
          </rPr>
          <t>TONY GARCIA:</t>
        </r>
        <r>
          <rPr>
            <sz val="8"/>
            <color indexed="81"/>
            <rFont val="Tahoma"/>
            <family val="2"/>
          </rPr>
          <t xml:space="preserve">
ESCRIBA DEL </t>
        </r>
        <r>
          <rPr>
            <b/>
            <sz val="8"/>
            <color indexed="12"/>
            <rFont val="Tahoma"/>
            <family val="2"/>
          </rPr>
          <t xml:space="preserve">1 </t>
        </r>
        <r>
          <rPr>
            <sz val="8"/>
            <color indexed="81"/>
            <rFont val="Tahoma"/>
            <family val="2"/>
          </rPr>
          <t>AL</t>
        </r>
        <r>
          <rPr>
            <sz val="8"/>
            <color indexed="12"/>
            <rFont val="Tahoma"/>
            <family val="2"/>
          </rPr>
          <t xml:space="preserve"> </t>
        </r>
        <r>
          <rPr>
            <b/>
            <sz val="8"/>
            <color indexed="12"/>
            <rFont val="Tahoma"/>
            <family val="2"/>
          </rPr>
          <t xml:space="preserve">10 </t>
        </r>
        <r>
          <rPr>
            <sz val="8"/>
            <color indexed="81"/>
            <rFont val="Tahoma"/>
            <family val="2"/>
          </rPr>
          <t>SEGÚN LE CORRESONDA A SU MODALIDAD</t>
        </r>
      </text>
    </comment>
    <comment ref="Z595" authorId="1">
      <text>
        <r>
          <rPr>
            <b/>
            <sz val="8"/>
            <color indexed="81"/>
            <rFont val="Tahoma"/>
            <family val="2"/>
          </rPr>
          <t>TONY GARCIA:</t>
        </r>
        <r>
          <rPr>
            <sz val="8"/>
            <color indexed="81"/>
            <rFont val="Tahoma"/>
            <family val="2"/>
          </rPr>
          <t xml:space="preserve">
ESCRIBA DEL</t>
        </r>
        <r>
          <rPr>
            <b/>
            <sz val="8"/>
            <color indexed="12"/>
            <rFont val="Tahoma"/>
            <family val="2"/>
          </rPr>
          <t xml:space="preserve"> 1 </t>
        </r>
        <r>
          <rPr>
            <sz val="8"/>
            <color indexed="81"/>
            <rFont val="Tahoma"/>
            <family val="2"/>
          </rPr>
          <t xml:space="preserve">AL </t>
        </r>
        <r>
          <rPr>
            <b/>
            <sz val="8"/>
            <color indexed="12"/>
            <rFont val="Tahoma"/>
            <family val="2"/>
          </rPr>
          <t xml:space="preserve">15 </t>
        </r>
        <r>
          <rPr>
            <sz val="8"/>
            <color indexed="81"/>
            <rFont val="Tahoma"/>
            <family val="2"/>
          </rPr>
          <t>PARA LOCALIZAR LA COMISION ASIGNADA</t>
        </r>
      </text>
    </comment>
    <comment ref="Z597" authorId="1">
      <text>
        <r>
          <rPr>
            <b/>
            <sz val="8"/>
            <color indexed="81"/>
            <rFont val="Tahoma"/>
            <family val="2"/>
          </rPr>
          <t>TONY GARCIA:</t>
        </r>
        <r>
          <rPr>
            <sz val="8"/>
            <color indexed="81"/>
            <rFont val="Tahoma"/>
            <family val="2"/>
          </rPr>
          <t xml:space="preserve">
ESCRIBA EN ESTE ESPACIO DEL</t>
        </r>
        <r>
          <rPr>
            <b/>
            <sz val="8"/>
            <color indexed="12"/>
            <rFont val="Tahoma"/>
            <family val="2"/>
          </rPr>
          <t xml:space="preserve"> 1 </t>
        </r>
        <r>
          <rPr>
            <sz val="8"/>
            <color indexed="81"/>
            <rFont val="Tahoma"/>
            <family val="2"/>
          </rPr>
          <t>AL</t>
        </r>
        <r>
          <rPr>
            <b/>
            <sz val="8"/>
            <color indexed="12"/>
            <rFont val="Tahoma"/>
            <family val="2"/>
          </rPr>
          <t xml:space="preserve"> 10</t>
        </r>
        <r>
          <rPr>
            <b/>
            <sz val="8"/>
            <color indexed="81"/>
            <rFont val="Tahoma"/>
            <family val="2"/>
          </rPr>
          <t xml:space="preserve"> </t>
        </r>
        <r>
          <rPr>
            <sz val="8"/>
            <color indexed="81"/>
            <rFont val="Tahoma"/>
            <family val="2"/>
          </rPr>
          <t>PARA EL NIVEL CORRESPONDIENTE</t>
        </r>
      </text>
    </comment>
    <comment ref="Z599" authorId="1">
      <text>
        <r>
          <rPr>
            <b/>
            <sz val="8"/>
            <color indexed="81"/>
            <rFont val="Tahoma"/>
            <family val="2"/>
          </rPr>
          <t>TONY GARCIA:</t>
        </r>
        <r>
          <rPr>
            <sz val="8"/>
            <color indexed="81"/>
            <rFont val="Tahoma"/>
            <family val="2"/>
          </rPr>
          <t xml:space="preserve">
EL ESPACIO DE LA DERECHA SE LLENARA AUTOMATICAMENTE</t>
        </r>
      </text>
    </comment>
    <comment ref="Z601" authorId="1">
      <text>
        <r>
          <rPr>
            <b/>
            <sz val="8"/>
            <color indexed="81"/>
            <rFont val="Tahoma"/>
            <family val="2"/>
          </rPr>
          <t>TONY GARCIA:</t>
        </r>
        <r>
          <rPr>
            <sz val="8"/>
            <color indexed="81"/>
            <rFont val="Tahoma"/>
            <family val="2"/>
          </rPr>
          <t xml:space="preserve">
EL ESPACIO DE LA DERECHA SE LLENARA AUTOMATICAMENTE</t>
        </r>
      </text>
    </comment>
    <comment ref="F602" authorId="1">
      <text>
        <r>
          <rPr>
            <b/>
            <sz val="8"/>
            <color indexed="81"/>
            <rFont val="Tahoma"/>
            <family val="2"/>
          </rPr>
          <t>TONY GARCIA:</t>
        </r>
        <r>
          <rPr>
            <sz val="8"/>
            <color indexed="81"/>
            <rFont val="Tahoma"/>
            <family val="2"/>
          </rPr>
          <t xml:space="preserve">
ESCRIBA DEL </t>
        </r>
        <r>
          <rPr>
            <b/>
            <sz val="8"/>
            <color indexed="12"/>
            <rFont val="Tahoma"/>
            <family val="2"/>
          </rPr>
          <t>1</t>
        </r>
        <r>
          <rPr>
            <sz val="10"/>
            <color indexed="12"/>
            <rFont val="Arial"/>
            <family val="2"/>
          </rPr>
          <t xml:space="preserve"> </t>
        </r>
        <r>
          <rPr>
            <sz val="8"/>
            <color indexed="81"/>
            <rFont val="Tahoma"/>
            <family val="2"/>
          </rPr>
          <t>AL</t>
        </r>
        <r>
          <rPr>
            <sz val="8"/>
            <color indexed="12"/>
            <rFont val="Tahoma"/>
            <family val="2"/>
          </rPr>
          <t xml:space="preserve"> </t>
        </r>
        <r>
          <rPr>
            <b/>
            <sz val="8"/>
            <color indexed="12"/>
            <rFont val="Tahoma"/>
            <family val="2"/>
          </rPr>
          <t xml:space="preserve">32 </t>
        </r>
        <r>
          <rPr>
            <sz val="8"/>
            <color indexed="81"/>
            <rFont val="Tahoma"/>
            <family val="2"/>
          </rPr>
          <t>PARA LOCALIZAR EL ESTADO DE LA REPUBLICA MEXICANA DONDE NACIO</t>
        </r>
      </text>
    </comment>
    <comment ref="N602" authorId="1">
      <text>
        <r>
          <rPr>
            <b/>
            <sz val="8"/>
            <color indexed="81"/>
            <rFont val="Tahoma"/>
            <family val="2"/>
          </rPr>
          <t>TONY GARCIA:</t>
        </r>
        <r>
          <rPr>
            <sz val="8"/>
            <color indexed="81"/>
            <rFont val="Tahoma"/>
            <family val="2"/>
          </rPr>
          <t xml:space="preserve">
ESCRIBA  EN  LOS ESPACIOS  DE   LA DERECHA POR SEPARADO EL AÑO, MES Y DIA DE SU NACIMIENTO</t>
        </r>
      </text>
    </comment>
    <comment ref="O602" authorId="1">
      <text>
        <r>
          <rPr>
            <b/>
            <sz val="8"/>
            <color indexed="81"/>
            <rFont val="Tahoma"/>
            <family val="2"/>
          </rPr>
          <t>TONY GARCIA:</t>
        </r>
        <r>
          <rPr>
            <sz val="8"/>
            <color indexed="81"/>
            <rFont val="Tahoma"/>
            <family val="2"/>
          </rPr>
          <t xml:space="preserve">
ESCRIBA EN ESTE ESPACIO EL </t>
        </r>
        <r>
          <rPr>
            <b/>
            <sz val="8"/>
            <color indexed="81"/>
            <rFont val="Tahoma"/>
            <family val="2"/>
          </rPr>
          <t>AÑO</t>
        </r>
        <r>
          <rPr>
            <sz val="8"/>
            <color indexed="81"/>
            <rFont val="Tahoma"/>
            <family val="2"/>
          </rPr>
          <t xml:space="preserve"> DE SU NACIMIENTO</t>
        </r>
        <r>
          <rPr>
            <b/>
            <sz val="8"/>
            <color indexed="12"/>
            <rFont val="Tahoma"/>
            <family val="2"/>
          </rPr>
          <t xml:space="preserve"> ( 1958 )</t>
        </r>
      </text>
    </comment>
    <comment ref="P602" authorId="1">
      <text>
        <r>
          <rPr>
            <b/>
            <sz val="8"/>
            <color indexed="81"/>
            <rFont val="Tahoma"/>
            <family val="2"/>
          </rPr>
          <t>TONY GARCIA:</t>
        </r>
        <r>
          <rPr>
            <sz val="8"/>
            <color indexed="81"/>
            <rFont val="Tahoma"/>
            <family val="2"/>
          </rPr>
          <t xml:space="preserve">
ESCRIBA EN ESTE ESPACIO EL </t>
        </r>
        <r>
          <rPr>
            <b/>
            <sz val="8"/>
            <color indexed="81"/>
            <rFont val="Tahoma"/>
            <family val="2"/>
          </rPr>
          <t>MES</t>
        </r>
        <r>
          <rPr>
            <sz val="8"/>
            <color indexed="81"/>
            <rFont val="Tahoma"/>
            <family val="2"/>
          </rPr>
          <t xml:space="preserve"> DE SU NACIMIENTO  EN NUMEROS</t>
        </r>
        <r>
          <rPr>
            <b/>
            <sz val="8"/>
            <color indexed="12"/>
            <rFont val="Tahoma"/>
            <family val="2"/>
          </rPr>
          <t xml:space="preserve"> (01, 02, 03 ETC )</t>
        </r>
      </text>
    </comment>
    <comment ref="Q602" authorId="1">
      <text>
        <r>
          <rPr>
            <b/>
            <sz val="8"/>
            <color indexed="81"/>
            <rFont val="Tahoma"/>
            <family val="2"/>
          </rPr>
          <t>TONY GARCIA:</t>
        </r>
        <r>
          <rPr>
            <sz val="8"/>
            <color indexed="81"/>
            <rFont val="Tahoma"/>
            <family val="2"/>
          </rPr>
          <t xml:space="preserve">
ESCRIBA EN ESTE ESPACION EL </t>
        </r>
        <r>
          <rPr>
            <b/>
            <sz val="8"/>
            <color indexed="81"/>
            <rFont val="Tahoma"/>
            <family val="2"/>
          </rPr>
          <t>DIA</t>
        </r>
        <r>
          <rPr>
            <sz val="8"/>
            <color indexed="81"/>
            <rFont val="Tahoma"/>
            <family val="2"/>
          </rPr>
          <t xml:space="preserve"> DE SU NACIMIENTO </t>
        </r>
        <r>
          <rPr>
            <b/>
            <sz val="8"/>
            <color indexed="12"/>
            <rFont val="Tahoma"/>
            <family val="2"/>
          </rPr>
          <t>(01, 02, 03, ETC)</t>
        </r>
      </text>
    </comment>
    <comment ref="V602" authorId="1">
      <text>
        <r>
          <rPr>
            <b/>
            <sz val="8"/>
            <color indexed="81"/>
            <rFont val="Tahoma"/>
            <family val="2"/>
          </rPr>
          <t>TONY GARCIA:</t>
        </r>
        <r>
          <rPr>
            <sz val="8"/>
            <color indexed="81"/>
            <rFont val="Tahoma"/>
            <family val="2"/>
          </rPr>
          <t xml:space="preserve">
EL ESPACIO DE LA DERECHA SE LLENARA AUTOMATICAMENTE</t>
        </r>
      </text>
    </comment>
    <comment ref="Z603" authorId="1">
      <text>
        <r>
          <rPr>
            <b/>
            <sz val="8"/>
            <color indexed="81"/>
            <rFont val="Tahoma"/>
            <family val="2"/>
          </rPr>
          <t>TONY GARCIA:</t>
        </r>
        <r>
          <rPr>
            <sz val="8"/>
            <color indexed="81"/>
            <rFont val="Tahoma"/>
            <family val="2"/>
          </rPr>
          <t xml:space="preserve">
EL ESPACIO DE LA DERECHA SE LLENARA AUTOMATICAMENTE</t>
        </r>
      </text>
    </comment>
  </commentList>
</comments>
</file>

<file path=xl/comments12.xml><?xml version="1.0" encoding="utf-8"?>
<comments xmlns="http://schemas.openxmlformats.org/spreadsheetml/2006/main">
  <authors>
    <author>Tony</author>
    <author>Ludwic Gail Castillo Paredes</author>
  </authors>
  <commentList>
    <comment ref="P7" authorId="0">
      <text>
        <r>
          <rPr>
            <b/>
            <sz val="9"/>
            <color indexed="81"/>
            <rFont val="Tahoma"/>
            <family val="2"/>
          </rPr>
          <t>Tony García:</t>
        </r>
        <r>
          <rPr>
            <sz val="9"/>
            <color indexed="81"/>
            <rFont val="Tahoma"/>
            <family val="2"/>
          </rPr>
          <t xml:space="preserve">
Estos tres rubros se llenan de manera manual, no es automático. De acuerdo a la Clave Presupuestal del Supervisor(a). Se escribe " 1 " donde corresponda</t>
        </r>
      </text>
    </comment>
    <comment ref="Q10" authorId="0">
      <text>
        <r>
          <rPr>
            <b/>
            <sz val="9"/>
            <color indexed="81"/>
            <rFont val="Tahoma"/>
            <family val="2"/>
          </rPr>
          <t>Tony:</t>
        </r>
        <r>
          <rPr>
            <sz val="9"/>
            <color indexed="81"/>
            <rFont val="Tahoma"/>
            <family val="2"/>
          </rPr>
          <t xml:space="preserve">
Estos aspectos se llenan manualmente, no es automático y depende de la Clave de las plazas del ATP.</t>
        </r>
      </text>
    </comment>
    <comment ref="P11" authorId="0">
      <text>
        <r>
          <rPr>
            <b/>
            <sz val="9"/>
            <color indexed="81"/>
            <rFont val="Tahoma"/>
            <family val="2"/>
          </rPr>
          <t>Tony:</t>
        </r>
        <r>
          <rPr>
            <sz val="9"/>
            <color indexed="81"/>
            <rFont val="Tahoma"/>
            <family val="2"/>
          </rPr>
          <t xml:space="preserve">
Estos aspectos se llenan manualmente, no es automático y depende de la Clave de las plazas del ATP.</t>
        </r>
      </text>
    </comment>
    <comment ref="W19" authorId="0">
      <text>
        <r>
          <rPr>
            <b/>
            <sz val="9"/>
            <color indexed="81"/>
            <rFont val="Tahoma"/>
            <family val="2"/>
          </rPr>
          <t>Tony:</t>
        </r>
        <r>
          <rPr>
            <sz val="9"/>
            <color indexed="81"/>
            <rFont val="Tahoma"/>
            <family val="2"/>
          </rPr>
          <t xml:space="preserve">
Llenar manualmente, no es automático.</t>
        </r>
      </text>
    </comment>
    <comment ref="W20" authorId="0">
      <text>
        <r>
          <rPr>
            <b/>
            <sz val="9"/>
            <color indexed="81"/>
            <rFont val="Tahoma"/>
            <family val="2"/>
          </rPr>
          <t>Tony:</t>
        </r>
        <r>
          <rPr>
            <sz val="9"/>
            <color indexed="81"/>
            <rFont val="Tahoma"/>
            <family val="2"/>
          </rPr>
          <t xml:space="preserve">
Llenar manualmente, no es automático.</t>
        </r>
      </text>
    </comment>
    <comment ref="G42" authorId="1">
      <text>
        <r>
          <rPr>
            <b/>
            <sz val="8"/>
            <color indexed="81"/>
            <rFont val="Tahoma"/>
            <family val="2"/>
          </rPr>
          <t>Ludwic:</t>
        </r>
        <r>
          <rPr>
            <sz val="8"/>
            <color indexed="81"/>
            <rFont val="Tahoma"/>
            <family val="2"/>
          </rPr>
          <t xml:space="preserve">
</t>
        </r>
        <r>
          <rPr>
            <sz val="10"/>
            <color indexed="81"/>
            <rFont val="Tahoma"/>
            <family val="2"/>
          </rPr>
          <t>Escribir en nombre completo, sin abreviaciones.</t>
        </r>
      </text>
    </comment>
    <comment ref="V42" authorId="1">
      <text>
        <r>
          <rPr>
            <b/>
            <sz val="8"/>
            <color indexed="81"/>
            <rFont val="Tahoma"/>
            <family val="2"/>
          </rPr>
          <t>Ludwic:</t>
        </r>
        <r>
          <rPr>
            <sz val="8"/>
            <color indexed="81"/>
            <rFont val="Tahoma"/>
            <family val="2"/>
          </rPr>
          <t xml:space="preserve">
</t>
        </r>
        <r>
          <rPr>
            <sz val="10"/>
            <color indexed="81"/>
            <rFont val="Tahoma"/>
            <family val="2"/>
          </rPr>
          <t>Para que se puedan sombrear automáticamente las celdas correspondientes a la estadística es necesario escribir primero la fecha.</t>
        </r>
      </text>
    </comment>
    <comment ref="W42" authorId="1">
      <text>
        <r>
          <rPr>
            <b/>
            <sz val="8"/>
            <color indexed="81"/>
            <rFont val="Tahoma"/>
            <family val="2"/>
          </rPr>
          <t>Ludwic:</t>
        </r>
        <r>
          <rPr>
            <sz val="8"/>
            <color indexed="81"/>
            <rFont val="Tahoma"/>
            <family val="2"/>
          </rPr>
          <t xml:space="preserve">
</t>
        </r>
        <r>
          <rPr>
            <sz val="10"/>
            <color indexed="81"/>
            <rFont val="Tahoma"/>
            <family val="2"/>
          </rPr>
          <t>Aunque se escriba 02, aparecerá solo el 2, pasa con cualquier número, dejar así el mes con solo un número, no usar la letra O como sustituto.</t>
        </r>
      </text>
    </comment>
  </commentList>
</comments>
</file>

<file path=xl/comments13.xml><?xml version="1.0" encoding="utf-8"?>
<comments xmlns="http://schemas.openxmlformats.org/spreadsheetml/2006/main">
  <authors>
    <author>WinuE</author>
  </authors>
  <commentList>
    <comment ref="F593" authorId="0">
      <text>
        <r>
          <rPr>
            <b/>
            <sz val="8"/>
            <color indexed="8"/>
            <rFont val="Tahoma"/>
            <family val="2"/>
          </rPr>
          <t>TONY:</t>
        </r>
        <r>
          <rPr>
            <sz val="8"/>
            <color indexed="8"/>
            <rFont val="Tahoma"/>
            <family val="2"/>
          </rPr>
          <t xml:space="preserve">
TOTAL DE AUMNOS AL INICIO DE CURSO EN  LA ZONA</t>
        </r>
      </text>
    </comment>
    <comment ref="G593" authorId="0">
      <text>
        <r>
          <rPr>
            <b/>
            <sz val="8"/>
            <color indexed="8"/>
            <rFont val="Tahoma"/>
            <family val="2"/>
          </rPr>
          <t>TONY:</t>
        </r>
        <r>
          <rPr>
            <sz val="8"/>
            <color indexed="8"/>
            <rFont val="Tahoma"/>
            <family val="2"/>
          </rPr>
          <t xml:space="preserve">
TOTAL DE GRUPOS EN LA ZONA AL INICIO DE CURSO</t>
        </r>
      </text>
    </comment>
    <comment ref="H593" authorId="0">
      <text>
        <r>
          <rPr>
            <b/>
            <sz val="8"/>
            <color indexed="8"/>
            <rFont val="Tahoma"/>
            <family val="2"/>
          </rPr>
          <t>TONY:
 INICIO + ALTAS</t>
        </r>
      </text>
    </comment>
    <comment ref="I593" authorId="0">
      <text>
        <r>
          <rPr>
            <b/>
            <sz val="8"/>
            <color indexed="8"/>
            <rFont val="Tahoma"/>
            <family val="2"/>
          </rPr>
          <t>TONY:
INICIO+ALTAS-BAJAS=EXISTECIA</t>
        </r>
        <r>
          <rPr>
            <sz val="8"/>
            <color indexed="8"/>
            <rFont val="Tahoma"/>
            <family val="2"/>
          </rPr>
          <t xml:space="preserve">
</t>
        </r>
      </text>
    </comment>
    <comment ref="J593" authorId="0">
      <text>
        <r>
          <rPr>
            <b/>
            <sz val="8"/>
            <color indexed="8"/>
            <rFont val="Tahoma"/>
            <family val="2"/>
          </rPr>
          <t>TONY:</t>
        </r>
        <r>
          <rPr>
            <sz val="8"/>
            <color indexed="8"/>
            <rFont val="Tahoma"/>
            <family val="2"/>
          </rPr>
          <t xml:space="preserve">
TOTAL DE ALTAS DE ALUMNOS EN LA ZONA</t>
        </r>
      </text>
    </comment>
    <comment ref="K593" authorId="0">
      <text>
        <r>
          <rPr>
            <b/>
            <sz val="8"/>
            <color indexed="8"/>
            <rFont val="Tahoma"/>
            <family val="2"/>
          </rPr>
          <t>TONY:</t>
        </r>
        <r>
          <rPr>
            <sz val="8"/>
            <color indexed="8"/>
            <rFont val="Tahoma"/>
            <family val="2"/>
          </rPr>
          <t xml:space="preserve">
TOTAL DE ALUMNOS DE BAJA EN LA ZONA</t>
        </r>
      </text>
    </comment>
    <comment ref="L593" authorId="0">
      <text>
        <r>
          <rPr>
            <b/>
            <sz val="8"/>
            <color indexed="8"/>
            <rFont val="Tahoma"/>
            <family val="2"/>
          </rPr>
          <t>TONY:</t>
        </r>
        <r>
          <rPr>
            <sz val="8"/>
            <color indexed="8"/>
            <rFont val="Tahoma"/>
            <family val="2"/>
          </rPr>
          <t xml:space="preserve">
EXISTENCIA DE ALUMNOS EN LA ZONA</t>
        </r>
      </text>
    </comment>
  </commentList>
</comments>
</file>

<file path=xl/comments14.xml><?xml version="1.0" encoding="utf-8"?>
<comments xmlns="http://schemas.openxmlformats.org/spreadsheetml/2006/main">
  <authors>
    <author>Ludwic Gail Castillo Paredes</author>
  </authors>
  <commentList>
    <comment ref="P7" authorId="0">
      <text>
        <r>
          <rPr>
            <b/>
            <sz val="8"/>
            <color indexed="81"/>
            <rFont val="Tahoma"/>
            <family val="2"/>
          </rPr>
          <t>Ludwic:</t>
        </r>
        <r>
          <rPr>
            <sz val="8"/>
            <color indexed="81"/>
            <rFont val="Tahoma"/>
            <family val="2"/>
          </rPr>
          <t xml:space="preserve">
</t>
        </r>
        <r>
          <rPr>
            <sz val="10"/>
            <color indexed="81"/>
            <rFont val="Tahoma"/>
            <family val="2"/>
          </rPr>
          <t>Estos tres rubros se llenan de manera manual, no es automático. De acuerdo a la Clave Presupuestal del Supervisor(a). Se escribe " 1 " donde corresponda</t>
        </r>
      </text>
    </comment>
    <comment ref="P11" authorId="0">
      <text>
        <r>
          <rPr>
            <b/>
            <sz val="8"/>
            <color indexed="81"/>
            <rFont val="Tahoma"/>
            <family val="2"/>
          </rPr>
          <t xml:space="preserve">Ludwic:
</t>
        </r>
        <r>
          <rPr>
            <sz val="10"/>
            <color indexed="81"/>
            <rFont val="Tahoma"/>
            <family val="2"/>
          </rPr>
          <t>Estos aspectos se llenan manualmente, no es automático y depende de la Clave de las plazas del ATP.</t>
        </r>
      </text>
    </comment>
    <comment ref="W19" authorId="0">
      <text>
        <r>
          <rPr>
            <b/>
            <sz val="8"/>
            <color indexed="81"/>
            <rFont val="Tahoma"/>
            <family val="2"/>
          </rPr>
          <t>Ludwic:</t>
        </r>
        <r>
          <rPr>
            <sz val="8"/>
            <color indexed="81"/>
            <rFont val="Tahoma"/>
            <family val="2"/>
          </rPr>
          <t xml:space="preserve">
</t>
        </r>
        <r>
          <rPr>
            <sz val="10"/>
            <color indexed="81"/>
            <rFont val="Tahoma"/>
            <family val="2"/>
          </rPr>
          <t>Llenar manualmente, no es automático.</t>
        </r>
      </text>
    </comment>
    <comment ref="W20" authorId="0">
      <text>
        <r>
          <rPr>
            <b/>
            <sz val="8"/>
            <color indexed="81"/>
            <rFont val="Tahoma"/>
            <family val="2"/>
          </rPr>
          <t>Ludwic:</t>
        </r>
        <r>
          <rPr>
            <sz val="8"/>
            <color indexed="81"/>
            <rFont val="Tahoma"/>
            <family val="2"/>
          </rPr>
          <t xml:space="preserve">
</t>
        </r>
        <r>
          <rPr>
            <sz val="10"/>
            <color indexed="81"/>
            <rFont val="Tahoma"/>
            <family val="2"/>
          </rPr>
          <t>Llenar manualmente, no es automático.</t>
        </r>
      </text>
    </comment>
    <comment ref="G42" authorId="0">
      <text>
        <r>
          <rPr>
            <b/>
            <sz val="8"/>
            <color indexed="81"/>
            <rFont val="Tahoma"/>
            <family val="2"/>
          </rPr>
          <t>Ludwic:</t>
        </r>
        <r>
          <rPr>
            <sz val="8"/>
            <color indexed="81"/>
            <rFont val="Tahoma"/>
            <family val="2"/>
          </rPr>
          <t xml:space="preserve">
</t>
        </r>
        <r>
          <rPr>
            <sz val="10"/>
            <color indexed="81"/>
            <rFont val="Tahoma"/>
            <family val="2"/>
          </rPr>
          <t>Escribir en nombre completo, sin abreviaciones.</t>
        </r>
      </text>
    </comment>
    <comment ref="V42" authorId="0">
      <text>
        <r>
          <rPr>
            <b/>
            <sz val="8"/>
            <color indexed="81"/>
            <rFont val="Tahoma"/>
            <family val="2"/>
          </rPr>
          <t>Ludwic:</t>
        </r>
        <r>
          <rPr>
            <sz val="8"/>
            <color indexed="81"/>
            <rFont val="Tahoma"/>
            <family val="2"/>
          </rPr>
          <t xml:space="preserve">
</t>
        </r>
        <r>
          <rPr>
            <sz val="10"/>
            <color indexed="81"/>
            <rFont val="Tahoma"/>
            <family val="2"/>
          </rPr>
          <t>Para que se puedan sombrear automáticamente las celdas correspondientes a la estadística es necesario escribir primero la fecha.</t>
        </r>
      </text>
    </comment>
    <comment ref="W42" authorId="0">
      <text>
        <r>
          <rPr>
            <b/>
            <sz val="8"/>
            <color indexed="81"/>
            <rFont val="Tahoma"/>
            <family val="2"/>
          </rPr>
          <t>Ludwic:</t>
        </r>
        <r>
          <rPr>
            <sz val="8"/>
            <color indexed="81"/>
            <rFont val="Tahoma"/>
            <family val="2"/>
          </rPr>
          <t xml:space="preserve">
</t>
        </r>
        <r>
          <rPr>
            <sz val="10"/>
            <color indexed="81"/>
            <rFont val="Tahoma"/>
            <family val="2"/>
          </rPr>
          <t>Aunque se escriba 02, aparecerá solo el 2, pasa con cualquier número, dejar así el mes con solo un número, no usar la letra O como sustituto.</t>
        </r>
      </text>
    </comment>
  </commentList>
</comments>
</file>

<file path=xl/comments15.xml><?xml version="1.0" encoding="utf-8"?>
<comments xmlns="http://schemas.openxmlformats.org/spreadsheetml/2006/main">
  <authors>
    <author>Ludwic Gail Castillo Paredes</author>
  </authors>
  <commentList>
    <comment ref="P7" authorId="0">
      <text>
        <r>
          <rPr>
            <b/>
            <sz val="8"/>
            <color indexed="81"/>
            <rFont val="Tahoma"/>
            <family val="2"/>
          </rPr>
          <t>Ludwic:</t>
        </r>
        <r>
          <rPr>
            <sz val="8"/>
            <color indexed="81"/>
            <rFont val="Tahoma"/>
            <family val="2"/>
          </rPr>
          <t xml:space="preserve">
</t>
        </r>
        <r>
          <rPr>
            <sz val="10"/>
            <color indexed="81"/>
            <rFont val="Tahoma"/>
            <family val="2"/>
          </rPr>
          <t>Estos tres rubros se llenan de manera manual, no es automático. De acuerdo a la Clave Presupuestal del Supervisor(a). Se escribe " 1 " donde corresponda</t>
        </r>
      </text>
    </comment>
    <comment ref="P11" authorId="0">
      <text>
        <r>
          <rPr>
            <b/>
            <sz val="8"/>
            <color indexed="81"/>
            <rFont val="Tahoma"/>
            <family val="2"/>
          </rPr>
          <t xml:space="preserve">Ludwic:
</t>
        </r>
        <r>
          <rPr>
            <sz val="10"/>
            <color indexed="81"/>
            <rFont val="Tahoma"/>
            <family val="2"/>
          </rPr>
          <t>Estos aspectos se llenan manualmente, no es automático y depende de la Clave de las plazas del ATP.</t>
        </r>
      </text>
    </comment>
    <comment ref="W20" authorId="0">
      <text>
        <r>
          <rPr>
            <b/>
            <sz val="8"/>
            <color indexed="81"/>
            <rFont val="Tahoma"/>
            <family val="2"/>
          </rPr>
          <t>Ludwic:</t>
        </r>
        <r>
          <rPr>
            <sz val="8"/>
            <color indexed="81"/>
            <rFont val="Tahoma"/>
            <family val="2"/>
          </rPr>
          <t xml:space="preserve">
</t>
        </r>
        <r>
          <rPr>
            <sz val="10"/>
            <color indexed="81"/>
            <rFont val="Tahoma"/>
            <family val="2"/>
          </rPr>
          <t>Llenar manualmente, no es automático.</t>
        </r>
      </text>
    </comment>
    <comment ref="G42" authorId="0">
      <text>
        <r>
          <rPr>
            <b/>
            <sz val="8"/>
            <color indexed="81"/>
            <rFont val="Tahoma"/>
            <family val="2"/>
          </rPr>
          <t>Ludwic:</t>
        </r>
        <r>
          <rPr>
            <sz val="8"/>
            <color indexed="81"/>
            <rFont val="Tahoma"/>
            <family val="2"/>
          </rPr>
          <t xml:space="preserve">
</t>
        </r>
        <r>
          <rPr>
            <sz val="10"/>
            <color indexed="81"/>
            <rFont val="Tahoma"/>
            <family val="2"/>
          </rPr>
          <t>Escribir en nombre completo, sin abreviaciones.</t>
        </r>
      </text>
    </comment>
    <comment ref="V42" authorId="0">
      <text>
        <r>
          <rPr>
            <b/>
            <sz val="8"/>
            <color indexed="81"/>
            <rFont val="Tahoma"/>
            <family val="2"/>
          </rPr>
          <t>Ludwic:</t>
        </r>
        <r>
          <rPr>
            <sz val="8"/>
            <color indexed="81"/>
            <rFont val="Tahoma"/>
            <family val="2"/>
          </rPr>
          <t xml:space="preserve">
</t>
        </r>
        <r>
          <rPr>
            <sz val="10"/>
            <color indexed="81"/>
            <rFont val="Tahoma"/>
            <family val="2"/>
          </rPr>
          <t>Para que se puedan sombrear automáticamente las celdas correspondientes a la estadística es necesario escribir primero la fecha.</t>
        </r>
      </text>
    </comment>
    <comment ref="W42" authorId="0">
      <text>
        <r>
          <rPr>
            <b/>
            <sz val="8"/>
            <color indexed="81"/>
            <rFont val="Tahoma"/>
            <family val="2"/>
          </rPr>
          <t>Ludwic:</t>
        </r>
        <r>
          <rPr>
            <sz val="8"/>
            <color indexed="81"/>
            <rFont val="Tahoma"/>
            <family val="2"/>
          </rPr>
          <t xml:space="preserve">
</t>
        </r>
        <r>
          <rPr>
            <sz val="10"/>
            <color indexed="81"/>
            <rFont val="Tahoma"/>
            <family val="2"/>
          </rPr>
          <t>Aunque se escriba 02, aparecerá solo el 2, pasa con cualquier número, dejar así el mes con solo un número, no usar la letra O como sustituto.</t>
        </r>
      </text>
    </comment>
  </commentList>
</comments>
</file>

<file path=xl/comments16.xml><?xml version="1.0" encoding="utf-8"?>
<comments xmlns="http://schemas.openxmlformats.org/spreadsheetml/2006/main">
  <authors>
    <author>WinuE</author>
    <author>Tony</author>
    <author>BICHITO</author>
    <author>Ludwic Gail Castillo Paredes</author>
    <author>Ares Computación</author>
  </authors>
  <commentList>
    <comment ref="AA2" authorId="0">
      <text>
        <r>
          <rPr>
            <sz val="10"/>
            <color indexed="81"/>
            <rFont val="Tahoma"/>
            <family val="2"/>
          </rPr>
          <t>E-MAIL</t>
        </r>
      </text>
    </comment>
    <comment ref="AB2" authorId="0">
      <text>
        <r>
          <rPr>
            <sz val="10"/>
            <color indexed="81"/>
            <rFont val="Tahoma"/>
            <family val="2"/>
          </rPr>
          <t>NOMBRE</t>
        </r>
      </text>
    </comment>
    <comment ref="AC2" authorId="0">
      <text>
        <r>
          <rPr>
            <sz val="10"/>
            <color indexed="81"/>
            <rFont val="Tahoma"/>
            <family val="2"/>
          </rPr>
          <t>C.C.T.</t>
        </r>
      </text>
    </comment>
    <comment ref="AD2" authorId="0">
      <text>
        <r>
          <rPr>
            <sz val="10"/>
            <color indexed="81"/>
            <rFont val="Tahoma"/>
            <family val="2"/>
          </rPr>
          <t>DOMICILIO</t>
        </r>
      </text>
    </comment>
    <comment ref="AE2" authorId="0">
      <text>
        <r>
          <rPr>
            <sz val="10"/>
            <color indexed="81"/>
            <rFont val="Tahoma"/>
            <family val="2"/>
          </rPr>
          <t>TEL / LADA</t>
        </r>
      </text>
    </comment>
    <comment ref="AF2" authorId="0">
      <text>
        <r>
          <rPr>
            <sz val="10"/>
            <color indexed="81"/>
            <rFont val="Tahoma"/>
            <family val="2"/>
          </rPr>
          <t>LOCALIDAD</t>
        </r>
      </text>
    </comment>
    <comment ref="AG2" authorId="0">
      <text>
        <r>
          <rPr>
            <sz val="10"/>
            <color indexed="81"/>
            <rFont val="Tahoma"/>
            <family val="2"/>
          </rPr>
          <t>MUNICIPIO</t>
        </r>
      </text>
    </comment>
    <comment ref="AH2" authorId="0">
      <text>
        <r>
          <rPr>
            <sz val="10"/>
            <color indexed="81"/>
            <rFont val="Tahoma"/>
            <family val="2"/>
          </rPr>
          <t>CONTROL PUBLICA</t>
        </r>
      </text>
    </comment>
    <comment ref="AI2" authorId="0">
      <text>
        <r>
          <rPr>
            <sz val="10"/>
            <color indexed="81"/>
            <rFont val="Tahoma"/>
            <family val="2"/>
          </rPr>
          <t>CONTROL PARTICULAR</t>
        </r>
      </text>
    </comment>
    <comment ref="AJ2" authorId="0">
      <text>
        <r>
          <rPr>
            <sz val="10"/>
            <color indexed="81"/>
            <rFont val="Tahoma"/>
            <family val="2"/>
          </rPr>
          <t>TURNOS MATUTINOS</t>
        </r>
      </text>
    </comment>
    <comment ref="AK2" authorId="0">
      <text>
        <r>
          <rPr>
            <sz val="10"/>
            <color indexed="81"/>
            <rFont val="Tahoma"/>
            <family val="2"/>
          </rPr>
          <t>TURNOS VESPERTINOS</t>
        </r>
      </text>
    </comment>
    <comment ref="AL2" authorId="0">
      <text>
        <r>
          <rPr>
            <sz val="10"/>
            <color indexed="81"/>
            <rFont val="Tahoma"/>
            <family val="2"/>
          </rPr>
          <t>CATEGORIAS URBANAS</t>
        </r>
      </text>
    </comment>
    <comment ref="AM2" authorId="0">
      <text>
        <r>
          <rPr>
            <sz val="10"/>
            <color indexed="81"/>
            <rFont val="Tahoma"/>
            <family val="2"/>
          </rPr>
          <t>CATEGORIAS RURALES</t>
        </r>
      </text>
    </comment>
    <comment ref="AN2" authorId="0">
      <text>
        <r>
          <rPr>
            <sz val="10"/>
            <color indexed="81"/>
            <rFont val="Tahoma"/>
            <family val="2"/>
          </rPr>
          <t>ORGANIZACIÓN COMPLETAS</t>
        </r>
      </text>
    </comment>
    <comment ref="AO2" authorId="0">
      <text>
        <r>
          <rPr>
            <sz val="10"/>
            <color indexed="81"/>
            <rFont val="Tahoma"/>
            <family val="2"/>
          </rPr>
          <t>ORGANIZACIÓN INCOMPLETAS</t>
        </r>
      </text>
    </comment>
    <comment ref="AP2" authorId="0">
      <text>
        <r>
          <rPr>
            <sz val="10"/>
            <color indexed="81"/>
            <rFont val="Tahoma"/>
            <family val="2"/>
          </rPr>
          <t>ORGANIZACIÓN UNITARIASS</t>
        </r>
      </text>
    </comment>
    <comment ref="AQ2" authorId="0">
      <text>
        <r>
          <rPr>
            <sz val="10"/>
            <color indexed="81"/>
            <rFont val="Tahoma"/>
            <family val="2"/>
          </rPr>
          <t>PARCELA SI</t>
        </r>
      </text>
    </comment>
    <comment ref="AR2" authorId="0">
      <text>
        <r>
          <rPr>
            <sz val="10"/>
            <color indexed="81"/>
            <rFont val="Tahoma"/>
            <family val="2"/>
          </rPr>
          <t>PARCELAS NO</t>
        </r>
      </text>
    </comment>
    <comment ref="AS2" authorId="0">
      <text>
        <r>
          <rPr>
            <sz val="10"/>
            <color indexed="81"/>
            <rFont val="Tahoma"/>
            <family val="2"/>
          </rPr>
          <t>TIENDA ESCOLAR SI</t>
        </r>
      </text>
    </comment>
    <comment ref="AT2" authorId="0">
      <text>
        <r>
          <rPr>
            <sz val="10"/>
            <color indexed="81"/>
            <rFont val="Tahoma"/>
            <family val="2"/>
          </rPr>
          <t>TIENDA ESCOLAR NO</t>
        </r>
      </text>
    </comment>
    <comment ref="AU2" authorId="0">
      <text>
        <r>
          <rPr>
            <sz val="10"/>
            <color indexed="81"/>
            <rFont val="Tahoma"/>
            <family val="2"/>
          </rPr>
          <t>AULAS EN USO
DOCENTE</t>
        </r>
      </text>
    </comment>
    <comment ref="AV2" authorId="0">
      <text>
        <r>
          <rPr>
            <sz val="10"/>
            <color indexed="81"/>
            <rFont val="Tahoma"/>
            <family val="2"/>
          </rPr>
          <t>AULAS DE USAER</t>
        </r>
      </text>
    </comment>
    <comment ref="AW2" authorId="0">
      <text>
        <r>
          <rPr>
            <sz val="10"/>
            <color indexed="81"/>
            <rFont val="Tahoma"/>
            <family val="2"/>
          </rPr>
          <t>AULAS DE MEDIOS</t>
        </r>
      </text>
    </comment>
    <comment ref="AX2" authorId="0">
      <text>
        <r>
          <rPr>
            <sz val="10"/>
            <color indexed="81"/>
            <rFont val="Tahoma"/>
            <family val="2"/>
          </rPr>
          <t>AULAS DE OTROS</t>
        </r>
      </text>
    </comment>
    <comment ref="AY2" authorId="0">
      <text>
        <r>
          <rPr>
            <sz val="10"/>
            <color indexed="81"/>
            <rFont val="Tahoma"/>
            <family val="2"/>
          </rPr>
          <t>AULAS DISPONIBLES</t>
        </r>
      </text>
    </comment>
    <comment ref="AZ2" authorId="0">
      <text>
        <r>
          <rPr>
            <sz val="8"/>
            <color indexed="81"/>
            <rFont val="Tahoma"/>
            <family val="2"/>
          </rPr>
          <t>DIRECTOR CON GRUPO CLAVE 21</t>
        </r>
      </text>
    </comment>
    <comment ref="BA2" authorId="0">
      <text>
        <r>
          <rPr>
            <sz val="8"/>
            <color indexed="81"/>
            <rFont val="Tahoma"/>
            <family val="2"/>
          </rPr>
          <t>DIRECTOR SIN
 GRUPO CLAVE 21</t>
        </r>
      </text>
    </comment>
    <comment ref="BB2" authorId="0">
      <text>
        <r>
          <rPr>
            <sz val="8"/>
            <color indexed="81"/>
            <rFont val="Tahoma"/>
            <family val="2"/>
          </rPr>
          <t>DIRECTOR CON GRUPO CLAVE 81</t>
        </r>
      </text>
    </comment>
    <comment ref="BC2" authorId="0">
      <text>
        <r>
          <rPr>
            <sz val="8"/>
            <color indexed="81"/>
            <rFont val="Tahoma"/>
            <family val="2"/>
          </rPr>
          <t>DIRECTOR SIN    GRUPO CLAVE 81</t>
        </r>
      </text>
    </comment>
    <comment ref="BD2" authorId="0">
      <text>
        <r>
          <rPr>
            <sz val="8"/>
            <color indexed="81"/>
            <rFont val="Tahoma"/>
            <family val="2"/>
          </rPr>
          <t>DOCENTES</t>
        </r>
      </text>
    </comment>
    <comment ref="BE2" authorId="0">
      <text>
        <r>
          <rPr>
            <sz val="8"/>
            <color indexed="81"/>
            <rFont val="Tahoma"/>
            <family val="2"/>
          </rPr>
          <t>EDUCACION FISICA</t>
        </r>
      </text>
    </comment>
    <comment ref="BF2" authorId="0">
      <text>
        <r>
          <rPr>
            <sz val="8"/>
            <color indexed="81"/>
            <rFont val="Tahoma"/>
            <family val="2"/>
          </rPr>
          <t>USAER</t>
        </r>
      </text>
    </comment>
    <comment ref="BG2" authorId="0">
      <text>
        <r>
          <rPr>
            <sz val="8"/>
            <color indexed="81"/>
            <rFont val="Tahoma"/>
            <family val="2"/>
          </rPr>
          <t>INTENDENTES</t>
        </r>
      </text>
    </comment>
    <comment ref="BH2" authorId="0">
      <text>
        <r>
          <rPr>
            <sz val="8"/>
            <color indexed="81"/>
            <rFont val="Tahoma"/>
            <family val="2"/>
          </rPr>
          <t>OTROS</t>
        </r>
      </text>
    </comment>
    <comment ref="BI2" authorId="0">
      <text>
        <r>
          <rPr>
            <sz val="8"/>
            <color indexed="8"/>
            <rFont val="Tahoma"/>
            <family val="2"/>
          </rPr>
          <t>PREINSCRIPCION DE PRIMERO HOMBRES</t>
        </r>
      </text>
    </comment>
    <comment ref="BJ2" authorId="0">
      <text>
        <r>
          <rPr>
            <sz val="8"/>
            <color indexed="8"/>
            <rFont val="Tahoma"/>
            <family val="2"/>
          </rPr>
          <t>PREINSCRIPCION DE PRIMERO MUJERES</t>
        </r>
      </text>
    </comment>
    <comment ref="BK2" authorId="0">
      <text>
        <r>
          <rPr>
            <sz val="8"/>
            <color indexed="81"/>
            <rFont val="Tahoma"/>
            <family val="2"/>
          </rPr>
          <t>DIRECTIVOS CON CARRERA MAGISTERIAL</t>
        </r>
      </text>
    </comment>
    <comment ref="BL2" authorId="0">
      <text>
        <r>
          <rPr>
            <sz val="8"/>
            <color indexed="81"/>
            <rFont val="Tahoma"/>
            <family val="2"/>
          </rPr>
          <t>DOCENTES CON CARRERA MAGISTERIAL</t>
        </r>
      </text>
    </comment>
    <comment ref="BM2" authorId="0">
      <text>
        <r>
          <rPr>
            <sz val="8"/>
            <color indexed="81"/>
            <rFont val="Tahoma"/>
            <family val="2"/>
          </rPr>
          <t>EDUCACION FISICA CON CARRERA MAGISTERIAL</t>
        </r>
      </text>
    </comment>
    <comment ref="BN2" authorId="1">
      <text>
        <r>
          <rPr>
            <b/>
            <sz val="9"/>
            <color indexed="81"/>
            <rFont val="Tahoma"/>
            <family val="2"/>
          </rPr>
          <t>Tony:</t>
        </r>
        <r>
          <rPr>
            <sz val="9"/>
            <color indexed="81"/>
            <rFont val="Tahoma"/>
            <family val="2"/>
          </rPr>
          <t xml:space="preserve">
</t>
        </r>
      </text>
    </comment>
    <comment ref="BO2" authorId="1">
      <text>
        <r>
          <rPr>
            <b/>
            <sz val="9"/>
            <color indexed="81"/>
            <rFont val="Tahoma"/>
            <family val="2"/>
          </rPr>
          <t>Tony:</t>
        </r>
        <r>
          <rPr>
            <sz val="9"/>
            <color indexed="81"/>
            <rFont val="Tahoma"/>
            <family val="2"/>
          </rPr>
          <t xml:space="preserve">
</t>
        </r>
      </text>
    </comment>
    <comment ref="BP2" authorId="1">
      <text>
        <r>
          <rPr>
            <b/>
            <sz val="9"/>
            <color indexed="81"/>
            <rFont val="Tahoma"/>
            <family val="2"/>
          </rPr>
          <t>Tony:</t>
        </r>
        <r>
          <rPr>
            <sz val="9"/>
            <color indexed="81"/>
            <rFont val="Tahoma"/>
            <family val="2"/>
          </rPr>
          <t xml:space="preserve">
</t>
        </r>
      </text>
    </comment>
    <comment ref="BQ2" authorId="1">
      <text>
        <r>
          <rPr>
            <b/>
            <sz val="9"/>
            <color indexed="81"/>
            <rFont val="Tahoma"/>
            <family val="2"/>
          </rPr>
          <t>Tony:</t>
        </r>
        <r>
          <rPr>
            <sz val="9"/>
            <color indexed="81"/>
            <rFont val="Tahoma"/>
            <family val="2"/>
          </rPr>
          <t xml:space="preserve">
</t>
        </r>
      </text>
    </comment>
    <comment ref="BR2" authorId="1">
      <text>
        <r>
          <rPr>
            <b/>
            <sz val="9"/>
            <color indexed="81"/>
            <rFont val="Tahoma"/>
            <family val="2"/>
          </rPr>
          <t>Tony:</t>
        </r>
        <r>
          <rPr>
            <sz val="9"/>
            <color indexed="81"/>
            <rFont val="Tahoma"/>
            <family val="2"/>
          </rPr>
          <t xml:space="preserve">
</t>
        </r>
      </text>
    </comment>
    <comment ref="BS2" authorId="1">
      <text>
        <r>
          <rPr>
            <b/>
            <sz val="9"/>
            <color indexed="81"/>
            <rFont val="Tahoma"/>
            <family val="2"/>
          </rPr>
          <t>Tony:</t>
        </r>
        <r>
          <rPr>
            <sz val="9"/>
            <color indexed="81"/>
            <rFont val="Tahoma"/>
            <family val="2"/>
          </rPr>
          <t xml:space="preserve">
</t>
        </r>
      </text>
    </comment>
    <comment ref="BT2" authorId="1">
      <text>
        <r>
          <rPr>
            <b/>
            <sz val="9"/>
            <color indexed="81"/>
            <rFont val="Tahoma"/>
            <family val="2"/>
          </rPr>
          <t>Tony:</t>
        </r>
        <r>
          <rPr>
            <sz val="9"/>
            <color indexed="81"/>
            <rFont val="Tahoma"/>
            <family val="2"/>
          </rPr>
          <t xml:space="preserve">
</t>
        </r>
      </text>
    </comment>
    <comment ref="BU2" authorId="1">
      <text>
        <r>
          <rPr>
            <b/>
            <sz val="9"/>
            <color indexed="81"/>
            <rFont val="Tahoma"/>
            <family val="2"/>
          </rPr>
          <t>Tony:</t>
        </r>
        <r>
          <rPr>
            <sz val="9"/>
            <color indexed="81"/>
            <rFont val="Tahoma"/>
            <family val="2"/>
          </rPr>
          <t xml:space="preserve">
</t>
        </r>
      </text>
    </comment>
    <comment ref="BV2" authorId="1">
      <text>
        <r>
          <rPr>
            <b/>
            <sz val="9"/>
            <color indexed="81"/>
            <rFont val="Tahoma"/>
            <family val="2"/>
          </rPr>
          <t>Tony:</t>
        </r>
        <r>
          <rPr>
            <sz val="9"/>
            <color indexed="81"/>
            <rFont val="Tahoma"/>
            <family val="2"/>
          </rPr>
          <t xml:space="preserve">
</t>
        </r>
      </text>
    </comment>
    <comment ref="S3" authorId="2">
      <text>
        <r>
          <rPr>
            <b/>
            <sz val="11"/>
            <color indexed="81"/>
            <rFont val="Tahoma"/>
            <family val="2"/>
          </rPr>
          <t>TONY GARCIA:</t>
        </r>
        <r>
          <rPr>
            <sz val="11"/>
            <color indexed="81"/>
            <rFont val="Tahoma"/>
            <family val="2"/>
          </rPr>
          <t xml:space="preserve">
SI NI TIENE CORREO ELECTRÓNICO PONER UN ASTERISCO ( * )</t>
        </r>
      </text>
    </comment>
    <comment ref="C6" authorId="3">
      <text>
        <r>
          <rPr>
            <b/>
            <sz val="11"/>
            <color indexed="81"/>
            <rFont val="Tahoma"/>
            <family val="2"/>
          </rPr>
          <t>SEQ:</t>
        </r>
        <r>
          <rPr>
            <sz val="11"/>
            <color indexed="81"/>
            <rFont val="Tahoma"/>
            <family val="2"/>
          </rPr>
          <t xml:space="preserve">
Escribir correctamente el nombre de la Escuela, como está registrada.</t>
        </r>
      </text>
    </comment>
    <comment ref="C8" authorId="3">
      <text>
        <r>
          <rPr>
            <b/>
            <sz val="11"/>
            <color indexed="81"/>
            <rFont val="Tahoma"/>
            <family val="2"/>
          </rPr>
          <t>TONY GARCIA:</t>
        </r>
        <r>
          <rPr>
            <sz val="11"/>
            <color indexed="81"/>
            <rFont val="Tahoma"/>
            <family val="2"/>
          </rPr>
          <t xml:space="preserve">
Es muy importante escribir la dirección de la escuela lo más completo posible, tal y como está registrado o dado de alta en el catalogo de SEyC.</t>
        </r>
      </text>
    </comment>
    <comment ref="I8" authorId="3">
      <text>
        <r>
          <rPr>
            <b/>
            <sz val="11"/>
            <color indexed="81"/>
            <rFont val="Tahoma"/>
            <family val="2"/>
          </rPr>
          <t>TONY GARCIA:</t>
        </r>
        <r>
          <rPr>
            <sz val="11"/>
            <color indexed="81"/>
            <rFont val="Tahoma"/>
            <family val="2"/>
          </rPr>
          <t xml:space="preserve">
Estar pendientes de cuando se modifiquen o adquieran lineas telefónicas en las escuelas o de ser posible, escribir algún número de contacto con el(la) director(a). De no tener número poner un ASTERISCO ( * )
</t>
        </r>
      </text>
    </comment>
    <comment ref="Q8" authorId="3">
      <text>
        <r>
          <rPr>
            <b/>
            <sz val="11"/>
            <color indexed="81"/>
            <rFont val="Tahoma"/>
            <family val="2"/>
          </rPr>
          <t xml:space="preserve">SEQ:
</t>
        </r>
        <r>
          <rPr>
            <sz val="11"/>
            <color indexed="81"/>
            <rFont val="Tahoma"/>
            <family val="2"/>
          </rPr>
          <t>Se considera completa la escuela cuando tenga de 1º a 6º y cada grado esté atendido por un maestro, considerándose completa aun cuando el(la) director(a) tenga un grupo a su cargo.</t>
        </r>
      </text>
    </comment>
    <comment ref="U8" authorId="0">
      <text>
        <r>
          <rPr>
            <b/>
            <sz val="11"/>
            <color indexed="81"/>
            <rFont val="Tahoma"/>
            <family val="2"/>
          </rPr>
          <t>SEQ:</t>
        </r>
        <r>
          <rPr>
            <sz val="11"/>
            <color indexed="81"/>
            <rFont val="Tahoma"/>
            <family val="2"/>
          </rPr>
          <t xml:space="preserve">
Se considera incompleta cuando: 
1) El plantel NO TENGA DE 1º A 6º. 
2) Tenga de 1º a 6º pero NO CUENTE con un maestro para cada grado.</t>
        </r>
      </text>
    </comment>
    <comment ref="P13" authorId="4">
      <text>
        <r>
          <rPr>
            <b/>
            <sz val="11"/>
            <color indexed="81"/>
            <rFont val="Tahoma"/>
            <family val="2"/>
          </rPr>
          <t>SEQ:</t>
        </r>
        <r>
          <rPr>
            <sz val="11"/>
            <color indexed="81"/>
            <rFont val="Tahoma"/>
            <family val="2"/>
          </rPr>
          <t xml:space="preserve">
En este rubro y EN LOS SIGUIENTES sólo se escriben las cantidades de aulas ocupadas por el Turno MATUTINO. "Vespertinos NO".</t>
        </r>
      </text>
    </comment>
    <comment ref="F17" authorId="3">
      <text>
        <r>
          <rPr>
            <b/>
            <sz val="8"/>
            <color indexed="81"/>
            <rFont val="Tahoma"/>
            <family val="2"/>
          </rPr>
          <t>Tony:</t>
        </r>
        <r>
          <rPr>
            <sz val="8"/>
            <color indexed="81"/>
            <rFont val="Tahoma"/>
            <family val="2"/>
          </rPr>
          <t xml:space="preserve">
</t>
        </r>
        <r>
          <rPr>
            <sz val="10"/>
            <color indexed="81"/>
            <rFont val="Tahoma"/>
            <family val="2"/>
          </rPr>
          <t>En estos rubros se escribe " 1 " donde corresponda. En las Escuelas Particulares se ocupan SOLO los DOS PRIMEROS paréntesis para indicar si el directivo tiene o no grupo.</t>
        </r>
      </text>
    </comment>
    <comment ref="V19" authorId="3">
      <text>
        <r>
          <rPr>
            <b/>
            <sz val="11"/>
            <color indexed="81"/>
            <rFont val="Tahoma"/>
            <family val="2"/>
          </rPr>
          <t>SEQ:</t>
        </r>
        <r>
          <rPr>
            <sz val="11"/>
            <color indexed="81"/>
            <rFont val="Tahoma"/>
            <family val="2"/>
          </rPr>
          <t xml:space="preserve">
Solo se contabiliza aquí al(a) director(a) si tiene clave 21, de lo contrario se contempla con los docentes</t>
        </r>
      </text>
    </comment>
    <comment ref="V22" authorId="4">
      <text>
        <r>
          <rPr>
            <b/>
            <sz val="11"/>
            <color indexed="81"/>
            <rFont val="Tahoma"/>
            <family val="2"/>
          </rPr>
          <t>SEQ:</t>
        </r>
        <r>
          <rPr>
            <sz val="11"/>
            <color indexed="81"/>
            <rFont val="Tahoma"/>
            <family val="2"/>
          </rPr>
          <t xml:space="preserve">
En este rubro se escriben a los maestros de USAER y Educ. Física que tengan Carrera Magisterial.</t>
        </r>
      </text>
    </comment>
    <comment ref="H26" authorId="1">
      <text>
        <r>
          <rPr>
            <b/>
            <sz val="9"/>
            <color indexed="81"/>
            <rFont val="Tahoma"/>
            <family val="2"/>
          </rPr>
          <t>TONY GARCIA:</t>
        </r>
        <r>
          <rPr>
            <sz val="9"/>
            <color indexed="81"/>
            <rFont val="Tahoma"/>
            <family val="2"/>
          </rPr>
          <t xml:space="preserve">
El total debe coincidir con el total registrado en la Plantilla de Personal.</t>
        </r>
      </text>
    </comment>
    <comment ref="F44" authorId="1">
      <text>
        <r>
          <rPr>
            <b/>
            <sz val="11"/>
            <color indexed="81"/>
            <rFont val="Tahoma"/>
            <family val="2"/>
          </rPr>
          <t>Tony:</t>
        </r>
        <r>
          <rPr>
            <sz val="11"/>
            <color indexed="81"/>
            <rFont val="Tahoma"/>
            <family val="2"/>
          </rPr>
          <t xml:space="preserve">
Escribir el nombre completo sin abreviaciones.</t>
        </r>
      </text>
    </comment>
    <comment ref="O44" authorId="1">
      <text>
        <r>
          <rPr>
            <b/>
            <sz val="11"/>
            <color indexed="81"/>
            <rFont val="Tahoma"/>
            <family val="2"/>
          </rPr>
          <t>TONY GARCIA:</t>
        </r>
        <r>
          <rPr>
            <sz val="9"/>
            <color indexed="81"/>
            <rFont val="Tahoma"/>
            <family val="2"/>
          </rPr>
          <t xml:space="preserve">
ESCRIBA EN NOMBRE DEL INSPECTOR DE ZONA</t>
        </r>
      </text>
    </comment>
    <comment ref="V44" authorId="3">
      <text>
        <r>
          <rPr>
            <b/>
            <sz val="11"/>
            <color indexed="81"/>
            <rFont val="Tahoma"/>
            <family val="2"/>
          </rPr>
          <t>Tony:</t>
        </r>
        <r>
          <rPr>
            <sz val="11"/>
            <color indexed="81"/>
            <rFont val="Tahoma"/>
            <family val="2"/>
          </rPr>
          <t xml:space="preserve">
Para que se puedan sombrear automáticamente las celdas correspondientes a la estadística es necesario escribir primero la fecha.</t>
        </r>
      </text>
    </comment>
    <comment ref="W44" authorId="3">
      <text>
        <r>
          <rPr>
            <b/>
            <sz val="11"/>
            <color indexed="81"/>
            <rFont val="Tahoma"/>
            <family val="2"/>
          </rPr>
          <t>Tony:</t>
        </r>
        <r>
          <rPr>
            <sz val="11"/>
            <color indexed="81"/>
            <rFont val="Tahoma"/>
            <family val="2"/>
          </rPr>
          <t xml:space="preserve">
Aunque se escriba 02, aparecerá siempre solo el 2 pasa con cualquier número, dejar así el mes con solo un número, no usar la letra O como sustituto. </t>
        </r>
      </text>
    </comment>
  </commentList>
</comments>
</file>

<file path=xl/comments17.xml><?xml version="1.0" encoding="utf-8"?>
<comments xmlns="http://schemas.openxmlformats.org/spreadsheetml/2006/main">
  <authors>
    <author>Ludwic Gail Castillo Paredes</author>
  </authors>
  <commentList>
    <comment ref="C13" authorId="0">
      <text>
        <r>
          <rPr>
            <b/>
            <sz val="8"/>
            <color indexed="81"/>
            <rFont val="Tahoma"/>
            <family val="2"/>
          </rPr>
          <t xml:space="preserve">Tony: </t>
        </r>
        <r>
          <rPr>
            <b/>
            <sz val="10"/>
            <color indexed="81"/>
            <rFont val="Tahoma"/>
            <family val="2"/>
          </rPr>
          <t>Escribir el turno de cada escuela para que se contabilice en el total de escuelas con tienda del concentrado de supervisión.</t>
        </r>
      </text>
    </comment>
    <comment ref="O15" authorId="0">
      <text>
        <r>
          <rPr>
            <b/>
            <sz val="8"/>
            <color indexed="81"/>
            <rFont val="Tahoma"/>
            <family val="2"/>
          </rPr>
          <t>TONY:</t>
        </r>
        <r>
          <rPr>
            <b/>
            <sz val="10"/>
            <color indexed="81"/>
            <rFont val="Tahoma"/>
            <family val="2"/>
          </rPr>
          <t xml:space="preserve"> 
</t>
        </r>
        <r>
          <rPr>
            <sz val="10"/>
            <color indexed="81"/>
            <rFont val="Tahoma"/>
            <family val="2"/>
          </rPr>
          <t>Para que los números se muestren correctamente, utilizar solo el teclado numérico para escribir las cantidades.</t>
        </r>
      </text>
    </comment>
  </commentList>
</comments>
</file>

<file path=xl/comments18.xml><?xml version="1.0" encoding="utf-8"?>
<comments xmlns="http://schemas.openxmlformats.org/spreadsheetml/2006/main">
  <authors>
    <author>WinuE</author>
  </authors>
  <commentList>
    <comment ref="AD480" authorId="0">
      <text>
        <r>
          <rPr>
            <b/>
            <sz val="8"/>
            <color indexed="81"/>
            <rFont val="Tahoma"/>
            <family val="2"/>
          </rPr>
          <t>WinuE:</t>
        </r>
        <r>
          <rPr>
            <sz val="8"/>
            <color indexed="81"/>
            <rFont val="Tahoma"/>
            <family val="2"/>
          </rPr>
          <t xml:space="preserve">
ERA 6 QUEDO EN 5 DESDE EL INICIO</t>
        </r>
      </text>
    </comment>
  </commentList>
</comments>
</file>

<file path=xl/comments2.xml><?xml version="1.0" encoding="utf-8"?>
<comments xmlns="http://schemas.openxmlformats.org/spreadsheetml/2006/main">
  <authors>
    <author>Tony</author>
  </authors>
  <commentList>
    <comment ref="F18" authorId="0">
      <text>
        <r>
          <rPr>
            <b/>
            <sz val="9"/>
            <color indexed="81"/>
            <rFont val="Tahoma"/>
            <family val="2"/>
          </rPr>
          <t>Tony Garcia:</t>
        </r>
        <r>
          <rPr>
            <sz val="9"/>
            <color indexed="81"/>
            <rFont val="Tahoma"/>
            <family val="2"/>
          </rPr>
          <t xml:space="preserve">
Escriba en esta selda del 1 al 8 hasta localizar el mensaje del diploma</t>
        </r>
      </text>
    </comment>
    <comment ref="G18" authorId="0">
      <text>
        <r>
          <rPr>
            <b/>
            <sz val="9"/>
            <color indexed="81"/>
            <rFont val="Tahoma"/>
            <family val="2"/>
          </rPr>
          <t>Tony García:</t>
        </r>
        <r>
          <rPr>
            <sz val="9"/>
            <color indexed="81"/>
            <rFont val="Tahoma"/>
            <family val="2"/>
          </rPr>
          <t xml:space="preserve">
Escriba en esta selda el numero de lista del docente</t>
        </r>
      </text>
    </comment>
  </commentList>
</comments>
</file>

<file path=xl/comments3.xml><?xml version="1.0" encoding="utf-8"?>
<comments xmlns="http://schemas.openxmlformats.org/spreadsheetml/2006/main">
  <authors>
    <author>WinuE</author>
  </authors>
  <commentList>
    <comment ref="M6" authorId="0">
      <text>
        <r>
          <rPr>
            <sz val="8"/>
            <color indexed="81"/>
            <rFont val="Tahoma"/>
            <family val="2"/>
          </rPr>
          <t xml:space="preserve">
</t>
        </r>
        <r>
          <rPr>
            <b/>
            <sz val="8"/>
            <color indexed="81"/>
            <rFont val="Tahoma"/>
            <family val="2"/>
          </rPr>
          <t>Escriba de 1 en 1 hasta localizar el nombre del docente a visitar</t>
        </r>
      </text>
    </comment>
  </commentList>
</comments>
</file>

<file path=xl/comments4.xml><?xml version="1.0" encoding="utf-8"?>
<comments xmlns="http://schemas.openxmlformats.org/spreadsheetml/2006/main">
  <authors>
    <author>WinuE</author>
  </authors>
  <commentList>
    <comment ref="M5" authorId="0">
      <text>
        <r>
          <rPr>
            <sz val="8"/>
            <color indexed="81"/>
            <rFont val="Tahoma"/>
            <family val="2"/>
          </rPr>
          <t xml:space="preserve">
</t>
        </r>
        <r>
          <rPr>
            <b/>
            <sz val="8"/>
            <color indexed="81"/>
            <rFont val="Tahoma"/>
            <family val="2"/>
          </rPr>
          <t xml:space="preserve">Escriba de 1 en 1 hasta visulisar el nobre del docente </t>
        </r>
      </text>
    </comment>
  </commentList>
</comments>
</file>

<file path=xl/comments5.xml><?xml version="1.0" encoding="utf-8"?>
<comments xmlns="http://schemas.openxmlformats.org/spreadsheetml/2006/main">
  <authors>
    <author>WinuE</author>
  </authors>
  <commentList>
    <comment ref="L5" authorId="0">
      <text>
        <r>
          <rPr>
            <sz val="8"/>
            <color indexed="81"/>
            <rFont val="Tahoma"/>
            <family val="2"/>
          </rPr>
          <t xml:space="preserve">
</t>
        </r>
      </text>
    </comment>
  </commentList>
</comments>
</file>

<file path=xl/comments6.xml><?xml version="1.0" encoding="utf-8"?>
<comments xmlns="http://schemas.openxmlformats.org/spreadsheetml/2006/main">
  <authors>
    <author>WinuE</author>
  </authors>
  <commentList>
    <comment ref="X5" authorId="0">
      <text>
        <r>
          <rPr>
            <b/>
            <sz val="6"/>
            <color indexed="81"/>
            <rFont val="Tahoma"/>
            <family val="2"/>
          </rPr>
          <t>ANTONIO GARCIA:</t>
        </r>
        <r>
          <rPr>
            <sz val="6"/>
            <color indexed="81"/>
            <rFont val="Tahoma"/>
            <family val="2"/>
          </rPr>
          <t xml:space="preserve">
ESCRIBA DEL  </t>
        </r>
        <r>
          <rPr>
            <b/>
            <sz val="6"/>
            <color indexed="12"/>
            <rFont val="Tahoma"/>
            <family val="2"/>
          </rPr>
          <t>1</t>
        </r>
        <r>
          <rPr>
            <b/>
            <sz val="6"/>
            <color indexed="81"/>
            <rFont val="Tahoma"/>
            <family val="2"/>
          </rPr>
          <t xml:space="preserve"> </t>
        </r>
        <r>
          <rPr>
            <sz val="6"/>
            <color indexed="81"/>
            <rFont val="Tahoma"/>
            <family val="2"/>
          </rPr>
          <t xml:space="preserve">AL </t>
        </r>
        <r>
          <rPr>
            <b/>
            <sz val="6"/>
            <color indexed="12"/>
            <rFont val="Tahoma"/>
            <family val="2"/>
          </rPr>
          <t>35</t>
        </r>
        <r>
          <rPr>
            <sz val="6"/>
            <color indexed="81"/>
            <rFont val="Tahoma"/>
            <family val="2"/>
          </rPr>
          <t xml:space="preserve">  HASTA VISUALIZAR EL NOMBRE DEL MAESTRO(A) PARA IMPRIMIR SU OFICIO.</t>
        </r>
      </text>
    </comment>
    <comment ref="S17" authorId="0">
      <text>
        <r>
          <rPr>
            <b/>
            <sz val="6"/>
            <color indexed="81"/>
            <rFont val="Tahoma"/>
            <family val="2"/>
          </rPr>
          <t>ANTONIO GARCIA:</t>
        </r>
        <r>
          <rPr>
            <sz val="6"/>
            <color indexed="81"/>
            <rFont val="Tahoma"/>
            <family val="2"/>
          </rPr>
          <t xml:space="preserve">
Llene de manera manual los espacios de las observaciones</t>
        </r>
      </text>
    </comment>
    <comment ref="O32" authorId="0">
      <text>
        <r>
          <rPr>
            <b/>
            <sz val="8"/>
            <color indexed="81"/>
            <rFont val="Tahoma"/>
            <family val="2"/>
          </rPr>
          <t>ANTONIO GARCIA:</t>
        </r>
        <r>
          <rPr>
            <sz val="8"/>
            <color indexed="81"/>
            <rFont val="Tahoma"/>
            <family val="2"/>
          </rPr>
          <t xml:space="preserve">
Llene de manera manual este espacio según su necesidad. </t>
        </r>
        <r>
          <rPr>
            <sz val="8"/>
            <color indexed="10"/>
            <rFont val="Tahoma"/>
            <family val="2"/>
          </rPr>
          <t>(no olvide entregar al director el certificado fallado y los documentos del alumno)</t>
        </r>
      </text>
    </comment>
    <comment ref="M38" authorId="0">
      <text>
        <r>
          <rPr>
            <b/>
            <sz val="8"/>
            <color indexed="81"/>
            <rFont val="Tahoma"/>
            <family val="2"/>
          </rPr>
          <t>ANTONIO GARCIA:</t>
        </r>
        <r>
          <rPr>
            <sz val="8"/>
            <color indexed="81"/>
            <rFont val="Tahoma"/>
            <family val="2"/>
          </rPr>
          <t xml:space="preserve">
Llene de manera manual este espacio</t>
        </r>
      </text>
    </comment>
    <comment ref="O38" authorId="0">
      <text>
        <r>
          <rPr>
            <b/>
            <sz val="8"/>
            <color indexed="81"/>
            <rFont val="Tahoma"/>
            <family val="2"/>
          </rPr>
          <t>ANTONIO GARCIA:</t>
        </r>
        <r>
          <rPr>
            <sz val="8"/>
            <color indexed="81"/>
            <rFont val="Tahoma"/>
            <family val="2"/>
          </rPr>
          <t xml:space="preserve">
Llene de manera manual este espacio</t>
        </r>
      </text>
    </comment>
  </commentList>
</comments>
</file>

<file path=xl/comments7.xml><?xml version="1.0" encoding="utf-8"?>
<comments xmlns="http://schemas.openxmlformats.org/spreadsheetml/2006/main">
  <authors>
    <author>WinuE</author>
  </authors>
  <commentList>
    <comment ref="O12" authorId="0">
      <text>
        <r>
          <rPr>
            <b/>
            <sz val="6"/>
            <color indexed="81"/>
            <rFont val="Tahoma"/>
            <family val="2"/>
          </rPr>
          <t>ANTONIO GARCIA:</t>
        </r>
        <r>
          <rPr>
            <sz val="6"/>
            <color indexed="81"/>
            <rFont val="Tahoma"/>
            <family val="2"/>
          </rPr>
          <t xml:space="preserve">
ESTE DOCUMENTO SE ENTREGARA EN </t>
        </r>
        <r>
          <rPr>
            <b/>
            <sz val="6"/>
            <color indexed="12"/>
            <rFont val="Tahoma"/>
            <family val="2"/>
          </rPr>
          <t>ORIGINAL</t>
        </r>
        <r>
          <rPr>
            <sz val="6"/>
            <color indexed="12"/>
            <rFont val="Tahoma"/>
            <family val="2"/>
          </rPr>
          <t xml:space="preserve"> </t>
        </r>
        <r>
          <rPr>
            <sz val="6"/>
            <color indexed="81"/>
            <rFont val="Tahoma"/>
            <family val="2"/>
          </rPr>
          <t xml:space="preserve">y </t>
        </r>
        <r>
          <rPr>
            <b/>
            <sz val="6"/>
            <color indexed="12"/>
            <rFont val="Tahoma"/>
            <family val="2"/>
          </rPr>
          <t>COPIA</t>
        </r>
        <r>
          <rPr>
            <sz val="6"/>
            <color indexed="12"/>
            <rFont val="Tahoma"/>
            <family val="2"/>
          </rPr>
          <t xml:space="preserve">   </t>
        </r>
      </text>
    </comment>
    <comment ref="S12" authorId="0">
      <text>
        <r>
          <rPr>
            <b/>
            <sz val="6"/>
            <color indexed="81"/>
            <rFont val="Tahoma"/>
            <family val="2"/>
          </rPr>
          <t>ANTONIO GARCIA:</t>
        </r>
        <r>
          <rPr>
            <sz val="6"/>
            <color indexed="81"/>
            <rFont val="Tahoma"/>
            <family val="2"/>
          </rPr>
          <t xml:space="preserve">
Llene de manera manual los espacios de las observaciones</t>
        </r>
      </text>
    </comment>
    <comment ref="O14" authorId="0">
      <text>
        <r>
          <rPr>
            <b/>
            <sz val="7"/>
            <color indexed="81"/>
            <rFont val="Tahoma"/>
            <family val="2"/>
          </rPr>
          <t>ANTONIO GARCIA:</t>
        </r>
        <r>
          <rPr>
            <sz val="7"/>
            <color indexed="81"/>
            <rFont val="Tahoma"/>
            <family val="2"/>
          </rPr>
          <t xml:space="preserve">
DE ESTE DOCUMENTO IMPRIMA EL QUE SE MANDA POR </t>
        </r>
        <r>
          <rPr>
            <b/>
            <sz val="7"/>
            <color indexed="10"/>
            <rFont val="Tahoma"/>
            <family val="2"/>
          </rPr>
          <t>INTERNET</t>
        </r>
        <r>
          <rPr>
            <sz val="7"/>
            <color indexed="81"/>
            <rFont val="Tahoma"/>
            <family val="2"/>
          </rPr>
          <t xml:space="preserve"> EM  </t>
        </r>
        <r>
          <rPr>
            <sz val="7"/>
            <color indexed="12"/>
            <rFont val="Tahoma"/>
            <family val="2"/>
          </rPr>
          <t>(ORIGINAL</t>
        </r>
        <r>
          <rPr>
            <sz val="7"/>
            <color indexed="81"/>
            <rFont val="Tahoma"/>
            <family val="2"/>
          </rPr>
          <t xml:space="preserve"> Y </t>
        </r>
        <r>
          <rPr>
            <sz val="7"/>
            <color indexed="12"/>
            <rFont val="Tahoma"/>
            <family val="2"/>
          </rPr>
          <t>COPIA)</t>
        </r>
      </text>
    </comment>
    <comment ref="O16" authorId="0">
      <text>
        <r>
          <rPr>
            <b/>
            <sz val="8"/>
            <color indexed="81"/>
            <rFont val="Tahoma"/>
            <family val="2"/>
          </rPr>
          <t>ANTONIO GARCIA:</t>
        </r>
        <r>
          <rPr>
            <sz val="8"/>
            <color indexed="81"/>
            <rFont val="Tahoma"/>
            <family val="2"/>
          </rPr>
          <t xml:space="preserve">
Las </t>
        </r>
        <r>
          <rPr>
            <b/>
            <sz val="8"/>
            <color indexed="12"/>
            <rFont val="Tahoma"/>
            <family val="2"/>
          </rPr>
          <t>IAE</t>
        </r>
        <r>
          <rPr>
            <sz val="8"/>
            <color indexed="81"/>
            <rFont val="Tahoma"/>
            <family val="2"/>
          </rPr>
          <t xml:space="preserve"> de </t>
        </r>
        <r>
          <rPr>
            <b/>
            <sz val="8"/>
            <color indexed="10"/>
            <rFont val="Tahoma"/>
            <family val="2"/>
          </rPr>
          <t>1º</t>
        </r>
        <r>
          <rPr>
            <sz val="8"/>
            <color indexed="81"/>
            <rFont val="Tahoma"/>
            <family val="2"/>
          </rPr>
          <t xml:space="preserve"> a</t>
        </r>
        <r>
          <rPr>
            <b/>
            <sz val="8"/>
            <color indexed="10"/>
            <rFont val="Tahoma"/>
            <family val="2"/>
          </rPr>
          <t xml:space="preserve"> 5º</t>
        </r>
        <r>
          <rPr>
            <sz val="8"/>
            <color indexed="81"/>
            <rFont val="Tahoma"/>
            <family val="2"/>
          </rPr>
          <t xml:space="preserve"> grados y se entregarán en </t>
        </r>
        <r>
          <rPr>
            <sz val="8"/>
            <color indexed="12"/>
            <rFont val="Tahoma"/>
            <family val="2"/>
          </rPr>
          <t xml:space="preserve">Original </t>
        </r>
        <r>
          <rPr>
            <sz val="8"/>
            <color indexed="81"/>
            <rFont val="Tahoma"/>
            <family val="2"/>
          </rPr>
          <t xml:space="preserve">y </t>
        </r>
        <r>
          <rPr>
            <sz val="8"/>
            <color indexed="12"/>
            <rFont val="Tahoma"/>
            <family val="2"/>
          </rPr>
          <t>dos Copias.</t>
        </r>
      </text>
    </comment>
    <comment ref="O18" authorId="0">
      <text>
        <r>
          <rPr>
            <b/>
            <sz val="7"/>
            <color indexed="81"/>
            <rFont val="Tahoma"/>
            <family val="2"/>
          </rPr>
          <t>ANTONIO GARCIA:</t>
        </r>
        <r>
          <rPr>
            <sz val="7"/>
            <color indexed="81"/>
            <rFont val="Tahoma"/>
            <family val="2"/>
          </rPr>
          <t xml:space="preserve">
estado financiero de la tienda escolar </t>
        </r>
        <r>
          <rPr>
            <sz val="7"/>
            <color indexed="12"/>
            <rFont val="Tahoma"/>
            <family val="2"/>
          </rPr>
          <t>Original</t>
        </r>
        <r>
          <rPr>
            <sz val="7"/>
            <color indexed="81"/>
            <rFont val="Tahoma"/>
            <family val="2"/>
          </rPr>
          <t xml:space="preserve"> y </t>
        </r>
        <r>
          <rPr>
            <sz val="7"/>
            <color indexed="12"/>
            <rFont val="Tahoma"/>
            <family val="2"/>
          </rPr>
          <t>copia</t>
        </r>
      </text>
    </comment>
    <comment ref="O22" authorId="0">
      <text>
        <r>
          <rPr>
            <b/>
            <sz val="7"/>
            <color indexed="81"/>
            <rFont val="Tahoma"/>
            <family val="2"/>
          </rPr>
          <t>ANTONIO GARCIA:</t>
        </r>
        <r>
          <rPr>
            <sz val="7"/>
            <color indexed="81"/>
            <rFont val="Tahoma"/>
            <family val="2"/>
          </rPr>
          <t xml:space="preserve">
Este documento por lo general es para el intendente del plantel escolar </t>
        </r>
        <r>
          <rPr>
            <sz val="7"/>
            <color indexed="10"/>
            <rFont val="Tahoma"/>
            <family val="2"/>
          </rPr>
          <t xml:space="preserve">(el oficio debe ser a su nombre) </t>
        </r>
        <r>
          <rPr>
            <sz val="7"/>
            <color indexed="12"/>
            <rFont val="Tahoma"/>
            <family val="2"/>
          </rPr>
          <t>Original</t>
        </r>
        <r>
          <rPr>
            <sz val="7"/>
            <color indexed="81"/>
            <rFont val="Tahoma"/>
            <family val="2"/>
          </rPr>
          <t xml:space="preserve"> y </t>
        </r>
        <r>
          <rPr>
            <sz val="7"/>
            <color indexed="12"/>
            <rFont val="Tahoma"/>
            <family val="2"/>
          </rPr>
          <t>Copia</t>
        </r>
      </text>
    </comment>
    <comment ref="O25" authorId="0">
      <text>
        <r>
          <rPr>
            <b/>
            <sz val="7"/>
            <color indexed="81"/>
            <rFont val="Tahoma"/>
            <family val="2"/>
          </rPr>
          <t>ANTONIO GARCIA:</t>
        </r>
        <r>
          <rPr>
            <sz val="7"/>
            <color indexed="81"/>
            <rFont val="Tahoma"/>
            <family val="2"/>
          </rPr>
          <t xml:space="preserve">
Se entregara </t>
        </r>
        <r>
          <rPr>
            <sz val="7"/>
            <color indexed="12"/>
            <rFont val="Tahoma"/>
            <family val="2"/>
          </rPr>
          <t>una copia</t>
        </r>
        <r>
          <rPr>
            <sz val="7"/>
            <color indexed="81"/>
            <rFont val="Tahoma"/>
            <family val="2"/>
          </rPr>
          <t xml:space="preserve"> de cada maestro del plantel, para el archivo de la inspeccion escolar</t>
        </r>
      </text>
    </comment>
    <comment ref="O28" authorId="0">
      <text>
        <r>
          <rPr>
            <b/>
            <sz val="8"/>
            <color indexed="81"/>
            <rFont val="Tahoma"/>
            <family val="2"/>
          </rPr>
          <t>ANTONIO GARCIA:</t>
        </r>
        <r>
          <rPr>
            <sz val="8"/>
            <color indexed="81"/>
            <rFont val="Tahoma"/>
            <family val="2"/>
          </rPr>
          <t xml:space="preserve">
De este documento  imprima el que se manda por</t>
        </r>
        <r>
          <rPr>
            <sz val="8"/>
            <color indexed="12"/>
            <rFont val="Tahoma"/>
            <family val="2"/>
          </rPr>
          <t xml:space="preserve"> </t>
        </r>
        <r>
          <rPr>
            <b/>
            <sz val="8"/>
            <color indexed="10"/>
            <rFont val="Tahoma"/>
            <family val="2"/>
          </rPr>
          <t>INTERNET</t>
        </r>
        <r>
          <rPr>
            <sz val="8"/>
            <color indexed="81"/>
            <rFont val="Tahoma"/>
            <family val="2"/>
          </rPr>
          <t xml:space="preserve"> en </t>
        </r>
        <r>
          <rPr>
            <sz val="8"/>
            <color indexed="12"/>
            <rFont val="Tahoma"/>
            <family val="2"/>
          </rPr>
          <t>dos tantos</t>
        </r>
        <r>
          <rPr>
            <sz val="8"/>
            <color indexed="81"/>
            <rFont val="Tahoma"/>
            <family val="2"/>
          </rPr>
          <t xml:space="preserve"> con su respectivo recibo de </t>
        </r>
        <r>
          <rPr>
            <b/>
            <sz val="8"/>
            <color indexed="10"/>
            <rFont val="Tahoma"/>
            <family val="2"/>
          </rPr>
          <t>ACUSE</t>
        </r>
      </text>
    </comment>
    <comment ref="O30" authorId="0">
      <text>
        <r>
          <rPr>
            <b/>
            <sz val="8"/>
            <color indexed="81"/>
            <rFont val="Tahoma"/>
            <family val="2"/>
          </rPr>
          <t>ANTONIO GARCIA:</t>
        </r>
        <r>
          <rPr>
            <sz val="8"/>
            <color indexed="81"/>
            <rFont val="Tahoma"/>
            <family val="2"/>
          </rPr>
          <t xml:space="preserve">
Este documento se imprime el que se manda por</t>
        </r>
        <r>
          <rPr>
            <b/>
            <sz val="8"/>
            <color indexed="10"/>
            <rFont val="Tahoma"/>
            <family val="2"/>
          </rPr>
          <t xml:space="preserve"> INTERNET </t>
        </r>
        <r>
          <rPr>
            <sz val="8"/>
            <color indexed="81"/>
            <rFont val="Tahoma"/>
            <family val="2"/>
          </rPr>
          <t xml:space="preserve">en </t>
        </r>
        <r>
          <rPr>
            <sz val="8"/>
            <color indexed="12"/>
            <rFont val="Tahoma"/>
            <family val="2"/>
          </rPr>
          <t>dos tantos</t>
        </r>
      </text>
    </comment>
    <comment ref="O32" authorId="0">
      <text>
        <r>
          <rPr>
            <b/>
            <sz val="8"/>
            <color indexed="81"/>
            <rFont val="Tahoma"/>
            <family val="2"/>
          </rPr>
          <t>ANTONIO GARCIA:</t>
        </r>
        <r>
          <rPr>
            <sz val="8"/>
            <color indexed="81"/>
            <rFont val="Tahoma"/>
            <family val="2"/>
          </rPr>
          <t xml:space="preserve">
Las </t>
        </r>
        <r>
          <rPr>
            <b/>
            <sz val="8"/>
            <color indexed="12"/>
            <rFont val="Tahoma"/>
            <family val="2"/>
          </rPr>
          <t>REL-2</t>
        </r>
        <r>
          <rPr>
            <sz val="8"/>
            <color indexed="81"/>
            <rFont val="Tahoma"/>
            <family val="2"/>
          </rPr>
          <t xml:space="preserve"> de </t>
        </r>
        <r>
          <rPr>
            <b/>
            <sz val="8"/>
            <color indexed="10"/>
            <rFont val="Tahoma"/>
            <family val="2"/>
          </rPr>
          <t>6º</t>
        </r>
        <r>
          <rPr>
            <sz val="8"/>
            <color indexed="81"/>
            <rFont val="Tahoma"/>
            <family val="2"/>
          </rPr>
          <t xml:space="preserve">  se entregará en </t>
        </r>
        <r>
          <rPr>
            <sz val="8"/>
            <color indexed="12"/>
            <rFont val="Tahoma"/>
            <family val="2"/>
          </rPr>
          <t xml:space="preserve">Original </t>
        </r>
        <r>
          <rPr>
            <sz val="8"/>
            <color indexed="81"/>
            <rFont val="Tahoma"/>
            <family val="2"/>
          </rPr>
          <t xml:space="preserve">y </t>
        </r>
        <r>
          <rPr>
            <sz val="8"/>
            <color indexed="12"/>
            <rFont val="Tahoma"/>
            <family val="2"/>
          </rPr>
          <t>dos Copias.</t>
        </r>
      </text>
    </comment>
    <comment ref="O34" authorId="0">
      <text>
        <r>
          <rPr>
            <b/>
            <sz val="8"/>
            <color indexed="81"/>
            <rFont val="Tahoma"/>
            <family val="2"/>
          </rPr>
          <t>ANTONIO GARCIA:</t>
        </r>
        <r>
          <rPr>
            <sz val="8"/>
            <color indexed="81"/>
            <rFont val="Tahoma"/>
            <family val="2"/>
          </rPr>
          <t xml:space="preserve">
Este espacio se llena de manera manual según su necesidad, y el </t>
        </r>
        <r>
          <rPr>
            <b/>
            <sz val="8"/>
            <color indexed="10"/>
            <rFont val="Tahoma"/>
            <family val="2"/>
          </rPr>
          <t>CAP-2</t>
        </r>
        <r>
          <rPr>
            <sz val="8"/>
            <color indexed="81"/>
            <rFont val="Tahoma"/>
            <family val="2"/>
          </rPr>
          <t xml:space="preserve">  se imprime en </t>
        </r>
        <r>
          <rPr>
            <sz val="8"/>
            <color indexed="12"/>
            <rFont val="Tahoma"/>
            <family val="2"/>
          </rPr>
          <t xml:space="preserve">original </t>
        </r>
        <r>
          <rPr>
            <sz val="8"/>
            <color indexed="81"/>
            <rFont val="Tahoma"/>
            <family val="2"/>
          </rPr>
          <t xml:space="preserve">y </t>
        </r>
        <r>
          <rPr>
            <sz val="8"/>
            <color indexed="12"/>
            <rFont val="Tahoma"/>
            <family val="2"/>
          </rPr>
          <t xml:space="preserve">dos copia </t>
        </r>
        <r>
          <rPr>
            <sz val="8"/>
            <color indexed="81"/>
            <rFont val="Tahoma"/>
            <family val="2"/>
          </rPr>
          <t>acompañado de los documentos del alumno y el certificado errado</t>
        </r>
      </text>
    </comment>
    <comment ref="O37" authorId="0">
      <text>
        <r>
          <rPr>
            <b/>
            <sz val="8"/>
            <color indexed="81"/>
            <rFont val="Tahoma"/>
            <family val="2"/>
          </rPr>
          <t>Antonio Garcia:</t>
        </r>
        <r>
          <rPr>
            <sz val="8"/>
            <color indexed="81"/>
            <rFont val="Tahoma"/>
            <family val="2"/>
          </rPr>
          <t xml:space="preserve">
De este documento se entregara en </t>
        </r>
        <r>
          <rPr>
            <sz val="8"/>
            <color indexed="12"/>
            <rFont val="Tahoma"/>
            <family val="2"/>
          </rPr>
          <t>Original</t>
        </r>
        <r>
          <rPr>
            <sz val="8"/>
            <color indexed="81"/>
            <rFont val="Tahoma"/>
            <family val="2"/>
          </rPr>
          <t xml:space="preserve"> y </t>
        </r>
        <r>
          <rPr>
            <sz val="8"/>
            <color indexed="12"/>
            <rFont val="Tahoma"/>
            <family val="2"/>
          </rPr>
          <t>Copia</t>
        </r>
      </text>
    </comment>
    <comment ref="O39" authorId="0">
      <text>
        <r>
          <rPr>
            <b/>
            <sz val="8"/>
            <color indexed="81"/>
            <rFont val="Tahoma"/>
            <family val="2"/>
          </rPr>
          <t>Antonio Garcia:</t>
        </r>
        <r>
          <rPr>
            <sz val="8"/>
            <color indexed="81"/>
            <rFont val="Tahoma"/>
            <family val="2"/>
          </rPr>
          <t xml:space="preserve">
De este documento se entregara en </t>
        </r>
        <r>
          <rPr>
            <sz val="8"/>
            <color indexed="12"/>
            <rFont val="Tahoma"/>
            <family val="2"/>
          </rPr>
          <t xml:space="preserve">Original </t>
        </r>
        <r>
          <rPr>
            <sz val="8"/>
            <color indexed="81"/>
            <rFont val="Tahoma"/>
            <family val="2"/>
          </rPr>
          <t xml:space="preserve">y </t>
        </r>
        <r>
          <rPr>
            <sz val="8"/>
            <color indexed="12"/>
            <rFont val="Tahoma"/>
            <family val="2"/>
          </rPr>
          <t>Copia</t>
        </r>
      </text>
    </comment>
    <comment ref="O41" authorId="0">
      <text>
        <r>
          <rPr>
            <b/>
            <sz val="8"/>
            <color indexed="81"/>
            <rFont val="Tahoma"/>
            <family val="2"/>
          </rPr>
          <t>Antonio Garcia:</t>
        </r>
        <r>
          <rPr>
            <sz val="8"/>
            <color indexed="81"/>
            <rFont val="Tahoma"/>
            <family val="2"/>
          </rPr>
          <t xml:space="preserve">
Este documento se imprimirá  por </t>
        </r>
        <r>
          <rPr>
            <b/>
            <sz val="8"/>
            <color indexed="12"/>
            <rFont val="Tahoma"/>
            <family val="2"/>
          </rPr>
          <t xml:space="preserve">QUINTUPLICADO </t>
        </r>
        <r>
          <rPr>
            <sz val="8"/>
            <color indexed="81"/>
            <rFont val="Tahoma"/>
            <family val="2"/>
          </rPr>
          <t xml:space="preserve">verificar cuidadosamente las firmas y sellos. </t>
        </r>
        <r>
          <rPr>
            <sz val="8"/>
            <color indexed="10"/>
            <rFont val="Tahoma"/>
            <family val="2"/>
          </rPr>
          <t>(incluya una copia para la inspeccion y otra para su archivo esc.)</t>
        </r>
      </text>
    </comment>
    <comment ref="C46" authorId="0">
      <text>
        <r>
          <rPr>
            <b/>
            <sz val="8"/>
            <color indexed="81"/>
            <rFont val="Tahoma"/>
            <family val="2"/>
          </rPr>
          <t>ANTONIO GARCIA:</t>
        </r>
        <r>
          <rPr>
            <sz val="8"/>
            <color indexed="81"/>
            <rFont val="Tahoma"/>
            <family val="2"/>
          </rPr>
          <t xml:space="preserve">
Llene de manera manual este espacio</t>
        </r>
      </text>
    </comment>
    <comment ref="G46" authorId="0">
      <text>
        <r>
          <rPr>
            <b/>
            <sz val="8"/>
            <color indexed="81"/>
            <rFont val="Tahoma"/>
            <family val="2"/>
          </rPr>
          <t>ANTONIO GARCIA:</t>
        </r>
        <r>
          <rPr>
            <sz val="8"/>
            <color indexed="81"/>
            <rFont val="Tahoma"/>
            <family val="2"/>
          </rPr>
          <t xml:space="preserve">
Llene de manera manual este espacio</t>
        </r>
      </text>
    </comment>
  </commentList>
</comments>
</file>

<file path=xl/comments8.xml><?xml version="1.0" encoding="utf-8"?>
<comments xmlns="http://schemas.openxmlformats.org/spreadsheetml/2006/main">
  <authors>
    <author>WinuE</author>
  </authors>
  <commentList>
    <comment ref="M4" authorId="0">
      <text>
        <r>
          <rPr>
            <sz val="8"/>
            <color indexed="81"/>
            <rFont val="Tahoma"/>
            <family val="2"/>
          </rPr>
          <t xml:space="preserve">
</t>
        </r>
        <r>
          <rPr>
            <b/>
            <sz val="8"/>
            <color indexed="81"/>
            <rFont val="Tahoma"/>
            <family val="2"/>
          </rPr>
          <t>Escriba de 1 en 1 hasta localizar el nombre del docente a visitar</t>
        </r>
      </text>
    </comment>
  </commentList>
</comments>
</file>

<file path=xl/comments9.xml><?xml version="1.0" encoding="utf-8"?>
<comments xmlns="http://schemas.openxmlformats.org/spreadsheetml/2006/main">
  <authors>
    <author>WinuE</author>
  </authors>
  <commentList>
    <comment ref="L6" authorId="0">
      <text>
        <r>
          <rPr>
            <sz val="8"/>
            <color indexed="81"/>
            <rFont val="Tahoma"/>
            <family val="2"/>
          </rPr>
          <t xml:space="preserve">
</t>
        </r>
        <r>
          <rPr>
            <b/>
            <sz val="8"/>
            <color indexed="81"/>
            <rFont val="Tahoma"/>
            <family val="2"/>
          </rPr>
          <t>Escriba de 1 en 1 hasta localizar el nombre del docente a visitar</t>
        </r>
      </text>
    </comment>
  </commentList>
</comments>
</file>

<file path=xl/sharedStrings.xml><?xml version="1.0" encoding="utf-8"?>
<sst xmlns="http://schemas.openxmlformats.org/spreadsheetml/2006/main" count="10281" uniqueCount="2710">
  <si>
    <t>DIRECCION DE EDUCACION BÁSICA</t>
  </si>
  <si>
    <t>SUBDITRECCION DE EDUCACION PRIMARIA</t>
  </si>
  <si>
    <t>VISITA DE SEGUIMIENTO A GRUPOS</t>
  </si>
  <si>
    <t>GRADO</t>
  </si>
  <si>
    <t>GRUPO</t>
  </si>
  <si>
    <t>NOMBRE DEL MAESTRO</t>
  </si>
  <si>
    <t xml:space="preserve">OBSERVACIONES </t>
  </si>
  <si>
    <t>C</t>
  </si>
  <si>
    <t>I</t>
  </si>
  <si>
    <t>ESCUELA:</t>
  </si>
  <si>
    <t>No. DE GRUPOS:</t>
  </si>
  <si>
    <t>FECHA DE LA VISITA:</t>
  </si>
  <si>
    <t>DIRECTOR DE LA ESCUELA:</t>
  </si>
  <si>
    <t>TURNO:</t>
  </si>
  <si>
    <t>N</t>
  </si>
  <si>
    <t>Firma del inspector</t>
  </si>
  <si>
    <t xml:space="preserve">CODIGO PARA EVALUAR </t>
  </si>
  <si>
    <t>LA  I N F O R M A C I O N</t>
  </si>
  <si>
    <t xml:space="preserve">  T É C N I C O      A D M I N I S T R A T I V O</t>
  </si>
  <si>
    <t>C.C.T.:</t>
  </si>
  <si>
    <t>Firma del director (a)</t>
  </si>
  <si>
    <t>PLAN DE COMISION</t>
  </si>
  <si>
    <t>SECRETARÍA DE EDUCACION DE QUINTANA ROO</t>
  </si>
  <si>
    <t>gdo</t>
  </si>
  <si>
    <t>gpo</t>
  </si>
  <si>
    <t>num</t>
  </si>
  <si>
    <t>JESUS MARTIN RICALDE CASTRO</t>
  </si>
  <si>
    <t>PLAN ANUAL DE TRABAJO</t>
  </si>
  <si>
    <t>EXISTENCIA DE ALUMNOS</t>
  </si>
  <si>
    <t>ASISTENCIA DE ALUMOS</t>
  </si>
  <si>
    <t xml:space="preserve">    SECRETARIA DE EDUCACION Y CULTURA</t>
  </si>
  <si>
    <t>BASE</t>
  </si>
  <si>
    <t xml:space="preserve">    SERVICIOS EDUCATIVOS DE  QUINTANA ROO</t>
  </si>
  <si>
    <t>HONORARIO</t>
  </si>
  <si>
    <t xml:space="preserve">    PERIODO   ESCOLAR</t>
  </si>
  <si>
    <t>SOCIEDAD</t>
  </si>
  <si>
    <t>L GRAV</t>
  </si>
  <si>
    <t>MARTILLO</t>
  </si>
  <si>
    <t xml:space="preserve">TURNO:  </t>
  </si>
  <si>
    <t xml:space="preserve">MATUTINO  </t>
  </si>
  <si>
    <t>LOCALIDAD:</t>
  </si>
  <si>
    <t xml:space="preserve">VESPERTINO  </t>
  </si>
  <si>
    <t>ZONA ESCOLAR:</t>
  </si>
  <si>
    <t>No. PROG.</t>
  </si>
  <si>
    <t>NOMBRE DEL PERSONAL</t>
  </si>
  <si>
    <t>CLAVE DE LA PLAZA</t>
  </si>
  <si>
    <t>TIPO DE PAGO</t>
  </si>
  <si>
    <t>FUNCION</t>
  </si>
  <si>
    <t>1o.</t>
  </si>
  <si>
    <t>2o.</t>
  </si>
  <si>
    <t>3o.</t>
  </si>
  <si>
    <t>4o.</t>
  </si>
  <si>
    <t>5o.</t>
  </si>
  <si>
    <t>6o.</t>
  </si>
  <si>
    <t>L. POR GRAV</t>
  </si>
  <si>
    <t>MUNICIPAL</t>
  </si>
  <si>
    <t>PARTICULAR</t>
  </si>
  <si>
    <t>SOC DE PDF</t>
  </si>
  <si>
    <t>PROFR.</t>
  </si>
  <si>
    <t>DATOS GENERALES DE LA ESCUELA</t>
  </si>
  <si>
    <t>ALUMNOS QUE ATIENDE</t>
  </si>
  <si>
    <t>L. DE RAYA</t>
  </si>
  <si>
    <t>LIC ILIMITADA</t>
  </si>
  <si>
    <t>LIC LIMITADA</t>
  </si>
  <si>
    <t>LICENCIA POR GRAV.</t>
  </si>
  <si>
    <t>SOC. DE PADRES DE FAM.</t>
  </si>
  <si>
    <t xml:space="preserve">SECRETARIA DE EDUCACION PRIMARIA </t>
  </si>
  <si>
    <t>INSPECCION ESCOLAR 042</t>
  </si>
  <si>
    <t>ESCUELA</t>
  </si>
  <si>
    <t>MATUTINO</t>
  </si>
  <si>
    <t>NOMBRE DEL PERSONAL EN LAS PLANTILLAS</t>
  </si>
  <si>
    <t>RFC DEL PERSONAL EN LAS PLANTILLAS</t>
  </si>
  <si>
    <t>CLAVE PRESUPUESTAL EN LA PLANTIILA</t>
  </si>
  <si>
    <t>FUNCION DELPERSONAL DE LAS PLANTILLAS</t>
  </si>
  <si>
    <t>TIPO DE NOMBRAMIENTO DEL PERSONAL EN LAS PLANTILLAS</t>
  </si>
  <si>
    <t>PERSONAL QUE CUENTA CON DOBLE PLAZA EN LAS PLANTILLAS</t>
  </si>
  <si>
    <t>VINCULOS</t>
  </si>
  <si>
    <t>VESPERTINO</t>
  </si>
  <si>
    <t>X</t>
  </si>
  <si>
    <t xml:space="preserve"> </t>
  </si>
  <si>
    <t>MS.C.</t>
  </si>
  <si>
    <t>INSPECTOR ESCOLAR</t>
  </si>
  <si>
    <t>ZONA ESCOLAR 042</t>
  </si>
  <si>
    <t>MODULO  DE  INSPECTORES</t>
  </si>
  <si>
    <t>REG-93   MZA-5   ENTRE</t>
  </si>
  <si>
    <t>AV-MIGUEL   HIDALGO   Y</t>
  </si>
  <si>
    <t>AV-FCO.   I.    MADERO</t>
  </si>
  <si>
    <t>martincancun69@hotmail.com</t>
  </si>
  <si>
    <t>CANCUN QUINTANA ROO MEXICO</t>
  </si>
  <si>
    <t>PROF.</t>
  </si>
  <si>
    <t>ANTONIO GARCIA GONGORA</t>
  </si>
  <si>
    <t>ASESOR TECNICO PEDAGOGICO</t>
  </si>
  <si>
    <t>CEL - 99 81 30 19 11</t>
  </si>
  <si>
    <t>DIRECTOR</t>
  </si>
  <si>
    <t>COMUNIDAD</t>
  </si>
  <si>
    <t>PARTICIPANTE</t>
  </si>
  <si>
    <t>CARACTERÍSTICA</t>
  </si>
  <si>
    <t>ZONA ESC.</t>
  </si>
  <si>
    <t>CARGO</t>
  </si>
  <si>
    <t>PROF Y NOMB</t>
  </si>
  <si>
    <t>042</t>
  </si>
  <si>
    <t>JEFA DEL SECTOR 04</t>
  </si>
  <si>
    <t>PROFRA: AURA EUGENIA ANCONA FLORES</t>
  </si>
  <si>
    <t xml:space="preserve">INSPECTOR ESCOLAR </t>
  </si>
  <si>
    <t>DATOS GRALES DE LAS ESC.</t>
  </si>
  <si>
    <t>DIRECCION DE EDUCACION BASICA</t>
  </si>
  <si>
    <t>SUBDIRECCION DE EDUCACION PRIMARIA</t>
  </si>
  <si>
    <t xml:space="preserve">ESCUELA: </t>
  </si>
  <si>
    <t>GRADO:</t>
  </si>
  <si>
    <t>FECHA:</t>
  </si>
  <si>
    <t>1.-</t>
  </si>
  <si>
    <t>Asignatura que trabajaba el profesor al momento de la visita.</t>
  </si>
  <si>
    <t>2.-</t>
  </si>
  <si>
    <t>Contenidos que trabajaba el profesor al momento de la visita.</t>
  </si>
  <si>
    <t>3.-</t>
  </si>
  <si>
    <t>Los contenidos que se trabajan pertenecen al Bloque correspondiente.</t>
  </si>
  <si>
    <t>SI</t>
  </si>
  <si>
    <t>NO</t>
  </si>
  <si>
    <t>LA PLANEACION DIDACTICA</t>
  </si>
  <si>
    <t>¿Cuenta el docente con su planeación didáctica?</t>
  </si>
  <si>
    <t>¿Por qué?</t>
  </si>
  <si>
    <t>La planeación se realiza de manera…</t>
  </si>
  <si>
    <t>SEMANAL</t>
  </si>
  <si>
    <t>QUINCENAL</t>
  </si>
  <si>
    <t>MENSUAL</t>
  </si>
  <si>
    <t>BIMESTRAL</t>
  </si>
  <si>
    <t>La planeación se realiza mediante el enfoque de competencias.</t>
  </si>
  <si>
    <t>4.-</t>
  </si>
  <si>
    <t xml:space="preserve">La planeación didáctica se organiza  por medio de Proyectos </t>
  </si>
  <si>
    <t>5.-</t>
  </si>
  <si>
    <t xml:space="preserve">Si la planeación está por medio de Proyectos; contempla el propósito del mismo.   </t>
  </si>
  <si>
    <t>6.-</t>
  </si>
  <si>
    <t>La planeación contempla la vinculación con otras asignaturas</t>
  </si>
  <si>
    <t>7.-</t>
  </si>
  <si>
    <t xml:space="preserve">En la planeación se puede distinguir la separación de los componentes a evaluar en Conceptuales,     </t>
  </si>
  <si>
    <t>Procedimentales y Actitudinales.</t>
  </si>
  <si>
    <t>8.-</t>
  </si>
  <si>
    <t>La Situación Didáctica es congruente con las competencias a desarrollar.</t>
  </si>
  <si>
    <t>9.-</t>
  </si>
  <si>
    <t>10.-</t>
  </si>
  <si>
    <t>Las actividades son adecuadas y suficientes para el logro de las competencias.</t>
  </si>
  <si>
    <t>11.-</t>
  </si>
  <si>
    <t>Los ejercicios a realizar son aplicables en  la vida real.</t>
  </si>
  <si>
    <t>12.-</t>
  </si>
  <si>
    <t xml:space="preserve">Se incluyen actividades de cierre para que los alumnos se queden con lo más importante y lo articulen a </t>
  </si>
  <si>
    <t>la vida.</t>
  </si>
  <si>
    <t>LOS CUADERNOS DE LOS ALUMNOS</t>
  </si>
  <si>
    <t xml:space="preserve">En los cuadernos se observan textos propios,  así como ejercicios congruentes al enfoque por </t>
  </si>
  <si>
    <t>competencias.</t>
  </si>
  <si>
    <t>MATERIAL DIDACTICO</t>
  </si>
  <si>
    <t>Utiliza material didáctico en el momento de la visita.</t>
  </si>
  <si>
    <t>El material didáctico es el adecuado para el logro de las competencias.</t>
  </si>
  <si>
    <t>Tiene material didáctico en el salón de clases o en las paredes.</t>
  </si>
  <si>
    <t>LA EVALUACION</t>
  </si>
  <si>
    <t xml:space="preserve">La evaluación que realiza el profesor(a) se centra en la observación del proceso de aprendizaje de los    </t>
  </si>
  <si>
    <t>alumnos.</t>
  </si>
  <si>
    <t>La evaluación se realiza de manera bimestral con exámenes escritos.</t>
  </si>
  <si>
    <t>El diseño de los exámenes es de acuerdo al enfoque por competencias.</t>
  </si>
  <si>
    <t xml:space="preserve">Utiliza el profesor(a), rúbricas de comportamiento y matrices de valoración para evaluar los productos </t>
  </si>
  <si>
    <t>que surgen de los proyectos.</t>
  </si>
  <si>
    <t>Alumnos Inscritos:</t>
  </si>
  <si>
    <t>Tiene su Registro de Asistencia y Evaluación</t>
  </si>
  <si>
    <t>Mantiene actualizados sus datos estadísticos</t>
  </si>
  <si>
    <t>Cuenta con expedientes personales de sus alumnos.</t>
  </si>
  <si>
    <t>Tiene completos sus libros de texto</t>
  </si>
  <si>
    <t>Utiliza otro libro de apoyo</t>
  </si>
  <si>
    <t>Mantiene al día y en buen estado su Biblioteca de Aula</t>
  </si>
  <si>
    <t>Tiene copia del PAT de la escuela, en el salón de clases.</t>
  </si>
  <si>
    <t>COMENTARIOS  y  SUGERENCIAS</t>
  </si>
  <si>
    <t>Mtro del Gpo. (Nombre y Firma)</t>
  </si>
  <si>
    <t>Entrevisto. (Nombre y Firma)</t>
  </si>
  <si>
    <t>En la Secuencia Didáctica de actividades contempla actividades de Inicio para identificar los conocimientos</t>
  </si>
  <si>
    <t>previos de los alumnos.</t>
  </si>
  <si>
    <t>JEFATURA DE SECTOR 04</t>
  </si>
  <si>
    <t>No.</t>
  </si>
  <si>
    <t>RFC</t>
  </si>
  <si>
    <t>DECLARAMOS BAJO PROTESTA DE DECIR VERDAD QUE LOS DATOS ASENTADOS CORRESPONDEN A LOS</t>
  </si>
  <si>
    <t>*Para el caso de secundarias generales y tecnicas</t>
  </si>
  <si>
    <t>Nombre y Firma</t>
  </si>
  <si>
    <t>11007831200.0</t>
  </si>
  <si>
    <t>NOMBRE DE LA ESCUELA:</t>
  </si>
  <si>
    <t>AUTORIZADOS POR LA AUTORIDAD CORRESPONDIENTE Y A LOS REGISTROS DE ASISTENCIA DE LA ESCUELA.</t>
  </si>
  <si>
    <t>El profesor tiene su Registro de Inscripción actualizado con:</t>
  </si>
  <si>
    <t>Z. ESC.:</t>
  </si>
  <si>
    <t>del  profesor(a)</t>
  </si>
  <si>
    <t>Los temas y contenidos plasmados en los cuadernos de los niños están de acuerdo con la planeación</t>
  </si>
  <si>
    <t xml:space="preserve">Alumnos Presentes:  </t>
  </si>
  <si>
    <t xml:space="preserve">GRUPO: </t>
  </si>
  <si>
    <t xml:space="preserve">PROFESOR (A): </t>
  </si>
  <si>
    <t xml:space="preserve">DIRECCION: </t>
  </si>
  <si>
    <t>CCT:</t>
  </si>
  <si>
    <t xml:space="preserve">TURNO: </t>
  </si>
  <si>
    <t>NOMBRE   DEL   DTOR(A):</t>
  </si>
  <si>
    <t xml:space="preserve">CICLO ESCOLAR:  </t>
  </si>
  <si>
    <t xml:space="preserve">TEL: </t>
  </si>
  <si>
    <t>tonygarcia58@hotmail.com</t>
  </si>
  <si>
    <t>SERVICIOS EDUCATIVOS DE QUINTANA ROO</t>
  </si>
  <si>
    <t>GAGA580703-VC4</t>
  </si>
  <si>
    <t>DATOS DEL MAESTRO DEL GRUPO.</t>
  </si>
  <si>
    <t>OFICINA: 8 40 17 45 EXT. 107</t>
  </si>
  <si>
    <t>OFICINA: 8 40 17 45 EXT. 108</t>
  </si>
  <si>
    <t>COMISIÓN ESTATAL MIXTA DE ESCALAFÓN</t>
  </si>
  <si>
    <t>CRÉDITO ESCALAFONARIO ANUAL</t>
  </si>
  <si>
    <t>AÑO LECTIVO</t>
  </si>
  <si>
    <t xml:space="preserve">GRUPO ESCALAFONARIO </t>
  </si>
  <si>
    <r>
      <t>(</t>
    </r>
    <r>
      <rPr>
        <sz val="8"/>
        <rFont val="Arial"/>
        <family val="2"/>
      </rPr>
      <t>1</t>
    </r>
    <r>
      <rPr>
        <sz val="10"/>
        <rFont val="Arial"/>
        <family val="2"/>
      </rPr>
      <t>)</t>
    </r>
  </si>
  <si>
    <t>APELLIDO PATERNO</t>
  </si>
  <si>
    <t>APELLIDO MATERNO</t>
  </si>
  <si>
    <t>NOMBRE (S)</t>
  </si>
  <si>
    <r>
      <t>(</t>
    </r>
    <r>
      <rPr>
        <sz val="8"/>
        <rFont val="Arial"/>
        <family val="2"/>
      </rPr>
      <t>2</t>
    </r>
    <r>
      <rPr>
        <sz val="10"/>
        <rFont val="Arial"/>
        <family val="2"/>
      </rPr>
      <t>)</t>
    </r>
  </si>
  <si>
    <t>(3)</t>
  </si>
  <si>
    <t xml:space="preserve">(4) </t>
  </si>
  <si>
    <t>FILIACIÓN</t>
  </si>
  <si>
    <t>CLAVE COMPLETA Y CATEGORIA</t>
  </si>
  <si>
    <t>ESPECIALIDAD</t>
  </si>
  <si>
    <r>
      <t>(</t>
    </r>
    <r>
      <rPr>
        <sz val="8"/>
        <rFont val="Arial"/>
        <family val="2"/>
      </rPr>
      <t>5</t>
    </r>
    <r>
      <rPr>
        <sz val="10"/>
        <rFont val="Arial"/>
        <family val="2"/>
      </rPr>
      <t>)</t>
    </r>
  </si>
  <si>
    <t>LUGAR DE SERVICIO</t>
  </si>
  <si>
    <t>ESTADO</t>
  </si>
  <si>
    <t>MUNICIPIO O POBLACIÓN</t>
  </si>
  <si>
    <r>
      <t>(</t>
    </r>
    <r>
      <rPr>
        <sz val="8"/>
        <rFont val="Arial"/>
        <family val="2"/>
      </rPr>
      <t>6</t>
    </r>
    <r>
      <rPr>
        <sz val="10"/>
        <rFont val="Arial"/>
        <family val="2"/>
      </rPr>
      <t>)</t>
    </r>
  </si>
  <si>
    <t>DOMICILIO PARTICULAR</t>
  </si>
  <si>
    <t>COLONIA</t>
  </si>
  <si>
    <t>C.P.</t>
  </si>
  <si>
    <t>CIUDAD Y ESTADO</t>
  </si>
  <si>
    <r>
      <t>(</t>
    </r>
    <r>
      <rPr>
        <sz val="8"/>
        <rFont val="Arial"/>
        <family val="2"/>
      </rPr>
      <t>7</t>
    </r>
    <r>
      <rPr>
        <sz val="10"/>
        <rFont val="Arial"/>
        <family val="2"/>
      </rPr>
      <t>)</t>
    </r>
  </si>
  <si>
    <t>APTITUD</t>
  </si>
  <si>
    <t>CALIFICACIÓN</t>
  </si>
  <si>
    <t>INICIATIVA</t>
  </si>
  <si>
    <t>A</t>
  </si>
  <si>
    <t>educativa.</t>
  </si>
  <si>
    <t>B</t>
  </si>
  <si>
    <t>LABORIOSIDAD</t>
  </si>
  <si>
    <t>EFICIENCIA</t>
  </si>
  <si>
    <t xml:space="preserve">      educativa.</t>
  </si>
  <si>
    <t>SUMA PARCIAL</t>
  </si>
  <si>
    <t>DISCIPLINA</t>
  </si>
  <si>
    <t>PUNTUALIDAD</t>
  </si>
  <si>
    <t>SUMA TOTAL</t>
  </si>
  <si>
    <r>
      <t>(</t>
    </r>
    <r>
      <rPr>
        <sz val="8"/>
        <rFont val="Arial"/>
        <family val="2"/>
      </rPr>
      <t>8</t>
    </r>
    <r>
      <rPr>
        <sz val="10"/>
        <rFont val="Arial"/>
        <family val="2"/>
      </rPr>
      <t>)</t>
    </r>
  </si>
  <si>
    <t>LUGAR Y FECHA</t>
  </si>
  <si>
    <t>FIRMA OFICIAL</t>
  </si>
  <si>
    <t>SELLO</t>
  </si>
  <si>
    <t>FIRMA SINDICAL</t>
  </si>
  <si>
    <t>Vo. Bo.</t>
  </si>
  <si>
    <t>11007831200.0 E0281230723</t>
  </si>
  <si>
    <t>CANCUN</t>
  </si>
  <si>
    <t>QUINTANA ROO</t>
  </si>
  <si>
    <t>BENITO JUAREZ</t>
  </si>
  <si>
    <t>APE PAT</t>
  </si>
  <si>
    <t>APE MAT</t>
  </si>
  <si>
    <t>AURA EUGENIA ANCONA FLORES</t>
  </si>
  <si>
    <t>COSTA DEL SOL</t>
  </si>
  <si>
    <t>SM-51  MZA-33 LTE-23</t>
  </si>
  <si>
    <t>GARCIA</t>
  </si>
  <si>
    <t>GONGORA</t>
  </si>
  <si>
    <t>ANTONIO</t>
  </si>
  <si>
    <t>ASESOR TECNICO-PEDAGOGICO</t>
  </si>
  <si>
    <t>NOMBRES</t>
  </si>
  <si>
    <t>DON. PARTICULAR</t>
  </si>
  <si>
    <t>C.P</t>
  </si>
  <si>
    <t>11007831200.0 E0281230560</t>
  </si>
  <si>
    <t>DIRECCIÓN DE EDUCACIÓN BÁSICA</t>
  </si>
  <si>
    <t xml:space="preserve">SUBDIRECCIÓN DE EDUCACIÓN PRIMARIA </t>
  </si>
  <si>
    <t>OFICIO DE LIBERACIÓN</t>
  </si>
  <si>
    <t xml:space="preserve">Director (a)  de  la </t>
  </si>
  <si>
    <t xml:space="preserve">escuela </t>
  </si>
  <si>
    <t>con clave:</t>
  </si>
  <si>
    <r>
      <t>..</t>
    </r>
    <r>
      <rPr>
        <sz val="11"/>
        <rFont val="Arial"/>
        <family val="2"/>
      </rPr>
      <t>la siguiente</t>
    </r>
  </si>
  <si>
    <t>documentación de fin de curso del presente ciclo escolar.</t>
  </si>
  <si>
    <t>CANTIDAD</t>
  </si>
  <si>
    <t>OBSERVACIONES</t>
  </si>
  <si>
    <t>a)  Estadistica final.</t>
  </si>
  <si>
    <t>b)  Plantilla de personal.</t>
  </si>
  <si>
    <r>
      <t xml:space="preserve">c)  Informe </t>
    </r>
    <r>
      <rPr>
        <b/>
        <sz val="11"/>
        <rFont val="Arial"/>
        <family val="2"/>
      </rPr>
      <t>IAE.</t>
    </r>
  </si>
  <si>
    <t>d)  Datos de la tienda escolar.</t>
  </si>
  <si>
    <t>e)  Datos de la parcela escolar.</t>
  </si>
  <si>
    <t xml:space="preserve">f)  Responsable de los inmuelbles durante </t>
  </si>
  <si>
    <t xml:space="preserve">g)  Oficio  de  autorización del  receso  de </t>
  </si>
  <si>
    <r>
      <t xml:space="preserve">h)  Forma </t>
    </r>
    <r>
      <rPr>
        <b/>
        <sz val="11"/>
        <rFont val="Arial"/>
        <family val="2"/>
      </rPr>
      <t>911.4</t>
    </r>
  </si>
  <si>
    <r>
      <t xml:space="preserve">l)   Formato de </t>
    </r>
    <r>
      <rPr>
        <b/>
        <sz val="11"/>
        <rFont val="Arial"/>
        <family val="2"/>
      </rPr>
      <t>ALTAS</t>
    </r>
    <r>
      <rPr>
        <sz val="11"/>
        <rFont val="Arial"/>
        <family val="2"/>
      </rPr>
      <t xml:space="preserve"> de mobilario y equipo</t>
    </r>
  </si>
  <si>
    <r>
      <t xml:space="preserve">m) Formato de </t>
    </r>
    <r>
      <rPr>
        <b/>
        <sz val="11"/>
        <rFont val="Arial"/>
        <family val="2"/>
      </rPr>
      <t>BAJAS</t>
    </r>
    <r>
      <rPr>
        <sz val="11"/>
        <rFont val="Arial"/>
        <family val="2"/>
      </rPr>
      <t xml:space="preserve"> de mobilario y equipo</t>
    </r>
  </si>
  <si>
    <t>disfrutar del receso de actividades docentes del ciclo escolar</t>
  </si>
  <si>
    <t>y deberá de presentarse</t>
  </si>
  <si>
    <t xml:space="preserve">EL dia </t>
  </si>
  <si>
    <t>del mes de</t>
  </si>
  <si>
    <t xml:space="preserve">de </t>
  </si>
  <si>
    <t>según disposiciones de la Subdirección de Educa-</t>
  </si>
  <si>
    <t>ción  Primaria</t>
  </si>
  <si>
    <t>EL INSPECTOR(A) DE LA ZONA 042</t>
  </si>
  <si>
    <t>Profr.(a)</t>
  </si>
  <si>
    <t xml:space="preserve">OFICIO DE VACACIONES </t>
  </si>
  <si>
    <t xml:space="preserve">Sector </t>
  </si>
  <si>
    <t>Zona</t>
  </si>
  <si>
    <t>Escuela (Clave y Nombre)</t>
  </si>
  <si>
    <r>
      <t>Recibí del (a) Profr.(a)</t>
    </r>
    <r>
      <rPr>
        <b/>
        <sz val="12"/>
        <color indexed="9"/>
        <rFont val="Times New Roman"/>
        <family val="1"/>
      </rPr>
      <t>.</t>
    </r>
  </si>
  <si>
    <t>Grado, Grupo</t>
  </si>
  <si>
    <t>la siguiente documentación de fin de curso:</t>
  </si>
  <si>
    <t>a) Informe general de labores.</t>
  </si>
  <si>
    <t>b) Registro de asistencia y evaluacion del grupo.</t>
  </si>
  <si>
    <t xml:space="preserve">c) Registro  de   las   evaluaciones,  boletas   de </t>
  </si>
  <si>
    <t xml:space="preserve">     calificaciones del grupo.</t>
  </si>
  <si>
    <t xml:space="preserve">d) Formas  I.A.E.  de  1º a 5º  grados </t>
  </si>
  <si>
    <t>DOCUMENTOS DE 6º GRADO</t>
  </si>
  <si>
    <t>f) Certificados de Educacion Primaria</t>
  </si>
  <si>
    <t xml:space="preserve">g) CAP-2 y certificados para corrección </t>
  </si>
  <si>
    <t>del receso de actividades docentes del ciclo escolar</t>
  </si>
  <si>
    <t>y deberá presentarse a</t>
  </si>
  <si>
    <t>iniciar labores el dia</t>
  </si>
  <si>
    <t xml:space="preserve"> de</t>
  </si>
  <si>
    <t>de</t>
  </si>
  <si>
    <t>según disposiciones de la  S.E.Q.</t>
  </si>
  <si>
    <t xml:space="preserve">Cancun Benito Juarez  Q. Roo.  A  </t>
  </si>
  <si>
    <t xml:space="preserve">El (la) Director (a) de la Escuela </t>
  </si>
  <si>
    <t xml:space="preserve">Profr.(a) </t>
  </si>
  <si>
    <t>CETINA</t>
  </si>
  <si>
    <t xml:space="preserve">BALAN </t>
  </si>
  <si>
    <t>XIU</t>
  </si>
  <si>
    <t>MANUEL JESUS</t>
  </si>
  <si>
    <t>PUCH</t>
  </si>
  <si>
    <t>GOMEZ</t>
  </si>
  <si>
    <t>MADAI ROXANA</t>
  </si>
  <si>
    <t>COOX</t>
  </si>
  <si>
    <t>YAH</t>
  </si>
  <si>
    <t>CARLOS ENRIQUE</t>
  </si>
  <si>
    <t>CARRILLO</t>
  </si>
  <si>
    <t xml:space="preserve">VIVAS </t>
  </si>
  <si>
    <t>NEYDI GRIMILDA</t>
  </si>
  <si>
    <t>RUEDA DE LEON</t>
  </si>
  <si>
    <t xml:space="preserve">MORALES </t>
  </si>
  <si>
    <t>MARTA LIDIA</t>
  </si>
  <si>
    <t>CERVERA</t>
  </si>
  <si>
    <t>VIDAL</t>
  </si>
  <si>
    <t>DULCE RUTH</t>
  </si>
  <si>
    <t>CERVANTES</t>
  </si>
  <si>
    <t>BENITEZ</t>
  </si>
  <si>
    <t>ANTONIA</t>
  </si>
  <si>
    <t>DIRECTOR DE EDUC. PRIMARIA</t>
  </si>
  <si>
    <t>DIRECTORA DE EDUC. PRIMARIA</t>
  </si>
  <si>
    <t>COYC680807-F77</t>
  </si>
  <si>
    <t>SM-502  MZA-8  LTE-28</t>
  </si>
  <si>
    <t>AV-POLITECNICO</t>
  </si>
  <si>
    <t>PEHALTUN</t>
  </si>
  <si>
    <t>11007831200.0 E0221000174</t>
  </si>
  <si>
    <r>
      <t xml:space="preserve"> Maestro(a) del</t>
    </r>
    <r>
      <rPr>
        <b/>
        <sz val="12"/>
        <color indexed="9"/>
        <rFont val="Times New Roman"/>
        <family val="1"/>
      </rPr>
      <t>-</t>
    </r>
  </si>
  <si>
    <t>Agosto</t>
  </si>
  <si>
    <t xml:space="preserve">       de Tiendas Escolares</t>
  </si>
  <si>
    <t xml:space="preserve">      actividades docentes.</t>
  </si>
  <si>
    <t>II</t>
  </si>
  <si>
    <t>III</t>
  </si>
  <si>
    <t>PUGM590714-RJ0</t>
  </si>
  <si>
    <t>11007831200.0 E0221231585</t>
  </si>
  <si>
    <t>RG-95  MZA-87  LTE-11</t>
  </si>
  <si>
    <t>ARBOLEDAS</t>
  </si>
  <si>
    <t>BAXM651202-RZA</t>
  </si>
  <si>
    <t>11007831200.0 E02210231500</t>
  </si>
  <si>
    <t>♣</t>
  </si>
  <si>
    <t>CLAVE DE LA ZONA ESCOLAR    23 FIZ 0042 D</t>
  </si>
  <si>
    <t>♫</t>
  </si>
  <si>
    <t>/</t>
  </si>
  <si>
    <t>♪</t>
  </si>
  <si>
    <t>p</t>
  </si>
  <si>
    <t>MOTIVO DEL DOCUMENTO:</t>
  </si>
  <si>
    <t>☻</t>
  </si>
  <si>
    <t>☺</t>
  </si>
  <si>
    <t></t>
  </si>
  <si>
    <t>♦</t>
  </si>
  <si>
    <t>♥</t>
  </si>
  <si>
    <t>۩</t>
  </si>
  <si>
    <t>۞</t>
  </si>
  <si>
    <t>۝</t>
  </si>
  <si>
    <t>◙</t>
  </si>
  <si>
    <t>○</t>
  </si>
  <si>
    <t>√</t>
  </si>
  <si>
    <t>TURNO</t>
  </si>
  <si>
    <t>CLAVE</t>
  </si>
  <si>
    <t>FIRMAS</t>
  </si>
  <si>
    <t>RUMM620801-5C5</t>
  </si>
  <si>
    <t>11007831200.0 E02210231588</t>
  </si>
  <si>
    <t>SM-24  MZA-43  LTE-16</t>
  </si>
  <si>
    <t>clave</t>
  </si>
  <si>
    <t>tipo de nombramiento</t>
  </si>
  <si>
    <t xml:space="preserve">  Director sin grupo</t>
  </si>
  <si>
    <t>Dtor s/gpo</t>
  </si>
  <si>
    <t>DTOR. C/GPO</t>
  </si>
  <si>
    <t>Directivo con grupo</t>
  </si>
  <si>
    <t>Dtor c/gpo</t>
  </si>
  <si>
    <t xml:space="preserve"> ESTA  HOJA  ES DE PERSONAL  SIN  GRUPO   NO   DEJE   ESPACIOS   QUE    DEBAN   LLENARSE    CON    LOS    DATOS    DEL  MAESTRO   YA   QUE   SIN   ELLOS   FALTARIA    INFORMACION   EN   LA  ESTADISTICA,    LA   PLANTILLA,   LA  RH-3,    LA  RH-4,   LA   911.3   Y   911.4   U  OTROS  QUE  LO  SOLICITE</t>
  </si>
  <si>
    <t>COMPROBAR LOS DATOS PERSONALES DEL MAESTRO (A) CON EL TALON DE PAGO Y EL FTO. UNICO DE PERSONAL</t>
  </si>
  <si>
    <r>
      <t>NOMBRE</t>
    </r>
    <r>
      <rPr>
        <sz val="6"/>
        <rFont val="Arial"/>
        <family val="2"/>
      </rPr>
      <t>DEL MTRO.</t>
    </r>
  </si>
  <si>
    <t>.</t>
  </si>
  <si>
    <t>DOCENTE</t>
  </si>
  <si>
    <t>Docente con grupo</t>
  </si>
  <si>
    <t>OBSERVADOR</t>
  </si>
  <si>
    <t>D</t>
  </si>
  <si>
    <t>Docentes</t>
  </si>
  <si>
    <t>NOMBRE DEL MTRO DEL GPO.:</t>
  </si>
  <si>
    <t>AUT</t>
  </si>
  <si>
    <t>ADMON</t>
  </si>
  <si>
    <t>Administrativo</t>
  </si>
  <si>
    <t>E</t>
  </si>
  <si>
    <r>
      <t>NOMBRE</t>
    </r>
    <r>
      <rPr>
        <sz val="6"/>
        <rFont val="Arial"/>
        <family val="2"/>
      </rPr>
      <t xml:space="preserve"> DEL MTRO.</t>
    </r>
  </si>
  <si>
    <t>EDUC. FISICA</t>
  </si>
  <si>
    <t>Profesor de educación física</t>
  </si>
  <si>
    <t>F</t>
  </si>
  <si>
    <t>BC</t>
  </si>
  <si>
    <t>Educ. fisica</t>
  </si>
  <si>
    <t>H</t>
  </si>
  <si>
    <t>M</t>
  </si>
  <si>
    <t>TOTAL</t>
  </si>
  <si>
    <t>EDO</t>
  </si>
  <si>
    <t>RFC DEL MTO:</t>
  </si>
  <si>
    <t>CLAVE PRESUPUESTAL:</t>
  </si>
  <si>
    <t>ARTISTICAS</t>
  </si>
  <si>
    <t>Maestro de música</t>
  </si>
  <si>
    <t>G</t>
  </si>
  <si>
    <t>Musica</t>
  </si>
  <si>
    <t>I. INI</t>
  </si>
  <si>
    <t>MPIO</t>
  </si>
  <si>
    <t>-</t>
  </si>
  <si>
    <r>
      <t>RFC</t>
    </r>
    <r>
      <rPr>
        <sz val="6"/>
        <rFont val="Arial"/>
        <family val="2"/>
      </rPr>
      <t xml:space="preserve"> DEL MTRO.</t>
    </r>
  </si>
  <si>
    <t xml:space="preserve">MTRO. CULTURALES </t>
  </si>
  <si>
    <t xml:space="preserve">Maestro de actividades culturales </t>
  </si>
  <si>
    <t>Actividades cult.</t>
  </si>
  <si>
    <t>ALTAS</t>
  </si>
  <si>
    <t>FECHA  DE  INGRESO  (SEP):</t>
  </si>
  <si>
    <t>TIPO DE NOMBRAMIENTO:</t>
  </si>
  <si>
    <t>INTENDENTE</t>
  </si>
  <si>
    <t xml:space="preserve">Asistente de servicios </t>
  </si>
  <si>
    <t>Intendente</t>
  </si>
  <si>
    <r>
      <t>CLAVE DE PGO</t>
    </r>
    <r>
      <rPr>
        <sz val="6"/>
        <rFont val="Arial"/>
        <family val="2"/>
      </rPr>
      <t xml:space="preserve"> DEL MTRO.</t>
    </r>
  </si>
  <si>
    <t>INGLES</t>
  </si>
  <si>
    <t>Profesor de actividades Tecnológicas e Idiomas</t>
  </si>
  <si>
    <t>J</t>
  </si>
  <si>
    <t>Idiomas</t>
  </si>
  <si>
    <t>BAJAS</t>
  </si>
  <si>
    <t>JERARQUIA</t>
  </si>
  <si>
    <t>CICLO ESC</t>
  </si>
  <si>
    <t>DOMICILIO:</t>
  </si>
  <si>
    <t>TEL:</t>
  </si>
  <si>
    <t>U</t>
  </si>
  <si>
    <t>USAER</t>
  </si>
  <si>
    <t>Usaer</t>
  </si>
  <si>
    <t>K</t>
  </si>
  <si>
    <t>EXIST</t>
  </si>
  <si>
    <t>N/P</t>
  </si>
  <si>
    <r>
      <t>FECHA INGR SEP</t>
    </r>
    <r>
      <rPr>
        <sz val="6"/>
        <rFont val="Arial"/>
        <family val="2"/>
      </rPr>
      <t xml:space="preserve"> DEL MTRO.</t>
    </r>
  </si>
  <si>
    <t>W</t>
  </si>
  <si>
    <t>OTROS</t>
  </si>
  <si>
    <t>Otros</t>
  </si>
  <si>
    <t>L</t>
  </si>
  <si>
    <t>APROB</t>
  </si>
  <si>
    <t>ZONA ESCOLAR</t>
  </si>
  <si>
    <t>NOMBRE DE LA ESC.:</t>
  </si>
  <si>
    <t>C.C.T.</t>
  </si>
  <si>
    <t>TUR:</t>
  </si>
  <si>
    <t>VELADOR</t>
  </si>
  <si>
    <t>REPRO</t>
  </si>
  <si>
    <r>
      <t>TIPO DE NOMB</t>
    </r>
    <r>
      <rPr>
        <sz val="6"/>
        <rFont val="Arial"/>
        <family val="2"/>
      </rPr>
      <t xml:space="preserve"> DEL MTRO.</t>
    </r>
  </si>
  <si>
    <t>Y</t>
  </si>
  <si>
    <t>PORTERO</t>
  </si>
  <si>
    <r>
      <t>NOMBRE</t>
    </r>
    <r>
      <rPr>
        <sz val="6"/>
        <rFont val="Arial"/>
        <family val="2"/>
      </rPr>
      <t xml:space="preserve"> DEL DIRECTOR (A)</t>
    </r>
  </si>
  <si>
    <r>
      <t>FUNCION</t>
    </r>
    <r>
      <rPr>
        <sz val="6"/>
        <rFont val="Arial"/>
        <family val="2"/>
      </rPr>
      <t xml:space="preserve"> DEL MTRO (A)</t>
    </r>
  </si>
  <si>
    <t>Z</t>
  </si>
  <si>
    <t xml:space="preserve">OBSERVADOR </t>
  </si>
  <si>
    <t>O</t>
  </si>
  <si>
    <r>
      <t xml:space="preserve">NOMBRE </t>
    </r>
    <r>
      <rPr>
        <sz val="6"/>
        <rFont val="Arial"/>
        <family val="2"/>
      </rPr>
      <t>DEL INSPECTOR (A)</t>
    </r>
  </si>
  <si>
    <r>
      <t>SITUACION</t>
    </r>
    <r>
      <rPr>
        <sz val="6"/>
        <rFont val="Arial"/>
        <family val="2"/>
      </rPr>
      <t xml:space="preserve"> DEL MTRO (A) </t>
    </r>
  </si>
  <si>
    <r>
      <t>DOMICILIO</t>
    </r>
    <r>
      <rPr>
        <sz val="6"/>
        <rFont val="Arial"/>
        <family val="2"/>
      </rPr>
      <t xml:space="preserve"> DEL MTRO.</t>
    </r>
  </si>
  <si>
    <t>&amp;</t>
  </si>
  <si>
    <t>POLICIA</t>
  </si>
  <si>
    <t>P</t>
  </si>
  <si>
    <r>
      <t>NOM DELEGADO</t>
    </r>
    <r>
      <rPr>
        <sz val="6"/>
        <rFont val="Arial"/>
        <family val="2"/>
      </rPr>
      <t xml:space="preserve"> SINDICAL</t>
    </r>
  </si>
  <si>
    <r>
      <t>MOVIMIENTO</t>
    </r>
    <r>
      <rPr>
        <sz val="6"/>
        <rFont val="Arial"/>
        <family val="2"/>
      </rPr>
      <t xml:space="preserve"> DEL MTRO (A) </t>
    </r>
  </si>
  <si>
    <t xml:space="preserve">situacion </t>
  </si>
  <si>
    <t>Q</t>
  </si>
  <si>
    <r>
      <t>ESPECIALIDAD</t>
    </r>
    <r>
      <rPr>
        <sz val="6"/>
        <rFont val="Arial"/>
        <family val="2"/>
      </rPr>
      <t xml:space="preserve"> DEL MTRO</t>
    </r>
  </si>
  <si>
    <r>
      <t>SOSTENIMIENTO</t>
    </r>
    <r>
      <rPr>
        <sz val="6"/>
        <rFont val="Arial"/>
        <family val="2"/>
      </rPr>
      <t xml:space="preserve"> DEL MTRO (A) </t>
    </r>
  </si>
  <si>
    <r>
      <t>2Da PLAZA</t>
    </r>
    <r>
      <rPr>
        <sz val="6"/>
        <rFont val="Arial"/>
        <family val="2"/>
      </rPr>
      <t xml:space="preserve"> DEL MTRO.</t>
    </r>
  </si>
  <si>
    <t>R</t>
  </si>
  <si>
    <r>
      <t>CARR MAGIS.</t>
    </r>
    <r>
      <rPr>
        <sz val="6"/>
        <rFont val="Arial"/>
        <family val="2"/>
      </rPr>
      <t xml:space="preserve"> DEL MTRO (A)</t>
    </r>
  </si>
  <si>
    <r>
      <t>ESCOLARIDAD</t>
    </r>
    <r>
      <rPr>
        <sz val="6"/>
        <rFont val="Arial"/>
        <family val="2"/>
      </rPr>
      <t xml:space="preserve"> DEL MTRO (A) </t>
    </r>
  </si>
  <si>
    <t>CCT</t>
  </si>
  <si>
    <t>INTERINO</t>
  </si>
  <si>
    <t>S</t>
  </si>
  <si>
    <r>
      <t>VERTIENTE</t>
    </r>
    <r>
      <rPr>
        <sz val="6"/>
        <rFont val="Arial"/>
        <family val="2"/>
      </rPr>
      <t xml:space="preserve"> DEL MTRO (A)</t>
    </r>
  </si>
  <si>
    <r>
      <t>FOLIO DE CM</t>
    </r>
    <r>
      <rPr>
        <sz val="6"/>
        <rFont val="Arial"/>
        <family val="2"/>
      </rPr>
      <t xml:space="preserve"> DEL MTRO (A) </t>
    </r>
  </si>
  <si>
    <r>
      <t>CURP</t>
    </r>
    <r>
      <rPr>
        <sz val="6"/>
        <rFont val="Arial"/>
        <family val="2"/>
      </rPr>
      <t xml:space="preserve"> DEL MTRO.</t>
    </r>
  </si>
  <si>
    <t>COMISIONADO</t>
  </si>
  <si>
    <r>
      <t xml:space="preserve">EN CASO DE LLENARSE A MANO ESCRIBASE CON TINTA </t>
    </r>
    <r>
      <rPr>
        <sz val="7"/>
        <color indexed="8"/>
        <rFont val="Arial"/>
        <family val="2"/>
      </rPr>
      <t>NEGRA</t>
    </r>
    <r>
      <rPr>
        <sz val="7"/>
        <color indexed="10"/>
        <rFont val="Arial"/>
        <family val="2"/>
      </rPr>
      <t xml:space="preserve"> O </t>
    </r>
    <r>
      <rPr>
        <sz val="7"/>
        <color indexed="12"/>
        <rFont val="Arial"/>
        <family val="2"/>
      </rPr>
      <t>AZUL</t>
    </r>
  </si>
  <si>
    <t xml:space="preserve">CURP </t>
  </si>
  <si>
    <t>Ñ</t>
  </si>
  <si>
    <t xml:space="preserve">  </t>
  </si>
  <si>
    <t xml:space="preserve">   </t>
  </si>
  <si>
    <t xml:space="preserve"> / </t>
  </si>
  <si>
    <r>
      <t>MODALIDA</t>
    </r>
    <r>
      <rPr>
        <sz val="6"/>
        <rFont val="Arial"/>
        <family val="2"/>
      </rPr>
      <t xml:space="preserve"> DEL MTRO</t>
    </r>
  </si>
  <si>
    <t>T</t>
  </si>
  <si>
    <t>2do. MOMENTO</t>
  </si>
  <si>
    <t>movimiento</t>
  </si>
  <si>
    <t>RG-</t>
  </si>
  <si>
    <t xml:space="preserve">  SM-</t>
  </si>
  <si>
    <t xml:space="preserve">  MZA-</t>
  </si>
  <si>
    <t xml:space="preserve">  LTE-</t>
  </si>
  <si>
    <t xml:space="preserve">  CALLE-</t>
  </si>
  <si>
    <t xml:space="preserve">  COL-</t>
  </si>
  <si>
    <t xml:space="preserve">  C.P.-</t>
  </si>
  <si>
    <t>AV-</t>
  </si>
  <si>
    <r>
      <t>COMISION</t>
    </r>
    <r>
      <rPr>
        <sz val="6"/>
        <rFont val="Arial"/>
        <family val="2"/>
      </rPr>
      <t xml:space="preserve"> DEL MTRO</t>
    </r>
  </si>
  <si>
    <t>ASEO</t>
  </si>
  <si>
    <t>LIS. DE RAYA</t>
  </si>
  <si>
    <t>KINDER</t>
  </si>
  <si>
    <t>FORMAL</t>
  </si>
  <si>
    <r>
      <t>NIVEL</t>
    </r>
    <r>
      <rPr>
        <sz val="6"/>
        <rFont val="Arial"/>
        <family val="2"/>
      </rPr>
      <t xml:space="preserve"> DEL MTRO</t>
    </r>
  </si>
  <si>
    <t>BAJA TEMPORAL (Licencia por gravidez)</t>
  </si>
  <si>
    <t>ASISTENCIA Y PUNTUALIDAD</t>
  </si>
  <si>
    <t>PRIMARIA</t>
  </si>
  <si>
    <t>INFORMAL</t>
  </si>
  <si>
    <t>ALTA DEFINITIVA. (Si la persona se da de alta en al escuela)</t>
  </si>
  <si>
    <t>BIBLIOTECA</t>
  </si>
  <si>
    <t>SECUNDARIA</t>
  </si>
  <si>
    <t>INDIGENA</t>
  </si>
  <si>
    <r>
      <t xml:space="preserve">COLONIA </t>
    </r>
    <r>
      <rPr>
        <sz val="6"/>
        <rFont val="Arial"/>
        <family val="2"/>
      </rPr>
      <t>DEL MTRO(A)</t>
    </r>
  </si>
  <si>
    <t>ALTA TEMPORAL (Por cubrir licencias)</t>
  </si>
  <si>
    <t>BOTIQUIN</t>
  </si>
  <si>
    <t>BACHILLERATO</t>
  </si>
  <si>
    <t>FORANEA</t>
  </si>
  <si>
    <t>BAJA DEFINITIVA POR CAMBIO (Si la persona se cambia de escuela)</t>
  </si>
  <si>
    <t>COMPUTACION</t>
  </si>
  <si>
    <t>CONALEP</t>
  </si>
  <si>
    <t>URBANA</t>
  </si>
  <si>
    <r>
      <t xml:space="preserve">CODIGO POST </t>
    </r>
    <r>
      <rPr>
        <sz val="6"/>
        <rFont val="Arial"/>
        <family val="2"/>
      </rPr>
      <t>DEL MTRO(A)</t>
    </r>
  </si>
  <si>
    <t xml:space="preserve">BAJA DEFINITIVA (Por renuncia o jubilación) </t>
  </si>
  <si>
    <t>EXTENSION EDUCATIVA</t>
  </si>
  <si>
    <t>UNIVERSIDAD</t>
  </si>
  <si>
    <t>RURAL</t>
  </si>
  <si>
    <t>NOMBRE Y FIRMA DEL DOCENTE QUE RINDIO LA INFORMACION</t>
  </si>
  <si>
    <r>
      <t xml:space="preserve">BAJA TEMPORAL (Licencia con goce de sueldopor enfermedad, beca u otros </t>
    </r>
    <r>
      <rPr>
        <sz val="6"/>
        <color indexed="10"/>
        <rFont val="Arial"/>
        <family val="2"/>
      </rPr>
      <t>no gravidez</t>
    </r>
    <r>
      <rPr>
        <sz val="6"/>
        <rFont val="Arial"/>
        <family val="2"/>
      </rPr>
      <t>)</t>
    </r>
  </si>
  <si>
    <t>MEJORA MATERIALES</t>
  </si>
  <si>
    <t>LICENCIATURA</t>
  </si>
  <si>
    <r>
      <t xml:space="preserve">EDO DE NAC </t>
    </r>
    <r>
      <rPr>
        <sz val="6"/>
        <rFont val="Arial"/>
        <family val="2"/>
      </rPr>
      <t>DEL MTRO(A)</t>
    </r>
  </si>
  <si>
    <r>
      <t xml:space="preserve">FECHA DE NAC </t>
    </r>
    <r>
      <rPr>
        <sz val="6"/>
        <rFont val="Arial"/>
        <family val="2"/>
      </rPr>
      <t>DEL MTRO(A)</t>
    </r>
  </si>
  <si>
    <t>FEC</t>
  </si>
  <si>
    <r>
      <t xml:space="preserve">NOMBRE </t>
    </r>
    <r>
      <rPr>
        <sz val="6"/>
        <rFont val="Arial"/>
        <family val="2"/>
      </rPr>
      <t>DEL MTRO(A)</t>
    </r>
  </si>
  <si>
    <r>
      <t>TEL O CEL</t>
    </r>
    <r>
      <rPr>
        <sz val="6"/>
        <rFont val="Arial"/>
        <family val="2"/>
      </rPr>
      <t xml:space="preserve"> DEL MTRO.</t>
    </r>
  </si>
  <si>
    <t>BAJA TEMPORAL (Licencia sin goce de sueldo)</t>
  </si>
  <si>
    <t>ORDEN Y DISCIPLINA</t>
  </si>
  <si>
    <t>MAISTRIA</t>
  </si>
  <si>
    <t>BAJA DEFINITIVA (Por disposicion)</t>
  </si>
  <si>
    <t>ORNATO</t>
  </si>
  <si>
    <t>DOCTORADO</t>
  </si>
  <si>
    <t>ABANDON DE EMPLEO (Por disposicion)</t>
  </si>
  <si>
    <t>PERIODICO MURAL</t>
  </si>
  <si>
    <t>OTRO</t>
  </si>
  <si>
    <t>sostenimiento</t>
  </si>
  <si>
    <t>RECURSOS MATERIALES</t>
  </si>
  <si>
    <t>FEDERAL</t>
  </si>
  <si>
    <t>SECRETARIO DE ACUERDOS</t>
  </si>
  <si>
    <t>FEDERAL TRANFERIDA  (18 de mayo de 2005 )</t>
  </si>
  <si>
    <t>SONIDO</t>
  </si>
  <si>
    <t>MUNICIPIOS</t>
  </si>
  <si>
    <t>ESTATAL</t>
  </si>
  <si>
    <t>SUPERACION PROFESIONAL</t>
  </si>
  <si>
    <t xml:space="preserve">BENITO JUAREZ </t>
  </si>
  <si>
    <t>0005</t>
  </si>
  <si>
    <t>TECNICO PEDAGOGICAS</t>
  </si>
  <si>
    <t xml:space="preserve">CARRILLO PUERTO </t>
  </si>
  <si>
    <t>0007</t>
  </si>
  <si>
    <t>AGUASCALIENTES</t>
  </si>
  <si>
    <t>AS</t>
  </si>
  <si>
    <t>COZUMEL</t>
  </si>
  <si>
    <t>0004</t>
  </si>
  <si>
    <t>BAJA CALIFORNIA SUR</t>
  </si>
  <si>
    <t>BS</t>
  </si>
  <si>
    <t>ISLA MUJERES</t>
  </si>
  <si>
    <t>0003</t>
  </si>
  <si>
    <t>BAJA CALIFORNIA</t>
  </si>
  <si>
    <t>PIRATA O PATITO</t>
  </si>
  <si>
    <t>SOLIDARIDAD</t>
  </si>
  <si>
    <t>0009</t>
  </si>
  <si>
    <t>CAMPECHE</t>
  </si>
  <si>
    <t>CC</t>
  </si>
  <si>
    <t>PADRES DE FAMILIA</t>
  </si>
  <si>
    <t>OTHON PONPEYO BLANCO</t>
  </si>
  <si>
    <t>0001</t>
  </si>
  <si>
    <t>COAHUILA</t>
  </si>
  <si>
    <t>CL</t>
  </si>
  <si>
    <t>escolaridad</t>
  </si>
  <si>
    <t>PLAYA DEL CARMEN</t>
  </si>
  <si>
    <t>0002</t>
  </si>
  <si>
    <t>COLIMA</t>
  </si>
  <si>
    <t>CM</t>
  </si>
  <si>
    <t>PRIMARIA INCOMPLETA</t>
  </si>
  <si>
    <t>PUERTO MORELOS</t>
  </si>
  <si>
    <t>0006</t>
  </si>
  <si>
    <t>CHIAPAS</t>
  </si>
  <si>
    <t>CS</t>
  </si>
  <si>
    <t>PRIMARIA TERMINADA</t>
  </si>
  <si>
    <t>TULUM</t>
  </si>
  <si>
    <t>0008</t>
  </si>
  <si>
    <t>CHIHUAHUA</t>
  </si>
  <si>
    <t>CH</t>
  </si>
  <si>
    <t>SECUNDARIA INCOMPLETA</t>
  </si>
  <si>
    <t>DISTRITO FEDERAL</t>
  </si>
  <si>
    <t>DF</t>
  </si>
  <si>
    <t>SECUNDARIA TERMINADA</t>
  </si>
  <si>
    <t>DURANGO</t>
  </si>
  <si>
    <t>DG</t>
  </si>
  <si>
    <t>TECNICO PROFESIONAL</t>
  </si>
  <si>
    <t>GUANAJUATO</t>
  </si>
  <si>
    <t>GT</t>
  </si>
  <si>
    <t>BACHILLERATO INCOMPLETO</t>
  </si>
  <si>
    <t>Normal preescolar incompleta</t>
  </si>
  <si>
    <t>GUERRERO</t>
  </si>
  <si>
    <t>GR</t>
  </si>
  <si>
    <t>BACHILLERATO TERMINADO</t>
  </si>
  <si>
    <t>Normal preescolar terminada</t>
  </si>
  <si>
    <t>HIDALGO</t>
  </si>
  <si>
    <t>HG</t>
  </si>
  <si>
    <t>NORMAL PREESCOLAR INCOMPLETA</t>
  </si>
  <si>
    <t>Normal primaria incompleta</t>
  </si>
  <si>
    <t>JALISCO</t>
  </si>
  <si>
    <t>JC</t>
  </si>
  <si>
    <t>1er. MOMENTO</t>
  </si>
  <si>
    <t>3er. MOMENTO</t>
  </si>
  <si>
    <t>NORMAL PREESCOLAR TERMINADA</t>
  </si>
  <si>
    <t>Normal primaria terminada</t>
  </si>
  <si>
    <t>MEXICO</t>
  </si>
  <si>
    <t>MC</t>
  </si>
  <si>
    <t>NORMAL PRIMARIA INCOMPLETA</t>
  </si>
  <si>
    <t>Normal superior incompleta</t>
  </si>
  <si>
    <t>MICHOACAN</t>
  </si>
  <si>
    <t>MN</t>
  </si>
  <si>
    <t>NORMAL PRIMARIA TERMINADA</t>
  </si>
  <si>
    <t>Normal superior con carta de pasante</t>
  </si>
  <si>
    <t>MORELOS</t>
  </si>
  <si>
    <t>MS</t>
  </si>
  <si>
    <t>NORMAL SUPERIOR INCOMPLETA</t>
  </si>
  <si>
    <t>Normal superior con título</t>
  </si>
  <si>
    <t>NAYARIT</t>
  </si>
  <si>
    <t>NT</t>
  </si>
  <si>
    <t>NORMAL SUPERIOR CON CARTA DE PASANTE</t>
  </si>
  <si>
    <t>Licenciatura incompleta</t>
  </si>
  <si>
    <t>NUEVO LEON</t>
  </si>
  <si>
    <t>NL</t>
  </si>
  <si>
    <t>NORMAL SUPERIOR CON TITULO</t>
  </si>
  <si>
    <t>Licenciatura con carta de pasante</t>
  </si>
  <si>
    <t>OAXACA</t>
  </si>
  <si>
    <t>OC</t>
  </si>
  <si>
    <t>LICENCIATURA INCOMPLETA</t>
  </si>
  <si>
    <t>Licenciatura con título</t>
  </si>
  <si>
    <t>PUEBLA</t>
  </si>
  <si>
    <t>PL</t>
  </si>
  <si>
    <t>LICENCIATURA CON CARTA DE PASANTE</t>
  </si>
  <si>
    <t>Maistria incompleta</t>
  </si>
  <si>
    <t>QUERETARO</t>
  </si>
  <si>
    <t>QT</t>
  </si>
  <si>
    <t>LICENCIATURA CON TITULO</t>
  </si>
  <si>
    <t>Maistria con título</t>
  </si>
  <si>
    <t>QR</t>
  </si>
  <si>
    <t>MAISTRIA INCOMPLETA</t>
  </si>
  <si>
    <t>SAN LUIS POTOSI</t>
  </si>
  <si>
    <t>SP</t>
  </si>
  <si>
    <t>MAISTRIA CON TITULO</t>
  </si>
  <si>
    <t>SINALOA</t>
  </si>
  <si>
    <t>SL</t>
  </si>
  <si>
    <t>SONORA</t>
  </si>
  <si>
    <t>SR</t>
  </si>
  <si>
    <t>ALBAÑIL</t>
  </si>
  <si>
    <t>TABASCO</t>
  </si>
  <si>
    <t>TC</t>
  </si>
  <si>
    <t>PEPENADOR</t>
  </si>
  <si>
    <t>TAMAULIPAS</t>
  </si>
  <si>
    <t>TS</t>
  </si>
  <si>
    <t>ESCORIA O BAGO</t>
  </si>
  <si>
    <t>TLAXCALA</t>
  </si>
  <si>
    <t>TL</t>
  </si>
  <si>
    <t>VERACRUZ</t>
  </si>
  <si>
    <t>VZ</t>
  </si>
  <si>
    <t>c. m.</t>
  </si>
  <si>
    <t>YUCATÁN</t>
  </si>
  <si>
    <t>YN</t>
  </si>
  <si>
    <t>7A</t>
  </si>
  <si>
    <t>ZACATECAS</t>
  </si>
  <si>
    <t>ZS</t>
  </si>
  <si>
    <t>7B</t>
  </si>
  <si>
    <t>EXTRANJERO</t>
  </si>
  <si>
    <t>EN</t>
  </si>
  <si>
    <t>7BC</t>
  </si>
  <si>
    <t>¿?</t>
  </si>
  <si>
    <t>7C</t>
  </si>
  <si>
    <t>7D</t>
  </si>
  <si>
    <t>7CD</t>
  </si>
  <si>
    <t>7E</t>
  </si>
  <si>
    <t>7F</t>
  </si>
  <si>
    <t>MAESTRA DE EDUC. PRIMARIA</t>
  </si>
  <si>
    <t>vertiente</t>
  </si>
  <si>
    <t>DOCENTES FRENTE A GRUPO</t>
  </si>
  <si>
    <t>DOCENTES CON FUNSIONES DIRECTIVAS</t>
  </si>
  <si>
    <t>DOCENTES CON ACTIVIDADES TECNICO-PEDAGOGICAS</t>
  </si>
  <si>
    <t>DOCENTES CON ACTIVIDADES DE SUPERVISOR</t>
  </si>
  <si>
    <t>BUENA PARA NADA O PILOTO</t>
  </si>
  <si>
    <t>turno</t>
  </si>
  <si>
    <t>DIURNO</t>
  </si>
  <si>
    <t>MIXTO</t>
  </si>
  <si>
    <t>NOCTURNO</t>
  </si>
  <si>
    <t>TIPO DE NOMBRAMIENTO.:</t>
  </si>
  <si>
    <t xml:space="preserve">  /  </t>
  </si>
  <si>
    <t>COMPLETO</t>
  </si>
  <si>
    <t xml:space="preserve"> RG-</t>
  </si>
  <si>
    <t>DEL MTRO (A)</t>
  </si>
  <si>
    <t>1958</t>
  </si>
  <si>
    <t>07</t>
  </si>
  <si>
    <t>03</t>
  </si>
  <si>
    <t>GAG580703HYNRNN08</t>
  </si>
  <si>
    <t>PERSONAL CON CARRERA MAGISTERIAL</t>
  </si>
  <si>
    <t>FECHA DE INGRESO A SISTEMA DE LA SEP</t>
  </si>
  <si>
    <t>RICALDE</t>
  </si>
  <si>
    <t>CASTRO</t>
  </si>
  <si>
    <t>JESUS MARTIN</t>
  </si>
  <si>
    <t>RICJ631111-344</t>
  </si>
  <si>
    <t>INSPECTOR DE ZONA</t>
  </si>
  <si>
    <t>encomendado.</t>
  </si>
  <si>
    <t>En  la  simplificación  de  métodos  de   trabajo   y  creación</t>
  </si>
  <si>
    <t>de   técnicas   o   recursos   propios.</t>
  </si>
  <si>
    <t>En  actividades  de  investigación y divulgación  de  asuntos</t>
  </si>
  <si>
    <t>relacionados  con  el  arte,  la  ciencia  y  la  técnica.</t>
  </si>
  <si>
    <t>En  actividades   que   promuevan   las   buenas   relaciones</t>
  </si>
  <si>
    <t>En  actividades   que   redunden   en   beneficio  del   trabajo</t>
  </si>
  <si>
    <t>que  deben  imperar  en  el  centro  de  trabajo.</t>
  </si>
  <si>
    <t>Calidad  y  cantidad  del  trabajo  desarrollado.</t>
  </si>
  <si>
    <t>Técnica   y   organización   del    trabajo.</t>
  </si>
  <si>
    <t>11007831200.0 E0221231655</t>
  </si>
  <si>
    <t>CECJ590704-4K7</t>
  </si>
  <si>
    <t>11007831200.0 E0221230026</t>
  </si>
  <si>
    <t>CAVN611218-CI8</t>
  </si>
  <si>
    <t>CEVD660311-V54</t>
  </si>
  <si>
    <t>11007831200.0 E0221230058</t>
  </si>
  <si>
    <t>11007831200.0 E0221231688</t>
  </si>
  <si>
    <t>CEBA641230-GX0</t>
  </si>
  <si>
    <t>DZIB</t>
  </si>
  <si>
    <t>TUZ</t>
  </si>
  <si>
    <t>ESCAMILLA</t>
  </si>
  <si>
    <t>HUCHIM</t>
  </si>
  <si>
    <t>MARCELO DAMIAN</t>
  </si>
  <si>
    <t>EAHM650914-7YA</t>
  </si>
  <si>
    <t>11007831200.0 E0221231608</t>
  </si>
  <si>
    <t>11007831200.0 E0221000231694</t>
  </si>
  <si>
    <t>DITM681226-BF8</t>
  </si>
  <si>
    <t>( TRABAJADORES NO DOCENTES )</t>
  </si>
  <si>
    <t>( TRABAJADORES DOCENTES )</t>
  </si>
  <si>
    <t>( INSPECTORES DE PRIMARIA )</t>
  </si>
  <si>
    <t>CHAY</t>
  </si>
  <si>
    <t>JUAN CARLOS</t>
  </si>
  <si>
    <t>CLAV. y CATEG. PRESUPUESTAL</t>
  </si>
  <si>
    <t>LUGAR DE SERV.</t>
  </si>
  <si>
    <t>MPIO. O POBLACION</t>
  </si>
  <si>
    <t>CALLE Y NUM.</t>
  </si>
  <si>
    <t>CDA. Y EDO.</t>
  </si>
  <si>
    <t>Julio</t>
  </si>
  <si>
    <t>Al recibir la documentación que antecede, al(la) Profr.(a) de la citada escuela, puede disfrutar</t>
  </si>
  <si>
    <t>SM-507  MZA-12  LTE-8</t>
  </si>
  <si>
    <t>YAMILUM</t>
  </si>
  <si>
    <t>EK-BALAM</t>
  </si>
  <si>
    <t>11007831200.0 E0201000632</t>
  </si>
  <si>
    <t>SECRETARIA DE EDUCACION Y CULTURA</t>
  </si>
  <si>
    <t>MUNICIPIO:</t>
  </si>
  <si>
    <t>1º</t>
  </si>
  <si>
    <t>2º</t>
  </si>
  <si>
    <t>3º</t>
  </si>
  <si>
    <t>3°</t>
  </si>
  <si>
    <t>NUEVO INGRESO</t>
  </si>
  <si>
    <t>P R I M A R I A</t>
  </si>
  <si>
    <t>4º</t>
  </si>
  <si>
    <t>5º</t>
  </si>
  <si>
    <t>6º</t>
  </si>
  <si>
    <t>1°</t>
  </si>
  <si>
    <t>4°</t>
  </si>
  <si>
    <t>5°</t>
  </si>
  <si>
    <t>6°</t>
  </si>
  <si>
    <t>SELLO DE LA ESCUELA</t>
  </si>
  <si>
    <t>SELLO DE LA SUPERVISION</t>
  </si>
  <si>
    <t>pre.insc</t>
  </si>
  <si>
    <t>(TRABAJADORES DOCENTES)</t>
  </si>
  <si>
    <t>(TRABAJADORES  NO  DOCENTES)</t>
  </si>
  <si>
    <t>(TRABAJADORES ADMINISTRATIVOS)</t>
  </si>
  <si>
    <t>En la simplificación de métodos  de  supervision y creación</t>
  </si>
  <si>
    <t>En   actividades  de   inspección  y  divulgación  de  asuntos</t>
  </si>
  <si>
    <t>relacionados  con la administracion, la ciencia  y la técnica.</t>
  </si>
  <si>
    <t>En  actividades que redunden en beneficio de la inspeccion</t>
  </si>
  <si>
    <t>SEXO DEL PERSONAL FEMENINO</t>
  </si>
  <si>
    <t>ZONA ESCOLAR 043</t>
  </si>
  <si>
    <t>OFICINA: 8 40 17 45 EXT. 109</t>
  </si>
  <si>
    <t>MARCELO D. ESCAMILLA HUCHIM</t>
  </si>
  <si>
    <t>DIRECCION</t>
  </si>
  <si>
    <t>TELEFONO</t>
  </si>
  <si>
    <t>ALBERTO SOLORZANO GARCIA</t>
  </si>
  <si>
    <t>SM-513  MZA-10  LTE-02 COL-BOSQUE SAN MIGUEL</t>
  </si>
  <si>
    <t>ABIGAIL CARRILLO CHUC</t>
  </si>
  <si>
    <t>REG-96  MZA-84  LTE-04</t>
  </si>
  <si>
    <t>OSCAR GONZALEZ MARTINEZ</t>
  </si>
  <si>
    <t>REG-96  MZA-123  LTE-12</t>
  </si>
  <si>
    <t>ABRIL SALDIVAR CONCHA</t>
  </si>
  <si>
    <t>SM-48  MZA-9  LTE-  E-1D  C-SUCHIAPA COL- PUERTA DEL SOL</t>
  </si>
  <si>
    <t>NILVIA MARIA PECH EK</t>
  </si>
  <si>
    <t>RG-96  MZA-40  C-16A  E-1421</t>
  </si>
  <si>
    <t>GRISELDA MOJICA VARGAS</t>
  </si>
  <si>
    <t>RG-96  MZA-40  E-1416  DEPTO-F</t>
  </si>
  <si>
    <t>LUIS SANCHEZ MARTINEZ</t>
  </si>
  <si>
    <t>MZA-58  LTE-18  C-46 COL-CECILIO CHI</t>
  </si>
  <si>
    <t>BEATRIZ ADRIANA CRUZ GARCIA</t>
  </si>
  <si>
    <t>RG-510  MZA-44  LTE-19  COL-JACEINTO PAT</t>
  </si>
  <si>
    <t>NORMA LETICIA TELLEZ LOPEZ</t>
  </si>
  <si>
    <t>SM-50  MZA-13   E-A  DPTO-103</t>
  </si>
  <si>
    <t>MIRIAN AIDA GREGOIRE SANDOVAL</t>
  </si>
  <si>
    <t>SM-505  MZA-4  C-CHOLUL</t>
  </si>
  <si>
    <t>JOSE MANUEL PEDRAZA JIMENEZ</t>
  </si>
  <si>
    <t>RG-223  AV-GONZALO GUERRERO  C-9</t>
  </si>
  <si>
    <t>RAQUEL PEREZ GOMEZ</t>
  </si>
  <si>
    <t>RG-95  MZA-96  LTE-8</t>
  </si>
  <si>
    <t>BENJAMIN SANCHEZ GONZALEZ</t>
  </si>
  <si>
    <t>MZA-10  LTE- 3 EDIF-BUGAMBILIA DPTO-205</t>
  </si>
  <si>
    <t>DIANA ANGELICA DAVALOS CASTILLO</t>
  </si>
  <si>
    <t>RG-503  MZA-37  PRIV.-VALDIVIA  NUM-49</t>
  </si>
  <si>
    <t>CECILIA PATRICIA SANCHEZ ROJAS</t>
  </si>
  <si>
    <t>PRIV-S/N POR C-ENCINO MZA-35  LTE-10 ALAMOS II</t>
  </si>
  <si>
    <t>RESUMEN  DE  INSCRIPCIONES  POR  CENTRO  DE  TRABAJO</t>
  </si>
  <si>
    <t>DESERT. Y PROV.     DE OTRAS    ESCUELAS</t>
  </si>
  <si>
    <t>TOTAL ALUMNOS</t>
  </si>
  <si>
    <t>TOTAL GRUPOS</t>
  </si>
  <si>
    <t>TOTAL DOCENTES POR GRADO</t>
  </si>
  <si>
    <t>NOMBRE DEL (LOS) MAESTRO (S) CON E-3</t>
  </si>
  <si>
    <t>CLAVE PLAZA</t>
  </si>
  <si>
    <t>NOMBRE Y FIRMA DEL DIRECTOR</t>
  </si>
  <si>
    <t>NOMBRE Y FIRMA DEL SUPERVISOR</t>
  </si>
  <si>
    <t>MAESTROS POR GRUPO</t>
  </si>
  <si>
    <t>CONTROL</t>
  </si>
  <si>
    <t>PREESCOLAR FORMAL</t>
  </si>
  <si>
    <t>PRIMARIA FORMAL</t>
  </si>
  <si>
    <t>SECRETARIA DE EDUCACION PRIMARIA</t>
  </si>
  <si>
    <t>PREESCOLAR INDIGENA</t>
  </si>
  <si>
    <t>PRIMARIA INDIGENA</t>
  </si>
  <si>
    <t xml:space="preserve">RESUMEN DE INSCRIPCION POR ZONA ESCOLAR </t>
  </si>
  <si>
    <t>PREESCOLAR CONAFE</t>
  </si>
  <si>
    <t>PRIMARIA CONAFE</t>
  </si>
  <si>
    <t xml:space="preserve">PERIODO ESCOLAR </t>
  </si>
  <si>
    <t xml:space="preserve">ZONA ESCOLAR    </t>
  </si>
  <si>
    <t>No. ORD</t>
  </si>
  <si>
    <t>NOMBRE DE LA ESCUELA</t>
  </si>
  <si>
    <t>LOCALIDAD</t>
  </si>
  <si>
    <t>EXISTENCIA</t>
  </si>
  <si>
    <t>INSC. FEB.</t>
  </si>
  <si>
    <t>DIFER.</t>
  </si>
  <si>
    <t>1° PRIM.</t>
  </si>
  <si>
    <t>PREES.  TOTAL</t>
  </si>
  <si>
    <t>FIRMA DEL SUPERVISOR</t>
  </si>
  <si>
    <t>C. C. T.:</t>
  </si>
  <si>
    <t>DOMICILIO</t>
  </si>
  <si>
    <t>MUNICIPIO</t>
  </si>
  <si>
    <t>PRIMARIA GENERAL</t>
  </si>
  <si>
    <t>HONOR.</t>
  </si>
  <si>
    <t>CONSTRUIDO</t>
  </si>
  <si>
    <t>ADAPTADO</t>
  </si>
  <si>
    <t>CUENTA CON</t>
  </si>
  <si>
    <t>EDIFICIO</t>
  </si>
  <si>
    <t>TELEFONO:</t>
  </si>
  <si>
    <t>E-MAIL</t>
  </si>
  <si>
    <t xml:space="preserve">    RECURSOS HUMANOS EXISTENTES EN LAS SUPERVISIONES DE ZONA</t>
  </si>
  <si>
    <t>NOMBRE, FIRMA Y SELLO DEL SUPERVISOR</t>
  </si>
  <si>
    <t>MUNICIPIO.</t>
  </si>
  <si>
    <t>CANCUN QUINTANA ROO A 22 DE FEBRERO DE 2011</t>
  </si>
  <si>
    <t>SERVICIOS EDUCATIVOS DE  QUINTANA ROO</t>
  </si>
  <si>
    <t>RECURSOS HUMANOS EXISTENTES POR CENTRO DE TRABAJO</t>
  </si>
  <si>
    <t>PERIODO  ESCOLAR</t>
  </si>
  <si>
    <r>
      <t>T O T A L</t>
    </r>
    <r>
      <rPr>
        <b/>
        <sz val="7"/>
        <color indexed="9"/>
        <rFont val="Arial"/>
        <family val="2"/>
      </rPr>
      <t>….</t>
    </r>
  </si>
  <si>
    <r>
      <rPr>
        <b/>
        <sz val="6"/>
        <color indexed="9"/>
        <rFont val="Arial"/>
        <family val="2"/>
      </rPr>
      <t xml:space="preserve">  </t>
    </r>
    <r>
      <rPr>
        <b/>
        <sz val="6"/>
        <rFont val="Arial"/>
        <family val="2"/>
      </rPr>
      <t xml:space="preserve">TURNO:  </t>
    </r>
  </si>
  <si>
    <t>ARJONA</t>
  </si>
  <si>
    <t>SANTOYO</t>
  </si>
  <si>
    <t>MARCO ANTONIO</t>
  </si>
  <si>
    <t>2°</t>
  </si>
  <si>
    <r>
      <t xml:space="preserve">k)  Formas  </t>
    </r>
    <r>
      <rPr>
        <b/>
        <sz val="11"/>
        <rFont val="Arial"/>
        <family val="2"/>
      </rPr>
      <t xml:space="preserve">CAP-2 </t>
    </r>
    <r>
      <rPr>
        <sz val="11"/>
        <rFont val="Arial"/>
        <family val="2"/>
      </rPr>
      <t xml:space="preserve"> anexando certificados  no</t>
    </r>
  </si>
  <si>
    <t xml:space="preserve">     entregados e incorrectos.</t>
  </si>
  <si>
    <t>n)  Documentación que acredite la concesión</t>
  </si>
  <si>
    <t xml:space="preserve">    el receso de actividades docentes</t>
  </si>
  <si>
    <t>DELTI ALEJANDRA</t>
  </si>
  <si>
    <t>PORFIRIO</t>
  </si>
  <si>
    <t>MARIA ANTONIETA</t>
  </si>
  <si>
    <t>LAURA</t>
  </si>
  <si>
    <t>DELGADO</t>
  </si>
  <si>
    <t>TORRES</t>
  </si>
  <si>
    <t xml:space="preserve">ARQUIETA </t>
  </si>
  <si>
    <t>HERNANDEZ</t>
  </si>
  <si>
    <t>ORDOÑEZ</t>
  </si>
  <si>
    <t>SIERRA</t>
  </si>
  <si>
    <t>RAJON</t>
  </si>
  <si>
    <t>Cancún Benito Juárez Quintana Roo a</t>
  </si>
  <si>
    <t>DIRECTOR (A):</t>
  </si>
  <si>
    <t>Z.E.:</t>
  </si>
  <si>
    <t>EL (LA) PROF. (A):</t>
  </si>
  <si>
    <t>JOSE LUIS LAVADORES MONTERO</t>
  </si>
  <si>
    <t>CEL- 99 88 60 03 81</t>
  </si>
  <si>
    <t>macelo_dam69@hotmail.com</t>
  </si>
  <si>
    <t>99 81 59 15 19</t>
  </si>
  <si>
    <t>HERVE AZAEL AGUILAR CRUZ</t>
  </si>
  <si>
    <t>ANA CECILIA VEGA GONZALEZ</t>
  </si>
  <si>
    <t>POR SU DESTACADA PARTICIPACIÓN COMO JURADO EN EL II INTERCAMBIO</t>
  </si>
  <si>
    <t>FASE: ZONA ESCOLAR</t>
  </si>
  <si>
    <t>Power Point Interactiva</t>
  </si>
  <si>
    <t>Power Point con sonido</t>
  </si>
  <si>
    <t>Power Point lineal</t>
  </si>
  <si>
    <t>Power Point Lineal</t>
  </si>
  <si>
    <t>Power Point Lineal buena estructura</t>
  </si>
  <si>
    <t>Power  Point Lineal</t>
  </si>
  <si>
    <t>Asesor Tecnico Pedagogico de la Jefatura 003</t>
  </si>
  <si>
    <t>Asesor Tecnico Pedagogico de la Jefatura 004</t>
  </si>
  <si>
    <t>Tecnología Educativa</t>
  </si>
  <si>
    <t>Director de la Escuela Primaria</t>
  </si>
  <si>
    <t>Maestro de Grupo</t>
  </si>
  <si>
    <t>Invitado Especial</t>
  </si>
  <si>
    <t>Inspector Escolar de la Zona 042</t>
  </si>
  <si>
    <t>Inspector Escolar de la Zona 043</t>
  </si>
  <si>
    <t>Jefe de Sector 004 de Educ. Prim.</t>
  </si>
  <si>
    <t>Jefa de Sector 003 de Educ. Prim.</t>
  </si>
  <si>
    <t>ORGANIZACIÓN:</t>
  </si>
  <si>
    <t>SOSTENIMIENTO:</t>
  </si>
  <si>
    <t>NOMBRE DEL INSPECTOR o ATP.</t>
  </si>
  <si>
    <t>GUÍA DE VISITA DE SUPERVISIÓN  DE CARÁCTER FORMATIVA</t>
  </si>
  <si>
    <t>Servicios Educativos de Quintana Roo</t>
  </si>
  <si>
    <t>Dirección de Educación Básica</t>
  </si>
  <si>
    <t>Subdirección de Educación Primaria</t>
  </si>
  <si>
    <t>Jefaturas de Sector</t>
  </si>
  <si>
    <t>DIMENSIÓN PEDAGÓGICA</t>
  </si>
  <si>
    <t>Complemente o seleccione de manera objetiva, las interrogantes planteadas  con el fin de conocer y</t>
  </si>
  <si>
    <t>centro educativo.       ,</t>
  </si>
  <si>
    <t>1° “A”</t>
  </si>
  <si>
    <t>2° “A”</t>
  </si>
  <si>
    <t>3° “A”</t>
  </si>
  <si>
    <t>4° “A”</t>
  </si>
  <si>
    <t>5° “A”</t>
  </si>
  <si>
    <t>6° “A”</t>
  </si>
  <si>
    <t>1° “B”</t>
  </si>
  <si>
    <t>2° “B”</t>
  </si>
  <si>
    <t>3° “B”</t>
  </si>
  <si>
    <t>4° “B”</t>
  </si>
  <si>
    <t>5° “B”</t>
  </si>
  <si>
    <t>6° “B”</t>
  </si>
  <si>
    <t>1° “C”</t>
  </si>
  <si>
    <t>2° “C”</t>
  </si>
  <si>
    <t>3° “C”</t>
  </si>
  <si>
    <t>4° “C”</t>
  </si>
  <si>
    <t>5° “C”</t>
  </si>
  <si>
    <t>6° “C”</t>
  </si>
  <si>
    <t>Registre las formas de planeación didáctica que los docentes desarrollan en el proceso de enseñanza</t>
  </si>
  <si>
    <t>En forma generalizada, registre qué aspectos toman en cuenta en su planificación.</t>
  </si>
  <si>
    <t>las actividades educativas que se desarrollan en cada centro educativo.</t>
  </si>
  <si>
    <t>planeación didáctica con la finalidad de conocer y sistematizar información oportuna y necesaria sobre</t>
  </si>
  <si>
    <t>TOTALMENTE</t>
  </si>
  <si>
    <t>PARCIALMENTE</t>
  </si>
  <si>
    <t>a</t>
  </si>
  <si>
    <t>Toma en cuenta lo conocimientos previos de los alumnos.</t>
  </si>
  <si>
    <t>b</t>
  </si>
  <si>
    <t>Atiende la diversidad y los ritmos de aprendizaje de sus  alumnos.</t>
  </si>
  <si>
    <t>c</t>
  </si>
  <si>
    <t>Selecciona y aplica estrategias didácticas de acuerdo a las necesidades de aprendizaje de los estudiantes.</t>
  </si>
  <si>
    <t>d</t>
  </si>
  <si>
    <t>Las competencias a desarrollar se dan en una transversalidad y de acuerdo a los estándares planteados en el PAT</t>
  </si>
  <si>
    <t>e</t>
  </si>
  <si>
    <t>Considera la transversalidad y la gradualidad en los temas regionales ya sean de la currícula o de su experiencia docente</t>
  </si>
  <si>
    <t>f</t>
  </si>
  <si>
    <t>Se plantean problemáticas específicas para el tratamiento de contenidos en los diferentes grados y de manera colegiada y colaborativa se dan sugerencias y recomendaciones.</t>
  </si>
  <si>
    <t>g</t>
  </si>
  <si>
    <t>Aplica técnicas o dinámicas grupales de interés para los alumnos</t>
  </si>
  <si>
    <t>h</t>
  </si>
  <si>
    <t>Considera el uso de los libros de texto y material didáctico</t>
  </si>
  <si>
    <t>i</t>
  </si>
  <si>
    <t>Verifique si existe congruencia entre el plan de clases y el PAT</t>
  </si>
  <si>
    <t>j</t>
  </si>
  <si>
    <t>Se da seguimiento al PAT.</t>
  </si>
  <si>
    <t>Describa los avances en el desarrollo de las actividades contempladas en el PAT.</t>
  </si>
  <si>
    <t>Registre una síntesis de los obstáculos y limitaciones del docente para elaborar su planeación didáctica y</t>
  </si>
  <si>
    <t>estrategias para superarlos.</t>
  </si>
  <si>
    <t xml:space="preserve">6.-  </t>
  </si>
  <si>
    <r>
      <t xml:space="preserve">Señale con una  </t>
    </r>
    <r>
      <rPr>
        <sz val="10"/>
        <rFont val="Arial"/>
        <family val="2"/>
      </rPr>
      <t>✓</t>
    </r>
    <r>
      <rPr>
        <b/>
        <sz val="10"/>
        <rFont val="Arial"/>
        <family val="2"/>
      </rPr>
      <t xml:space="preserve"> las características del estilo de enseñanza.</t>
    </r>
  </si>
  <si>
    <t>ASPECTOS</t>
  </si>
  <si>
    <t>INDICADORES</t>
  </si>
  <si>
    <r>
      <t>1.</t>
    </r>
    <r>
      <rPr>
        <b/>
        <sz val="7"/>
        <rFont val="Times New Roman"/>
        <family val="1"/>
      </rPr>
      <t xml:space="preserve">     </t>
    </r>
    <r>
      <rPr>
        <b/>
        <sz val="8"/>
        <rFont val="Arial"/>
        <family val="2"/>
      </rPr>
      <t>Material didáctico utilizado.</t>
    </r>
  </si>
  <si>
    <r>
      <t>2.</t>
    </r>
    <r>
      <rPr>
        <b/>
        <sz val="7"/>
        <rFont val="Times New Roman"/>
        <family val="1"/>
      </rPr>
      <t xml:space="preserve">     </t>
    </r>
    <r>
      <rPr>
        <b/>
        <sz val="8"/>
        <rFont val="Arial"/>
        <family val="2"/>
      </rPr>
      <t>Textos utilizados.</t>
    </r>
  </si>
  <si>
    <r>
      <t>3.</t>
    </r>
    <r>
      <rPr>
        <b/>
        <sz val="7"/>
        <rFont val="Times New Roman"/>
        <family val="1"/>
      </rPr>
      <t xml:space="preserve">     </t>
    </r>
    <r>
      <rPr>
        <b/>
        <sz val="8"/>
        <rFont val="Arial"/>
        <family val="2"/>
      </rPr>
      <t>Forma de enseñanza.</t>
    </r>
  </si>
  <si>
    <r>
      <t>4.</t>
    </r>
    <r>
      <rPr>
        <b/>
        <sz val="7"/>
        <rFont val="Times New Roman"/>
        <family val="1"/>
      </rPr>
      <t xml:space="preserve">     </t>
    </r>
    <r>
      <rPr>
        <b/>
        <sz val="8"/>
        <rFont val="Arial"/>
        <family val="2"/>
      </rPr>
      <t>Aplicación de los 900 segundos de lectura.</t>
    </r>
  </si>
  <si>
    <r>
      <t>5.</t>
    </r>
    <r>
      <rPr>
        <b/>
        <sz val="7"/>
        <rFont val="Times New Roman"/>
        <family val="1"/>
      </rPr>
      <t xml:space="preserve">     </t>
    </r>
    <r>
      <rPr>
        <b/>
        <sz val="8"/>
        <rFont val="Arial"/>
        <family val="2"/>
      </rPr>
      <t>Organización del grupo</t>
    </r>
  </si>
  <si>
    <r>
      <t>6.</t>
    </r>
    <r>
      <rPr>
        <b/>
        <sz val="7"/>
        <rFont val="Times New Roman"/>
        <family val="1"/>
      </rPr>
      <t xml:space="preserve">     </t>
    </r>
    <r>
      <rPr>
        <b/>
        <sz val="8"/>
        <rFont val="Arial"/>
        <family val="2"/>
      </rPr>
      <t>Lenguaje utilizado.</t>
    </r>
  </si>
  <si>
    <r>
      <t>7.</t>
    </r>
    <r>
      <rPr>
        <b/>
        <sz val="7"/>
        <rFont val="Times New Roman"/>
        <family val="1"/>
      </rPr>
      <t xml:space="preserve">     </t>
    </r>
    <r>
      <rPr>
        <b/>
        <sz val="8"/>
        <rFont val="Arial"/>
        <family val="2"/>
      </rPr>
      <t>Estímulo al trabajo de los alumnos.</t>
    </r>
  </si>
  <si>
    <r>
      <t>8.</t>
    </r>
    <r>
      <rPr>
        <b/>
        <sz val="7"/>
        <rFont val="Times New Roman"/>
        <family val="1"/>
      </rPr>
      <t xml:space="preserve">     </t>
    </r>
    <r>
      <rPr>
        <b/>
        <sz val="8"/>
        <rFont val="Arial"/>
        <family val="2"/>
      </rPr>
      <t>Actividades Extraescolares.</t>
    </r>
  </si>
  <si>
    <r>
      <t>9.</t>
    </r>
    <r>
      <rPr>
        <b/>
        <sz val="7"/>
        <rFont val="Times New Roman"/>
        <family val="1"/>
      </rPr>
      <t xml:space="preserve">     </t>
    </r>
    <r>
      <rPr>
        <b/>
        <sz val="8"/>
        <rFont val="Arial"/>
        <family val="2"/>
      </rPr>
      <t>Revisión de tareas.</t>
    </r>
  </si>
  <si>
    <r>
      <t>10.</t>
    </r>
    <r>
      <rPr>
        <b/>
        <sz val="7"/>
        <rFont val="Times New Roman"/>
        <family val="1"/>
      </rPr>
      <t xml:space="preserve">   </t>
    </r>
    <r>
      <rPr>
        <b/>
        <sz val="8"/>
        <rFont val="Arial"/>
        <family val="2"/>
      </rPr>
      <t>Fomento de los valores.</t>
    </r>
  </si>
  <si>
    <r>
      <t>11.</t>
    </r>
    <r>
      <rPr>
        <b/>
        <sz val="7"/>
        <rFont val="Times New Roman"/>
        <family val="1"/>
      </rPr>
      <t xml:space="preserve">   </t>
    </r>
    <r>
      <rPr>
        <b/>
        <sz val="8"/>
        <rFont val="Arial"/>
        <family val="2"/>
      </rPr>
      <t>Uso de Materiales y equipos tecnológicos</t>
    </r>
  </si>
  <si>
    <r>
      <t>12.</t>
    </r>
    <r>
      <rPr>
        <b/>
        <sz val="7"/>
        <rFont val="Times New Roman"/>
        <family val="1"/>
      </rPr>
      <t xml:space="preserve">   </t>
    </r>
    <r>
      <rPr>
        <b/>
        <sz val="8"/>
        <rFont val="Arial"/>
        <family val="2"/>
      </rPr>
      <t>Adaptación y ambientación del aula.</t>
    </r>
  </si>
  <si>
    <t>Comprado</t>
  </si>
  <si>
    <t>Elaborado</t>
  </si>
  <si>
    <t>Ninguno</t>
  </si>
  <si>
    <t>Nacional</t>
  </si>
  <si>
    <t>Regional</t>
  </si>
  <si>
    <t>Expositiva</t>
  </si>
  <si>
    <t>Libre</t>
  </si>
  <si>
    <t>Facilitador</t>
  </si>
  <si>
    <t>Dirigida</t>
  </si>
  <si>
    <t>No se hace</t>
  </si>
  <si>
    <t>Individual</t>
  </si>
  <si>
    <t>Equipo</t>
  </si>
  <si>
    <t>General</t>
  </si>
  <si>
    <t>Español</t>
  </si>
  <si>
    <t>Maya</t>
  </si>
  <si>
    <t>Bilingüe</t>
  </si>
  <si>
    <t>Siempre</t>
  </si>
  <si>
    <t>A veces</t>
  </si>
  <si>
    <t>Nunca</t>
  </si>
  <si>
    <t>Especiales. (NEE).</t>
  </si>
  <si>
    <t>Registre brevemente las actividades realizadas para atender a las niñas y los niños con Necesidades Educativas</t>
  </si>
  <si>
    <t>Comente sobre las técnicas e instrumentos utilizados para evaluar el aprendizaje de los alumnos.</t>
  </si>
  <si>
    <t>Criterios que se toma en cuenta al evaluar el aprendizaje de los alumnos.</t>
  </si>
  <si>
    <t>Registre si se le da el uso apropiado al Control de Asistencia y Evaluación de los alumnos</t>
  </si>
  <si>
    <t>Recomendaciones y sugerencias.</t>
  </si>
  <si>
    <t>Registre los resultados obtenidos en el cumplimiento del PETE Y PAT  y sus resultados.</t>
  </si>
  <si>
    <t>ACCIONES</t>
  </si>
  <si>
    <t>ACTIVIDADES/RESULTADOS</t>
  </si>
  <si>
    <t>Actividades realizadas con la participación de los padres de familia.</t>
  </si>
  <si>
    <t>Estrategias de planeación.</t>
  </si>
  <si>
    <t>Comisiones asignadas al personal de la escuela</t>
  </si>
  <si>
    <t>Estrategias de evaluación.</t>
  </si>
  <si>
    <t>Acuerdos y compromisos con los comités de apoyo de la escuela.</t>
  </si>
  <si>
    <t>Temas y contenidos tratados en el Consejo Técnico Escolar.</t>
  </si>
  <si>
    <t>Revisión de contenidos y enfoques</t>
  </si>
  <si>
    <t>Analice las siguientes cuestiones y registre su respuesta:</t>
  </si>
  <si>
    <r>
      <t>b)</t>
    </r>
    <r>
      <rPr>
        <b/>
        <sz val="7"/>
        <rFont val="Times New Roman"/>
        <family val="1"/>
      </rPr>
      <t xml:space="preserve">    </t>
    </r>
    <r>
      <rPr>
        <b/>
        <sz val="11"/>
        <rFont val="Arial"/>
        <family val="2"/>
      </rPr>
      <t>Se implementan medidas para cumplir con el calendario escolar y el horario establecido para las actividades.</t>
    </r>
  </si>
  <si>
    <r>
      <t>c)</t>
    </r>
    <r>
      <rPr>
        <b/>
        <sz val="7"/>
        <rFont val="Times New Roman"/>
        <family val="1"/>
      </rPr>
      <t xml:space="preserve">    </t>
    </r>
    <r>
      <rPr>
        <b/>
        <sz val="11"/>
        <rFont val="Arial"/>
        <family val="2"/>
      </rPr>
      <t>Se fomenta la armonía y el respeto en el colectivo escolar.</t>
    </r>
  </si>
  <si>
    <t>Ocasionalmente</t>
  </si>
  <si>
    <t>Constantemente</t>
  </si>
  <si>
    <r>
      <t>d)</t>
    </r>
    <r>
      <rPr>
        <b/>
        <sz val="7"/>
        <rFont val="Times New Roman"/>
        <family val="1"/>
      </rPr>
      <t xml:space="preserve">    </t>
    </r>
    <r>
      <rPr>
        <b/>
        <sz val="11"/>
        <rFont val="Arial"/>
        <family val="2"/>
      </rPr>
      <t xml:space="preserve">En las reuniones de Consejo Técnico Escolar se orienta al personal docente sobre la reorganización de la currícula por competencias en cuanto a la integralidad, propósitos, enfoques.             </t>
    </r>
  </si>
  <si>
    <r>
      <t>a)</t>
    </r>
    <r>
      <rPr>
        <b/>
        <sz val="7"/>
        <rFont val="Times New Roman"/>
        <family val="1"/>
      </rPr>
      <t xml:space="preserve">    </t>
    </r>
    <r>
      <rPr>
        <b/>
        <sz val="11"/>
        <rFont val="Arial"/>
        <family val="2"/>
      </rPr>
      <t>En las reuniones de Consejo Técnico Escolar              se promueve la utilización de los materiales didácticos con que cuenta el centro escolar.</t>
    </r>
  </si>
  <si>
    <t>En el ámbito de la teoría padagógica y de la práctica</t>
  </si>
  <si>
    <t>COMPLETA</t>
  </si>
  <si>
    <t>CANCUN BENITO JUAREZ</t>
  </si>
  <si>
    <t>GUÍA DE VISITA DE SUPERVISIÓN  DE CARÁCTER EVALUATIVA (FINAL)</t>
  </si>
  <si>
    <r>
      <t xml:space="preserve">INSTRUCCIONES:  Señale con una  </t>
    </r>
    <r>
      <rPr>
        <b/>
        <sz val="12"/>
        <rFont val="Arial Unicode MS"/>
        <family val="2"/>
      </rPr>
      <t>✓</t>
    </r>
    <r>
      <rPr>
        <b/>
        <sz val="12"/>
        <rFont val="Arial"/>
        <family val="2"/>
      </rPr>
      <t xml:space="preserve">  los indicadors de cada aspecto presentado en las</t>
    </r>
  </si>
  <si>
    <t>SIEMPRE</t>
  </si>
  <si>
    <t>FRECUENTEMENTE</t>
  </si>
  <si>
    <t>OCACIONALMENTE</t>
  </si>
  <si>
    <t>NUNCA</t>
  </si>
  <si>
    <t>Durante su practica los docentes demostraron un dominio pleno de los enfoques curriculares, Plan y Programas de estudio</t>
  </si>
  <si>
    <t>Las experiencias de aprendizaje propiciadas por los docentes ofrecieron a los estudiantes oportunidades diferenciadas en funsion de sus diversas capacidades, aptitudes, estilos y ritmos.</t>
  </si>
  <si>
    <t>Los docentes demostraron confianza en las capacidades de los estudiantes, estimulando constantemente sus avances, esfuerzos y logros</t>
  </si>
  <si>
    <t>Los alumnos se organizaron y participaron activamente en las tareas sustantivas de la escuela, desarrollando conocimientos, actitudes y valores propiciados por las condiciones favorables creadas por los docentes.</t>
  </si>
  <si>
    <t>Los alumnos demostraron un incremento en sus habilidades de rezonamiento  logico-matematico en la solucion de problemas de su cotidianeidad.</t>
  </si>
  <si>
    <t>Los alumnos demostraron un incremento en sus habilidades comunicativas, que se manifesto en una participacion activa, critica y creativa.</t>
  </si>
  <si>
    <t>Los docentes desarrollaron un evaluacion formativa, continua y permanente que considera tanto los logros obtenidos por los alumnos como los procesos de enseñanza-aprendizaje en conjunto.</t>
  </si>
  <si>
    <t>DIMENSIÓN ORGANIZATIVA</t>
  </si>
  <si>
    <t>DIMENSIÓN ADMINISTRATIVA</t>
  </si>
  <si>
    <t>DIMENSIÓN COMUNITARIA Y DE PARTICIPACION SOCIAL</t>
  </si>
  <si>
    <t>La escuela establecio vinculos con la comunidad.</t>
  </si>
  <si>
    <t>Los docentes y directivos realizaron acciones para promover la participacion de los padres de familia y demas mienbros de la comunidad en el desarrollo delos procesos educativos, procurando aprovechar sus capacidades y saberes mas alla de sus recursos economicos y materiales.</t>
  </si>
  <si>
    <t xml:space="preserve">El personal, los padres de familia y miembros de la comunidad, participaron en la toma de decisiones y ejecucion de acciones en beneficio del centro escolar. </t>
  </si>
  <si>
    <t>La escuela se habrio a la sociedad, le rindio cuentas de su desempeño e informo sobre las acciones que se realizaron con los recursos economicos.</t>
  </si>
  <si>
    <t>✓</t>
  </si>
  <si>
    <t>Los instrumentos de evaluacion que eldocente aplico a los alumnos reflejan y evidencian el logro del aprovechamiento escolar.</t>
  </si>
  <si>
    <t>Eldocente cumplio con la realizacion de actividades para el logros de las metas PAT.</t>
  </si>
  <si>
    <t>Se definienron estrategias de seguimiento para el uso optimo de los resultados de evaluacion de los perfiles de egreso de los niños.</t>
  </si>
  <si>
    <t>Los docentes utilizaron en forma permanente los recursos tecnologicos de informacion y comunicación en el proceso de enseñanza-aprendizaje.</t>
  </si>
  <si>
    <t>Dtor(a)  de la Esc. (Nombre y Firma)</t>
  </si>
  <si>
    <t>Inspector (a). (Nombre y Firma)</t>
  </si>
  <si>
    <t>Se cumplio adecuadamente con el calendario y horario escolar.</t>
  </si>
  <si>
    <t>La ountualidad y asistencia de los alumnos presento porcentajes satisfactorios.</t>
  </si>
  <si>
    <t>La escuela mejoro sus condiciones de infroestructura y material para llevar a cabo eficazmente sus labores: aulas en buen estado, mobiliario y equipo adecuado a los procesos modernos de enseñanza aprendizaje y recursos didácticos necesarios.</t>
  </si>
  <si>
    <t>El personal directivo, docente y de apoyo trabajó como un equipo integrado con intereses afines y metas comunes.</t>
  </si>
  <si>
    <t>Los padres de familia se organizaron y participaron en las tareas educativas con los docentes, son informados con regularidad sobre el progreso y rendimiento de sus hijos y tuvieron espacios para expresar inquietudes y sugerencias.</t>
  </si>
  <si>
    <t>La escuela participo en una red de intercambio con otros escuelas o institucionesde la comunidad.</t>
  </si>
  <si>
    <t>El docente adecuo su planeacion para la atencion de los niños con necesidades educativas especiales.</t>
  </si>
  <si>
    <t>NOMBRE  DEL  DIRECTOR:</t>
  </si>
  <si>
    <t>NOMBRE DEL INSPECTOR:</t>
  </si>
  <si>
    <t>11007831200.0 E0281230964</t>
  </si>
  <si>
    <t>SM-502  MZA-4  LTE-20</t>
  </si>
  <si>
    <t>KINI</t>
  </si>
  <si>
    <t>SM-502  MZA-4  LTE-21</t>
  </si>
  <si>
    <t>SM-502  MZA-4  LTE-1</t>
  </si>
  <si>
    <t>AV DEL BOSQUE</t>
  </si>
  <si>
    <t>En el mejoramiento del medio.</t>
  </si>
  <si>
    <t>Capacidad de Docencia de Dirección o de Supervisión</t>
  </si>
  <si>
    <t>a)  Calidad y cantidad en el cumplimiento de la labor</t>
  </si>
  <si>
    <t>b)  Técnica y organización del trabajo.</t>
  </si>
  <si>
    <t>En otros ámbitos de la cultura y de la</t>
  </si>
  <si>
    <t>vida social.</t>
  </si>
  <si>
    <t>En el cumplimiento de sus funciones</t>
  </si>
  <si>
    <t>específicas.</t>
  </si>
  <si>
    <t>La escuela impulso procesos de gestion afectiva para favorecer la corresponsabilidad del colectivo escolar, de la comunidad y de la sociedad en general para el logro de mejores aprendizajes.</t>
  </si>
  <si>
    <t>sistematizar información oportuna y necesaria  sobre las actividades  educativas que se desarrollan en el</t>
  </si>
  <si>
    <t>Por proyectos didacticos, aplicando la transversalizacion de areas</t>
  </si>
  <si>
    <t>AOSM620706-NT9</t>
  </si>
  <si>
    <t>11007831200.0 E0281230371</t>
  </si>
  <si>
    <t>SM-95  MZA-115  LTE-9</t>
  </si>
  <si>
    <t>CARDEÑA</t>
  </si>
  <si>
    <t>LIDIA ESMERALDA</t>
  </si>
  <si>
    <t>REGION 96</t>
  </si>
  <si>
    <t>JACINTO PAAT</t>
  </si>
  <si>
    <t>CENTRO</t>
  </si>
  <si>
    <t>FIANZA</t>
  </si>
  <si>
    <t>CUOTA</t>
  </si>
  <si>
    <t>DATOS DEL CICLO ESCOLAR 2010-2011</t>
  </si>
  <si>
    <t>RELACION DE PRESIDENTES DE LAS ASOCIACIONES DE PADRES DE FAMILIA</t>
  </si>
  <si>
    <t>e) Formas CREL - 2</t>
  </si>
  <si>
    <r>
      <t xml:space="preserve">j)   Forma </t>
    </r>
    <r>
      <rPr>
        <b/>
        <sz val="11"/>
        <rFont val="Arial"/>
        <family val="2"/>
      </rPr>
      <t>CREL-2</t>
    </r>
  </si>
  <si>
    <t>PROYECTOS DIDACTICOS (COMPETENCIAS)</t>
  </si>
  <si>
    <r>
      <t xml:space="preserve">Seleccione con una </t>
    </r>
    <r>
      <rPr>
        <b/>
        <sz val="8"/>
        <rFont val="Arial"/>
        <family val="2"/>
      </rPr>
      <t>✓</t>
    </r>
    <r>
      <rPr>
        <b/>
        <sz val="10"/>
        <rFont val="Arial"/>
        <family val="2"/>
      </rPr>
      <t xml:space="preserve"> de manera objetiva los criterios que toman en cuenta los docentes para realizar su</t>
    </r>
  </si>
  <si>
    <t>NO TIENE PARCELA ESCOLAR</t>
  </si>
  <si>
    <t>OFICIO INTENEDENTE</t>
  </si>
  <si>
    <t>NO APLICA</t>
  </si>
  <si>
    <t>SI APLICA</t>
  </si>
  <si>
    <t>Utiliza otros apoyos  (Enciclomedia)</t>
  </si>
  <si>
    <t>POLANCO</t>
  </si>
  <si>
    <t>APLICA</t>
  </si>
  <si>
    <r>
      <t xml:space="preserve">i)   Forma </t>
    </r>
    <r>
      <rPr>
        <b/>
        <sz val="11"/>
        <rFont val="Arial"/>
        <family val="2"/>
      </rPr>
      <t>RH-4</t>
    </r>
  </si>
  <si>
    <t>RELACION DE CONSECIONARIOS DE TIENDAS ESCOLARES</t>
  </si>
  <si>
    <t>(DATOS GENERALES) ESCUELAS DE LA ZONA 042</t>
  </si>
  <si>
    <t>T/M</t>
  </si>
  <si>
    <t>SELLO DE LA</t>
  </si>
  <si>
    <t>NOMBRE Y FIRMA DE RECIBIDO</t>
  </si>
  <si>
    <t>FECHA DE</t>
  </si>
  <si>
    <t>DIRECTOR DE LA ESCUELA</t>
  </si>
  <si>
    <t>RESPONSABLE DE CONTROL ESCOLAR</t>
  </si>
  <si>
    <t>ENTREGA</t>
  </si>
  <si>
    <t>INICIAL</t>
  </si>
  <si>
    <t>SECRETARIA DE EDUCACION DE QUINTANA ROO</t>
  </si>
  <si>
    <t>REPORTE DE ALTAS Y BAJAS</t>
  </si>
  <si>
    <t>CICLO ESCOLAR</t>
  </si>
  <si>
    <t>S/MOV</t>
  </si>
  <si>
    <t>PERIODO DEL</t>
  </si>
  <si>
    <t>AL</t>
  </si>
  <si>
    <t>NOMBRE   DEL   DIRECTOR:</t>
  </si>
  <si>
    <r>
      <t>aprendizaje.  (</t>
    </r>
    <r>
      <rPr>
        <b/>
        <sz val="10"/>
        <color rgb="FF008000"/>
        <rFont val="Arial"/>
        <family val="2"/>
      </rPr>
      <t>B</t>
    </r>
    <r>
      <rPr>
        <b/>
        <sz val="10"/>
        <rFont val="Arial"/>
        <family val="2"/>
      </rPr>
      <t>) bimestral,  (</t>
    </r>
    <r>
      <rPr>
        <b/>
        <sz val="10"/>
        <color rgb="FF33CC33"/>
        <rFont val="Arial"/>
        <family val="2"/>
      </rPr>
      <t>M</t>
    </r>
    <r>
      <rPr>
        <b/>
        <sz val="10"/>
        <rFont val="Arial"/>
        <family val="2"/>
      </rPr>
      <t>) mensual,  (</t>
    </r>
    <r>
      <rPr>
        <b/>
        <sz val="10"/>
        <color rgb="FF0000CC"/>
        <rFont val="Arial"/>
        <family val="2"/>
      </rPr>
      <t>Q</t>
    </r>
    <r>
      <rPr>
        <b/>
        <sz val="10"/>
        <rFont val="Arial"/>
        <family val="2"/>
      </rPr>
      <t>) quincenal,  (</t>
    </r>
    <r>
      <rPr>
        <b/>
        <sz val="10"/>
        <color rgb="FF0066FF"/>
        <rFont val="Arial"/>
        <family val="2"/>
      </rPr>
      <t>S</t>
    </r>
    <r>
      <rPr>
        <b/>
        <sz val="10"/>
        <rFont val="Arial"/>
        <family val="2"/>
      </rPr>
      <t>) semanal,  (</t>
    </r>
    <r>
      <rPr>
        <b/>
        <sz val="10"/>
        <color rgb="FFFF0000"/>
        <rFont val="Arial"/>
        <family val="2"/>
      </rPr>
      <t>D</t>
    </r>
    <r>
      <rPr>
        <b/>
        <sz val="10"/>
        <rFont val="Arial"/>
        <family val="2"/>
      </rPr>
      <t>) diario,  (</t>
    </r>
    <r>
      <rPr>
        <b/>
        <sz val="10"/>
        <color rgb="FFFF0000"/>
        <rFont val="Arial"/>
        <family val="2"/>
      </rPr>
      <t>O</t>
    </r>
    <r>
      <rPr>
        <b/>
        <sz val="10"/>
        <rFont val="Arial"/>
        <family val="2"/>
      </rPr>
      <t>) otra</t>
    </r>
  </si>
  <si>
    <r>
      <t>DIMENSIÓN ORGANIZATIVA</t>
    </r>
    <r>
      <rPr>
        <b/>
        <u/>
        <sz val="10"/>
        <color rgb="FF0000CC"/>
        <rFont val="Arial"/>
        <family val="2"/>
      </rPr>
      <t>.</t>
    </r>
  </si>
  <si>
    <r>
      <t>II.</t>
    </r>
    <r>
      <rPr>
        <b/>
        <sz val="12"/>
        <color rgb="FF0000CC"/>
        <rFont val="Calibri"/>
        <family val="2"/>
      </rPr>
      <t>ASPECTO TECNICO ADMINISTRATIVO</t>
    </r>
  </si>
  <si>
    <r>
      <t>I.</t>
    </r>
    <r>
      <rPr>
        <b/>
        <sz val="12"/>
        <color rgb="FF0000CC"/>
        <rFont val="Times New Roman"/>
        <family val="1"/>
      </rPr>
      <t> </t>
    </r>
    <r>
      <rPr>
        <b/>
        <sz val="12"/>
        <color rgb="FF0000CC"/>
        <rFont val="Calibri"/>
        <family val="2"/>
      </rPr>
      <t>ASPECTO TECNICO PEDAGOGICO</t>
    </r>
  </si>
  <si>
    <t>Septiembre</t>
  </si>
  <si>
    <t>CICLO   ESCOLAR</t>
  </si>
  <si>
    <t>DIRECCION DE LA ESC.</t>
  </si>
  <si>
    <t>T/V</t>
  </si>
  <si>
    <t>REPROBADOS</t>
  </si>
  <si>
    <t>MOTIVO</t>
  </si>
  <si>
    <t>DÍA</t>
  </si>
  <si>
    <t>MES</t>
  </si>
  <si>
    <t>AÑO</t>
  </si>
  <si>
    <t xml:space="preserve">Convocatoria del parlamento infantil, e invitacion a participar con los alumnos de 5º y 6º </t>
  </si>
  <si>
    <t>COORDINACION GENERAL DE ADMINISTRACION Y FINANZAS</t>
  </si>
  <si>
    <t>CURSO ESCOLAR:</t>
  </si>
  <si>
    <t>DIRECCION DE RECURSOS HUMANOS</t>
  </si>
  <si>
    <t xml:space="preserve">PLANTILLA  DE  PERSONAL  ACTUALIZADA  AL </t>
  </si>
  <si>
    <t>DE</t>
  </si>
  <si>
    <t>NOMBRE DEL C.T.:</t>
  </si>
  <si>
    <t>INSPECCION ESCOLAR</t>
  </si>
  <si>
    <t>23FIZ0042D</t>
  </si>
  <si>
    <t>DISCONTINUO</t>
  </si>
  <si>
    <t xml:space="preserve">UBICACION:  </t>
  </si>
  <si>
    <t>SM 55  MZA 33  LTE 23  NUMERO 394</t>
  </si>
  <si>
    <t xml:space="preserve">FECHA:  </t>
  </si>
  <si>
    <t>N°</t>
  </si>
  <si>
    <t>SEXO</t>
  </si>
  <si>
    <t>CLAVE PRESUPUESTAL</t>
  </si>
  <si>
    <t>FUNCIÓN QUE DESEMPEÑA</t>
  </si>
  <si>
    <t xml:space="preserve">CLAVE C. T. DE LA DOBLE PLAZA </t>
  </si>
  <si>
    <t>E.S.E.B.</t>
  </si>
  <si>
    <t>ARRAIGO</t>
  </si>
  <si>
    <t>NIVEL DE C/M</t>
  </si>
  <si>
    <t>TIPO  NOMBRAMIENTO</t>
  </si>
  <si>
    <t>FECHA DE INGRESO</t>
  </si>
  <si>
    <t>¾</t>
  </si>
  <si>
    <t>F.C.</t>
  </si>
  <si>
    <t>E-4</t>
  </si>
  <si>
    <t>PAREIB</t>
  </si>
  <si>
    <t>RICALDE CASTRO JESUS MARTIN</t>
  </si>
  <si>
    <t>RICJ631111344</t>
  </si>
  <si>
    <t>SUPERVISOR</t>
  </si>
  <si>
    <t>GAGA580703VC4</t>
  </si>
  <si>
    <t>EAHM6509147YA</t>
  </si>
  <si>
    <t>REAL RUIZ FRANCISCA</t>
  </si>
  <si>
    <t>RERF591004I12</t>
  </si>
  <si>
    <t>078312 E028100.0232883</t>
  </si>
  <si>
    <t>HERVE  AZAEL AGUILAR CRUZ</t>
  </si>
  <si>
    <t>LIA BEATRIZ ORTIZ MEJIA</t>
  </si>
  <si>
    <t>MARIA TERESA CANUL GONZALEZ</t>
  </si>
  <si>
    <t>RUSEL FULGENCIO AVILEZ CAMPOS</t>
  </si>
  <si>
    <t>WILLIAN RENAN COBA NAVARRETE</t>
  </si>
  <si>
    <t>MILDRED ELIZABETH ROSADO PIÑA</t>
  </si>
  <si>
    <t>JULIA IRLANDA ALFEREZ AMAYA</t>
  </si>
  <si>
    <t>BEATRIZ EUGENIA BAEZA PASOS</t>
  </si>
  <si>
    <t>WENEFRIDO GRANADOS VAZQUEZ</t>
  </si>
  <si>
    <t>ROBERTO COLLI MAY</t>
  </si>
  <si>
    <t>AOFA430702-TD3</t>
  </si>
  <si>
    <t>SELLO        DIRECTOR(A):</t>
  </si>
  <si>
    <t>INSPECTOR(A):</t>
  </si>
  <si>
    <t>JEFE(A) SECTOR:</t>
  </si>
  <si>
    <t xml:space="preserve">ANCONA FLORES AURA EUGENIA </t>
  </si>
  <si>
    <t>PLANTILLA  DE  PERSONAL  ACTUALIZADA  AL</t>
  </si>
  <si>
    <t>23DPR0688W</t>
  </si>
  <si>
    <t>01-09-1990</t>
  </si>
  <si>
    <t>AESM711024QNA</t>
  </si>
  <si>
    <t>23DPR0593I</t>
  </si>
  <si>
    <t>01-09-1996</t>
  </si>
  <si>
    <t>01-09-1983</t>
  </si>
  <si>
    <t>MOCI710325EVA</t>
  </si>
  <si>
    <t>01-09-1994</t>
  </si>
  <si>
    <t>CALS720517BFA</t>
  </si>
  <si>
    <t>19-09-1994</t>
  </si>
  <si>
    <t>AAEA820728V25</t>
  </si>
  <si>
    <t>16-01-2008</t>
  </si>
  <si>
    <t>GOSG720804RM7</t>
  </si>
  <si>
    <t>16-09-1995</t>
  </si>
  <si>
    <t>AEQM701008HL2</t>
  </si>
  <si>
    <t>01-09-1995</t>
  </si>
  <si>
    <t>SABC641208519</t>
  </si>
  <si>
    <t>23DPR0737O</t>
  </si>
  <si>
    <t>01-09-1984</t>
  </si>
  <si>
    <t>XIVM780420LJ4</t>
  </si>
  <si>
    <t>01-10-2004</t>
  </si>
  <si>
    <t>VISN610207QM0</t>
  </si>
  <si>
    <t>23DPR0710H</t>
  </si>
  <si>
    <t>01-10-1993</t>
  </si>
  <si>
    <t>VAGD571220UB2</t>
  </si>
  <si>
    <t>16-10-1994</t>
  </si>
  <si>
    <t>CUPF7111299H0</t>
  </si>
  <si>
    <t>23DPR0480F</t>
  </si>
  <si>
    <t>01-09-1998</t>
  </si>
  <si>
    <t>23FUA0031K</t>
  </si>
  <si>
    <t>AUGM7601167K6</t>
  </si>
  <si>
    <t>E. FISICA</t>
  </si>
  <si>
    <t>01-07-2010</t>
  </si>
  <si>
    <t>GOTE710913H14</t>
  </si>
  <si>
    <t>TOTALES</t>
  </si>
  <si>
    <t>PRE</t>
  </si>
  <si>
    <t>SELLO        INSPECTOR(A):</t>
  </si>
  <si>
    <t>NOMBRE COMPLETO                                                                              Apellidos * Nombres</t>
  </si>
  <si>
    <t>BAXM651202RZA</t>
  </si>
  <si>
    <t>23DPR0492K</t>
  </si>
  <si>
    <t>01-09-1986</t>
  </si>
  <si>
    <t>SOQI760515884</t>
  </si>
  <si>
    <t>01-09-2000</t>
  </si>
  <si>
    <t>SIFM8308161H0</t>
  </si>
  <si>
    <t>23DPR0541C</t>
  </si>
  <si>
    <t>01-09-2005</t>
  </si>
  <si>
    <t>CACD641028CR5</t>
  </si>
  <si>
    <t>23DPR0581D</t>
  </si>
  <si>
    <t>01-09-1991</t>
  </si>
  <si>
    <t>AIKL680823AG3</t>
  </si>
  <si>
    <t>CABL680604888</t>
  </si>
  <si>
    <t>01-02-1992</t>
  </si>
  <si>
    <t>ZACL660311I41</t>
  </si>
  <si>
    <t>16-08-2005</t>
  </si>
  <si>
    <t>SAAA8107271E4</t>
  </si>
  <si>
    <t>23DPR0570Y</t>
  </si>
  <si>
    <t>01-09-2004</t>
  </si>
  <si>
    <t>COCR831101G48</t>
  </si>
  <si>
    <t>01-01-2002</t>
  </si>
  <si>
    <t>HECA770303CX6</t>
  </si>
  <si>
    <t>DITM681226BF8</t>
  </si>
  <si>
    <t>23DPR0035X</t>
  </si>
  <si>
    <t>SATJ690403U71</t>
  </si>
  <si>
    <t xml:space="preserve"> 23FUA0027Y</t>
  </si>
  <si>
    <t>16-10-1998</t>
  </si>
  <si>
    <t>LICA720516B26</t>
  </si>
  <si>
    <t>OIRL740325E40</t>
  </si>
  <si>
    <t>01-11-2000</t>
  </si>
  <si>
    <t>MECJ741210HW0</t>
  </si>
  <si>
    <t>01-10-1994</t>
  </si>
  <si>
    <t>KULG720905DA8</t>
  </si>
  <si>
    <t>23DPR0491L</t>
  </si>
  <si>
    <t>DUSI7503023J5</t>
  </si>
  <si>
    <t>23DPR0640C</t>
  </si>
  <si>
    <t>PACW8109204X0</t>
  </si>
  <si>
    <t>23DPR0698C</t>
  </si>
  <si>
    <t>TUCE641225RS9</t>
  </si>
  <si>
    <t>23DST0491L</t>
  </si>
  <si>
    <t>BAAB6701272S3</t>
  </si>
  <si>
    <t>23DPR0564N</t>
  </si>
  <si>
    <t>TAUJ670701QV0</t>
  </si>
  <si>
    <t>23DPR0694G</t>
  </si>
  <si>
    <t>VIEI63020815A</t>
  </si>
  <si>
    <t>23DPR0572W</t>
  </si>
  <si>
    <t>SORT610206HI4</t>
  </si>
  <si>
    <t>23DPR0692I</t>
  </si>
  <si>
    <t>PATM6906063C5</t>
  </si>
  <si>
    <t>DUYG7205031A2</t>
  </si>
  <si>
    <t>PUGM590714RJ0</t>
  </si>
  <si>
    <t>GOCM750124Q61</t>
  </si>
  <si>
    <t>GACG7007169S8</t>
  </si>
  <si>
    <t>23DPR0760P</t>
  </si>
  <si>
    <t>EAPS6506036N5</t>
  </si>
  <si>
    <t>BUSI710624865</t>
  </si>
  <si>
    <t>FIMW7308246S1</t>
  </si>
  <si>
    <t>SADE810426TU8</t>
  </si>
  <si>
    <t>23DPR0642A</t>
  </si>
  <si>
    <t>COCC850923AB9</t>
  </si>
  <si>
    <t>ZAAJ640712MH4</t>
  </si>
  <si>
    <t>PAXA630724G82</t>
  </si>
  <si>
    <t>23DPR0570</t>
  </si>
  <si>
    <t>SAFA800911UW0</t>
  </si>
  <si>
    <t>GAEJ7912037MA</t>
  </si>
  <si>
    <t>COYC680807F77</t>
  </si>
  <si>
    <t>23DPR0672V</t>
  </si>
  <si>
    <t>01-10-1988</t>
  </si>
  <si>
    <t>16-09-1997</t>
  </si>
  <si>
    <t>NADV650131NP0</t>
  </si>
  <si>
    <t>23DPR0503Z</t>
  </si>
  <si>
    <t>01-09-1988</t>
  </si>
  <si>
    <t>NAPM6603059M8</t>
  </si>
  <si>
    <t>CECR6504154L2</t>
  </si>
  <si>
    <t>23DPR0599C</t>
  </si>
  <si>
    <t>HACE680524BN3</t>
  </si>
  <si>
    <t>PACJ650419H19</t>
  </si>
  <si>
    <t>TARF710102V22</t>
  </si>
  <si>
    <t>GARCIA POLANCO MANUEL JESUS DE ATOCHA</t>
  </si>
  <si>
    <t>GAPM560211MC7</t>
  </si>
  <si>
    <t>GOPI7111041NA</t>
  </si>
  <si>
    <t>ROEE6703308P0</t>
  </si>
  <si>
    <t>VIEM7301064D5</t>
  </si>
  <si>
    <t>CABRERA PEREZ EDITH</t>
  </si>
  <si>
    <t>CAPE730220CA2</t>
  </si>
  <si>
    <t>FAMV650714S44</t>
  </si>
  <si>
    <t>COCJ661009NU2</t>
  </si>
  <si>
    <t>23DPR0574U</t>
  </si>
  <si>
    <t>MIVJ831213U4A</t>
  </si>
  <si>
    <t>23DST0017T</t>
  </si>
  <si>
    <t>AKE QUEB ENRIQUE</t>
  </si>
  <si>
    <t>AEQE680115Q62</t>
  </si>
  <si>
    <t>10-09-1991</t>
  </si>
  <si>
    <t>23DPR0055K</t>
  </si>
  <si>
    <t>GOPF700423PIA</t>
  </si>
  <si>
    <t>AIMO710423G33</t>
  </si>
  <si>
    <t>01-09-1992</t>
  </si>
  <si>
    <t>CAOM760405TR6</t>
  </si>
  <si>
    <t>DISA740828IJ8</t>
  </si>
  <si>
    <t>CETN820117BXA</t>
  </si>
  <si>
    <t>AOSM620706NT9</t>
  </si>
  <si>
    <t>01-09-1982</t>
  </si>
  <si>
    <t>LOAG721104TC2</t>
  </si>
  <si>
    <t>16-01-1996</t>
  </si>
  <si>
    <t>PEPD630226CZ1</t>
  </si>
  <si>
    <t>16-09-1993</t>
  </si>
  <si>
    <t>AIMG7901189TA</t>
  </si>
  <si>
    <t>16-08-2002</t>
  </si>
  <si>
    <t>CINE8311084E0</t>
  </si>
  <si>
    <t>23DPR0691J</t>
  </si>
  <si>
    <t>01-09-2006</t>
  </si>
  <si>
    <t>DECA640204CPA</t>
  </si>
  <si>
    <t>AAAM781006UQ6</t>
  </si>
  <si>
    <t>01-01-2006</t>
  </si>
  <si>
    <t>MACF720609JF9</t>
  </si>
  <si>
    <t>ROBJ660711BR4</t>
  </si>
  <si>
    <t>01-01-2001</t>
  </si>
  <si>
    <t>LICA750623890</t>
  </si>
  <si>
    <t>23FUA0027Y</t>
  </si>
  <si>
    <t>16-04-1999</t>
  </si>
  <si>
    <t>CAML830107AT9</t>
  </si>
  <si>
    <t>16-08-2006</t>
  </si>
  <si>
    <t>CEVD660311V54</t>
  </si>
  <si>
    <t>23DPR0731U</t>
  </si>
  <si>
    <t>01-10-1985</t>
  </si>
  <si>
    <t>20-10-1987</t>
  </si>
  <si>
    <t>RINL6709175A1</t>
  </si>
  <si>
    <t>CAPN7311164Y9</t>
  </si>
  <si>
    <t>MACL8412149F8</t>
  </si>
  <si>
    <t>101-09-1987</t>
  </si>
  <si>
    <t>AONI7704086W0</t>
  </si>
  <si>
    <t>16-02-1997</t>
  </si>
  <si>
    <t>TECA630206327</t>
  </si>
  <si>
    <t>CEBA641230GX0</t>
  </si>
  <si>
    <t>16-09-1986</t>
  </si>
  <si>
    <t>TUDA750409R53</t>
  </si>
  <si>
    <t>BUEG790815EZ4</t>
  </si>
  <si>
    <t>08-02-2011</t>
  </si>
  <si>
    <t>HESL7905033C5</t>
  </si>
  <si>
    <t>PAKO750123000</t>
  </si>
  <si>
    <t>CABF8605062E4</t>
  </si>
  <si>
    <t>CAAD810525000</t>
  </si>
  <si>
    <t>MACG5307229S1</t>
  </si>
  <si>
    <t>RASY670704VW5</t>
  </si>
  <si>
    <t>GOCA730402000</t>
  </si>
  <si>
    <t>TECNOLOGICAS</t>
  </si>
  <si>
    <t>AIAM5908229C3</t>
  </si>
  <si>
    <t>ROMC690527000</t>
  </si>
  <si>
    <t>02-02-2001</t>
  </si>
  <si>
    <t>29-09-2001</t>
  </si>
  <si>
    <t>MOCM850610858</t>
  </si>
  <si>
    <t>SEMG681107GRO</t>
  </si>
  <si>
    <t>03-02-2001</t>
  </si>
  <si>
    <t>OIGF750502QK4</t>
  </si>
  <si>
    <t>IUPI670124FG7</t>
  </si>
  <si>
    <t>BAVC691223V89</t>
  </si>
  <si>
    <t>EETQ820705C54</t>
  </si>
  <si>
    <t>PAHE841010CK2</t>
  </si>
  <si>
    <t>MOCL491213KV3</t>
  </si>
  <si>
    <t>PERL770721AC1</t>
  </si>
  <si>
    <t>RUVP720331NA9</t>
  </si>
  <si>
    <t>12-10-2010</t>
  </si>
  <si>
    <t>03-06-2011</t>
  </si>
  <si>
    <t>CACX840208IT2</t>
  </si>
  <si>
    <t>BAAA901113MJ2</t>
  </si>
  <si>
    <t>SAUD591115Q9A</t>
  </si>
  <si>
    <t>03-02-2011</t>
  </si>
  <si>
    <t>SATL840306HD0</t>
  </si>
  <si>
    <t>03-10-2011</t>
  </si>
  <si>
    <t>BASI540925M60</t>
  </si>
  <si>
    <t>CALL820103000</t>
  </si>
  <si>
    <t>DATOS DE LA ESCUELA</t>
  </si>
  <si>
    <t>CARACTERISTICAS DE LA ESCUELA</t>
  </si>
  <si>
    <t>CARATERISTICAS DEL PERSONAL DE LA ESCUELA</t>
  </si>
  <si>
    <t>SUBDIRECCIÓN DE EDUCACIÓN PRIMARIA</t>
  </si>
  <si>
    <t>DATOS ESTADÍSTICOS</t>
  </si>
  <si>
    <t>E-MAIL:</t>
  </si>
  <si>
    <t xml:space="preserve">  TURNO:</t>
  </si>
  <si>
    <t xml:space="preserve">  CATEGORÍA:</t>
  </si>
  <si>
    <t>TEL. / LADA</t>
  </si>
  <si>
    <t xml:space="preserve">  ORGANIZACIÓN:</t>
  </si>
  <si>
    <t>INCOMPLETA</t>
  </si>
  <si>
    <t>UNITARIA</t>
  </si>
  <si>
    <t xml:space="preserve">  PARCELA:</t>
  </si>
  <si>
    <t xml:space="preserve">  TIENDA ESCOLAR:</t>
  </si>
  <si>
    <t>EN USO</t>
  </si>
  <si>
    <t>MEDIOS</t>
  </si>
  <si>
    <t>DISPONIBLES</t>
  </si>
  <si>
    <t>PÚBLICA:</t>
  </si>
  <si>
    <t>PARTICULAR:</t>
  </si>
  <si>
    <t>AULAS:</t>
  </si>
  <si>
    <t>CLAVE 0221 C/GRUPO</t>
  </si>
  <si>
    <t>PERSONAL E.S.E.B.</t>
  </si>
  <si>
    <t>C. MAGISTERIAL</t>
  </si>
  <si>
    <t>DIRECTIVO</t>
  </si>
  <si>
    <t>CLAVE 0221 S/GRUPO</t>
  </si>
  <si>
    <t>CLAVE 0281 C/GRUPO</t>
  </si>
  <si>
    <t>DIREC. F. CURRICULAR</t>
  </si>
  <si>
    <t>CLAVE 0281 S/GRUPO</t>
  </si>
  <si>
    <t>DOCENTE 3/4 TIEMPO</t>
  </si>
  <si>
    <t>DOCENTES</t>
  </si>
  <si>
    <t>EDUC. FÍSICA</t>
  </si>
  <si>
    <t>INSCRIPCIONES DE FEBRERO (1°)</t>
  </si>
  <si>
    <t>ARRAIGO  E-3</t>
  </si>
  <si>
    <t>ARRAIGO  PAREIB</t>
  </si>
  <si>
    <t>CONCEPTO</t>
  </si>
  <si>
    <t>PRIMERO</t>
  </si>
  <si>
    <t>SEGUNDO</t>
  </si>
  <si>
    <t>TERCERO</t>
  </si>
  <si>
    <t>CUARTO</t>
  </si>
  <si>
    <t>QUINTO</t>
  </si>
  <si>
    <t>SEXTO</t>
  </si>
  <si>
    <t>INSCRIPCIÓN INICIAL</t>
  </si>
  <si>
    <t>ALTAS ACUMULATIVAS</t>
  </si>
  <si>
    <t>INSCRIPCIÓN TOTAL</t>
  </si>
  <si>
    <t>BAJAS ACUMULATIVAS</t>
  </si>
  <si>
    <t>APROBADOS</t>
  </si>
  <si>
    <t>GRUPOS POR GRADO</t>
  </si>
  <si>
    <t>MAESTROS POR GRADO</t>
  </si>
  <si>
    <t>INSCRIPCIÓN ANTICIPADA</t>
  </si>
  <si>
    <t>DIA</t>
  </si>
  <si>
    <t>DIRECTOR (A)</t>
  </si>
  <si>
    <t>FECHA</t>
  </si>
  <si>
    <t xml:space="preserve">PREIN/FEB. </t>
  </si>
  <si>
    <t>SERVICIOS EDUCATIVOS DE  QUINTANA  ROO</t>
  </si>
  <si>
    <t>COORDINACION GENERAL DE PLANEACION</t>
  </si>
  <si>
    <t>DIRECCION DE PROFESIONES Y SERVICIOS ESCOLARES</t>
  </si>
  <si>
    <t>DEPARTAMENTO DE CONTROL ESCOLAR</t>
  </si>
  <si>
    <t>ZONA ESCOLAR : 042</t>
  </si>
  <si>
    <t>EDUCACION: PRIMARIA</t>
  </si>
  <si>
    <t>No. Prog.</t>
  </si>
  <si>
    <t xml:space="preserve">CLAVE DEL C.T. </t>
  </si>
  <si>
    <t>INSCRIPCION INICIAL</t>
  </si>
  <si>
    <t>EXIT. FINAL</t>
  </si>
  <si>
    <t>PROM</t>
  </si>
  <si>
    <t>ALUM</t>
  </si>
  <si>
    <t>GPOS</t>
  </si>
  <si>
    <t>DUP</t>
  </si>
  <si>
    <t>ALUMNOS</t>
  </si>
  <si>
    <t>ETAPA  1</t>
  </si>
  <si>
    <t>ETAPA   2</t>
  </si>
  <si>
    <t>INICIO DE CURSO</t>
  </si>
  <si>
    <t xml:space="preserve">FIN DE CURSO </t>
  </si>
  <si>
    <t>1°  GRADO</t>
  </si>
  <si>
    <t xml:space="preserve">NOMBRE Y FIRMA DEL SUPERVISOR </t>
  </si>
  <si>
    <t>NOMBRE Y FIRMA DEL RESPONSABLE</t>
  </si>
  <si>
    <t>2°  GRADO</t>
  </si>
  <si>
    <t>3°  GRADO</t>
  </si>
  <si>
    <t>4°  GRADO</t>
  </si>
  <si>
    <t>5°  GRADO</t>
  </si>
  <si>
    <t>EXT.       PART.</t>
  </si>
  <si>
    <t>*REGISTRAR   SOLO   MOVIMIENTOS   .POSTERIORES  A   LA  2A.  ETAPA</t>
  </si>
  <si>
    <t>GPO</t>
  </si>
  <si>
    <t xml:space="preserve">ALTAS </t>
  </si>
  <si>
    <t xml:space="preserve">BAJAS </t>
  </si>
  <si>
    <t>ALTA</t>
  </si>
  <si>
    <t>BAJA</t>
  </si>
  <si>
    <t>EXIST. TOTAL</t>
  </si>
  <si>
    <t>PROM.</t>
  </si>
  <si>
    <t>NO PROM</t>
  </si>
  <si>
    <t>ETAPA   3</t>
  </si>
  <si>
    <t xml:space="preserve">CAPTACION INICIAL DE ALUMNOS </t>
  </si>
  <si>
    <t>ACTUALIZACION DE DATOS</t>
  </si>
  <si>
    <t>CERTIFICACION</t>
  </si>
  <si>
    <t>6°  GRADO</t>
  </si>
  <si>
    <t xml:space="preserve">TOTAL DE ALUMNOS EXISTENTES  POR CADA ESCUELA </t>
  </si>
  <si>
    <t>APROV</t>
  </si>
  <si>
    <t>Apellidos * Nombres</t>
  </si>
  <si>
    <t>NOMBRE COMPLETO</t>
  </si>
  <si>
    <t>PRESUPUESTAL</t>
  </si>
  <si>
    <t>FUNCIÓN QUE</t>
  </si>
  <si>
    <t>DESEMPEÑA</t>
  </si>
  <si>
    <t>(TODOS DEBEN COINCIDIR CON LAS ESTADISTICAS DE CADA INSTITUCION)</t>
  </si>
  <si>
    <t>PERIODO ESCOLAR:</t>
  </si>
  <si>
    <t xml:space="preserve">  NOMBRE:</t>
  </si>
  <si>
    <t xml:space="preserve">  DOMICILIO:</t>
  </si>
  <si>
    <t xml:space="preserve">  LOCALIDAD:</t>
  </si>
  <si>
    <t xml:space="preserve">  CONTROL:</t>
  </si>
  <si>
    <t xml:space="preserve">  DOCENTES:</t>
  </si>
  <si>
    <t xml:space="preserve">  EDUC. FÍSICA:</t>
  </si>
  <si>
    <t xml:space="preserve">  USAER</t>
  </si>
  <si>
    <t xml:space="preserve">  INTENDENTES:</t>
  </si>
  <si>
    <t xml:space="preserve">  OTROS:</t>
  </si>
  <si>
    <t>NOMBRE (PRESIDENTE) SPF</t>
  </si>
  <si>
    <t>NOMBRE (CONSECIONARIO) TE</t>
  </si>
  <si>
    <t>EMAIL (CORREO ELECTRONICO)</t>
  </si>
  <si>
    <t xml:space="preserve">UBICACION: </t>
  </si>
  <si>
    <t xml:space="preserve">ZONA ESCOLAR: </t>
  </si>
  <si>
    <t xml:space="preserve">FECHA: </t>
  </si>
  <si>
    <t xml:space="preserve">C.C.T.: </t>
  </si>
  <si>
    <t>1a. ETAPA    INSCRIPCION INICIAL HASTA EL 30 DE SEPTIEMBRE</t>
  </si>
  <si>
    <t xml:space="preserve">2a. ETAPA  ABRIL     </t>
  </si>
  <si>
    <t>3a. ETAPA</t>
  </si>
  <si>
    <t>GRUPO:</t>
  </si>
  <si>
    <t>JEFATURA DE SECTOR</t>
  </si>
  <si>
    <t>GUIA DE VISITA DE SUPERVISION DE CARÁCTER DIAGNOSTICA</t>
  </si>
  <si>
    <t>Registre el instrumento o la estrategia utilizada para realizar la Evaluación Diagnóstica.</t>
  </si>
  <si>
    <t>Cuáles fueron los resultados obtenidos por grado.</t>
  </si>
  <si>
    <t>Observaciones y Sugerencias que hace el Inspector:</t>
  </si>
  <si>
    <t>13.-</t>
  </si>
  <si>
    <t>14.-</t>
  </si>
  <si>
    <t>15.-</t>
  </si>
  <si>
    <t>16.-</t>
  </si>
  <si>
    <t>DIMENSION ORGANIZATIVA</t>
  </si>
  <si>
    <t>PRESILABICO</t>
  </si>
  <si>
    <t>SILABICO</t>
  </si>
  <si>
    <t>SILABICO/ALFABETICO</t>
  </si>
  <si>
    <t>ALFABETICO</t>
  </si>
  <si>
    <t>1º Grado</t>
  </si>
  <si>
    <t>2º Grado</t>
  </si>
  <si>
    <t>3º Grado</t>
  </si>
  <si>
    <t>DIMENSION ADMINISTRATIVA</t>
  </si>
  <si>
    <t>Observaciones y Sugerencias que hace el Inspector</t>
  </si>
  <si>
    <t>DIMENSION COMUNITARIA Y DE PARTICIPACION SOCIAL</t>
  </si>
  <si>
    <t>¿Cuenta el profesor con la Biblioteca de aula?</t>
  </si>
  <si>
    <t>Se nota en la organización de los alumnos el trabajo por equipos y el Aprendizaje Cooperativo.</t>
  </si>
  <si>
    <t>Registre las problemáticas detectadas tras la aplicación de la Evaluación Diagnóstica</t>
  </si>
  <si>
    <t>Alumnos con otras situaciones de aprendizaje:</t>
  </si>
  <si>
    <t>SORTEADO</t>
  </si>
  <si>
    <t>ARBITRARIO</t>
  </si>
  <si>
    <t>EN COLEGIADO</t>
  </si>
  <si>
    <t xml:space="preserve">       </t>
  </si>
  <si>
    <t>DESIGNADO EN BASE A COMPETENCIAS PROFESIONALES</t>
  </si>
  <si>
    <t>Verifique si la entrega de Libros de Texto se hizo en tiempo y forma a los alumnos de la escuela.</t>
  </si>
  <si>
    <t>GRUPOS A</t>
  </si>
  <si>
    <t>TEXTOS FALTANTES</t>
  </si>
  <si>
    <t>GDO Y  GPO.</t>
  </si>
  <si>
    <t>GRUPOS B</t>
  </si>
  <si>
    <t>ALUMNOS PRESENTES</t>
  </si>
  <si>
    <t>ALUMNOS INSCRITOS</t>
  </si>
  <si>
    <t>NO EXISTE</t>
  </si>
  <si>
    <t xml:space="preserve">NO </t>
  </si>
  <si>
    <t xml:space="preserve"> alumnos?) Observaciones y Sugerencias que hace el Inspector:</t>
  </si>
  <si>
    <t>¿Se involucró a los padres de familia en la programación de las actividades cívicas, sociales y culturales que realizará</t>
  </si>
  <si>
    <t>el centro escolar?</t>
  </si>
  <si>
    <t>Verifique la existencia de los siguientes documentos en la dirección de la Escuela.</t>
  </si>
  <si>
    <t>DOCUMENTO</t>
  </si>
  <si>
    <t>Libreta de Entradas y Salidas del Personal</t>
  </si>
  <si>
    <t>Libro de Visitas</t>
  </si>
  <si>
    <t>Actas de Consejo Técnico</t>
  </si>
  <si>
    <t>Acta Constitutiva del CEPS</t>
  </si>
  <si>
    <t>Libro de Ingreso y Egresos de Tienda Escolar (3 anexos)</t>
  </si>
  <si>
    <t>Estadística Inicial de Inscripción</t>
  </si>
  <si>
    <t>PETE y PAT</t>
  </si>
  <si>
    <t>Expedientes de los Profesores</t>
  </si>
  <si>
    <t>Nombre</t>
  </si>
  <si>
    <t>Lista de Asistencia</t>
  </si>
  <si>
    <t>Plan de Comisión del C.T.</t>
  </si>
  <si>
    <t>Planeación Didáctica</t>
  </si>
  <si>
    <t>Se realizan en los salones de clase las propuestas y adecuaciones curriculares para una mejor atencion</t>
  </si>
  <si>
    <t>INSTALACION</t>
  </si>
  <si>
    <t>LIMPIO</t>
  </si>
  <si>
    <t>SUCIO</t>
  </si>
  <si>
    <t>REGULAR</t>
  </si>
  <si>
    <t>MAL ESTADO</t>
  </si>
  <si>
    <t>Dirección de la Escuela</t>
  </si>
  <si>
    <t>Salones de Clase</t>
  </si>
  <si>
    <t>Sanitarios</t>
  </si>
  <si>
    <t>Tienda Escolar</t>
  </si>
  <si>
    <t>Plaza Cívica</t>
  </si>
  <si>
    <t>Patio Escolar</t>
  </si>
  <si>
    <t>Frente de la Escuela</t>
  </si>
  <si>
    <t>Verifique el estado higiénico de:</t>
  </si>
  <si>
    <t>Verifique la existencia de los siguientes documentos en el salón de clases.</t>
  </si>
  <si>
    <t>VARIAS</t>
  </si>
  <si>
    <t>ALGUNAS</t>
  </si>
  <si>
    <t>NINGUNA</t>
  </si>
  <si>
    <t>El Director(a) de la Escuela</t>
  </si>
  <si>
    <t>El Inspector(a) de la Zona Escolar</t>
  </si>
  <si>
    <t>INSUFICIENTE</t>
  </si>
  <si>
    <t>ELEMENTAL</t>
  </si>
  <si>
    <t>BUENO</t>
  </si>
  <si>
    <t>EXCELENTE</t>
  </si>
  <si>
    <t>ALUMNOS CON NEE</t>
  </si>
  <si>
    <t>ALUMNOS EN SITUACION DE EXTRAEDAD</t>
  </si>
  <si>
    <t>¿Los programas de apoyo educativo (becas, AGE….) motivan la participación de los padres de  familia?</t>
  </si>
  <si>
    <t>a  los padres de familia en su proceso?</t>
  </si>
  <si>
    <t>Para la asignación de grupos, deben considerarse los conocimientos, habilidades, actitudes,  aptitudes profesionales</t>
  </si>
  <si>
    <t>y la experiencia del docente. En la escuela que visita ¿Cuál fue la estrategia que se utilizó?</t>
  </si>
  <si>
    <t>de la escuela.</t>
  </si>
  <si>
    <r>
      <t xml:space="preserve">escolares y coadyuven a alcanzar la </t>
    </r>
    <r>
      <rPr>
        <b/>
        <sz val="12"/>
        <color theme="1"/>
        <rFont val="Calibri"/>
        <family val="2"/>
        <scheme val="minor"/>
      </rPr>
      <t>MISION</t>
    </r>
    <r>
      <rPr>
        <sz val="12"/>
        <color theme="1"/>
        <rFont val="Calibri"/>
        <family val="2"/>
        <scheme val="minor"/>
      </rPr>
      <t xml:space="preserve"> y </t>
    </r>
    <r>
      <rPr>
        <b/>
        <sz val="12"/>
        <color theme="1"/>
        <rFont val="Calibri"/>
        <family val="2"/>
        <scheme val="minor"/>
      </rPr>
      <t>VISION</t>
    </r>
    <r>
      <rPr>
        <sz val="12"/>
        <color theme="1"/>
        <rFont val="Calibri"/>
        <family val="2"/>
        <scheme val="minor"/>
      </rPr>
      <t xml:space="preserve"> de la institución?</t>
    </r>
  </si>
  <si>
    <t>COMENTARIOS  y  SUGERENCIAS PARA…</t>
  </si>
  <si>
    <t>TIPO DE NOMBRAMIENTO</t>
  </si>
  <si>
    <t>EVA-COMP-LECT</t>
  </si>
  <si>
    <t>C o m p l e t a</t>
  </si>
  <si>
    <t>I n c o m p l e t a</t>
  </si>
  <si>
    <t>N o  P r e s e n t a</t>
  </si>
  <si>
    <t>Ts.</t>
  </si>
  <si>
    <r>
      <t>Identifique en el</t>
    </r>
    <r>
      <rPr>
        <b/>
        <sz val="12"/>
        <color theme="1"/>
        <rFont val="Calibri"/>
        <family val="2"/>
        <scheme val="minor"/>
      </rPr>
      <t xml:space="preserve"> PETE</t>
    </r>
    <r>
      <rPr>
        <sz val="12"/>
        <color theme="1"/>
        <rFont val="Calibri"/>
        <family val="2"/>
        <scheme val="minor"/>
      </rPr>
      <t xml:space="preserve">  y/o  </t>
    </r>
    <r>
      <rPr>
        <b/>
        <sz val="12"/>
        <color theme="1"/>
        <rFont val="Calibri"/>
        <family val="2"/>
        <scheme val="minor"/>
      </rPr>
      <t>PAT</t>
    </r>
    <r>
      <rPr>
        <sz val="12"/>
        <color theme="1"/>
        <rFont val="Calibri"/>
        <family val="2"/>
        <scheme val="minor"/>
      </rPr>
      <t xml:space="preserve"> las   necesidades de equipamiento, mantenimiento,  rehabilitación y construcción</t>
    </r>
  </si>
  <si>
    <r>
      <t xml:space="preserve">¿En el </t>
    </r>
    <r>
      <rPr>
        <b/>
        <sz val="12"/>
        <color theme="1"/>
        <rFont val="Calibri"/>
        <family val="2"/>
        <scheme val="minor"/>
      </rPr>
      <t>PAT</t>
    </r>
    <r>
      <rPr>
        <sz val="12"/>
        <color theme="1"/>
        <rFont val="Calibri"/>
        <family val="2"/>
        <scheme val="minor"/>
      </rPr>
      <t xml:space="preserve"> se establecen actividades escolares y comunitarias que involucren a los padres de  familia?     </t>
    </r>
  </si>
  <si>
    <t xml:space="preserve">realizado  el  análisis  de  la  Evaluación  Diagnóstica. </t>
  </si>
  <si>
    <r>
      <t xml:space="preserve">Escriba dos compromisos contraídos por los profesores en </t>
    </r>
    <r>
      <rPr>
        <b/>
        <i/>
        <sz val="12"/>
        <color theme="1"/>
        <rFont val="Calibri"/>
        <family val="2"/>
        <scheme val="minor"/>
      </rPr>
      <t>Reunión de Consejo Técnico</t>
    </r>
    <r>
      <rPr>
        <sz val="12"/>
        <color theme="1"/>
        <rFont val="Calibri"/>
        <family val="2"/>
        <scheme val="minor"/>
      </rPr>
      <t xml:space="preserve"> después de haber</t>
    </r>
  </si>
  <si>
    <r>
      <t xml:space="preserve">¿Las estrategias, metas y actividades planteadas en el </t>
    </r>
    <r>
      <rPr>
        <b/>
        <i/>
        <sz val="12"/>
        <color theme="1"/>
        <rFont val="Calibri"/>
        <family val="2"/>
        <scheme val="minor"/>
      </rPr>
      <t>PAT</t>
    </r>
    <r>
      <rPr>
        <sz val="12"/>
        <color theme="1"/>
        <rFont val="Calibri"/>
        <family val="2"/>
        <scheme val="minor"/>
      </rPr>
      <t xml:space="preserve"> atienden las problemáticas detectadas?</t>
    </r>
  </si>
  <si>
    <r>
      <t xml:space="preserve">¿La planeación didáctica se elabora de acuerdo a las actividades establecidas en el </t>
    </r>
    <r>
      <rPr>
        <b/>
        <i/>
        <sz val="12"/>
        <color theme="1"/>
        <rFont val="Calibri"/>
        <family val="2"/>
        <scheme val="minor"/>
      </rPr>
      <t>PAT</t>
    </r>
    <r>
      <rPr>
        <sz val="12"/>
        <color theme="1"/>
        <rFont val="Calibri"/>
        <family val="2"/>
        <scheme val="minor"/>
      </rPr>
      <t>?</t>
    </r>
  </si>
  <si>
    <r>
      <t xml:space="preserve">En caso de haber niños con </t>
    </r>
    <r>
      <rPr>
        <b/>
        <i/>
        <sz val="12"/>
        <color theme="1"/>
        <rFont val="Calibri"/>
        <family val="2"/>
        <scheme val="minor"/>
      </rPr>
      <t>NEE</t>
    </r>
    <r>
      <rPr>
        <sz val="12"/>
        <color theme="1"/>
        <rFont val="Calibri"/>
        <family val="2"/>
        <scheme val="minor"/>
      </rPr>
      <t xml:space="preserve">. ¿Se establecen en el </t>
    </r>
    <r>
      <rPr>
        <b/>
        <i/>
        <sz val="12"/>
        <color theme="1"/>
        <rFont val="Calibri"/>
        <family val="2"/>
        <scheme val="minor"/>
      </rPr>
      <t xml:space="preserve">PAT </t>
    </r>
    <r>
      <rPr>
        <sz val="12"/>
        <color theme="1"/>
        <rFont val="Calibri"/>
        <family val="2"/>
        <scheme val="minor"/>
      </rPr>
      <t>actividades específicas para su atension involucrando</t>
    </r>
  </si>
  <si>
    <r>
      <t xml:space="preserve">Identifique y registre las necesidades de capacitación y asesoría del personal docente planteada en el </t>
    </r>
    <r>
      <rPr>
        <b/>
        <i/>
        <sz val="12"/>
        <color theme="1"/>
        <rFont val="Calibri"/>
        <family val="2"/>
        <scheme val="minor"/>
      </rPr>
      <t>PAT</t>
    </r>
    <r>
      <rPr>
        <sz val="12"/>
        <color theme="1"/>
        <rFont val="Calibri"/>
        <family val="2"/>
        <scheme val="minor"/>
      </rPr>
      <t>.</t>
    </r>
  </si>
  <si>
    <r>
      <t xml:space="preserve">Escriba los programas de apoyo educativo que se incluyen en el </t>
    </r>
    <r>
      <rPr>
        <b/>
        <i/>
        <sz val="12"/>
        <color theme="1"/>
        <rFont val="Calibri"/>
        <family val="2"/>
        <scheme val="minor"/>
      </rPr>
      <t>PAT</t>
    </r>
    <r>
      <rPr>
        <sz val="12"/>
        <color theme="1"/>
        <rFont val="Calibri"/>
        <family val="2"/>
        <scheme val="minor"/>
      </rPr>
      <t xml:space="preserve"> para atender las problemáticas Identificadas.</t>
    </r>
  </si>
  <si>
    <r>
      <t xml:space="preserve">¿En la elaboración del </t>
    </r>
    <r>
      <rPr>
        <b/>
        <i/>
        <sz val="12"/>
        <color theme="1"/>
        <rFont val="Calibri"/>
        <family val="2"/>
        <scheme val="minor"/>
      </rPr>
      <t>PETE</t>
    </r>
    <r>
      <rPr>
        <sz val="12"/>
        <color theme="1"/>
        <rFont val="Calibri"/>
        <family val="2"/>
        <scheme val="minor"/>
      </rPr>
      <t xml:space="preserve"> y </t>
    </r>
    <r>
      <rPr>
        <b/>
        <i/>
        <sz val="12"/>
        <color theme="1"/>
        <rFont val="Calibri"/>
        <family val="2"/>
        <scheme val="minor"/>
      </rPr>
      <t>PAT</t>
    </r>
    <r>
      <rPr>
        <sz val="12"/>
        <color theme="1"/>
        <rFont val="Calibri"/>
        <family val="2"/>
        <scheme val="minor"/>
      </rPr>
      <t xml:space="preserve"> se involucró a toda la comunidad escolar (docentes, padres de familia,</t>
    </r>
  </si>
  <si>
    <r>
      <t xml:space="preserve">¿Los Planes de Trabajo de las comisiones del Consejo Técnico Escolar están acordes con las </t>
    </r>
    <r>
      <rPr>
        <b/>
        <i/>
        <sz val="12"/>
        <color theme="1"/>
        <rFont val="Calibri"/>
        <family val="2"/>
        <scheme val="minor"/>
      </rPr>
      <t>Metas</t>
    </r>
    <r>
      <rPr>
        <sz val="12"/>
        <color theme="1"/>
        <rFont val="Calibri"/>
        <family val="2"/>
        <scheme val="minor"/>
      </rPr>
      <t xml:space="preserve"> y </t>
    </r>
    <r>
      <rPr>
        <b/>
        <i/>
        <sz val="12"/>
        <color theme="1"/>
        <rFont val="Calibri"/>
        <family val="2"/>
        <scheme val="minor"/>
      </rPr>
      <t>Acciones</t>
    </r>
  </si>
  <si>
    <r>
      <t xml:space="preserve">específicas del </t>
    </r>
    <r>
      <rPr>
        <b/>
        <i/>
        <sz val="12"/>
        <color theme="1"/>
        <rFont val="Calibri"/>
        <family val="2"/>
        <scheme val="minor"/>
      </rPr>
      <t xml:space="preserve">PAT </t>
    </r>
    <r>
      <rPr>
        <sz val="12"/>
        <color theme="1"/>
        <rFont val="Calibri"/>
        <family val="2"/>
        <scheme val="minor"/>
      </rPr>
      <t>de la Escuela?</t>
    </r>
  </si>
  <si>
    <r>
      <t xml:space="preserve">Los Profesores de la Escuela conocen la </t>
    </r>
    <r>
      <rPr>
        <b/>
        <i/>
        <sz val="12"/>
        <color theme="1"/>
        <rFont val="Calibri"/>
        <family val="2"/>
        <scheme val="minor"/>
      </rPr>
      <t>Misión</t>
    </r>
    <r>
      <rPr>
        <sz val="12"/>
        <color theme="1"/>
        <rFont val="Calibri"/>
        <family val="2"/>
        <scheme val="minor"/>
      </rPr>
      <t xml:space="preserve"> y la </t>
    </r>
    <r>
      <rPr>
        <b/>
        <i/>
        <sz val="12"/>
        <color theme="1"/>
        <rFont val="Calibri"/>
        <family val="2"/>
        <scheme val="minor"/>
      </rPr>
      <t>Visión</t>
    </r>
    <r>
      <rPr>
        <sz val="12"/>
        <color theme="1"/>
        <rFont val="Calibri"/>
        <family val="2"/>
        <scheme val="minor"/>
      </rPr>
      <t xml:space="preserve"> de la misma, plasmadas en el </t>
    </r>
    <r>
      <rPr>
        <b/>
        <i/>
        <sz val="12"/>
        <color theme="1"/>
        <rFont val="Calibri"/>
        <family val="2"/>
        <scheme val="minor"/>
      </rPr>
      <t>PAT</t>
    </r>
    <r>
      <rPr>
        <sz val="12"/>
        <color theme="1"/>
        <rFont val="Calibri"/>
        <family val="2"/>
        <scheme val="minor"/>
      </rPr>
      <t>.</t>
    </r>
  </si>
  <si>
    <t>Cómo se lleva a cabo el proceso de Lecto – Escritura en 1° y  2° Grados.</t>
  </si>
  <si>
    <t>de   estos   alumnos:</t>
  </si>
  <si>
    <t>INI</t>
  </si>
  <si>
    <t>TTS</t>
  </si>
  <si>
    <t>Prueba objetiva</t>
  </si>
  <si>
    <t>4º Grado</t>
  </si>
  <si>
    <t>5º Grado</t>
  </si>
  <si>
    <t>6º Grado</t>
  </si>
  <si>
    <t>esperados</t>
  </si>
  <si>
    <t>No hay</t>
  </si>
  <si>
    <t xml:space="preserve">CCT   </t>
  </si>
  <si>
    <t xml:space="preserve">ZONA </t>
  </si>
  <si>
    <t>ADMON.</t>
  </si>
  <si>
    <t>MATRICULA ESCOLAR ACTUAL</t>
  </si>
  <si>
    <t>DATOS CORRESPONDIENTES AL CICLO ESCOLAR</t>
  </si>
  <si>
    <t>USAER                                               ALUMNOS ATENDIDOS</t>
  </si>
  <si>
    <t xml:space="preserve">   PARTICULAR  </t>
  </si>
  <si>
    <t xml:space="preserve">  CONAFE  </t>
  </si>
  <si>
    <t xml:space="preserve">  FORMAL   </t>
  </si>
  <si>
    <t xml:space="preserve">PRIMARIA:  </t>
  </si>
  <si>
    <t xml:space="preserve">MAESTROS QUE CUENTAN CON ESTIMULOS E-3 </t>
  </si>
  <si>
    <t xml:space="preserve">DATOS CORRESPONDIENTES AL CICLO ESCOLAR </t>
  </si>
  <si>
    <t>NECESIDADES DE PERSONAL DOCENTE</t>
  </si>
  <si>
    <r>
      <t>NOTA:</t>
    </r>
    <r>
      <rPr>
        <sz val="9"/>
        <rFont val="Arial"/>
        <family val="2"/>
      </rPr>
      <t xml:space="preserve"> Una vez relacionadas las escuelas existentes en su zona, se anotarán al final aquellas escuelas que deseen se propongan para ser fundadas el proximo ciclo</t>
    </r>
  </si>
  <si>
    <t xml:space="preserve">escolar o localidades sin sevicio educativo  que se consideren apropiados para crear nuevos servicios. </t>
  </si>
  <si>
    <t xml:space="preserve">  INDÍGENA  </t>
  </si>
  <si>
    <t>NÚMERO ACTUAL DE ALUMNOS</t>
  </si>
  <si>
    <t>NÚMERO GRUPOS POR GRADO</t>
  </si>
  <si>
    <t>NÚMERO DE DOCENTES POR GRADO</t>
  </si>
  <si>
    <t>MATRÍCULA DE NUEVO INGRESO CAPTADA EN 1º GRADO</t>
  </si>
  <si>
    <t>INSCRIPCIÓN DE FEBRERO</t>
  </si>
  <si>
    <t xml:space="preserve">PROGRAMACIÓN DETALLADA  </t>
  </si>
  <si>
    <t xml:space="preserve">FAVOR DE ENTREGAR ESTA FORMA EN LA COORDINACIÓN GENERAL DE PLANEACIÓN </t>
  </si>
  <si>
    <t>PLAZA</t>
  </si>
  <si>
    <t>NOMBRE DE LA ESC.</t>
  </si>
  <si>
    <t xml:space="preserve">C.C.T.:  </t>
  </si>
  <si>
    <t xml:space="preserve">LOCALIDAD  </t>
  </si>
  <si>
    <t xml:space="preserve">ZONA ESCOLAR  </t>
  </si>
  <si>
    <t>NOMBRE, FIRMA Y SELLO DEL(LA) DIRECTOR(A)</t>
  </si>
  <si>
    <t>OBSERVACIONES:</t>
  </si>
  <si>
    <t>FECHA: 23 DE FEBRERO DE 2012</t>
  </si>
  <si>
    <t>23DPR049IL</t>
  </si>
  <si>
    <t>ALUM. ATENDIDOS X USAER</t>
  </si>
  <si>
    <t>martincancun69@hotmail-com</t>
  </si>
  <si>
    <t xml:space="preserve">  NIVEL:</t>
  </si>
  <si>
    <t>No. PROG</t>
  </si>
  <si>
    <t>SERVICIOS  EDUCATIVOS  DE  QUINTANA  ROO</t>
  </si>
  <si>
    <t>Entrega de las bibliotecas de aula  por institucion (SOLO OFICIALES)</t>
  </si>
  <si>
    <t>Entrega de las Antología de lecturas  "LEAMOS MEJOR DIA A DIA" para cada alumno de cada institucion (SOLO OFICIALES)</t>
  </si>
  <si>
    <t>UNIDADES</t>
  </si>
  <si>
    <t>SOBRANTERS</t>
  </si>
  <si>
    <t>DIFERENCIA</t>
  </si>
  <si>
    <t>12-07-2011</t>
  </si>
  <si>
    <t>NUMERO DE ALUMNOS POR MTRO GRADO  GPO EN LAS PLANTILLAS</t>
  </si>
  <si>
    <t>DATOS RELATIVOS A LA TIENDA ESCOLAR DEL PERIODO:</t>
  </si>
  <si>
    <t>NOMBRE DEL(A) INSPECTOR (A):</t>
  </si>
  <si>
    <t>NÚMERO DE ESCUELAS CON TIENDA ESCOLAR CONCESIONADA</t>
  </si>
  <si>
    <t>SALDO DEL PERÍODO</t>
  </si>
  <si>
    <t>INGRESOS</t>
  </si>
  <si>
    <t>* PAGO DE RENTA</t>
  </si>
  <si>
    <t>* INT. BANCARIOS</t>
  </si>
  <si>
    <t>* DONACIONES</t>
  </si>
  <si>
    <t>* TOTAL</t>
  </si>
  <si>
    <t>EGRESOS</t>
  </si>
  <si>
    <t>* PRIORITARIO</t>
  </si>
  <si>
    <t>* REFACCIONARIO</t>
  </si>
  <si>
    <t>* EMERGENTE</t>
  </si>
  <si>
    <t>EXISTENCIA PARA</t>
  </si>
  <si>
    <t>ATTE</t>
  </si>
  <si>
    <t>EL(LA) INSPECTOR(A) DE ZONA</t>
  </si>
  <si>
    <t xml:space="preserve">POBLACIÓN Y MUNICIPIO: </t>
  </si>
  <si>
    <t>DIRECTOR(A) DE LA ESCUELA</t>
  </si>
  <si>
    <t>CLAVE DE ZONA ESCOLAR:</t>
  </si>
  <si>
    <t>TELÉFONO</t>
  </si>
  <si>
    <t>DIRECCIÓN:</t>
  </si>
  <si>
    <t>OFIC.</t>
  </si>
  <si>
    <t>PART.</t>
  </si>
  <si>
    <t>VI PERSONAL</t>
  </si>
  <si>
    <t>I ESCUELAS</t>
  </si>
  <si>
    <t xml:space="preserve">   CLAVE 0281 (COMISIONADO)</t>
  </si>
  <si>
    <t>VII INSCRIPCIONES FEBRERO  (1°)</t>
  </si>
  <si>
    <t>INSPECTOR(A)</t>
  </si>
  <si>
    <t xml:space="preserve">   CLAVE 0221 (COMISIONADO)</t>
  </si>
  <si>
    <t>II ORGANIZACIÓN</t>
  </si>
  <si>
    <t xml:space="preserve">   CLAVE 0201 (BASE)</t>
  </si>
  <si>
    <t xml:space="preserve">    CLAVE 0221 C/GRUPO</t>
  </si>
  <si>
    <t>A.T.P.'S</t>
  </si>
  <si>
    <t xml:space="preserve">    CLAVE 0221 S/GRUPO</t>
  </si>
  <si>
    <t>VIII PERSONAL E.S.E.B.</t>
  </si>
  <si>
    <t>III CATEGORÍA</t>
  </si>
  <si>
    <t xml:space="preserve">    CLAVE 0281 C/GRUPO</t>
  </si>
  <si>
    <t xml:space="preserve">    CLAVE 0281 S/GRUPO</t>
  </si>
  <si>
    <t>DIRECTIVO F. CURRICULAR</t>
  </si>
  <si>
    <t>DOCENTE 3/4 DE TIEMPO</t>
  </si>
  <si>
    <t>IV TURNO</t>
  </si>
  <si>
    <t>DIRECTIVOS</t>
  </si>
  <si>
    <t>IX CARRERA MAGISTERIAL</t>
  </si>
  <si>
    <t>V AULAS</t>
  </si>
  <si>
    <t>INSPECTOR</t>
  </si>
  <si>
    <t>DE USAER</t>
  </si>
  <si>
    <t>A.T.P.'s</t>
  </si>
  <si>
    <t>DE MEDIOS</t>
  </si>
  <si>
    <t>INTENDENTES</t>
  </si>
  <si>
    <t>U.S.A.E.R.</t>
  </si>
  <si>
    <t>FIRMA:</t>
  </si>
  <si>
    <t>REG. 93 MZA.33 L. 14 AV. MIGUEL HIDALGO</t>
  </si>
  <si>
    <t>INSPECTOR (A):</t>
  </si>
  <si>
    <t>MARZO</t>
  </si>
  <si>
    <t>LORL670104SR9</t>
  </si>
  <si>
    <t>MERA660115AF1</t>
  </si>
  <si>
    <t>GOGC7802059Z5</t>
  </si>
  <si>
    <t>01-09-2012</t>
  </si>
  <si>
    <r>
      <rPr>
        <b/>
        <sz val="8"/>
        <color theme="1"/>
        <rFont val="Arial"/>
        <family val="2"/>
      </rPr>
      <t>SEXO DEL PERSONAL</t>
    </r>
    <r>
      <rPr>
        <b/>
        <sz val="8"/>
        <color theme="0"/>
        <rFont val="Arial"/>
        <family val="2"/>
      </rPr>
      <t xml:space="preserve"> </t>
    </r>
    <r>
      <rPr>
        <b/>
        <sz val="8"/>
        <color rgb="FF0000CC"/>
        <rFont val="Arial"/>
        <family val="2"/>
      </rPr>
      <t>MASCULINO</t>
    </r>
  </si>
  <si>
    <r>
      <rPr>
        <b/>
        <sz val="8"/>
        <color theme="1"/>
        <rFont val="Arial"/>
        <family val="2"/>
      </rPr>
      <t>SEXO DEL PERSONAL</t>
    </r>
    <r>
      <rPr>
        <b/>
        <sz val="8"/>
        <color rgb="FFFF0000"/>
        <rFont val="Arial"/>
        <family val="2"/>
      </rPr>
      <t xml:space="preserve"> FEMENINO</t>
    </r>
  </si>
  <si>
    <t>I  N  I  C  I  A  L</t>
  </si>
  <si>
    <t>A  L  T  A  S</t>
  </si>
  <si>
    <t>B  A  J  A  S</t>
  </si>
  <si>
    <t>R  E  P  R  O  B  A  D  O  S</t>
  </si>
  <si>
    <r>
      <rPr>
        <b/>
        <sz val="9"/>
        <color rgb="FFFF0000"/>
        <rFont val="Arial"/>
        <family val="2"/>
      </rPr>
      <t>SEXO</t>
    </r>
    <r>
      <rPr>
        <b/>
        <sz val="9"/>
        <color theme="1"/>
        <rFont val="Arial"/>
        <family val="2"/>
      </rPr>
      <t xml:space="preserve">   DEL   PERSONAL   DOCENTE</t>
    </r>
  </si>
  <si>
    <t>ALUMNOS   A  TENDIDOS   POR   USAER</t>
  </si>
  <si>
    <t>TOTALES    USAER</t>
  </si>
  <si>
    <t>MAESTROS POR GDO Y GPO</t>
  </si>
  <si>
    <t>SEXO DEL PERSONAL MASCULINO</t>
  </si>
  <si>
    <r>
      <t xml:space="preserve">TOTAL DE ALUMNOS AL </t>
    </r>
    <r>
      <rPr>
        <b/>
        <sz val="8"/>
        <color rgb="FF0000CC"/>
        <rFont val="Arial"/>
        <family val="2"/>
      </rPr>
      <t>INICIO</t>
    </r>
    <r>
      <rPr>
        <b/>
        <sz val="8"/>
        <rFont val="Arial"/>
        <family val="2"/>
      </rPr>
      <t xml:space="preserve"> DEL CURSO</t>
    </r>
  </si>
  <si>
    <t>NOMBRE PROYECTO</t>
  </si>
  <si>
    <t>DE PROYECTOS DIDACTICOS APLICADOS CON ÉXITO EN EL CICLO 2011-2012</t>
  </si>
  <si>
    <t>POR SU ENTUSIASTA PARTICIPACIÓN Y CREADOR EN EL II INTERCAMBIO DE</t>
  </si>
  <si>
    <t>PROYECTOS DIDACTICOS APLICADOS CON ÉXITO EN EL CICLO 2011-2012</t>
  </si>
  <si>
    <r>
      <t xml:space="preserve">POR SU DESTACADA PARTICIPACIÓN COMO RELATOR EN EL </t>
    </r>
    <r>
      <rPr>
        <b/>
        <sz val="6"/>
        <color theme="0" tint="-0.34998626667073579"/>
        <rFont val="Arial"/>
        <family val="2"/>
      </rPr>
      <t xml:space="preserve">II </t>
    </r>
    <r>
      <rPr>
        <sz val="6"/>
        <color theme="0" tint="-0.34998626667073579"/>
        <rFont val="Arial"/>
        <family val="2"/>
      </rPr>
      <t>INTERCAMBIO</t>
    </r>
  </si>
  <si>
    <t>NOMBRE DEL PROYECTO</t>
  </si>
  <si>
    <t>LA SUPERVISION ESCOLAR 042</t>
  </si>
  <si>
    <t>PERTENECIENTE A LA JEFATURA DE SECTOR 04</t>
  </si>
  <si>
    <t>IMPARTIDO EL DIA 29 DE FEBRERO DE 2012</t>
  </si>
  <si>
    <t>"P E N S A M I E N T O   M A T E M A T I C O"</t>
  </si>
  <si>
    <t>Cancún Quintana Roo 29 de Febrero de 2012</t>
  </si>
  <si>
    <t>EL INSPECTOR ESCOLAR</t>
  </si>
  <si>
    <t>Ms.C.  JESUS MARTIN RICALDE CASTRO</t>
  </si>
  <si>
    <t>GRUPOS POR GRADOS</t>
  </si>
  <si>
    <r>
      <t xml:space="preserve">TOTAL DE ALUMNOS DE </t>
    </r>
    <r>
      <rPr>
        <b/>
        <sz val="8"/>
        <color rgb="FFFF0000"/>
        <rFont val="Arial"/>
        <family val="2"/>
      </rPr>
      <t>BAJAS</t>
    </r>
    <r>
      <rPr>
        <b/>
        <sz val="8"/>
        <rFont val="Arial"/>
        <family val="2"/>
      </rPr>
      <t xml:space="preserve"> DURANTE EL CURSO</t>
    </r>
  </si>
  <si>
    <r>
      <t xml:space="preserve">TOTAL DE ALUMNOS DE </t>
    </r>
    <r>
      <rPr>
        <b/>
        <sz val="8"/>
        <color rgb="FF00B050"/>
        <rFont val="Arial"/>
        <family val="2"/>
      </rPr>
      <t>ALTAS</t>
    </r>
    <r>
      <rPr>
        <b/>
        <sz val="8"/>
        <rFont val="Arial"/>
        <family val="2"/>
      </rPr>
      <t xml:space="preserve"> DURANTE EL CURSO</t>
    </r>
  </si>
  <si>
    <t>POR SU ENTUSIASTA PARTICIPACIÓN EN EL TALLER</t>
  </si>
  <si>
    <t>F-3 PRIM</t>
  </si>
  <si>
    <t>F-4 PRIM</t>
  </si>
  <si>
    <t>F-5 PRIM</t>
  </si>
  <si>
    <t>F-6 PRIM</t>
  </si>
  <si>
    <t>SEPTIEMBRE</t>
  </si>
  <si>
    <t>OCTUBRE</t>
  </si>
  <si>
    <t>NOVIEMBRE</t>
  </si>
  <si>
    <t>DICIEMBRE</t>
  </si>
  <si>
    <t>ENERO</t>
  </si>
  <si>
    <t>FEBRERO</t>
  </si>
  <si>
    <t>ABRIL</t>
  </si>
  <si>
    <t>MAYO</t>
  </si>
  <si>
    <t>JUNIO</t>
  </si>
  <si>
    <t>SEMANA</t>
  </si>
  <si>
    <t>TIPOS DE       REUNION</t>
  </si>
  <si>
    <t>Convocatorias para construir el Consejo Escolar</t>
  </si>
  <si>
    <t>1ª  Sesion del Consejo</t>
  </si>
  <si>
    <t>2ª  Sesion del consejo</t>
  </si>
  <si>
    <t>http://zonaescolar042.jimdo.com</t>
  </si>
  <si>
    <t>http://sistemas.seyc.gob.mx/sicap/.</t>
  </si>
  <si>
    <t>3ª  Sesion del Consejo</t>
  </si>
  <si>
    <t>http://controlescolar.seyc.gob.mx/siceeb/sistema/home/</t>
  </si>
  <si>
    <t>4ª  Sesion del Consejo</t>
  </si>
  <si>
    <t>1ª Sesion de la Asamblea</t>
  </si>
  <si>
    <t>http://www.repuce.sep.gob.mx/REPUCE/</t>
  </si>
  <si>
    <t>2ª Sesion de la Asmblea</t>
  </si>
  <si>
    <t>3ª Sesion de la Asamblea</t>
  </si>
  <si>
    <t>mcwqvn67</t>
  </si>
  <si>
    <t>•</t>
  </si>
  <si>
    <t>eqibul6a</t>
  </si>
  <si>
    <t>rfukru79</t>
  </si>
  <si>
    <t>lamwvx76</t>
  </si>
  <si>
    <t>sngdow6e</t>
  </si>
  <si>
    <t>cjxxmp64</t>
  </si>
  <si>
    <t>xhlabw79</t>
  </si>
  <si>
    <t>myyehs6b</t>
  </si>
  <si>
    <t>cawaqf75</t>
  </si>
  <si>
    <t>23DPR0681C</t>
  </si>
  <si>
    <t>miyzuw72</t>
  </si>
  <si>
    <t>lcdays61</t>
  </si>
  <si>
    <t>23PPR0099M</t>
  </si>
  <si>
    <t>yziakh71</t>
  </si>
  <si>
    <t>23PPR0100L</t>
  </si>
  <si>
    <t>ribjsy71</t>
  </si>
  <si>
    <t>23PPR0125U</t>
  </si>
  <si>
    <t>glxzuj76</t>
  </si>
  <si>
    <t>23PPR0156N</t>
  </si>
  <si>
    <t>23PPR0163X</t>
  </si>
  <si>
    <t xml:space="preserve">CLAVE  C.T. DE LA DOBLE PLAZA </t>
  </si>
  <si>
    <t>AGOSTO</t>
  </si>
  <si>
    <t>01-11-1983</t>
  </si>
  <si>
    <t>01-01-1981</t>
  </si>
  <si>
    <t>13-09-2007</t>
  </si>
  <si>
    <t>01-10-1997</t>
  </si>
  <si>
    <t xml:space="preserve">01-01-1981 </t>
  </si>
  <si>
    <t>01-10-1996</t>
  </si>
  <si>
    <t xml:space="preserve">RG-95   MZA-96   LTE-07   </t>
  </si>
  <si>
    <t>RG-96</t>
  </si>
  <si>
    <t xml:space="preserve">RG-96  MZA-99  LTE-14  </t>
  </si>
  <si>
    <t>N/T</t>
  </si>
  <si>
    <t>ABEJA            394</t>
  </si>
  <si>
    <t>PUNTA ALLEN</t>
  </si>
  <si>
    <t>TSUNUM        11</t>
  </si>
  <si>
    <t>CALLE      Y    NUMERO</t>
  </si>
  <si>
    <t>ABEJA             394</t>
  </si>
  <si>
    <t>.                                 14</t>
  </si>
  <si>
    <t>26                     B</t>
  </si>
  <si>
    <t>26                          B</t>
  </si>
  <si>
    <t>E020100.0000632</t>
  </si>
  <si>
    <t>E028100.0230560</t>
  </si>
  <si>
    <t>E028100.0230723</t>
  </si>
  <si>
    <t>E022100.0231608</t>
  </si>
  <si>
    <t>E028100.0230964</t>
  </si>
  <si>
    <t>E022100.0231500</t>
  </si>
  <si>
    <t>E028100.0234009</t>
  </si>
  <si>
    <t>E028100.0050238</t>
  </si>
  <si>
    <t>E028100.0231031</t>
  </si>
  <si>
    <t>E028100.0003557</t>
  </si>
  <si>
    <t>E028100.0230859</t>
  </si>
  <si>
    <t>E028100.0050046</t>
  </si>
  <si>
    <t>E028100.0040288</t>
  </si>
  <si>
    <t>E028100.0000432</t>
  </si>
  <si>
    <t>E028100.0231227</t>
  </si>
  <si>
    <t>E028100.0231011</t>
  </si>
  <si>
    <t>E068700.0230317</t>
  </si>
  <si>
    <t>E076308.0230012</t>
  </si>
  <si>
    <t>S0180700.0300230</t>
  </si>
  <si>
    <t>S0180800.0060004</t>
  </si>
  <si>
    <t>E028100.0231029</t>
  </si>
  <si>
    <t>E028100.0233300</t>
  </si>
  <si>
    <t>E028100.0232245</t>
  </si>
  <si>
    <t>E028100.0230775</t>
  </si>
  <si>
    <t>E028100.0230820</t>
  </si>
  <si>
    <t>E028100.0230253</t>
  </si>
  <si>
    <t>E028100.0230025</t>
  </si>
  <si>
    <t>E028100.0088815</t>
  </si>
  <si>
    <t>E028100.0233436</t>
  </si>
  <si>
    <t>E076322.0230117</t>
  </si>
  <si>
    <t>S0180700.0300245</t>
  </si>
  <si>
    <t>S0180700.0300274</t>
  </si>
  <si>
    <t>E022100.0231585</t>
  </si>
  <si>
    <t>E028100.0233285</t>
  </si>
  <si>
    <t>E028100.0230681</t>
  </si>
  <si>
    <t>E028100.0230048</t>
  </si>
  <si>
    <t>E028100.0085522</t>
  </si>
  <si>
    <t>E028100.0230208</t>
  </si>
  <si>
    <t>E028100.0233289</t>
  </si>
  <si>
    <t>E028100.0232700</t>
  </si>
  <si>
    <t>E028100.0070238</t>
  </si>
  <si>
    <t>E028100.0232037</t>
  </si>
  <si>
    <t>E028100.0230813</t>
  </si>
  <si>
    <t>E028100.0230099</t>
  </si>
  <si>
    <t>S0180700.0300073</t>
  </si>
  <si>
    <t>E022100.0000174</t>
  </si>
  <si>
    <t>E028100.0231582</t>
  </si>
  <si>
    <t>E028100.0233601</t>
  </si>
  <si>
    <t>E028100.0233409</t>
  </si>
  <si>
    <t>E028100.0054207</t>
  </si>
  <si>
    <t>E028100.0232283</t>
  </si>
  <si>
    <t>S0180700.0300333</t>
  </si>
  <si>
    <t>E028100.0231862</t>
  </si>
  <si>
    <t>E028100.0231015</t>
  </si>
  <si>
    <t>E028100.0232960</t>
  </si>
  <si>
    <t>E028100.0232907</t>
  </si>
  <si>
    <t>E028100.0232095</t>
  </si>
  <si>
    <t>E028100.0232717</t>
  </si>
  <si>
    <t>E028100.0232617</t>
  </si>
  <si>
    <t>E028100.0232955</t>
  </si>
  <si>
    <t>S0180700.0300310</t>
  </si>
  <si>
    <t>E028100.0233214</t>
  </si>
  <si>
    <t>E028100.0</t>
  </si>
  <si>
    <t>E028100.0233141</t>
  </si>
  <si>
    <t>E028100.0232596</t>
  </si>
  <si>
    <t>E076306.0010706</t>
  </si>
  <si>
    <t>E022100.0231694</t>
  </si>
  <si>
    <t>E028100.0231799</t>
  </si>
  <si>
    <t>E028100.0232532</t>
  </si>
  <si>
    <t>E028100.0231112</t>
  </si>
  <si>
    <t>E076306.0090758</t>
  </si>
  <si>
    <t>S0180700.0300010</t>
  </si>
  <si>
    <t>E022100.0230213</t>
  </si>
  <si>
    <t>E028100.0232712</t>
  </si>
  <si>
    <t>E028100.0233383</t>
  </si>
  <si>
    <t>E028100.0040744</t>
  </si>
  <si>
    <t>E028100.0030223</t>
  </si>
  <si>
    <t>E028100.0060215</t>
  </si>
  <si>
    <t>E028100.0000386</t>
  </si>
  <si>
    <t>E028100.0232161</t>
  </si>
  <si>
    <t>E028100.0233014</t>
  </si>
  <si>
    <t>E028100.0230281</t>
  </si>
  <si>
    <t>E028100.0231527</t>
  </si>
  <si>
    <t>E076302.0030714</t>
  </si>
  <si>
    <t>E068700.0230292</t>
  </si>
  <si>
    <t>S0180800.0070003</t>
  </si>
  <si>
    <t>E022100.0230058</t>
  </si>
  <si>
    <t>E028100.0231226</t>
  </si>
  <si>
    <t>E028100.0075649</t>
  </si>
  <si>
    <t>E028100.0233767</t>
  </si>
  <si>
    <t>E028100.0060221</t>
  </si>
  <si>
    <t>E028100.0233686</t>
  </si>
  <si>
    <t>E076312.0090784</t>
  </si>
  <si>
    <t>S0180700.0300254</t>
  </si>
  <si>
    <t>E028100.0117685</t>
  </si>
  <si>
    <t>E028100.0233789</t>
  </si>
  <si>
    <t>REP</t>
  </si>
  <si>
    <t>SM-26  MZA-6  LTE-55  RTNO-</t>
  </si>
  <si>
    <t>KUKULCAN #4</t>
  </si>
  <si>
    <t>SM-502  MZA-8      LTE-11  C-TSUNUN</t>
  </si>
  <si>
    <t>En virtud de que recibí de conformidad la documentación que antecede, el (la) Director(a) puede</t>
  </si>
  <si>
    <t xml:space="preserve">Recibí del (a) Profr. (a)  </t>
  </si>
  <si>
    <t>MARCO FDO. BARRERA CORDOBA</t>
  </si>
  <si>
    <t xml:space="preserve">SM-510   MZA-14   LTE-9   COL-JACINTO PAT   </t>
  </si>
  <si>
    <t>UTILIDADES Y PERDIDAS</t>
  </si>
  <si>
    <t xml:space="preserve">CONTROL DE EXAMENES DE LA ZONA  </t>
  </si>
  <si>
    <t>OBS</t>
  </si>
  <si>
    <t>ENTREGADOS</t>
  </si>
  <si>
    <t>NOMBRE COMPLETO                                       Apellidos * Nombres</t>
  </si>
  <si>
    <t>PAGADO</t>
  </si>
  <si>
    <t>FOLIO INICIAL</t>
  </si>
  <si>
    <t>FOLIO FINAL</t>
  </si>
  <si>
    <t>FIRMA</t>
  </si>
  <si>
    <t>17 DE SEPTIERMBRE DE 2012</t>
  </si>
  <si>
    <t xml:space="preserve">NOMBRE DEL SUPERVISOR: </t>
  </si>
  <si>
    <t>TEL DE LA ESC.</t>
  </si>
  <si>
    <t>DIRECTORES DE ESC.</t>
  </si>
  <si>
    <t>CELU. DTOR</t>
  </si>
  <si>
    <t>8 48 15 20</t>
  </si>
  <si>
    <t>8 43 52 79</t>
  </si>
  <si>
    <t>8 86 83 49</t>
  </si>
  <si>
    <t>6 42 76 43</t>
  </si>
  <si>
    <t xml:space="preserve">2 51 88 28 </t>
  </si>
  <si>
    <t>2 51 27 95</t>
  </si>
  <si>
    <t xml:space="preserve">2 52 13 29 </t>
  </si>
  <si>
    <t>8 80 63 67</t>
  </si>
  <si>
    <t>8 02 30 40</t>
  </si>
  <si>
    <t>8 98 98 90</t>
  </si>
  <si>
    <t xml:space="preserve">2 51 31 34 </t>
  </si>
  <si>
    <t>2 67 81  43</t>
  </si>
  <si>
    <t>5 78 74 49</t>
  </si>
  <si>
    <t>INICIO</t>
  </si>
  <si>
    <t>LALA770210KZ9</t>
  </si>
  <si>
    <t>E028100.0234064</t>
  </si>
  <si>
    <t>EN LUGAR DE KUXIN</t>
  </si>
  <si>
    <t>E028100.0231915</t>
  </si>
  <si>
    <t>GAPR810529DX9</t>
  </si>
  <si>
    <t>Coordinación General Académica</t>
  </si>
  <si>
    <t>Coordinación Estatal de Asesoría y Seguimiento</t>
  </si>
  <si>
    <t xml:space="preserve">LISTA DE ASISTENCIA. CICLO ESCOLAR  </t>
  </si>
  <si>
    <t>ESTADISTICA</t>
  </si>
  <si>
    <t>TALLER DE ASESORÍA:</t>
  </si>
  <si>
    <t xml:space="preserve">HORARIO: </t>
  </si>
  <si>
    <t>Adscripción</t>
  </si>
  <si>
    <t>Función</t>
  </si>
  <si>
    <t>Apellido Paterno/Materno/ Nombre(s)</t>
  </si>
  <si>
    <t>JORNADA DE 13:00 A 17:00 HORAS</t>
  </si>
  <si>
    <t>RFC                    Con               Homonimia</t>
  </si>
  <si>
    <t>Sexo</t>
  </si>
  <si>
    <t>GRADO
Y
GRUPO</t>
  </si>
  <si>
    <t>Zona Escolar</t>
  </si>
  <si>
    <t xml:space="preserve">ASESOR  RESPONSABLE: </t>
  </si>
  <si>
    <t>COORDINADOR DE ASESORÍA Y SEGUIMIENTO:</t>
  </si>
  <si>
    <t>PROF: JULIAN SALAZAR HEREDIA</t>
  </si>
  <si>
    <t>CLAVE O CCT</t>
  </si>
  <si>
    <t>INSPECCION</t>
  </si>
  <si>
    <t>A.T.P</t>
  </si>
  <si>
    <t>A.T.P.</t>
  </si>
  <si>
    <t>ADMON-</t>
  </si>
  <si>
    <t>ARTISTICA</t>
  </si>
  <si>
    <t>JIAM790618Y04</t>
  </si>
  <si>
    <t>MIVA670502MD1</t>
  </si>
  <si>
    <t>01-09-1012</t>
  </si>
  <si>
    <t>ROPD851105N03</t>
  </si>
  <si>
    <t>GATN820919N02</t>
  </si>
  <si>
    <t>PECY781231N00</t>
  </si>
  <si>
    <t>EDUC FÍSICA</t>
  </si>
  <si>
    <t>PAVM761203R08</t>
  </si>
  <si>
    <t>VIMA680911L03</t>
  </si>
  <si>
    <t>BASG701105AL5</t>
  </si>
  <si>
    <t>PESF781004R08</t>
  </si>
  <si>
    <t>TECNOLOGIA</t>
  </si>
  <si>
    <t>DIMENSION PEDAGOGICA</t>
  </si>
  <si>
    <t xml:space="preserve">SEDE:  </t>
  </si>
  <si>
    <t xml:space="preserve">  ESC. PRIM.     </t>
  </si>
  <si>
    <t>Faltan de firmar algunos docentes</t>
  </si>
  <si>
    <t>Cuenta con la formacion de consejo falta la 1ra. Asamblea</t>
  </si>
  <si>
    <t xml:space="preserve">Al corriente </t>
  </si>
  <si>
    <t>La direccion de la escuela cuenta con los expedientes de los docentes.</t>
  </si>
  <si>
    <t>dimenciones de la gestion escolar,  que permitan sistematizar informacion oportuna y</t>
  </si>
  <si>
    <t>necesaria sobre las actividades educativas que se desarrollaron en el centro de trabajo</t>
  </si>
  <si>
    <t>Cuenta con la libreta de ingreso y egreso pero no los anexos</t>
  </si>
  <si>
    <t>SEDE: ESC. PRIM.</t>
  </si>
  <si>
    <t>¿Contempla el profesor en su planeación actividades las específicas para el Fomento a la Lectura y Escritura?</t>
  </si>
  <si>
    <t>GRUPOS C</t>
  </si>
  <si>
    <t>INSC</t>
  </si>
  <si>
    <t>PRES</t>
  </si>
  <si>
    <t>TEXTOS FALTA</t>
  </si>
  <si>
    <t>Copia del PAT     de la Escuela</t>
  </si>
  <si>
    <t>Expedientes de     los alumnos</t>
  </si>
  <si>
    <t>Resultados de      la Evaluación Diagnóstica</t>
  </si>
  <si>
    <t>Estadística              de Inicio</t>
  </si>
  <si>
    <r>
      <t>I.</t>
    </r>
    <r>
      <rPr>
        <b/>
        <sz val="12"/>
        <color rgb="FF0000CC"/>
        <rFont val="Times New Roman"/>
        <family val="1"/>
      </rPr>
      <t> </t>
    </r>
    <r>
      <rPr>
        <b/>
        <sz val="12"/>
        <color rgb="FF0000CC"/>
        <rFont val="Calibri"/>
        <family val="2"/>
      </rPr>
      <t>EVALUACION DIAGNOSTICA</t>
    </r>
  </si>
  <si>
    <t>PARA QUE ESTA GUIA CUMPLA CON EL PROPOSITO DE SISTEMATIZAR INFORMACION QUE LE PERMITA LA ADECUADA</t>
  </si>
  <si>
    <t>TOMA DE DECISIONES, SERA NECESARIO QUE SU UTILIZACION SEA LO MÁS OBJETIVA POSIBLE DE ACUERDO A CADA</t>
  </si>
  <si>
    <t>UNO DE LOS SIGUIENTES PLANTEAMIENTOS:</t>
  </si>
  <si>
    <t>INSTRUMENTO o ESTRATEGIA</t>
  </si>
  <si>
    <t>Cuáles fueron los resultados obtenidos en el grado.</t>
  </si>
  <si>
    <t>Alumnos con otras situaciones de aprendizaje</t>
  </si>
  <si>
    <t>RESULTADOS DE ENLACE</t>
  </si>
  <si>
    <t>Resultados del Grupo</t>
  </si>
  <si>
    <t>Resultados del Docente</t>
  </si>
  <si>
    <t>ENLACE 2011</t>
  </si>
  <si>
    <t>CONCLUSIONES</t>
  </si>
  <si>
    <t>ENLACE 2012</t>
  </si>
  <si>
    <t>PLANIFICACION DIDACTICA</t>
  </si>
  <si>
    <t>¿La planeación didáctica se elabora de acuerdo a las actividades establecidas en el PAT?</t>
  </si>
  <si>
    <t>La Planificación didáctica se realiza por medio de:</t>
  </si>
  <si>
    <t>Observaciones encontradas en la Planificación</t>
  </si>
  <si>
    <t>ORGANIZACIÓN DEL GRUPO</t>
  </si>
  <si>
    <t xml:space="preserve">E S C U E L A: </t>
  </si>
  <si>
    <t>G R A D O:</t>
  </si>
  <si>
    <t>F E C H A:</t>
  </si>
  <si>
    <t>¿Contempla el profesor en su planeación actividades específicas para el Fomento a la Lectura?</t>
  </si>
  <si>
    <t>¿Cuenta el profesor con  Biblioteca de aula?</t>
  </si>
  <si>
    <t>Comente algunas actividades que los profesores realizan para el Fomento a la Lectura</t>
  </si>
  <si>
    <t>IV</t>
  </si>
  <si>
    <t>OBSERVACIONES Y CONCLUSIONES</t>
  </si>
  <si>
    <t>CUADERNO DE LOS ALUMNOS</t>
  </si>
  <si>
    <t>Variedad de textos</t>
  </si>
  <si>
    <t>Textos propios de los alumnos</t>
  </si>
  <si>
    <t>Copias y Planas</t>
  </si>
  <si>
    <t>Corregida la ortografía</t>
  </si>
  <si>
    <t>Promueve el uso  de la gramática</t>
  </si>
  <si>
    <t>Tareas por equipo</t>
  </si>
  <si>
    <t xml:space="preserve">Investigaciones </t>
  </si>
  <si>
    <t>Tareas calificadas por el Docente</t>
  </si>
  <si>
    <t>Problemas matemáticos</t>
  </si>
  <si>
    <t xml:space="preserve">Mecanizaciones </t>
  </si>
  <si>
    <t>Cuestionarios</t>
  </si>
  <si>
    <t>ASPECTOS A OBSERVAR</t>
  </si>
  <si>
    <t>En su mayoría</t>
  </si>
  <si>
    <t>Más o menos</t>
  </si>
  <si>
    <t>Muy poco</t>
  </si>
  <si>
    <t>No tiene</t>
  </si>
  <si>
    <t>V</t>
  </si>
  <si>
    <t>Grado</t>
  </si>
  <si>
    <t>Los resultados de ENLACE, se observarán desde estos 2 puntos de vista:</t>
  </si>
  <si>
    <t>res para su atención, involucrando a  los padres de familia en su proceso?</t>
  </si>
  <si>
    <r>
      <t xml:space="preserve">En caso de haber niños con </t>
    </r>
    <r>
      <rPr>
        <b/>
        <sz val="12"/>
        <color theme="1"/>
        <rFont val="Calibri"/>
        <family val="2"/>
        <scheme val="minor"/>
      </rPr>
      <t>NEE</t>
    </r>
    <r>
      <rPr>
        <sz val="12"/>
        <color theme="1"/>
        <rFont val="Calibri"/>
        <family val="2"/>
        <scheme val="minor"/>
      </rPr>
      <t>. ¿Se establecen en la planificación didáctica,  adecuaciones  curricula-</t>
    </r>
  </si>
  <si>
    <t>alumnos?</t>
  </si>
  <si>
    <t>En la Planificación,  ¿Se notan actividades diseñadas  para lograr el desarrollo de competencias de los</t>
  </si>
  <si>
    <t>Cómo se lleva a cabo el proceso de Lecto – Escritura en 2° Grado</t>
  </si>
  <si>
    <t>Cómo se lleva a cabo el proceso de Lecto – Escritura en 1° Grado</t>
  </si>
  <si>
    <t>Que estrategia de Lectura utiliza en el grupo de 3° Grado</t>
  </si>
  <si>
    <t>Que estrategia de Lectura utiliza en el grupo de 4° Grado</t>
  </si>
  <si>
    <t>Que estrategia de Lectura utiliza en el grupo 5° Grado</t>
  </si>
  <si>
    <t>Que estrategia de Lectura utiliza en el grupo 6° Grado)</t>
  </si>
  <si>
    <t xml:space="preserve">DIRECTOR (A):  </t>
  </si>
  <si>
    <t xml:space="preserve">Z.E.:  </t>
  </si>
  <si>
    <t xml:space="preserve">La prueba que se aplicará será objetiva, así acordaron en la primera reunión de consejo tecnico de la escuela, </t>
  </si>
  <si>
    <t>Trabajar más sobre la comprensión y análisis de problemas y  realizar actividades que se proyecten mejor hacía los aprendizajes</t>
  </si>
  <si>
    <t>Como marcan los planes y programas vigentes 2011 (de acuerdo a la RIEB)</t>
  </si>
  <si>
    <t>En todos los grupos activos de educacion primaria los docentes aqcordaron realizar la nueva propuesta y adecuaciones curriculares para</t>
  </si>
  <si>
    <t>darle alos alumnos mejor y mas productiva la atención.</t>
  </si>
  <si>
    <t>Construcción del salón de usos multiples y biblioteca escolar y el techado de la cancha principal de la escuela, existe entre los planes del</t>
  </si>
  <si>
    <t>director del plantel y el personla esta enterado de este proyecto.</t>
  </si>
  <si>
    <t>Razonamiento reflexivo, comprensión, problemas de retención de memoria de fechas y eventos importantes</t>
  </si>
  <si>
    <t>CURP DEL DOCENTE</t>
  </si>
  <si>
    <t>RICJ631111HYN</t>
  </si>
  <si>
    <t>GAGA580703HYNRNN08</t>
  </si>
  <si>
    <t>HIME612302HYN</t>
  </si>
  <si>
    <t>MOCI710325MQR</t>
  </si>
  <si>
    <t>AESM711024MQR</t>
  </si>
  <si>
    <t>AEQM701008MCC</t>
  </si>
  <si>
    <t>SABC641208MQR</t>
  </si>
  <si>
    <t>CALS720517MQR</t>
  </si>
  <si>
    <t>AAEA820728MYN</t>
  </si>
  <si>
    <t>GOSG720804MYN</t>
  </si>
  <si>
    <t>XIVM780420HQR</t>
  </si>
  <si>
    <t>VAGD571220MYN</t>
  </si>
  <si>
    <t>VISN610207MQR</t>
  </si>
  <si>
    <t>CUPF711129HCC</t>
  </si>
  <si>
    <t>MASA730502HQR</t>
  </si>
  <si>
    <t>BAXM651202HCC</t>
  </si>
  <si>
    <t>LALA770210MYN</t>
  </si>
  <si>
    <t>CACD641028HCC</t>
  </si>
  <si>
    <t>SOQI760515MQR</t>
  </si>
  <si>
    <t>SIFM830816MCC</t>
  </si>
  <si>
    <t>SAAA810727HCC</t>
  </si>
  <si>
    <t>AIKL680823MCC</t>
  </si>
  <si>
    <t>CABL680604MCC</t>
  </si>
  <si>
    <t>HECA770303HCC</t>
  </si>
  <si>
    <t>ZACL660311MQR</t>
  </si>
  <si>
    <t>SATJ690403HCC</t>
  </si>
  <si>
    <t>COCR831101HQR</t>
  </si>
  <si>
    <t>DITM681226HCC</t>
  </si>
  <si>
    <t>LICA720516MQR</t>
  </si>
  <si>
    <t>OIRL740325HQR</t>
  </si>
  <si>
    <t>MECJ741210HCC</t>
  </si>
  <si>
    <t>KULG720905MQR</t>
  </si>
  <si>
    <t>CURP</t>
  </si>
  <si>
    <t>GOPF700423MCC</t>
  </si>
  <si>
    <t>DUSI750302HYN</t>
  </si>
  <si>
    <t>ZACL660311MCC</t>
  </si>
  <si>
    <t>TAUJ670701HCC</t>
  </si>
  <si>
    <t>TUCE641225MCC</t>
  </si>
  <si>
    <t>BAAB670127MYN</t>
  </si>
  <si>
    <t>VIEI630208HYN</t>
  </si>
  <si>
    <t>PACW810920HCC</t>
  </si>
  <si>
    <t>SORT610206MQR</t>
  </si>
  <si>
    <t>PATM690606MCC</t>
  </si>
  <si>
    <t>DUYG720503MCC</t>
  </si>
  <si>
    <t>PUGM590714MYN</t>
  </si>
  <si>
    <t>GOCM750124M</t>
  </si>
  <si>
    <t>FIMW730824H</t>
  </si>
  <si>
    <t>BUSI710624H</t>
  </si>
  <si>
    <t>PAXA630724M</t>
  </si>
  <si>
    <t>COCC850923HQR</t>
  </si>
  <si>
    <t>ZAAJ640712H</t>
  </si>
  <si>
    <t>BEMA830803H</t>
  </si>
  <si>
    <t>COYC680807H</t>
  </si>
  <si>
    <t>EAPS650603M</t>
  </si>
  <si>
    <t>NADV650131MCC</t>
  </si>
  <si>
    <t>VAPG640204H</t>
  </si>
  <si>
    <t>NAPM660305H</t>
  </si>
  <si>
    <t>PACJ650419M</t>
  </si>
  <si>
    <t>HACE680524M</t>
  </si>
  <si>
    <t>CECR650415M</t>
  </si>
  <si>
    <t>TARF710102M</t>
  </si>
  <si>
    <t>ROEE670330H</t>
  </si>
  <si>
    <t>VIEI630208H</t>
  </si>
  <si>
    <t>RUMM620801M</t>
  </si>
  <si>
    <t>GOPI711104M</t>
  </si>
  <si>
    <t>VIEM730106H</t>
  </si>
  <si>
    <t>CAPE730220M</t>
  </si>
  <si>
    <t>FAMV650714H</t>
  </si>
  <si>
    <t>CACD641028H</t>
  </si>
  <si>
    <t>COCJ661009H</t>
  </si>
  <si>
    <t>SIFM830816M</t>
  </si>
  <si>
    <t>MIVJ831213H</t>
  </si>
  <si>
    <t>AEQE680115H</t>
  </si>
  <si>
    <t>SOND890816M</t>
  </si>
  <si>
    <t>AIMO710423M</t>
  </si>
  <si>
    <t>DISA740828H</t>
  </si>
  <si>
    <t>CETN820117M</t>
  </si>
  <si>
    <t>AOSM620706HYN</t>
  </si>
  <si>
    <t>AIMG790118MQR</t>
  </si>
  <si>
    <t>TUDA750409MCC</t>
  </si>
  <si>
    <t>LOAG721104MYN</t>
  </si>
  <si>
    <t>DECA640204M</t>
  </si>
  <si>
    <t>PEPD630226MYN</t>
  </si>
  <si>
    <t>CINE831108M</t>
  </si>
  <si>
    <t>COYC680807HCC</t>
  </si>
  <si>
    <t>DUSI750302H</t>
  </si>
  <si>
    <t>MACF720609HQR</t>
  </si>
  <si>
    <t>AAAM781006M</t>
  </si>
  <si>
    <t>AIMO710423MQR</t>
  </si>
  <si>
    <t>ROBJ660711HYN</t>
  </si>
  <si>
    <t>LICA750623MQR</t>
  </si>
  <si>
    <t>CAML830107HYN</t>
  </si>
  <si>
    <t>CEVD660311MYN</t>
  </si>
  <si>
    <t>RINL670917MYN</t>
  </si>
  <si>
    <t>CAPN731116MCC</t>
  </si>
  <si>
    <t>CAOM760405HQR</t>
  </si>
  <si>
    <t>MACL841214M</t>
  </si>
  <si>
    <t>AONI770408H</t>
  </si>
  <si>
    <t>TECA630206M</t>
  </si>
  <si>
    <t>CEBA641230MSL</t>
  </si>
  <si>
    <t>RAPD830915M</t>
  </si>
  <si>
    <t>HESL790503M</t>
  </si>
  <si>
    <t>PAKO750123H</t>
  </si>
  <si>
    <t>CABF860506M</t>
  </si>
  <si>
    <t>GASM880115H</t>
  </si>
  <si>
    <t>CAAD810525M</t>
  </si>
  <si>
    <t>MACG530722M</t>
  </si>
  <si>
    <t>RASY670704M</t>
  </si>
  <si>
    <t>GOCA730402M</t>
  </si>
  <si>
    <t>AIAM590822M</t>
  </si>
  <si>
    <t>ROMC690527M</t>
  </si>
  <si>
    <t>MOCM850610M</t>
  </si>
  <si>
    <t>SEMG681107M</t>
  </si>
  <si>
    <t>OIGF750502M</t>
  </si>
  <si>
    <t>IUPI670124M</t>
  </si>
  <si>
    <t>BAVC691223M</t>
  </si>
  <si>
    <t>MOCL491213M</t>
  </si>
  <si>
    <t>EETQ820705M</t>
  </si>
  <si>
    <t>PAHE841010M</t>
  </si>
  <si>
    <t>PERL770721H</t>
  </si>
  <si>
    <t>RUVP720331M</t>
  </si>
  <si>
    <t>CACX840208M</t>
  </si>
  <si>
    <t>BAAA901113H</t>
  </si>
  <si>
    <t>SAUD591115M</t>
  </si>
  <si>
    <t>AERC530228M</t>
  </si>
  <si>
    <t>SATL840306H</t>
  </si>
  <si>
    <t>BASI540925M</t>
  </si>
  <si>
    <t>CALL820103M</t>
  </si>
  <si>
    <t>GAPR810529M</t>
  </si>
  <si>
    <t>GATN820919M</t>
  </si>
  <si>
    <t>ROPD851105M</t>
  </si>
  <si>
    <t>AUMG880228M</t>
  </si>
  <si>
    <t>JIAM790618M</t>
  </si>
  <si>
    <t>MIVA670502M</t>
  </si>
  <si>
    <t>PECY781231H</t>
  </si>
  <si>
    <t>PAVM761203M</t>
  </si>
  <si>
    <t>VIMA680911M</t>
  </si>
  <si>
    <t>GOGC780205M</t>
  </si>
  <si>
    <t>LORL670104M</t>
  </si>
  <si>
    <t>MERA660115M</t>
  </si>
  <si>
    <t>BASG701105M</t>
  </si>
  <si>
    <t>PESF781004H</t>
  </si>
  <si>
    <t>SAFS7212016F9</t>
  </si>
  <si>
    <t>SAFS721201M</t>
  </si>
  <si>
    <t>ROCE831128S10</t>
  </si>
  <si>
    <t>ROCE831128M</t>
  </si>
  <si>
    <t>VECN851113N92</t>
  </si>
  <si>
    <t>ENLACE</t>
  </si>
  <si>
    <t>6º Gdo</t>
  </si>
  <si>
    <t>4º Gdo</t>
  </si>
  <si>
    <t>5º Gdo</t>
  </si>
  <si>
    <t>1º Gdo</t>
  </si>
  <si>
    <t>2º Gdo</t>
  </si>
  <si>
    <t>3º Gdo</t>
  </si>
  <si>
    <t>Aprobada porel consejpo técnico</t>
  </si>
  <si>
    <t>Aprobada esta observación se encuentra registrada en el PAT de la misma.</t>
  </si>
  <si>
    <t>Aprobada por el consejo técnico del plantel educativo, esta observación se encuentra registrada en el PAT de la misma.</t>
  </si>
  <si>
    <t>Aprobada por el consejo técnico del plantel educativo</t>
  </si>
  <si>
    <t>Esta observación se encuentra registrada en el PAT de la misma.</t>
  </si>
  <si>
    <t>Los docentes no tienen copia del PAT de la institución</t>
  </si>
  <si>
    <t>PARA QUE ESTA GUIA CUMPLA EL PROPOSITO DE SISTEMATIZAR INFORMACION QUE PERMITA LA ADECUADA TOMA DE DESICIONES, SERA</t>
  </si>
  <si>
    <t>NECESARIO QUE SU UTILIZACION SEA LO MAS OBJETIVA POSIBLE DE ACUERDO A CADA UNO DE LOS SIGUIENTES PLANTEAMIENTOS</t>
  </si>
  <si>
    <t>Curso basico de formacion continua (RIEB 2012) Reforma continua de actualización para docentes</t>
  </si>
  <si>
    <t xml:space="preserve">FOLEES, Programa nacional de lectura, </t>
  </si>
  <si>
    <t>La escuela no cuenta con la libreta de visitas</t>
  </si>
  <si>
    <t>Al corriente (este documento ya fue reportado a la inspeccion escolar)</t>
  </si>
  <si>
    <r>
      <t xml:space="preserve">¿En el </t>
    </r>
    <r>
      <rPr>
        <b/>
        <sz val="12"/>
        <color theme="1"/>
        <rFont val="Calibri"/>
        <family val="2"/>
        <scheme val="minor"/>
      </rPr>
      <t>PAT</t>
    </r>
    <r>
      <rPr>
        <sz val="12"/>
        <color theme="1"/>
        <rFont val="Calibri"/>
        <family val="2"/>
        <scheme val="minor"/>
      </rPr>
      <t xml:space="preserve"> se proponen estrategias de coordinación con otras instituciones que faciliten el logro de los objetivos</t>
    </r>
  </si>
  <si>
    <t>REGISTRO DE INSCRIPCION (F-1)</t>
  </si>
  <si>
    <t>REGISTRO DE ASISTENCIA Y PUNTUALIDAD (SICEEB)</t>
  </si>
  <si>
    <t>REGISTRO DE INSCRIPCION (SICEEB)</t>
  </si>
  <si>
    <t>CONCENTRADO DE CALIFICACIONES (DE INTERNET)</t>
  </si>
  <si>
    <t>REG. DE EVALUACION DIAGNOSTICA</t>
  </si>
  <si>
    <t>PROYECTOS</t>
  </si>
  <si>
    <t>SECUENCIA DIDACTICA</t>
  </si>
  <si>
    <t>AMBOS</t>
  </si>
  <si>
    <t>No lo maneja el docente</t>
  </si>
  <si>
    <t>Absoletos</t>
  </si>
  <si>
    <t>En Geografia y Naturales</t>
  </si>
  <si>
    <t>1ºA</t>
  </si>
  <si>
    <t>2ºA</t>
  </si>
  <si>
    <t>3ºA</t>
  </si>
  <si>
    <t>4ºA</t>
  </si>
  <si>
    <t>5ºA</t>
  </si>
  <si>
    <t>6ºA</t>
  </si>
  <si>
    <t>1ºB</t>
  </si>
  <si>
    <t>2ºB</t>
  </si>
  <si>
    <t>3ºB</t>
  </si>
  <si>
    <t>4ºB</t>
  </si>
  <si>
    <t>5ºB</t>
  </si>
  <si>
    <t>6ºB</t>
  </si>
  <si>
    <t>1ºC</t>
  </si>
  <si>
    <t>2ºC</t>
  </si>
  <si>
    <t>3ºC</t>
  </si>
  <si>
    <t>4ºC</t>
  </si>
  <si>
    <t>5ºC</t>
  </si>
  <si>
    <t>6ºC</t>
  </si>
  <si>
    <t>2°A</t>
  </si>
  <si>
    <t>DIRECTOR  O SUPERVISOR ESCOLAR</t>
  </si>
  <si>
    <r>
      <t>PROF:</t>
    </r>
    <r>
      <rPr>
        <b/>
        <sz val="8"/>
        <color theme="0"/>
        <rFont val="Calibri"/>
        <family val="2"/>
        <scheme val="minor"/>
      </rPr>
      <t xml:space="preserve"> LUCIO TADEO NOVELONNNNNNNNNNN</t>
    </r>
  </si>
  <si>
    <t xml:space="preserve">PROF: </t>
  </si>
  <si>
    <t>VECN000000M</t>
  </si>
  <si>
    <t>SAAC000000XXX</t>
  </si>
  <si>
    <t>SAXA000000M</t>
  </si>
  <si>
    <t>N°/ P</t>
  </si>
  <si>
    <t>JORNADA DE 08:00 A 11:30  HORAS</t>
  </si>
  <si>
    <t>LA EVALUACION PARA EL APRENDIZAJE EN PRIMARIA  I  Y   II</t>
  </si>
  <si>
    <t>SM-48 C-OCOSINGO CON OCOTEPEC</t>
  </si>
  <si>
    <t>8 DE OCTUBRE</t>
  </si>
  <si>
    <t>RG-96  MZA-89 Y 90</t>
  </si>
  <si>
    <t>DERECHOS DEL NIÑO</t>
  </si>
  <si>
    <t>RG-INFONAVID RG-96</t>
  </si>
  <si>
    <t>CUITLAHUAC</t>
  </si>
  <si>
    <t>23DPR572W</t>
  </si>
  <si>
    <t>KABAH</t>
  </si>
  <si>
    <t>ANTONIO MEDIZ BOLIO</t>
  </si>
  <si>
    <t>MANUEL CRESCENCIO REJON</t>
  </si>
  <si>
    <t>CENTRO EDUCATIVO EL MANANTIAL</t>
  </si>
  <si>
    <t>COLEGIO HISPANOAMERICANO LA LUNA</t>
  </si>
  <si>
    <t>JOSE VASCONCELOS</t>
  </si>
  <si>
    <t>CENTRO INFANTIL LATINOAMERICANO</t>
  </si>
  <si>
    <t>COLEGIO KING DAVID</t>
  </si>
  <si>
    <t>Rg-96  Mza-89 y 90   C-127</t>
  </si>
  <si>
    <t>RG-96  MZA-89 y 90   C-127</t>
  </si>
  <si>
    <t>RG-96  MZA-23   LTE-1   C-12</t>
  </si>
  <si>
    <t>RG-519  MZA-1 Y 2   COL-JACENTO PAT</t>
  </si>
  <si>
    <t>RG-510  MZA-1 Y 2   COL-JACENTO PAT</t>
  </si>
  <si>
    <t>SM-46   MZA-13   LTE.2   C-OCOSINGO CON OCOTEPEC</t>
  </si>
  <si>
    <t>SM-502   MZA-2   LTE-1   COL-PEHALTUN</t>
  </si>
  <si>
    <t>RG-95   MZA-129   LTE.2</t>
  </si>
  <si>
    <t>9981 49 34 04</t>
  </si>
  <si>
    <t>DIRECCION      DE      EDUCACION      BASICA</t>
  </si>
  <si>
    <t>SUBDIRECCION  DE  EDUCACION  PRIMARIA</t>
  </si>
  <si>
    <t>ZONA    ESCOLAR    042</t>
  </si>
  <si>
    <t>ASUNTO: ACUSE DE RECIBO</t>
  </si>
  <si>
    <t xml:space="preserve"> “2013; Año de Belisario Domínguez”</t>
  </si>
  <si>
    <t>“2013; Año por una Cultura de Conservación Ambiental”</t>
  </si>
  <si>
    <t>RECIBÍ DE LA SUPERVISIÓN ESCOLAR No. 042  FOLLETO INFORMATIVO RELATIVO A LA</t>
  </si>
  <si>
    <t xml:space="preserve">ESCUELA   PRIMARIA  </t>
  </si>
  <si>
    <t>REFORMA   EDUCATIVA.</t>
  </si>
  <si>
    <t>G/G</t>
  </si>
  <si>
    <t>E S C U E L A:</t>
  </si>
  <si>
    <t>E028100.0233339</t>
  </si>
  <si>
    <t>VAPG6402044X1</t>
  </si>
  <si>
    <t>NAHUAT DZIB * VIRGINIA</t>
  </si>
  <si>
    <t>BUITRON SANCHEZ * ISMAEL ALEJANDRO</t>
  </si>
  <si>
    <t>ZAPATA AGUAYO * JULIO CESAR</t>
  </si>
  <si>
    <t>BUENFIL ESCOBEDO * GILMER DE JESUS</t>
  </si>
  <si>
    <t>CANUL DE LA O * MIGUEL ANGEL</t>
  </si>
  <si>
    <t>VALLEJO PIÑA * GILBERTO VIDAL</t>
  </si>
  <si>
    <t>PAT XULUC * MARIA ANTONIA</t>
  </si>
  <si>
    <t>ALBORNOZ NUÑEZ * IVAN GEOVANI</t>
  </si>
  <si>
    <t>NAVARRETE PANTOJA * MIGUEL ANGEL</t>
  </si>
  <si>
    <t>PUCH GOMEZ * MADAI ROXANA</t>
  </si>
  <si>
    <t>ESTRADA PALMA * MARIA SOLEDAD</t>
  </si>
  <si>
    <t>GARCIA CASTRO * GUADALUPE</t>
  </si>
  <si>
    <t>BARRERA AGUILAR * BLANCA ROSA</t>
  </si>
  <si>
    <t>SANCHEZ DURAN * EDSSON MANUEL</t>
  </si>
  <si>
    <t>GOMEZ CORTEZ * MIRNA LUZ</t>
  </si>
  <si>
    <t>FIELDS MAZA * WILBERT</t>
  </si>
  <si>
    <t>PAT XULUC *MARIA ANTONIA</t>
  </si>
  <si>
    <t>COLLI CARRILLO * CRISTHIAN YAIR</t>
  </si>
  <si>
    <t>GARDUNO ESTANOL * JESUS JAVIER</t>
  </si>
  <si>
    <t>BALAN XIU * MANUEL JESUS</t>
  </si>
  <si>
    <t>LANDEROS LOPEZ * ALVINA</t>
  </si>
  <si>
    <t>SOSA QUEB * IVONNE GUADALUPE</t>
  </si>
  <si>
    <t>SIERRA FLORES * MARITZA ILEN</t>
  </si>
  <si>
    <t>SALAS ALCOCER * JOSE ARIMAEL</t>
  </si>
  <si>
    <t>AVILES KOYOC * LAURA GUADALUPE</t>
  </si>
  <si>
    <t>CARDENA BENITEZ * LIDIA ESMERALDA</t>
  </si>
  <si>
    <t>HERNANDEZ CARDEÑA * ALEX KARIN</t>
  </si>
  <si>
    <t>ZALDIVAR CORAL * LORENA DEL ROCIO</t>
  </si>
  <si>
    <t>SANGUINO TREJO * JUAN CARLOS</t>
  </si>
  <si>
    <t>COLLI CARRILLO * ROBERTO ALAN</t>
  </si>
  <si>
    <t>DZIB TUZ * MANUEL JESUS</t>
  </si>
  <si>
    <t>LIZARRAGA CASTILLO * ANA EUGENIA</t>
  </si>
  <si>
    <t>ORTIZ ROSADO * LESTHER ARMANDO</t>
  </si>
  <si>
    <t>MENDOZA CHEL * JORGE ANGEL</t>
  </si>
  <si>
    <t>KU LORIA * GABRIELA RUBI</t>
  </si>
  <si>
    <t>GONZALEZ PEREZ * FILOMENA</t>
  </si>
  <si>
    <t>DZUL SANTIAGO * IVAN ARIEL</t>
  </si>
  <si>
    <t>TAMAY UICAB * JUAN BAUTISTA</t>
  </si>
  <si>
    <t>TUN CAUICH * EVA DEL JESUS</t>
  </si>
  <si>
    <t>VIVAS ESTRADA * ISMAEL</t>
  </si>
  <si>
    <t>PACHECO COUOH * WILBERTH ALEJANDRO</t>
  </si>
  <si>
    <t>SOLIS RAMIREZ * TITA</t>
  </si>
  <si>
    <t>PAT TUZ * MARIA MARGARITA</t>
  </si>
  <si>
    <t>DZUL YAM * GENNY YAMILI</t>
  </si>
  <si>
    <t>(Jefe de Sector, Supervisor, ATP, Director, Docente</t>
  </si>
  <si>
    <t>Entrega de cedulas de inscripcion (Secundaria)</t>
  </si>
  <si>
    <t>Tercer bimestre</t>
  </si>
  <si>
    <t>RECIBÍ DE LA SUPERVISIÓN ESCOLAR No. 042  FOLLETO INFORMATIVO RELATIVO A LA REFORMA   EDUCATIVA.</t>
  </si>
  <si>
    <t>z</t>
  </si>
  <si>
    <t>VALLEJO SOSA * JANET ALICIA</t>
  </si>
  <si>
    <t>VASA</t>
  </si>
  <si>
    <r>
      <t xml:space="preserve">NIÑOS EN SITUACION DE RIESGO DE REPROBACION    </t>
    </r>
    <r>
      <rPr>
        <b/>
        <sz val="12"/>
        <rFont val="Arial"/>
        <family val="2"/>
      </rPr>
      <t>………</t>
    </r>
  </si>
  <si>
    <t>MANANTIAL</t>
  </si>
  <si>
    <t>LA LUNA</t>
  </si>
  <si>
    <t>VASCONCELOS</t>
  </si>
  <si>
    <t>CILA</t>
  </si>
  <si>
    <t>KING DAVID</t>
  </si>
  <si>
    <t>BIMESTRES</t>
  </si>
  <si>
    <t>Gdo</t>
  </si>
  <si>
    <t>Gpo</t>
  </si>
  <si>
    <t>MAESTROS</t>
  </si>
  <si>
    <t>7S/C1</t>
  </si>
  <si>
    <t>S/C1</t>
  </si>
  <si>
    <t>10S/C1</t>
  </si>
  <si>
    <t>S/C2</t>
  </si>
  <si>
    <t>4S/C1</t>
  </si>
  <si>
    <t>2S/C1</t>
  </si>
  <si>
    <t>3S/C1</t>
  </si>
  <si>
    <t>1S/C1</t>
  </si>
  <si>
    <t>TS/C</t>
  </si>
  <si>
    <t>8S/C1</t>
  </si>
  <si>
    <t>6S/C1</t>
  </si>
  <si>
    <t>5S/C1</t>
  </si>
  <si>
    <t xml:space="preserve">No tiene el registro de los problemas del diagnostico, </t>
  </si>
  <si>
    <t xml:space="preserve">No realizo el diagnostico de la lectura para valorar la fluidez, la rapidez y la comprensión lectora, no registra datos de la planeacion </t>
  </si>
  <si>
    <t>sobre la lectura.</t>
  </si>
  <si>
    <t>no presenta</t>
  </si>
  <si>
    <t>No presentó planeación, ni proyectos no tiene el material de planes y programas establecidos por la SEQ</t>
  </si>
  <si>
    <t xml:space="preserve">No realiza actividades con el uso de la biblioteca del grupo, </t>
  </si>
  <si>
    <t>TURNO           (M/V/TC)</t>
  </si>
  <si>
    <t>Docentes atendidos</t>
  </si>
  <si>
    <t>REPORTE DE SEGUIMIENTO</t>
  </si>
  <si>
    <t>Sesiones de Trabajo Académico para el Consejo Técnico Escolar</t>
  </si>
  <si>
    <t>SESION:</t>
  </si>
  <si>
    <t xml:space="preserve">Zona Escolar: </t>
  </si>
  <si>
    <t>Fecha:</t>
  </si>
  <si>
    <t>Número de Escuelas de la zona:</t>
  </si>
  <si>
    <t>Número  de Escuelas donde se aplicó la sesión:</t>
  </si>
  <si>
    <t xml:space="preserve">Total de docentes atendidos en la zona escolar: </t>
  </si>
  <si>
    <t>SUPERVISOR ESCOLAR</t>
  </si>
  <si>
    <t xml:space="preserve">22 DE FEBRERO DE 3013   </t>
  </si>
  <si>
    <t>Impartió
(Director/ATP/CEAS)</t>
  </si>
  <si>
    <t>O42</t>
  </si>
  <si>
    <t>OO4</t>
  </si>
  <si>
    <t xml:space="preserve"> 15 ESCUELAS PRIMARIAS</t>
  </si>
  <si>
    <t>DATOS GENERALES</t>
  </si>
  <si>
    <t>TUSA850813AQA</t>
  </si>
  <si>
    <t>HERNANDEZ JIMENEZ * LUCERO</t>
  </si>
  <si>
    <t>HEJL800326I98</t>
  </si>
  <si>
    <t>HE028100.0130013</t>
  </si>
  <si>
    <t>E076301.0030710</t>
  </si>
  <si>
    <t>Sector    Educativo:</t>
  </si>
  <si>
    <t>078312 E022100.0231688</t>
  </si>
  <si>
    <t>078312 E028100.0232722</t>
  </si>
  <si>
    <t>078312 E028100.0233330</t>
  </si>
  <si>
    <t>078312 E028100.0233023</t>
  </si>
  <si>
    <t>078312 E028100.0233935</t>
  </si>
  <si>
    <t>078312 E028100.0232759</t>
  </si>
  <si>
    <t>078312 E028100.0230501</t>
  </si>
  <si>
    <t>078312 E028100.0233382</t>
  </si>
  <si>
    <t>078312 E028100.0040223</t>
  </si>
  <si>
    <t>078312 E028100.0232821</t>
  </si>
  <si>
    <t>078312 E028100.0232459</t>
  </si>
  <si>
    <t>078312 E028100.0233698</t>
  </si>
  <si>
    <t>072303 S0180700.0300489</t>
  </si>
  <si>
    <t>074823 E076302.0230140</t>
  </si>
  <si>
    <t>GOTE710913M</t>
  </si>
  <si>
    <t>AUGM760116M</t>
  </si>
  <si>
    <t>23DPR0436S</t>
  </si>
  <si>
    <t>HEJL800326198M</t>
  </si>
  <si>
    <t>20-08-2012</t>
  </si>
  <si>
    <t>E02810231422</t>
  </si>
  <si>
    <t>BALAN KU * JANET GUADALUPE</t>
  </si>
  <si>
    <t>BAKJ8012014HP4</t>
  </si>
  <si>
    <t>E028100.00231704</t>
  </si>
  <si>
    <t>SOSA NAVARRETE * DANIELA</t>
  </si>
  <si>
    <t>SOND8908165B2</t>
  </si>
  <si>
    <t>E028100.0233410</t>
  </si>
  <si>
    <t>BAKJ8012014M</t>
  </si>
  <si>
    <t>MANZANERO BARRANCO * ALBERTO ARIEL</t>
  </si>
  <si>
    <t>MABA620215BJ9</t>
  </si>
  <si>
    <t>S0180700.010001</t>
  </si>
  <si>
    <t>POLANCO SAMANIEGO * JHONNY FRANCISCO</t>
  </si>
  <si>
    <t>POSJ871116HH6</t>
  </si>
  <si>
    <t>23DPR711G</t>
  </si>
  <si>
    <t>LA PLANIFICACION DIDACTICA EN LA ESCUELA PRIMARIA</t>
  </si>
  <si>
    <t>14 DE MARZO DE 2013</t>
  </si>
  <si>
    <t>KABAHFONIA</t>
  </si>
  <si>
    <t>MEZCLANDO GOTITAS DE AGUA</t>
  </si>
  <si>
    <t>LEO… Y ¿ENTIENDO?</t>
  </si>
  <si>
    <t>¿Qué HACER CON LOS DESEHECHOS?</t>
  </si>
  <si>
    <t>LA ORTOGRAFIA EN LA ACTUALIDAD</t>
  </si>
  <si>
    <t>AL RESCATE DE LOS VALORES</t>
  </si>
  <si>
    <t>MANUEL ALTAMIRANO</t>
  </si>
  <si>
    <t>23DPR0026P</t>
  </si>
  <si>
    <t>yqyjza69</t>
  </si>
  <si>
    <t>SEPTIEMB</t>
  </si>
  <si>
    <t>NOVIEMB</t>
  </si>
  <si>
    <t>DIAGNOSTICO</t>
  </si>
  <si>
    <t>I BIMESTRE</t>
  </si>
  <si>
    <t>II BIMESTRE</t>
  </si>
  <si>
    <t>III BIMESTRE</t>
  </si>
  <si>
    <t>IV BIMESTRE</t>
  </si>
  <si>
    <t>V BIMESTRE</t>
  </si>
  <si>
    <t>RESULTADOS DEL DIAGNOSTICO</t>
  </si>
  <si>
    <t>PRIMER BIMESTRE</t>
  </si>
  <si>
    <t>SEGUNDO BIMESTRE</t>
  </si>
  <si>
    <t>TERCER BIMESTRE</t>
  </si>
  <si>
    <t>QUINTO BIMESTRE</t>
  </si>
  <si>
    <t>CUARTO BIMESTRE</t>
  </si>
  <si>
    <t>PROMEDIO ANUAL</t>
  </si>
  <si>
    <t>PROMEDIOS DE GDO,  GPO Y GRAL</t>
  </si>
  <si>
    <t>PG</t>
  </si>
  <si>
    <t>ALEMAN SANTOS MIRIAN</t>
  </si>
  <si>
    <t>AESM711102QNA</t>
  </si>
  <si>
    <t>23DPR055K</t>
  </si>
  <si>
    <t>KATIA DIAZ ORTIZ</t>
  </si>
  <si>
    <t>CANCUN BENITO JUAREZ QUINTANA ROO A 5 DE JUNIO DE 2013</t>
  </si>
  <si>
    <t>JOSE ARIMAEL SALAS ALCOCER</t>
  </si>
  <si>
    <t xml:space="preserve"> TOTAL:</t>
  </si>
  <si>
    <t>TELÉFONO:</t>
  </si>
  <si>
    <t>SISTEMA EDUCATIVO NACIONAL</t>
  </si>
  <si>
    <r>
      <t>EDUCACIÓN PRIMARIA</t>
    </r>
    <r>
      <rPr>
        <b/>
        <sz val="9.5"/>
        <color theme="0"/>
        <rFont val="Calibri"/>
        <family val="2"/>
        <scheme val="minor"/>
      </rPr>
      <t>-----</t>
    </r>
  </si>
  <si>
    <t>CANCUN BENITO JUAREZ QUINTANA ROO A 5 DE JULIO DE 2013</t>
  </si>
  <si>
    <t>GASPAR MATOS RAMAYO</t>
  </si>
  <si>
    <t>EVA OLAN MAGAÑA</t>
  </si>
  <si>
    <t>OFICIO DE RESPONSABLE DE LLAVES Y DE CENTRO DE TRABAJO</t>
  </si>
  <si>
    <t>O5</t>
  </si>
  <si>
    <t>FICHAS ESCALAFORNARIAS</t>
  </si>
  <si>
    <t xml:space="preserve">La   inspeccion   entrega   el   día  </t>
  </si>
  <si>
    <t xml:space="preserve">  de  </t>
  </si>
  <si>
    <t xml:space="preserve">               Un todal de   </t>
  </si>
  <si>
    <t>ESTADISTICAS FINALES POR GRADO</t>
  </si>
  <si>
    <t>CABL680604-888</t>
  </si>
  <si>
    <t>11007831200.0 E081231799</t>
  </si>
  <si>
    <t>129  ENTRE 4 Y 6</t>
  </si>
  <si>
    <t>PLANTILLAS DE PERSONAL DE SICAB FIRMADAS POR LOS DOCENTES</t>
  </si>
  <si>
    <t>CARTA COMPROMISO DE RESPONSABLE DE LOS CENTROS DE TRABAJO EXPEDIDA POR SARA LATIFE RUIZ CHAVEZ</t>
  </si>
  <si>
    <t>LICITACION DE TIENDA ESCOLAR 2013</t>
  </si>
  <si>
    <t>INFORME FINANACIERO DE TIENDA ESCOLAR 2013</t>
  </si>
  <si>
    <t>OPORTUNIDADES</t>
  </si>
  <si>
    <t>INSPECCION Y VIGILANCIA</t>
  </si>
  <si>
    <t>PLANTILLA DE PARTICULARES 2013</t>
  </si>
  <si>
    <t>CATARINO REYES ANTONIO</t>
  </si>
  <si>
    <t>JOSE ANTONIO MENA HAU</t>
  </si>
  <si>
    <t>TERESA CERON</t>
  </si>
  <si>
    <t>LUCRECIA JIMENEZ SANCHEZ</t>
  </si>
  <si>
    <t>MATILDE LOPEZ MOLINA</t>
  </si>
  <si>
    <t>NO TIENE</t>
  </si>
  <si>
    <t>LAURA MELINA ESPINDOLA MENDEZ</t>
  </si>
  <si>
    <t>LAURA VASCONCELOS LURIA</t>
  </si>
  <si>
    <t>BRITO EUAN ILIANA PATRICIA</t>
  </si>
  <si>
    <t>MIRANDA VALDEZ * MARIA ALMA</t>
  </si>
  <si>
    <t>BAUTISTA SAURI * GLORIA EDITH</t>
  </si>
  <si>
    <t>PECH SILVEIRA * FRANCO ANTONIO</t>
  </si>
  <si>
    <t>G.CANTON PUERTO * REBECA</t>
  </si>
  <si>
    <t>SÀNCHEZ TORRES * LUIS MAURICIO</t>
  </si>
  <si>
    <t>BRANDT SOLANO * IRMA NOEMI</t>
  </si>
  <si>
    <t>CÀMARA LÒPEZ * LUCÌA ELENA</t>
  </si>
  <si>
    <t>RICALDE CASTRO * JESUS MARTIN</t>
  </si>
  <si>
    <t>GARCIA GONGORA * ANTONIO</t>
  </si>
  <si>
    <t>GARCIA GONGORA *ANTONIO</t>
  </si>
  <si>
    <t>ESCAMILLA HUCHIM * MARCELO DAMIAN</t>
  </si>
  <si>
    <t>CERVANTES BENITEZ * ANTONIA</t>
  </si>
  <si>
    <t>MORENO CARDENAS * IGNACIA</t>
  </si>
  <si>
    <t>ALEMAN SANTOS * MIRIAM</t>
  </si>
  <si>
    <t>AKE QUEB * MARIANA DEL CONSUELO</t>
  </si>
  <si>
    <t>SANCHEZ BUSTAMANTE * CONCEPCION</t>
  </si>
  <si>
    <t>CASTRO LOPEZ * SOSIMA PETRA</t>
  </si>
  <si>
    <t>ARANDA ESCALANTE * ARELI GUADALUPE</t>
  </si>
  <si>
    <t>GONGORA SANTOS * GRACIELA</t>
  </si>
  <si>
    <t>XIU VELAZQUEZ * JOSE MANUEL</t>
  </si>
  <si>
    <t>VARGAS GARCIA * DEBRA DORIS DEL SAGRARIO</t>
  </si>
  <si>
    <t>VIVEROS SALAZAR *NORA</t>
  </si>
  <si>
    <t>ARGUELLES GARCIA * MAYRA LUCELY</t>
  </si>
  <si>
    <t>GARDUÑO CASTILLO * MERLI ROCIO</t>
  </si>
  <si>
    <t>POOT QUEB *LUIS ARMANDO</t>
  </si>
  <si>
    <t>GONGORA * TERESITA DEL CARMEN</t>
  </si>
  <si>
    <t>CRUZ PEREZ * FRANCISCO</t>
  </si>
  <si>
    <t xml:space="preserve">VIGUERAS EUAN * MANUEL </t>
  </si>
  <si>
    <t>PAT CHIN * MARIA JOSE</t>
  </si>
  <si>
    <t>HAAS CHE * MARIA EDELMIRA ALICIA</t>
  </si>
  <si>
    <t>CEN CHIN * RITA ANGELICA</t>
  </si>
  <si>
    <t>PADILLA DIAZ * LANDY DEL ROSARIO</t>
  </si>
  <si>
    <t>TZAB RODRIGUEZ * FABIOLA MARIA</t>
  </si>
  <si>
    <t>RODRIGUEZ ESCOBEDO * JOSE EZEQUIEL</t>
  </si>
  <si>
    <t>CANTO CANCHE * JOSE DOLORES</t>
  </si>
  <si>
    <t>GONZALEZ PEREZ * MARIA ISABEL</t>
  </si>
  <si>
    <t>FRANCO MOO * VICTOR MANUEL</t>
  </si>
  <si>
    <t>CORDOBA CAN * JORGE ANTONIO</t>
  </si>
  <si>
    <t>SIERRA  FLORES * MARITZA ILEN</t>
  </si>
  <si>
    <t>MIS VELEZ * JUAN SILVESTRE</t>
  </si>
  <si>
    <t>AVILA MATIAS * OLINKA</t>
  </si>
  <si>
    <t>DIAZ SANCHEZ * ANGEL</t>
  </si>
  <si>
    <t>CERVERA TAPIA * NORMA</t>
  </si>
  <si>
    <t>ARJONA SANTOYO * MARCO ANTONIO</t>
  </si>
  <si>
    <t>AVILEZ MEX * GABRIELA GEOVANA</t>
  </si>
  <si>
    <t>TUN DOMINGUEZ * ANA ROSA</t>
  </si>
  <si>
    <t>LOPEZ ALVAREZ * GUADALUPE AURORA</t>
  </si>
  <si>
    <t>DELGADO CRUZ * ANTONIA CAROLINA</t>
  </si>
  <si>
    <t>PECH PACHECO * DEYFILIA MARGOT</t>
  </si>
  <si>
    <t>CHI NAAL * ELENA MARGARITA</t>
  </si>
  <si>
    <t>COOX YAH * CARLOS ENRIQUE</t>
  </si>
  <si>
    <t>MAY CHUC * FELICIANO</t>
  </si>
  <si>
    <t>ALARCON ALARCON * MARTHA LILIANA</t>
  </si>
  <si>
    <t>CANUL MARTIN * LUIS FERNANDO</t>
  </si>
  <si>
    <t>CERVERA VIDAL * DULCE RUTH</t>
  </si>
  <si>
    <t>RIVERO NUÑEZ * LANDY GRACIELA</t>
  </si>
  <si>
    <t>CANCHE PECH * NIDIA ROBSANA</t>
  </si>
  <si>
    <t>MATU CRUZ * LAURA SOFIA</t>
  </si>
  <si>
    <t>TEC CEME * AMADA</t>
  </si>
  <si>
    <t>TUCUCH SANTOS * AURORA LETICIA</t>
  </si>
  <si>
    <t>HERNANDEZ SANCHEZ * LOYDA</t>
  </si>
  <si>
    <t>PAAT KOO OSCAR * ALEJANDRO</t>
  </si>
  <si>
    <t>CANUL BORGES * FATIMA DEL CARMEN</t>
  </si>
  <si>
    <t>CAUDILLO ARRIAGA * DAFNE MAGALY</t>
  </si>
  <si>
    <t>MARTINEZ CARRASCO * GUADALUPE</t>
  </si>
  <si>
    <t>RAMIREZ SANCHEZ MARIA * YOLANDA</t>
  </si>
  <si>
    <t>GONZALEZ CASTELLANO * ANALIA VERONICA</t>
  </si>
  <si>
    <t>ARRIAGA ALEMAN * MARISELA</t>
  </si>
  <si>
    <t>ROSALES MARTINEZ * CAROLINA</t>
  </si>
  <si>
    <t>SANCHEZ DE LA CRUZ * ADELA DEL CARMEN</t>
  </si>
  <si>
    <t>MONTAÑO CASTILLO * MARIANA</t>
  </si>
  <si>
    <t>SEGURA MARQUEZ * GRISELDA</t>
  </si>
  <si>
    <t>OVIEDO GARCIA * FRANCISCA GABRIELA</t>
  </si>
  <si>
    <t>IZQUIERDO PACHECO * IRMA ISABEL</t>
  </si>
  <si>
    <t>BADILLO VILLALPANDO * CLAUDIA TRINIDAD</t>
  </si>
  <si>
    <t>MORENO CORONADO * LUCIA</t>
  </si>
  <si>
    <t>ESTEVEZ TRUJEQUE * QUETZALLI</t>
  </si>
  <si>
    <t>PALMA HERNANDEZ * ENEY</t>
  </si>
  <si>
    <t>PEREZ RODRIGUEZ * JOSE LUIS</t>
  </si>
  <si>
    <t>RUIZ VALLE * PATRICIA</t>
  </si>
  <si>
    <t>CABALLERO CHAN * AMPARO ISABEL</t>
  </si>
  <si>
    <t>MARTINEZ TORRES * SONIA CRISTHELL</t>
  </si>
  <si>
    <t>BARRERA AVILA * ABRAN</t>
  </si>
  <si>
    <t>SANTOS UC * DORA INES</t>
  </si>
  <si>
    <t>ENRIQUE  MAY  CHI</t>
  </si>
  <si>
    <t>ELSY MARIA CHI CEN</t>
  </si>
  <si>
    <t>COOX YAH * CARLOS  ENRIQUE</t>
  </si>
  <si>
    <t>ROSAS BENITEZ * JULIAN</t>
  </si>
  <si>
    <t>LIZARRAGA CASTILLO * ALICIA LORAINE</t>
  </si>
  <si>
    <t>CARDEÑA BENITEZ * LIDIA ESMERALDA</t>
  </si>
  <si>
    <t>MARTIN QUINTAL * SIHARELI CONCEPCION</t>
  </si>
  <si>
    <t>MAQS911208-BX9</t>
  </si>
  <si>
    <t>078312E028100.0234567</t>
  </si>
  <si>
    <t>GOMEZ CASTILLO * SAIDETH MARI</t>
  </si>
  <si>
    <t>GACS820630IK3</t>
  </si>
  <si>
    <t>E028100.0080010</t>
  </si>
  <si>
    <t>GACS820630MYNMSD02</t>
  </si>
  <si>
    <t>GACG700716MCCRSD04</t>
  </si>
  <si>
    <t>EAPS650603MYNSLL04</t>
  </si>
  <si>
    <t>BAAB670127MYNRGL02</t>
  </si>
  <si>
    <t>GOCM750124MYNNCD08</t>
  </si>
  <si>
    <t>CHAVES MARTIN * JUAN MANUEL</t>
  </si>
  <si>
    <t>CANJ690822MMA</t>
  </si>
  <si>
    <t>HE02800.01120070</t>
  </si>
  <si>
    <t>CAMJ690822HYNHRN05</t>
  </si>
  <si>
    <t>SADE810426HYNNRD02</t>
  </si>
  <si>
    <t>BUSI710624HQRTNS06</t>
  </si>
  <si>
    <t>PAXA630724MYNTLN00</t>
  </si>
  <si>
    <t>SAFA800911HYNNLX01</t>
  </si>
  <si>
    <t>ZAAJ640712HYNPGL00</t>
  </si>
  <si>
    <t>COCC850923HTCLRR05</t>
  </si>
  <si>
    <t>GAEJ791203HYNNRSS045</t>
  </si>
  <si>
    <t>09 DE OCTUBRE DE 2013</t>
  </si>
  <si>
    <t>PEREZ DZUL * ZACARIAS</t>
  </si>
  <si>
    <t>ARANDA TINAH * BARBARA ISABEL</t>
  </si>
  <si>
    <t>AATB</t>
  </si>
  <si>
    <t>CITUK CHULIN * ROSA ISELA</t>
  </si>
  <si>
    <t>CICR</t>
  </si>
  <si>
    <t>COHUO CAUICH * MARIA GUADALUPE</t>
  </si>
  <si>
    <t>ALARICH NOLTE * BLANQUET</t>
  </si>
  <si>
    <t xml:space="preserve">GOMEZ CORTEZ * MIRNA LUZ </t>
  </si>
  <si>
    <t>CRUZ MARTINEZ * BELEM</t>
  </si>
  <si>
    <t>CAN BASTO * CRISHTY</t>
  </si>
  <si>
    <t>GOMEZ RIVERA *  SULEMA</t>
  </si>
  <si>
    <t>C HALE HERRERA * LUZMY MIGANGELY</t>
  </si>
  <si>
    <t>CETINA EK * ADDY ISABELINA</t>
  </si>
  <si>
    <t>VALENZUELA GOMEZ * MARLEN</t>
  </si>
  <si>
    <t>JUAREZ ESPINOSA * BELINDA</t>
  </si>
  <si>
    <t>ABRAJAN HERNANDEZ * MAXIMA GUADALUPE</t>
  </si>
  <si>
    <t>JIMENEZ ALVAREZ * MIRNA ZULMY</t>
  </si>
  <si>
    <t>CERVANTES MANRIQUEZ * GEORGINA</t>
  </si>
  <si>
    <t>CEN NAJERA * ILIANA BEATRIZ</t>
  </si>
  <si>
    <t>ADME AVILEZ  * CARLOS CAMERINO</t>
  </si>
  <si>
    <t>BONFIL YAM * WENDY KARINA</t>
  </si>
  <si>
    <t>BARRIGA PARADA * MARIA DEL ROSARIO</t>
  </si>
  <si>
    <t>SOLIS PEREZ * JOSE ALFREDO</t>
  </si>
  <si>
    <t>LOPEZ RIVERA LETICIA</t>
  </si>
  <si>
    <t>HERNANDEZ DE LA PARRA * ADRIANA</t>
  </si>
  <si>
    <t>REYES BARBA * ANNETTE</t>
  </si>
  <si>
    <t>BARBA HERNANDEZ * DIANA</t>
  </si>
  <si>
    <t>LASTRA SUAREZ * SILVIA PATRICIA</t>
  </si>
  <si>
    <t>19 DE NOVIEMBRE DE 2013</t>
  </si>
  <si>
    <t>Noviembre</t>
  </si>
  <si>
    <t>PLANTILLAS INICIALES (Sujetas a actualizacion del personal nuevo y jubilaciones)</t>
  </si>
  <si>
    <t xml:space="preserve">ESTADISTICAS FINALES </t>
  </si>
  <si>
    <t>nOVIEMBRE</t>
  </si>
  <si>
    <t>Novienbre</t>
  </si>
  <si>
    <t>LISTADOS CORREGIDOS</t>
  </si>
  <si>
    <t>RECIBOS DE ACUSE DE SICEEB</t>
  </si>
  <si>
    <t>MARIA ALMA MIRANDA VALDEZ</t>
  </si>
  <si>
    <t>OSEGUERA MARQUINA * AMERICA J</t>
  </si>
  <si>
    <t>LAS NIÑAS  CORAL / HERRERA * JARITTZA REGINA Y  OSORIO / GARCIA * PATRICIA SONJM ALTA/BAJAS Y EL SISTEMA NADA MAS REFLEJA EL ULTIMO MOVIMIENTO ES POR ESO QUE LA ESTADISTICA FUE MODIFICADA.</t>
  </si>
  <si>
    <t>CANCUN, BENITO JUAREZ  A  LOS  VEINTICUATRO  DIAS  DEL  MES  DE  FEBRERO  DE  2014</t>
  </si>
  <si>
    <t>2do. Informe</t>
  </si>
  <si>
    <t>27</t>
  </si>
  <si>
    <t>2014</t>
  </si>
  <si>
    <t>CETINA CHAY * JUAN CARLOS</t>
  </si>
  <si>
    <t>CECJ</t>
  </si>
  <si>
    <t>E022100.0</t>
  </si>
  <si>
    <t>2012 / 2013</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</si>
</sst>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3" formatCode="_-* #,##0.00_-;\-* #,##0.00_-;_-* &quot;-&quot;??_-;_-@_-"/>
    <numFmt numFmtId="164" formatCode="dd/mm/yyyy;@"/>
    <numFmt numFmtId="165" formatCode="dd\-mm\-yy;@"/>
    <numFmt numFmtId="166" formatCode="[$-F800]dddd\,\ mmmm\ dd\,\ yyyy"/>
    <numFmt numFmtId="167" formatCode="&quot;$&quot;#,##0.00"/>
    <numFmt numFmtId="168" formatCode="[$-80A]d&quot; de &quot;mmmm&quot; de &quot;yyyy;@"/>
    <numFmt numFmtId="169" formatCode="0.0%"/>
    <numFmt numFmtId="170" formatCode="0.0"/>
  </numFmts>
  <fonts count="4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sz val="6"/>
      <name val="Arial"/>
      <family val="2"/>
    </font>
    <font>
      <u/>
      <sz val="10"/>
      <color indexed="12"/>
      <name val="Arial"/>
      <family val="2"/>
    </font>
    <font>
      <b/>
      <sz val="8"/>
      <name val="Arial"/>
      <family val="2"/>
    </font>
    <font>
      <b/>
      <sz val="7"/>
      <name val="Arial"/>
      <family val="2"/>
    </font>
    <font>
      <b/>
      <sz val="10"/>
      <color indexed="12"/>
      <name val="Arial"/>
      <family val="2"/>
    </font>
    <font>
      <b/>
      <sz val="9"/>
      <color indexed="12"/>
      <name val="Arial"/>
      <family val="2"/>
    </font>
    <font>
      <b/>
      <i/>
      <sz val="10"/>
      <name val="Arial"/>
      <family val="2"/>
    </font>
    <font>
      <sz val="10"/>
      <name val="Arial"/>
      <family val="2"/>
    </font>
    <font>
      <sz val="9"/>
      <name val="Arial"/>
      <family val="2"/>
    </font>
    <font>
      <b/>
      <sz val="10"/>
      <color indexed="9"/>
      <name val="Arial"/>
      <family val="2"/>
    </font>
    <font>
      <sz val="10"/>
      <color indexed="9"/>
      <name val="Arial"/>
      <family val="2"/>
    </font>
    <font>
      <sz val="6"/>
      <name val="Arial"/>
      <family val="2"/>
    </font>
    <font>
      <sz val="8"/>
      <name val="Arial"/>
      <family val="2"/>
    </font>
    <font>
      <b/>
      <sz val="10"/>
      <color indexed="10"/>
      <name val="Arial"/>
      <family val="2"/>
    </font>
    <font>
      <b/>
      <sz val="9"/>
      <name val="Arial"/>
      <family val="2"/>
    </font>
    <font>
      <b/>
      <sz val="12"/>
      <name val="Arial"/>
      <family val="2"/>
    </font>
    <font>
      <sz val="8"/>
      <color indexed="9"/>
      <name val="Arial"/>
      <family val="2"/>
    </font>
    <font>
      <b/>
      <sz val="12"/>
      <color indexed="9"/>
      <name val="Arial"/>
      <family val="2"/>
    </font>
    <font>
      <sz val="6"/>
      <color indexed="9"/>
      <name val="Arial"/>
      <family val="2"/>
    </font>
    <font>
      <b/>
      <sz val="11"/>
      <name val="Arial"/>
      <family val="2"/>
    </font>
    <font>
      <sz val="12"/>
      <color indexed="9"/>
      <name val="Arial"/>
      <family val="2"/>
    </font>
    <font>
      <sz val="6"/>
      <name val="Georgia"/>
      <family val="1"/>
    </font>
    <font>
      <sz val="4"/>
      <name val="Georgia"/>
      <family val="1"/>
    </font>
    <font>
      <b/>
      <sz val="11"/>
      <color indexed="9"/>
      <name val="Arial"/>
      <family val="2"/>
    </font>
    <font>
      <sz val="7"/>
      <name val="Arial"/>
      <family val="2"/>
    </font>
    <font>
      <sz val="7"/>
      <color indexed="9"/>
      <name val="Arial"/>
      <family val="2"/>
    </font>
    <font>
      <sz val="4"/>
      <color indexed="9"/>
      <name val="Arial"/>
      <family val="2"/>
    </font>
    <font>
      <b/>
      <sz val="12"/>
      <color indexed="12"/>
      <name val="Arial"/>
      <family val="2"/>
    </font>
    <font>
      <b/>
      <i/>
      <sz val="11"/>
      <name val="Arial"/>
      <family val="2"/>
    </font>
    <font>
      <sz val="16"/>
      <name val="Arial"/>
      <family val="2"/>
    </font>
    <font>
      <sz val="20"/>
      <name val="Arial"/>
      <family val="2"/>
    </font>
    <font>
      <b/>
      <sz val="12"/>
      <color indexed="17"/>
      <name val="Vivaldi"/>
      <family val="4"/>
    </font>
    <font>
      <b/>
      <sz val="14"/>
      <name val="Arial"/>
      <family val="2"/>
    </font>
    <font>
      <b/>
      <sz val="10"/>
      <name val="Calibri"/>
      <family val="2"/>
    </font>
    <font>
      <i/>
      <sz val="8"/>
      <name val="Arial"/>
      <family val="2"/>
    </font>
    <font>
      <b/>
      <i/>
      <sz val="12"/>
      <name val="Arial"/>
      <family val="2"/>
    </font>
    <font>
      <sz val="12"/>
      <name val="Arial"/>
      <family val="2"/>
    </font>
    <font>
      <i/>
      <sz val="10"/>
      <name val="Arial"/>
      <family val="2"/>
    </font>
    <font>
      <b/>
      <sz val="8"/>
      <name val="Times New Roman"/>
      <family val="1"/>
    </font>
    <font>
      <b/>
      <sz val="14"/>
      <name val="Times New Roman"/>
      <family val="1"/>
    </font>
    <font>
      <sz val="11"/>
      <name val="Arial"/>
      <family val="2"/>
    </font>
    <font>
      <sz val="11"/>
      <color indexed="9"/>
      <name val="Arial"/>
      <family val="2"/>
    </font>
    <font>
      <sz val="10"/>
      <name val="Arial Rounded MT Bold"/>
      <family val="2"/>
    </font>
    <font>
      <b/>
      <sz val="8"/>
      <color indexed="81"/>
      <name val="Tahoma"/>
      <family val="2"/>
    </font>
    <font>
      <sz val="8"/>
      <color indexed="81"/>
      <name val="Tahoma"/>
      <family val="2"/>
    </font>
    <font>
      <b/>
      <sz val="8"/>
      <color indexed="12"/>
      <name val="Tahoma"/>
      <family val="2"/>
    </font>
    <font>
      <sz val="8"/>
      <color indexed="12"/>
      <name val="Tahoma"/>
      <family val="2"/>
    </font>
    <font>
      <b/>
      <sz val="8"/>
      <color indexed="10"/>
      <name val="Tahoma"/>
      <family val="2"/>
    </font>
    <font>
      <sz val="8"/>
      <color indexed="10"/>
      <name val="Tahoma"/>
      <family val="2"/>
    </font>
    <font>
      <b/>
      <sz val="12"/>
      <name val="Times New Roman"/>
      <family val="1"/>
    </font>
    <font>
      <sz val="10"/>
      <name val="Times New Roman"/>
      <family val="1"/>
    </font>
    <font>
      <b/>
      <sz val="12"/>
      <color indexed="9"/>
      <name val="Times New Roman"/>
      <family val="1"/>
    </font>
    <font>
      <b/>
      <sz val="10"/>
      <name val="Bodoni MT"/>
      <family val="1"/>
    </font>
    <font>
      <b/>
      <sz val="10"/>
      <name val="Times New Roman"/>
      <family val="1"/>
    </font>
    <font>
      <b/>
      <sz val="11.5"/>
      <name val="Times New Roman"/>
      <family val="1"/>
    </font>
    <font>
      <b/>
      <sz val="11"/>
      <name val="Times New Roman"/>
      <family val="1"/>
    </font>
    <font>
      <b/>
      <sz val="8"/>
      <name val="Bodoni MT"/>
      <family val="1"/>
    </font>
    <font>
      <b/>
      <sz val="12"/>
      <color indexed="16"/>
      <name val="Times New Roman"/>
      <family val="1"/>
    </font>
    <font>
      <b/>
      <sz val="18"/>
      <color indexed="9"/>
      <name val="Arial"/>
      <family val="2"/>
    </font>
    <font>
      <b/>
      <sz val="10"/>
      <color indexed="9"/>
      <name val="Bookshelf Symbol 7"/>
      <charset val="2"/>
    </font>
    <font>
      <b/>
      <sz val="10"/>
      <color indexed="16"/>
      <name val="Arial"/>
      <family val="2"/>
    </font>
    <font>
      <b/>
      <sz val="12"/>
      <color indexed="12"/>
      <name val="Times New Roman"/>
      <family val="1"/>
    </font>
    <font>
      <sz val="20"/>
      <color indexed="9"/>
      <name val="Georgia"/>
      <family val="1"/>
    </font>
    <font>
      <b/>
      <sz val="20"/>
      <color indexed="9"/>
      <name val="Arial"/>
      <family val="2"/>
    </font>
    <font>
      <b/>
      <sz val="18"/>
      <color indexed="9"/>
      <name val="Amazone BT"/>
      <family val="4"/>
    </font>
    <font>
      <sz val="18"/>
      <color indexed="9"/>
      <name val="Georgia"/>
      <family val="1"/>
    </font>
    <font>
      <sz val="12"/>
      <color indexed="12"/>
      <name val="Georgia"/>
      <family val="1"/>
    </font>
    <font>
      <sz val="18"/>
      <color indexed="9"/>
      <name val="Arial"/>
      <family val="2"/>
    </font>
    <font>
      <sz val="10"/>
      <color indexed="12"/>
      <name val="Arial"/>
      <family val="2"/>
    </font>
    <font>
      <sz val="7"/>
      <color indexed="8"/>
      <name val="Arial"/>
      <family val="2"/>
    </font>
    <font>
      <sz val="6"/>
      <color indexed="10"/>
      <name val="Arial"/>
      <family val="2"/>
    </font>
    <font>
      <b/>
      <sz val="6"/>
      <color indexed="12"/>
      <name val="Arial"/>
      <family val="2"/>
    </font>
    <font>
      <sz val="6"/>
      <color indexed="18"/>
      <name val="Arial"/>
      <family val="2"/>
    </font>
    <font>
      <sz val="6.5"/>
      <color indexed="10"/>
      <name val="Arial"/>
      <family val="2"/>
    </font>
    <font>
      <sz val="6"/>
      <color indexed="12"/>
      <name val="Arial"/>
      <family val="2"/>
    </font>
    <font>
      <sz val="12"/>
      <name val="Wingdings"/>
      <charset val="2"/>
    </font>
    <font>
      <b/>
      <sz val="6"/>
      <color indexed="14"/>
      <name val="Arial"/>
      <family val="2"/>
    </font>
    <font>
      <b/>
      <sz val="5.5"/>
      <name val="Arial"/>
      <family val="2"/>
    </font>
    <font>
      <sz val="5.5"/>
      <name val="Arial"/>
      <family val="2"/>
    </font>
    <font>
      <b/>
      <sz val="5.5"/>
      <color indexed="10"/>
      <name val="Arial"/>
      <family val="2"/>
    </font>
    <font>
      <b/>
      <sz val="8"/>
      <color indexed="12"/>
      <name val="Arial"/>
      <family val="2"/>
    </font>
    <font>
      <b/>
      <sz val="8"/>
      <color indexed="14"/>
      <name val="Arial"/>
      <family val="2"/>
    </font>
    <font>
      <b/>
      <sz val="5.5"/>
      <color indexed="12"/>
      <name val="Arial"/>
      <family val="2"/>
    </font>
    <font>
      <b/>
      <sz val="6"/>
      <name val="Baskerville Old Face"/>
      <family val="1"/>
    </font>
    <font>
      <sz val="7"/>
      <color indexed="10"/>
      <name val="Arial"/>
      <family val="2"/>
    </font>
    <font>
      <sz val="7"/>
      <color indexed="12"/>
      <name val="Arial"/>
      <family val="2"/>
    </font>
    <font>
      <sz val="5"/>
      <color indexed="12"/>
      <name val="Arial"/>
      <family val="2"/>
    </font>
    <font>
      <b/>
      <sz val="6"/>
      <color indexed="23"/>
      <name val="Arial"/>
      <family val="2"/>
    </font>
    <font>
      <sz val="6"/>
      <color indexed="14"/>
      <name val="Arial"/>
      <family val="2"/>
    </font>
    <font>
      <sz val="6"/>
      <color indexed="23"/>
      <name val="Arial"/>
      <family val="2"/>
    </font>
    <font>
      <sz val="6"/>
      <color indexed="43"/>
      <name val="Arial"/>
      <family val="2"/>
    </font>
    <font>
      <sz val="14"/>
      <name val="Arial"/>
      <family val="2"/>
    </font>
    <font>
      <sz val="6"/>
      <color indexed="60"/>
      <name val="Arial"/>
      <family val="2"/>
    </font>
    <font>
      <b/>
      <sz val="6"/>
      <color indexed="9"/>
      <name val="Arial"/>
      <family val="2"/>
    </font>
    <font>
      <b/>
      <sz val="7"/>
      <color indexed="9"/>
      <name val="Arial"/>
      <family val="2"/>
    </font>
    <font>
      <b/>
      <i/>
      <sz val="20"/>
      <color indexed="12"/>
      <name val="Arial Narrow"/>
      <family val="2"/>
    </font>
    <font>
      <b/>
      <sz val="12"/>
      <color indexed="59"/>
      <name val="Arial"/>
      <family val="2"/>
    </font>
    <font>
      <sz val="12"/>
      <name val="Georgia"/>
      <family val="1"/>
    </font>
    <font>
      <b/>
      <sz val="7"/>
      <name val="Times New Roman"/>
      <family val="1"/>
    </font>
    <font>
      <b/>
      <u/>
      <sz val="12"/>
      <name val="Arial"/>
      <family val="2"/>
    </font>
    <font>
      <sz val="11"/>
      <name val="Times New Roman"/>
      <family val="1"/>
    </font>
    <font>
      <b/>
      <sz val="12"/>
      <name val="Arial Unicode MS"/>
      <family val="2"/>
    </font>
    <font>
      <b/>
      <sz val="10"/>
      <name val="Arial Unicode MS"/>
      <family val="2"/>
    </font>
    <font>
      <b/>
      <sz val="20"/>
      <name val="Arial Unicode MS"/>
      <family val="2"/>
    </font>
    <font>
      <b/>
      <sz val="7"/>
      <color indexed="81"/>
      <name val="Tahoma"/>
      <family val="2"/>
    </font>
    <font>
      <sz val="7"/>
      <color indexed="81"/>
      <name val="Tahoma"/>
      <family val="2"/>
    </font>
    <font>
      <b/>
      <sz val="6"/>
      <color indexed="81"/>
      <name val="Tahoma"/>
      <family val="2"/>
    </font>
    <font>
      <sz val="6"/>
      <color indexed="81"/>
      <name val="Tahoma"/>
      <family val="2"/>
    </font>
    <font>
      <b/>
      <sz val="6"/>
      <color indexed="12"/>
      <name val="Tahoma"/>
      <family val="2"/>
    </font>
    <font>
      <sz val="6"/>
      <color indexed="12"/>
      <name val="Tahoma"/>
      <family val="2"/>
    </font>
    <font>
      <b/>
      <sz val="10"/>
      <color indexed="12"/>
      <name val="Tahoma"/>
      <family val="2"/>
    </font>
    <font>
      <b/>
      <sz val="7"/>
      <color indexed="12"/>
      <name val="Tahoma"/>
      <family val="2"/>
    </font>
    <font>
      <sz val="7"/>
      <color indexed="12"/>
      <name val="Tahoma"/>
      <family val="2"/>
    </font>
    <font>
      <b/>
      <sz val="7"/>
      <color indexed="10"/>
      <name val="Tahoma"/>
      <family val="2"/>
    </font>
    <font>
      <sz val="7"/>
      <color indexed="10"/>
      <name val="Tahoma"/>
      <family val="2"/>
    </font>
    <font>
      <sz val="8"/>
      <name val="Bodoni MT"/>
      <family val="1"/>
    </font>
    <font>
      <sz val="10"/>
      <color indexed="8"/>
      <name val="MS Sans Serif"/>
      <family val="2"/>
    </font>
    <font>
      <u/>
      <sz val="8"/>
      <name val="Arial"/>
      <family val="2"/>
    </font>
    <font>
      <b/>
      <sz val="11"/>
      <color theme="1"/>
      <name val="Calibri"/>
      <family val="2"/>
      <scheme val="minor"/>
    </font>
    <font>
      <sz val="6"/>
      <color theme="0"/>
      <name val="Arial"/>
      <family val="2"/>
    </font>
    <font>
      <b/>
      <sz val="12"/>
      <color theme="1"/>
      <name val="Calibri"/>
      <family val="2"/>
      <scheme val="minor"/>
    </font>
    <font>
      <sz val="12"/>
      <color theme="1"/>
      <name val="Calibri"/>
      <family val="2"/>
      <scheme val="minor"/>
    </font>
    <font>
      <i/>
      <sz val="12"/>
      <color rgb="FF0000CC"/>
      <name val="Calibri"/>
      <family val="2"/>
      <scheme val="minor"/>
    </font>
    <font>
      <sz val="8"/>
      <color theme="0"/>
      <name val="Arial"/>
      <family val="2"/>
    </font>
    <font>
      <sz val="7"/>
      <color theme="0"/>
      <name val="Arial"/>
      <family val="2"/>
    </font>
    <font>
      <sz val="12"/>
      <color theme="0"/>
      <name val="Calibri"/>
      <family val="2"/>
      <scheme val="minor"/>
    </font>
    <font>
      <sz val="10"/>
      <color theme="0"/>
      <name val="Arial"/>
      <family val="2"/>
    </font>
    <font>
      <b/>
      <sz val="14"/>
      <color theme="1"/>
      <name val="Calibri"/>
      <family val="2"/>
      <scheme val="minor"/>
    </font>
    <font>
      <sz val="10"/>
      <color rgb="FF0000CC"/>
      <name val="Arial"/>
      <family val="2"/>
    </font>
    <font>
      <sz val="12"/>
      <color rgb="FF0000CC"/>
      <name val="Calibri"/>
      <family val="2"/>
      <scheme val="minor"/>
    </font>
    <font>
      <b/>
      <sz val="12"/>
      <color rgb="FF0000CC"/>
      <name val="Calibri"/>
      <family val="2"/>
      <scheme val="minor"/>
    </font>
    <font>
      <b/>
      <sz val="10"/>
      <color theme="1"/>
      <name val="Calibri"/>
      <family val="2"/>
      <scheme val="minor"/>
    </font>
    <font>
      <sz val="10"/>
      <color theme="1"/>
      <name val="Calibri"/>
      <family val="2"/>
      <scheme val="minor"/>
    </font>
    <font>
      <sz val="6"/>
      <color rgb="FFFF0000"/>
      <name val="Arial"/>
      <family val="2"/>
    </font>
    <font>
      <sz val="6"/>
      <color rgb="FF7030A0"/>
      <name val="Arial"/>
      <family val="2"/>
    </font>
    <font>
      <sz val="5.5"/>
      <color theme="0"/>
      <name val="Arial"/>
      <family val="2"/>
    </font>
    <font>
      <b/>
      <sz val="6"/>
      <color rgb="FFFF33CC"/>
      <name val="Arial"/>
      <family val="2"/>
    </font>
    <font>
      <sz val="6"/>
      <color rgb="FF0000CC"/>
      <name val="Arial"/>
      <family val="2"/>
    </font>
    <font>
      <b/>
      <sz val="6"/>
      <color theme="0"/>
      <name val="Arial"/>
      <family val="2"/>
    </font>
    <font>
      <sz val="7"/>
      <color rgb="FF0000CC"/>
      <name val="Arial"/>
      <family val="2"/>
    </font>
    <font>
      <sz val="6"/>
      <color rgb="FF0000FF"/>
      <name val="Arial"/>
      <family val="2"/>
    </font>
    <font>
      <b/>
      <sz val="8"/>
      <color rgb="FF0000FF"/>
      <name val="Arial"/>
      <family val="2"/>
    </font>
    <font>
      <b/>
      <sz val="7"/>
      <color theme="0"/>
      <name val="Arial"/>
      <family val="2"/>
    </font>
    <font>
      <sz val="6"/>
      <color rgb="FF491FF9"/>
      <name val="Arial"/>
      <family val="2"/>
    </font>
    <font>
      <sz val="6"/>
      <color rgb="FF3333FF"/>
      <name val="Arial"/>
      <family val="2"/>
    </font>
    <font>
      <b/>
      <sz val="8"/>
      <color rgb="FFCCFFCC"/>
      <name val="Arial"/>
      <family val="2"/>
    </font>
    <font>
      <b/>
      <sz val="10"/>
      <color rgb="FF0000CC"/>
      <name val="Arial"/>
      <family val="2"/>
    </font>
    <font>
      <b/>
      <sz val="6"/>
      <color rgb="FF0000CC"/>
      <name val="Arial"/>
      <family val="2"/>
    </font>
    <font>
      <sz val="6"/>
      <color rgb="FF2509F7"/>
      <name val="Arial"/>
      <family val="2"/>
    </font>
    <font>
      <sz val="8"/>
      <color theme="0" tint="-0.14999847407452621"/>
      <name val="Arial"/>
      <family val="2"/>
    </font>
    <font>
      <b/>
      <sz val="8"/>
      <color theme="0" tint="-0.14999847407452621"/>
      <name val="Times New Roman"/>
      <family val="1"/>
    </font>
    <font>
      <sz val="8"/>
      <color rgb="FFFF0000"/>
      <name val="Arial"/>
      <family val="2"/>
    </font>
    <font>
      <b/>
      <sz val="10"/>
      <color theme="0"/>
      <name val="Arial"/>
      <family val="2"/>
    </font>
    <font>
      <b/>
      <sz val="7"/>
      <color theme="2" tint="-0.89999084444715716"/>
      <name val="Arial"/>
      <family val="2"/>
    </font>
    <font>
      <b/>
      <sz val="7"/>
      <color theme="2" tint="-0.499984740745262"/>
      <name val="Arial"/>
      <family val="2"/>
    </font>
    <font>
      <b/>
      <sz val="8"/>
      <color theme="0"/>
      <name val="Arial"/>
      <family val="2"/>
    </font>
    <font>
      <sz val="9"/>
      <name val="Calibri"/>
      <family val="2"/>
      <scheme val="minor"/>
    </font>
    <font>
      <sz val="10"/>
      <name val="Calibri"/>
      <family val="2"/>
      <scheme val="minor"/>
    </font>
    <font>
      <b/>
      <sz val="9"/>
      <name val="Calibri"/>
      <family val="2"/>
      <scheme val="minor"/>
    </font>
    <font>
      <sz val="8"/>
      <color indexed="9"/>
      <name val="Calibri"/>
      <family val="2"/>
      <scheme val="minor"/>
    </font>
    <font>
      <sz val="9"/>
      <color theme="0"/>
      <name val="Calibri"/>
      <family val="2"/>
      <scheme val="minor"/>
    </font>
    <font>
      <sz val="9"/>
      <color rgb="FFFF0000"/>
      <name val="Calibri"/>
      <family val="2"/>
      <scheme val="minor"/>
    </font>
    <font>
      <b/>
      <sz val="9"/>
      <color rgb="FFFF0000"/>
      <name val="Calibri"/>
      <family val="2"/>
      <scheme val="minor"/>
    </font>
    <font>
      <sz val="9"/>
      <color theme="0"/>
      <name val="Arial"/>
      <family val="2"/>
    </font>
    <font>
      <sz val="10"/>
      <color theme="5"/>
      <name val="Arial"/>
      <family val="2"/>
    </font>
    <font>
      <sz val="6"/>
      <color theme="2" tint="-9.9978637043366805E-2"/>
      <name val="Arial"/>
      <family val="2"/>
    </font>
    <font>
      <sz val="10"/>
      <color theme="0" tint="-0.14999847407452621"/>
      <name val="Arial"/>
      <family val="2"/>
    </font>
    <font>
      <sz val="10"/>
      <color rgb="FFFF0000"/>
      <name val="Arial"/>
      <family val="2"/>
    </font>
    <font>
      <b/>
      <sz val="11"/>
      <color theme="0"/>
      <name val="Times New Roman"/>
      <family val="1"/>
    </font>
    <font>
      <i/>
      <sz val="12"/>
      <color theme="0"/>
      <name val="Calibri"/>
      <family val="2"/>
      <scheme val="minor"/>
    </font>
    <font>
      <sz val="8"/>
      <color theme="2" tint="-0.249977111117893"/>
      <name val="Calibri"/>
      <family val="2"/>
      <scheme val="minor"/>
    </font>
    <font>
      <sz val="8"/>
      <color theme="1"/>
      <name val="Calibri"/>
      <family val="2"/>
      <scheme val="minor"/>
    </font>
    <font>
      <sz val="8"/>
      <color rgb="FF0000CC"/>
      <name val="Calibri"/>
      <family val="2"/>
      <scheme val="minor"/>
    </font>
    <font>
      <b/>
      <i/>
      <sz val="10"/>
      <color rgb="FF0000CC"/>
      <name val="Calibri"/>
      <family val="2"/>
      <scheme val="minor"/>
    </font>
    <font>
      <b/>
      <i/>
      <sz val="10"/>
      <color theme="0"/>
      <name val="Calibri"/>
      <family val="2"/>
      <scheme val="minor"/>
    </font>
    <font>
      <b/>
      <sz val="8"/>
      <color theme="0"/>
      <name val="Arial Unicode MS"/>
      <family val="2"/>
    </font>
    <font>
      <sz val="14"/>
      <color theme="1"/>
      <name val="Calibri"/>
      <family val="2"/>
      <scheme val="minor"/>
    </font>
    <font>
      <b/>
      <sz val="8"/>
      <color rgb="FF0000CC"/>
      <name val="Arial"/>
      <family val="2"/>
    </font>
    <font>
      <b/>
      <sz val="8"/>
      <color rgb="FF7030A0"/>
      <name val="Arial"/>
      <family val="2"/>
    </font>
    <font>
      <b/>
      <sz val="8"/>
      <color theme="0"/>
      <name val="Times New Roman"/>
      <family val="1"/>
    </font>
    <font>
      <sz val="8"/>
      <color theme="0"/>
      <name val="Times New Roman"/>
      <family val="1"/>
    </font>
    <font>
      <b/>
      <sz val="8"/>
      <color theme="2" tint="-9.9978637043366805E-2"/>
      <name val="Times New Roman"/>
      <family val="1"/>
    </font>
    <font>
      <b/>
      <sz val="12"/>
      <color theme="0"/>
      <name val="Times New Roman"/>
      <family val="1"/>
    </font>
    <font>
      <sz val="12"/>
      <color theme="0"/>
      <name val="Times New Roman"/>
      <family val="1"/>
    </font>
    <font>
      <sz val="10"/>
      <color theme="0" tint="-0.14999847407452621"/>
      <name val="Calibri"/>
      <family val="2"/>
      <scheme val="minor"/>
    </font>
    <font>
      <sz val="11"/>
      <name val="Calibri"/>
      <family val="2"/>
      <scheme val="minor"/>
    </font>
    <font>
      <sz val="7"/>
      <color rgb="FF7030A0"/>
      <name val="Arial"/>
      <family val="2"/>
    </font>
    <font>
      <sz val="22"/>
      <color theme="0"/>
      <name val="Arial Unicode MS"/>
      <family val="2"/>
    </font>
    <font>
      <sz val="22"/>
      <color theme="0"/>
      <name val="Calibri"/>
      <family val="2"/>
      <scheme val="minor"/>
    </font>
    <font>
      <sz val="14"/>
      <color theme="0"/>
      <name val="Arial Unicode MS"/>
      <family val="2"/>
    </font>
    <font>
      <sz val="14"/>
      <color theme="0"/>
      <name val="Calibri"/>
      <family val="2"/>
      <scheme val="minor"/>
    </font>
    <font>
      <i/>
      <sz val="10"/>
      <color rgb="FF0000CC"/>
      <name val="Calibri"/>
      <family val="2"/>
      <scheme val="minor"/>
    </font>
    <font>
      <b/>
      <sz val="20"/>
      <color theme="0"/>
      <name val="Arial Unicode MS"/>
      <family val="2"/>
    </font>
    <font>
      <b/>
      <sz val="24"/>
      <color theme="1"/>
      <name val="Calibri"/>
      <family val="2"/>
      <scheme val="minor"/>
    </font>
    <font>
      <sz val="11"/>
      <color theme="0"/>
      <name val="Bodoni MT"/>
      <family val="1"/>
    </font>
    <font>
      <u/>
      <sz val="6"/>
      <color theme="0"/>
      <name val="Arial"/>
      <family val="2"/>
    </font>
    <font>
      <sz val="10"/>
      <color theme="0"/>
      <name val="Calibri"/>
      <family val="2"/>
      <scheme val="minor"/>
    </font>
    <font>
      <sz val="10"/>
      <color theme="2" tint="-0.499984740745262"/>
      <name val="Calibri"/>
      <family val="2"/>
      <scheme val="minor"/>
    </font>
    <font>
      <sz val="12"/>
      <name val="Calibri"/>
      <family val="2"/>
      <scheme val="minor"/>
    </font>
    <font>
      <b/>
      <sz val="10"/>
      <name val="Calibri"/>
      <family val="2"/>
      <scheme val="minor"/>
    </font>
    <font>
      <b/>
      <sz val="11"/>
      <name val="Calibri"/>
      <family val="2"/>
      <scheme val="minor"/>
    </font>
    <font>
      <b/>
      <sz val="10"/>
      <color rgb="FF0000CC"/>
      <name val="Calibri"/>
      <family val="2"/>
      <scheme val="minor"/>
    </font>
    <font>
      <b/>
      <sz val="10"/>
      <color rgb="FFFF0000"/>
      <name val="Calibri"/>
      <family val="2"/>
      <scheme val="minor"/>
    </font>
    <font>
      <i/>
      <sz val="11"/>
      <color rgb="FF0000CC"/>
      <name val="Calibri"/>
      <family val="2"/>
      <scheme val="minor"/>
    </font>
    <font>
      <sz val="11"/>
      <color rgb="FF0000CC"/>
      <name val="Calibri"/>
      <family val="2"/>
      <scheme val="minor"/>
    </font>
    <font>
      <b/>
      <sz val="10"/>
      <color rgb="FFFF0000"/>
      <name val="Arial"/>
      <family val="2"/>
    </font>
    <font>
      <b/>
      <sz val="10"/>
      <color rgb="FF008000"/>
      <name val="Arial"/>
      <family val="2"/>
    </font>
    <font>
      <b/>
      <sz val="10"/>
      <color rgb="FF33CC33"/>
      <name val="Arial"/>
      <family val="2"/>
    </font>
    <font>
      <b/>
      <sz val="10"/>
      <color rgb="FF0066FF"/>
      <name val="Arial"/>
      <family val="2"/>
    </font>
    <font>
      <b/>
      <u/>
      <sz val="12"/>
      <color rgb="FF0000CC"/>
      <name val="Arial"/>
      <family val="2"/>
    </font>
    <font>
      <b/>
      <u/>
      <sz val="10"/>
      <color rgb="FF0000CC"/>
      <name val="Arial"/>
      <family val="2"/>
    </font>
    <font>
      <b/>
      <u/>
      <sz val="11"/>
      <color rgb="FF0000CC"/>
      <name val="Arial"/>
      <family val="2"/>
    </font>
    <font>
      <b/>
      <sz val="12"/>
      <color rgb="FF0000CC"/>
      <name val="Calibri"/>
      <family val="2"/>
    </font>
    <font>
      <b/>
      <sz val="12"/>
      <color rgb="FF0000CC"/>
      <name val="Times New Roman"/>
      <family val="1"/>
    </font>
    <font>
      <b/>
      <u/>
      <sz val="16"/>
      <color rgb="FF0000CC"/>
      <name val="Arial"/>
      <family val="2"/>
    </font>
    <font>
      <b/>
      <sz val="9"/>
      <color indexed="16"/>
      <name val="Times New Roman"/>
      <family val="1"/>
    </font>
    <font>
      <b/>
      <sz val="9"/>
      <name val="Amazone BT"/>
      <family val="4"/>
    </font>
    <font>
      <b/>
      <sz val="9"/>
      <color rgb="FF800000"/>
      <name val="Arial"/>
      <family val="2"/>
    </font>
    <font>
      <sz val="8"/>
      <color rgb="FF0000CC"/>
      <name val="Arial"/>
      <family val="2"/>
    </font>
    <font>
      <b/>
      <sz val="9"/>
      <color rgb="FF0000CC"/>
      <name val="Arial"/>
      <family val="2"/>
    </font>
    <font>
      <b/>
      <sz val="8"/>
      <color theme="2" tint="-0.499984740745262"/>
      <name val="Times New Roman"/>
      <family val="1"/>
    </font>
    <font>
      <b/>
      <sz val="18"/>
      <name val="Arial"/>
      <family val="2"/>
    </font>
    <font>
      <b/>
      <sz val="20"/>
      <name val="Arial"/>
      <family val="2"/>
    </font>
    <font>
      <b/>
      <sz val="10"/>
      <name val="Arial Narrow"/>
      <family val="2"/>
    </font>
    <font>
      <b/>
      <u val="double"/>
      <sz val="14"/>
      <name val="Arial"/>
      <family val="2"/>
    </font>
    <font>
      <sz val="12"/>
      <color theme="0"/>
      <name val="Arial"/>
      <family val="2"/>
    </font>
    <font>
      <u/>
      <sz val="10"/>
      <name val="Arial"/>
      <family val="2"/>
    </font>
    <font>
      <sz val="11"/>
      <color theme="0"/>
      <name val="Arial"/>
      <family val="2"/>
    </font>
    <font>
      <b/>
      <sz val="9"/>
      <color indexed="63"/>
      <name val="Arial Narrow"/>
      <family val="2"/>
    </font>
    <font>
      <sz val="10"/>
      <color indexed="81"/>
      <name val="Tahoma"/>
      <family val="2"/>
    </font>
    <font>
      <b/>
      <sz val="10"/>
      <color theme="1" tint="0.249977111117893"/>
      <name val="Arial"/>
      <family val="2"/>
    </font>
    <font>
      <sz val="10"/>
      <color theme="1" tint="0.249977111117893"/>
      <name val="Arial"/>
      <family val="2"/>
    </font>
    <font>
      <sz val="4"/>
      <color theme="2" tint="-0.499984740745262"/>
      <name val="Arial"/>
      <family val="2"/>
    </font>
    <font>
      <sz val="7"/>
      <color theme="2" tint="-0.499984740745262"/>
      <name val="Arial"/>
      <family val="2"/>
    </font>
    <font>
      <sz val="10"/>
      <color theme="2" tint="-0.499984740745262"/>
      <name val="Arial"/>
      <family val="2"/>
    </font>
    <font>
      <sz val="7"/>
      <color theme="2" tint="-0.499984740745262"/>
      <name val="Shruti"/>
      <family val="2"/>
    </font>
    <font>
      <sz val="7"/>
      <name val="Symbol"/>
      <family val="1"/>
      <charset val="2"/>
    </font>
    <font>
      <sz val="8"/>
      <color theme="2" tint="-0.499984740745262"/>
      <name val="Arial"/>
      <family val="2"/>
    </font>
    <font>
      <b/>
      <sz val="10"/>
      <color theme="2" tint="-0.499984740745262"/>
      <name val="Arial"/>
      <family val="2"/>
    </font>
    <font>
      <sz val="10"/>
      <color rgb="FF33CC33"/>
      <name val="Arial"/>
      <family val="2"/>
    </font>
    <font>
      <sz val="10"/>
      <color rgb="FF7030A0"/>
      <name val="Arial"/>
      <family val="2"/>
    </font>
    <font>
      <sz val="10"/>
      <color rgb="FF0000FF"/>
      <name val="Arial"/>
      <family val="2"/>
    </font>
    <font>
      <sz val="10"/>
      <color rgb="FF00B050"/>
      <name val="Arial"/>
      <family val="2"/>
    </font>
    <font>
      <b/>
      <sz val="11"/>
      <color indexed="81"/>
      <name val="Tahoma"/>
      <family val="2"/>
    </font>
    <font>
      <sz val="11"/>
      <color indexed="81"/>
      <name val="Tahoma"/>
      <family val="2"/>
    </font>
    <font>
      <b/>
      <sz val="10"/>
      <color theme="0"/>
      <name val="Calibri"/>
      <family val="2"/>
      <scheme val="minor"/>
    </font>
    <font>
      <b/>
      <sz val="12"/>
      <name val="Calibri"/>
      <family val="2"/>
      <scheme val="minor"/>
    </font>
    <font>
      <sz val="8"/>
      <color theme="2" tint="-0.499984740745262"/>
      <name val="Calibri"/>
      <family val="2"/>
      <scheme val="minor"/>
    </font>
    <font>
      <sz val="7"/>
      <color theme="2" tint="-0.499984740745262"/>
      <name val="Calibri"/>
      <family val="2"/>
      <scheme val="minor"/>
    </font>
    <font>
      <sz val="8"/>
      <color theme="0"/>
      <name val="Calibri"/>
      <family val="2"/>
      <scheme val="minor"/>
    </font>
    <font>
      <sz val="7"/>
      <color theme="0"/>
      <name val="Calibri"/>
      <family val="2"/>
      <scheme val="minor"/>
    </font>
    <font>
      <b/>
      <i/>
      <sz val="11"/>
      <name val="Calibri"/>
      <family val="2"/>
      <scheme val="minor"/>
    </font>
    <font>
      <sz val="12"/>
      <color rgb="FFFF0000"/>
      <name val="Arial"/>
      <family val="2"/>
    </font>
    <font>
      <sz val="11"/>
      <color theme="0"/>
      <name val="Calibri"/>
      <family val="2"/>
      <scheme val="minor"/>
    </font>
    <font>
      <b/>
      <sz val="9"/>
      <color theme="2" tint="-0.499984740745262"/>
      <name val="Calibri"/>
      <family val="2"/>
      <scheme val="minor"/>
    </font>
    <font>
      <sz val="9"/>
      <color theme="2" tint="-0.499984740745262"/>
      <name val="Calibri"/>
      <family val="2"/>
      <scheme val="minor"/>
    </font>
    <font>
      <sz val="9"/>
      <color rgb="FF0000CC"/>
      <name val="Calibri"/>
      <family val="2"/>
      <scheme val="minor"/>
    </font>
    <font>
      <sz val="9"/>
      <color rgb="FF008000"/>
      <name val="Calibri"/>
      <family val="2"/>
      <scheme val="minor"/>
    </font>
    <font>
      <sz val="9"/>
      <color theme="1"/>
      <name val="Calibri"/>
      <family val="2"/>
      <scheme val="minor"/>
    </font>
    <font>
      <b/>
      <sz val="9"/>
      <color indexed="12"/>
      <name val="Calibri"/>
      <family val="2"/>
      <scheme val="minor"/>
    </font>
    <font>
      <b/>
      <sz val="10"/>
      <color indexed="12"/>
      <name val="Calibri"/>
      <family val="2"/>
      <scheme val="minor"/>
    </font>
    <font>
      <sz val="10"/>
      <color indexed="17"/>
      <name val="Calibri"/>
      <family val="2"/>
      <scheme val="minor"/>
    </font>
    <font>
      <sz val="11"/>
      <color theme="2" tint="-0.499984740745262"/>
      <name val="Calibri"/>
      <family val="2"/>
      <scheme val="minor"/>
    </font>
    <font>
      <b/>
      <sz val="12"/>
      <color theme="0"/>
      <name val="Arial"/>
      <family val="2"/>
    </font>
    <font>
      <i/>
      <sz val="11"/>
      <color theme="0"/>
      <name val="Calibri"/>
      <family val="2"/>
      <scheme val="minor"/>
    </font>
    <font>
      <b/>
      <u/>
      <sz val="14"/>
      <color theme="1"/>
      <name val="Calibri"/>
      <family val="2"/>
      <scheme val="minor"/>
    </font>
    <font>
      <sz val="11"/>
      <name val="Calibri"/>
      <family val="2"/>
    </font>
    <font>
      <sz val="12"/>
      <name val="Calibri"/>
      <family val="2"/>
    </font>
    <font>
      <b/>
      <sz val="11"/>
      <name val="Calibri"/>
      <family val="2"/>
    </font>
    <font>
      <b/>
      <sz val="12"/>
      <name val="Calibri"/>
      <family val="2"/>
    </font>
    <font>
      <b/>
      <sz val="9"/>
      <name val="Calibri"/>
      <family val="2"/>
    </font>
    <font>
      <sz val="10"/>
      <name val="Calibri"/>
      <family val="2"/>
    </font>
    <font>
      <b/>
      <sz val="8"/>
      <color theme="1"/>
      <name val="Calibri"/>
      <family val="2"/>
      <scheme val="minor"/>
    </font>
    <font>
      <b/>
      <sz val="8"/>
      <name val="Calibri"/>
      <family val="2"/>
    </font>
    <font>
      <b/>
      <sz val="8"/>
      <color theme="0"/>
      <name val="Calibri"/>
      <family val="2"/>
      <scheme val="minor"/>
    </font>
    <font>
      <b/>
      <sz val="12"/>
      <color theme="0"/>
      <name val="Calibri"/>
      <family val="2"/>
      <scheme val="minor"/>
    </font>
    <font>
      <b/>
      <u/>
      <sz val="12"/>
      <color rgb="FF0000CC"/>
      <name val="Calibri"/>
      <family val="2"/>
      <scheme val="minor"/>
    </font>
    <font>
      <b/>
      <sz val="9"/>
      <color theme="1"/>
      <name val="Calibri"/>
      <family val="2"/>
      <scheme val="minor"/>
    </font>
    <font>
      <b/>
      <sz val="9"/>
      <color theme="2" tint="-0.499984740745262"/>
      <name val="Arial"/>
      <family val="2"/>
    </font>
    <font>
      <b/>
      <sz val="9"/>
      <color theme="3"/>
      <name val="Arial"/>
      <family val="2"/>
    </font>
    <font>
      <b/>
      <i/>
      <sz val="12"/>
      <color theme="1"/>
      <name val="Calibri"/>
      <family val="2"/>
      <scheme val="minor"/>
    </font>
    <font>
      <b/>
      <sz val="10"/>
      <color theme="2" tint="-0.499984740745262"/>
      <name val="Calibri"/>
      <family val="2"/>
      <scheme val="minor"/>
    </font>
    <font>
      <sz val="10"/>
      <color rgb="FF0000CC"/>
      <name val="Calibri"/>
      <family val="2"/>
      <scheme val="minor"/>
    </font>
    <font>
      <sz val="10"/>
      <color rgb="FF0000CC"/>
      <name val="Calibri"/>
      <family val="2"/>
    </font>
    <font>
      <sz val="10"/>
      <color theme="2" tint="-0.749992370372631"/>
      <name val="Calibri"/>
      <family val="2"/>
      <scheme val="minor"/>
    </font>
    <font>
      <b/>
      <sz val="8"/>
      <color indexed="8"/>
      <name val="Tahoma"/>
      <family val="2"/>
    </font>
    <font>
      <sz val="8"/>
      <color indexed="8"/>
      <name val="Tahoma"/>
      <family val="2"/>
    </font>
    <font>
      <b/>
      <sz val="10"/>
      <color indexed="18"/>
      <name val="Arial"/>
      <family val="2"/>
    </font>
    <font>
      <b/>
      <sz val="9"/>
      <color theme="0"/>
      <name val="Arial"/>
      <family val="2"/>
    </font>
    <font>
      <b/>
      <sz val="8"/>
      <color rgb="FFFF0000"/>
      <name val="Arial"/>
      <family val="2"/>
    </font>
    <font>
      <sz val="8"/>
      <color rgb="FF008000"/>
      <name val="Arial"/>
      <family val="2"/>
    </font>
    <font>
      <sz val="8"/>
      <color rgb="FF0070C0"/>
      <name val="Arial"/>
      <family val="2"/>
    </font>
    <font>
      <sz val="8"/>
      <color rgb="FF7030A0"/>
      <name val="Arial"/>
      <family val="2"/>
    </font>
    <font>
      <sz val="8"/>
      <color rgb="FFFFC000"/>
      <name val="Arial"/>
      <family val="2"/>
    </font>
    <font>
      <b/>
      <sz val="8"/>
      <color theme="1" tint="0.249977111117893"/>
      <name val="Arial"/>
      <family val="2"/>
    </font>
    <font>
      <sz val="11"/>
      <color theme="2" tint="-9.9978637043366805E-2"/>
      <name val="Arial"/>
      <family val="2"/>
    </font>
    <font>
      <sz val="9"/>
      <color indexed="81"/>
      <name val="Tahoma"/>
      <family val="2"/>
    </font>
    <font>
      <b/>
      <sz val="9"/>
      <color indexed="81"/>
      <name val="Tahoma"/>
      <family val="2"/>
    </font>
    <font>
      <sz val="12"/>
      <color theme="1" tint="0.249977111117893"/>
      <name val="Arial"/>
      <family val="2"/>
    </font>
    <font>
      <b/>
      <sz val="12"/>
      <color theme="1" tint="0.249977111117893"/>
      <name val="Arial"/>
      <family val="2"/>
    </font>
    <font>
      <sz val="10"/>
      <name val="Arial"/>
      <family val="2"/>
    </font>
    <font>
      <b/>
      <sz val="10"/>
      <color indexed="81"/>
      <name val="Tahoma"/>
      <family val="2"/>
    </font>
    <font>
      <sz val="12"/>
      <color indexed="8"/>
      <name val="Arial"/>
      <family val="2"/>
    </font>
    <font>
      <sz val="10"/>
      <color indexed="10"/>
      <name val="Arial"/>
      <family val="2"/>
    </font>
    <font>
      <b/>
      <sz val="8"/>
      <color rgb="FF008000"/>
      <name val="Arial"/>
      <family val="2"/>
    </font>
    <font>
      <b/>
      <sz val="8"/>
      <color theme="2" tint="-0.749992370372631"/>
      <name val="Arial"/>
      <family val="2"/>
    </font>
    <font>
      <sz val="10"/>
      <color theme="0" tint="-0.34998626667073579"/>
      <name val="Arial"/>
      <family val="2"/>
    </font>
    <font>
      <sz val="12"/>
      <color theme="0" tint="-0.14999847407452621"/>
      <name val="Arial"/>
      <family val="2"/>
    </font>
    <font>
      <sz val="16"/>
      <color rgb="FFFF0000"/>
      <name val="Arial"/>
      <family val="2"/>
    </font>
    <font>
      <sz val="12"/>
      <color theme="2" tint="-0.749992370372631"/>
      <name val="Arial"/>
      <family val="2"/>
    </font>
    <font>
      <sz val="9"/>
      <color rgb="FF0000CC"/>
      <name val="Arial"/>
      <family val="2"/>
    </font>
    <font>
      <sz val="9"/>
      <color rgb="FFFF0000"/>
      <name val="Arial"/>
      <family val="2"/>
    </font>
    <font>
      <b/>
      <sz val="9"/>
      <color rgb="FFFF0000"/>
      <name val="Arial"/>
      <family val="2"/>
    </font>
    <font>
      <b/>
      <sz val="8"/>
      <color theme="1"/>
      <name val="Arial"/>
      <family val="2"/>
    </font>
    <font>
      <b/>
      <sz val="9"/>
      <color theme="1" tint="0.249977111117893"/>
      <name val="Arial"/>
      <family val="2"/>
    </font>
    <font>
      <b/>
      <sz val="9"/>
      <color theme="1"/>
      <name val="Arial"/>
      <family val="2"/>
    </font>
    <font>
      <sz val="7"/>
      <color rgb="FFFF0000"/>
      <name val="Arial"/>
      <family val="2"/>
    </font>
    <font>
      <sz val="6"/>
      <color theme="0" tint="-0.34998626667073579"/>
      <name val="Arial"/>
      <family val="2"/>
    </font>
    <font>
      <b/>
      <sz val="6"/>
      <color theme="0" tint="-0.34998626667073579"/>
      <name val="Arial"/>
      <family val="2"/>
    </font>
    <font>
      <b/>
      <sz val="14"/>
      <color theme="2" tint="-0.749992370372631"/>
      <name val="Arial"/>
      <family val="2"/>
    </font>
    <font>
      <sz val="6"/>
      <color theme="2" tint="-0.749992370372631"/>
      <name val="Arial"/>
      <family val="2"/>
    </font>
    <font>
      <b/>
      <i/>
      <sz val="8"/>
      <color theme="0"/>
      <name val="Arial"/>
      <family val="2"/>
    </font>
    <font>
      <b/>
      <sz val="8"/>
      <color rgb="FF00B050"/>
      <name val="Arial"/>
      <family val="2"/>
    </font>
    <font>
      <sz val="9"/>
      <color theme="0" tint="-0.34998626667073579"/>
      <name val="Arial"/>
      <family val="2"/>
    </font>
    <font>
      <b/>
      <sz val="7"/>
      <color rgb="FF0000CC"/>
      <name val="Arial"/>
      <family val="2"/>
    </font>
    <font>
      <b/>
      <sz val="7"/>
      <color rgb="FFFF0000"/>
      <name val="Arial"/>
      <family val="2"/>
    </font>
    <font>
      <b/>
      <sz val="10.5"/>
      <name val="Arial"/>
      <family val="2"/>
    </font>
    <font>
      <b/>
      <sz val="16"/>
      <color theme="0"/>
      <name val="Calibri"/>
      <family val="2"/>
      <scheme val="minor"/>
    </font>
    <font>
      <b/>
      <sz val="9"/>
      <color theme="0"/>
      <name val="Calibri"/>
      <family val="2"/>
      <scheme val="minor"/>
    </font>
    <font>
      <sz val="8"/>
      <color rgb="FFFFFFCC"/>
      <name val="Baskerville Old Face"/>
      <family val="1"/>
    </font>
    <font>
      <sz val="20"/>
      <color theme="9" tint="0.59999389629810485"/>
      <name val="Baskerville Old Face"/>
      <family val="1"/>
    </font>
    <font>
      <sz val="20"/>
      <color theme="6" tint="0.39997558519241921"/>
      <name val="Baskerville Old Face"/>
      <family val="1"/>
    </font>
    <font>
      <sz val="20"/>
      <color theme="2" tint="-0.749992370372631"/>
      <name val="Baskerville Old Face"/>
      <family val="1"/>
    </font>
    <font>
      <sz val="20"/>
      <color rgb="FF0000CC"/>
      <name val="Baskerville Old Face"/>
      <family val="1"/>
    </font>
    <font>
      <sz val="7"/>
      <color theme="2" tint="-0.749992370372631"/>
      <name val="Calibri"/>
      <family val="2"/>
      <scheme val="minor"/>
    </font>
    <font>
      <i/>
      <sz val="11"/>
      <color rgb="FF7F7F7F"/>
      <name val="Calibri"/>
      <family val="2"/>
      <scheme val="minor"/>
    </font>
    <font>
      <b/>
      <sz val="11"/>
      <color theme="0"/>
      <name val="Calibri"/>
      <family val="2"/>
      <scheme val="minor"/>
    </font>
    <font>
      <i/>
      <sz val="8"/>
      <color theme="0"/>
      <name val="Calibri"/>
      <family val="2"/>
      <scheme val="minor"/>
    </font>
    <font>
      <b/>
      <sz val="7"/>
      <color rgb="FF0000FF"/>
      <name val="Arial"/>
      <family val="2"/>
    </font>
    <font>
      <b/>
      <sz val="7"/>
      <color rgb="FF00B050"/>
      <name val="Arial"/>
      <family val="2"/>
    </font>
    <font>
      <sz val="12"/>
      <color rgb="FF0000CC"/>
      <name val="Arial"/>
      <family val="2"/>
    </font>
    <font>
      <b/>
      <sz val="12"/>
      <color theme="2" tint="-0.749992370372631"/>
      <name val="Arial"/>
      <family val="2"/>
    </font>
    <font>
      <b/>
      <sz val="12"/>
      <color rgb="FF0000CC"/>
      <name val="Arial"/>
      <family val="2"/>
    </font>
    <font>
      <b/>
      <sz val="12"/>
      <color rgb="FF008000"/>
      <name val="Arial"/>
      <family val="2"/>
    </font>
    <font>
      <b/>
      <sz val="12"/>
      <color rgb="FFFF0000"/>
      <name val="Arial"/>
      <family val="2"/>
    </font>
    <font>
      <b/>
      <sz val="12"/>
      <color theme="1"/>
      <name val="Arial"/>
      <family val="2"/>
    </font>
    <font>
      <b/>
      <sz val="12"/>
      <color theme="6" tint="-0.499984740745262"/>
      <name val="Arial"/>
      <family val="2"/>
    </font>
    <font>
      <b/>
      <i/>
      <sz val="14"/>
      <color theme="1"/>
      <name val="Calibri"/>
      <family val="2"/>
      <scheme val="minor"/>
    </font>
    <font>
      <sz val="11"/>
      <color theme="1" tint="0.249977111117893"/>
      <name val="Arial"/>
      <family val="2"/>
    </font>
    <font>
      <sz val="11"/>
      <color indexed="8"/>
      <name val="Arial"/>
      <family val="2"/>
    </font>
    <font>
      <sz val="11"/>
      <color rgb="FF0000CC"/>
      <name val="Arial"/>
      <family val="2"/>
    </font>
    <font>
      <b/>
      <sz val="10"/>
      <color rgb="FFFFFFFF"/>
      <name val="Cambria"/>
      <family val="1"/>
    </font>
    <font>
      <b/>
      <sz val="10"/>
      <color rgb="FFFFFFFF"/>
      <name val="Calibri"/>
      <family val="2"/>
    </font>
    <font>
      <b/>
      <sz val="8"/>
      <color rgb="FFFFFFFF"/>
      <name val="Cambria"/>
      <family val="1"/>
    </font>
    <font>
      <sz val="7"/>
      <color rgb="FFFFFFFF"/>
      <name val="Calibri"/>
      <family val="2"/>
    </font>
    <font>
      <b/>
      <sz val="14"/>
      <color rgb="FFFFFFFF"/>
      <name val="Calibri"/>
      <family val="2"/>
    </font>
    <font>
      <b/>
      <sz val="11"/>
      <color rgb="FFFFFFFF"/>
      <name val="Cambria"/>
      <family val="1"/>
    </font>
    <font>
      <b/>
      <i/>
      <sz val="10"/>
      <color theme="0"/>
      <name val="Arial"/>
      <family val="2"/>
    </font>
    <font>
      <b/>
      <sz val="8"/>
      <color rgb="FF000000"/>
      <name val="Calibri"/>
      <family val="2"/>
      <scheme val="minor"/>
    </font>
    <font>
      <b/>
      <sz val="8"/>
      <name val="Calibri"/>
      <family val="2"/>
      <scheme val="minor"/>
    </font>
    <font>
      <b/>
      <sz val="10"/>
      <color rgb="FF0000CC"/>
      <name val="Calibri"/>
      <family val="2"/>
    </font>
    <font>
      <sz val="4"/>
      <color theme="0"/>
      <name val="Arial"/>
      <family val="2"/>
    </font>
    <font>
      <b/>
      <sz val="10"/>
      <color rgb="FF17365D"/>
      <name val="Cambria"/>
      <family val="1"/>
    </font>
    <font>
      <b/>
      <i/>
      <sz val="10"/>
      <color theme="2" tint="-0.499984740745262"/>
      <name val="Calibri"/>
      <family val="2"/>
    </font>
    <font>
      <i/>
      <sz val="10"/>
      <color theme="2" tint="-0.499984740745262"/>
      <name val="Calibri"/>
      <family val="2"/>
    </font>
    <font>
      <i/>
      <sz val="4"/>
      <color theme="0"/>
      <name val="Arial"/>
      <family val="2"/>
    </font>
    <font>
      <sz val="5"/>
      <color rgb="FF0000CC"/>
      <name val="Franklin Gothic Demi"/>
      <family val="2"/>
    </font>
    <font>
      <sz val="7"/>
      <color theme="1"/>
      <name val="Franklin Gothic Demi"/>
      <family val="2"/>
    </font>
    <font>
      <b/>
      <sz val="8"/>
      <color rgb="FF0000CC"/>
      <name val="Calibri"/>
      <family val="2"/>
      <scheme val="minor"/>
    </font>
    <font>
      <sz val="7"/>
      <name val="Calibri"/>
      <family val="2"/>
    </font>
    <font>
      <sz val="6"/>
      <color theme="0"/>
      <name val="Calibri"/>
      <family val="2"/>
      <scheme val="minor"/>
    </font>
    <font>
      <sz val="2"/>
      <color theme="0"/>
      <name val="Calibri"/>
      <family val="2"/>
      <scheme val="minor"/>
    </font>
    <font>
      <sz val="5"/>
      <color theme="0"/>
      <name val="Calibri"/>
      <family val="2"/>
      <scheme val="minor"/>
    </font>
    <font>
      <u/>
      <sz val="4"/>
      <color theme="0"/>
      <name val="Arial"/>
      <family val="2"/>
    </font>
    <font>
      <b/>
      <sz val="9"/>
      <color rgb="FFFFFFFF"/>
      <name val="Cambria"/>
      <family val="1"/>
    </font>
    <font>
      <i/>
      <sz val="9"/>
      <color rgb="FF0000CC"/>
      <name val="Calibri"/>
      <family val="2"/>
      <scheme val="minor"/>
    </font>
    <font>
      <i/>
      <sz val="8"/>
      <color rgb="FF0000CC"/>
      <name val="Calibri"/>
      <family val="2"/>
      <scheme val="minor"/>
    </font>
    <font>
      <i/>
      <sz val="11"/>
      <color rgb="FF0000CC"/>
      <name val="Calibri"/>
      <family val="2"/>
    </font>
    <font>
      <i/>
      <sz val="11"/>
      <color theme="0"/>
      <name val="Calibri"/>
      <family val="2"/>
    </font>
    <font>
      <i/>
      <sz val="7"/>
      <name val="Arial"/>
      <family val="2"/>
    </font>
    <font>
      <i/>
      <sz val="10"/>
      <color rgb="FF0000CC"/>
      <name val="Calibri"/>
      <family val="2"/>
    </font>
    <font>
      <i/>
      <sz val="12"/>
      <color theme="1"/>
      <name val="Calibri"/>
      <family val="2"/>
      <scheme val="minor"/>
    </font>
    <font>
      <i/>
      <sz val="10"/>
      <color theme="1"/>
      <name val="Calibri"/>
      <family val="2"/>
      <scheme val="minor"/>
    </font>
    <font>
      <i/>
      <sz val="7"/>
      <color rgb="FF0000CC"/>
      <name val="Calibri"/>
      <family val="2"/>
      <scheme val="minor"/>
    </font>
    <font>
      <i/>
      <sz val="10"/>
      <color theme="2" tint="-0.499984740745262"/>
      <name val="Calibri"/>
      <family val="2"/>
      <scheme val="minor"/>
    </font>
    <font>
      <b/>
      <i/>
      <sz val="15"/>
      <color theme="1"/>
      <name val="Calibri"/>
      <family val="2"/>
      <scheme val="minor"/>
    </font>
    <font>
      <i/>
      <sz val="10"/>
      <color theme="0"/>
      <name val="Calibri"/>
      <family val="2"/>
      <scheme val="minor"/>
    </font>
    <font>
      <b/>
      <i/>
      <sz val="10"/>
      <color theme="0" tint="-4.9989318521683403E-2"/>
      <name val="Calibri"/>
      <family val="2"/>
      <scheme val="minor"/>
    </font>
    <font>
      <sz val="6"/>
      <color theme="0"/>
      <name val="Arial Narrow"/>
      <family val="2"/>
    </font>
    <font>
      <b/>
      <i/>
      <sz val="8"/>
      <color theme="2" tint="-0.499984740745262"/>
      <name val="Calibri"/>
      <family val="2"/>
    </font>
    <font>
      <b/>
      <i/>
      <sz val="10"/>
      <name val="Times New Roman"/>
      <family val="1"/>
    </font>
    <font>
      <u/>
      <sz val="4"/>
      <name val="Arial"/>
      <family val="2"/>
    </font>
    <font>
      <sz val="4"/>
      <name val="Arial"/>
      <family val="2"/>
    </font>
    <font>
      <sz val="6"/>
      <color theme="1"/>
      <name val="Arial"/>
      <family val="2"/>
    </font>
    <font>
      <sz val="10"/>
      <color rgb="FF2A63A8"/>
      <name val="Arial"/>
      <family val="2"/>
    </font>
    <font>
      <sz val="10"/>
      <color theme="2" tint="-9.9978637043366805E-2"/>
      <name val="Calibri"/>
      <family val="2"/>
      <scheme val="minor"/>
    </font>
    <font>
      <sz val="10"/>
      <color theme="2" tint="-9.9978637043366805E-2"/>
      <name val="Arial"/>
      <family val="2"/>
    </font>
    <font>
      <b/>
      <sz val="11"/>
      <color theme="2" tint="-0.499984740745262"/>
      <name val="Calibri"/>
      <family val="2"/>
      <scheme val="minor"/>
    </font>
    <font>
      <b/>
      <sz val="11"/>
      <color rgb="FF0000CC"/>
      <name val="Calibri"/>
      <family val="2"/>
      <scheme val="minor"/>
    </font>
    <font>
      <b/>
      <sz val="11"/>
      <name val="Tahoma"/>
      <family val="2"/>
    </font>
    <font>
      <b/>
      <sz val="10"/>
      <color theme="2" tint="-0.749992370372631"/>
      <name val="Arial"/>
      <family val="2"/>
    </font>
    <font>
      <i/>
      <sz val="10"/>
      <color theme="0"/>
      <name val="Calibri"/>
      <family val="2"/>
    </font>
    <font>
      <b/>
      <sz val="12"/>
      <color theme="2" tint="-0.749992370372631"/>
      <name val="Calibri"/>
      <family val="2"/>
      <scheme val="minor"/>
    </font>
    <font>
      <sz val="12"/>
      <color theme="2" tint="-0.749992370372631"/>
      <name val="Calibri"/>
      <family val="2"/>
      <scheme val="minor"/>
    </font>
    <font>
      <b/>
      <sz val="10"/>
      <name val="Cambria"/>
      <family val="1"/>
    </font>
    <font>
      <b/>
      <sz val="8"/>
      <name val="Cambria"/>
      <family val="1"/>
    </font>
    <font>
      <sz val="8"/>
      <name val="Times New Roman"/>
      <family val="1"/>
    </font>
    <font>
      <b/>
      <sz val="9"/>
      <name val="Times New Roman"/>
      <family val="1"/>
    </font>
    <font>
      <sz val="8"/>
      <color theme="1"/>
      <name val="Arial"/>
      <family val="2"/>
    </font>
    <font>
      <b/>
      <i/>
      <sz val="10"/>
      <color theme="0"/>
      <name val="Calibri"/>
      <family val="2"/>
    </font>
    <font>
      <b/>
      <i/>
      <sz val="8"/>
      <name val="Arial"/>
      <family val="2"/>
    </font>
    <font>
      <sz val="7"/>
      <name val="Times New Roman"/>
      <family val="1"/>
    </font>
    <font>
      <b/>
      <sz val="9"/>
      <color theme="2" tint="-0.499984740745262"/>
      <name val="Calibri"/>
      <family val="2"/>
    </font>
    <font>
      <sz val="9"/>
      <color theme="2" tint="-0.499984740745262"/>
      <name val="Arial"/>
      <family val="2"/>
    </font>
    <font>
      <b/>
      <sz val="10"/>
      <color theme="2"/>
      <name val="Times New Roman"/>
      <family val="1"/>
    </font>
    <font>
      <b/>
      <i/>
      <sz val="9"/>
      <color theme="2" tint="-0.499984740745262"/>
      <name val="Arial"/>
      <family val="2"/>
    </font>
    <font>
      <b/>
      <i/>
      <sz val="10"/>
      <color theme="2" tint="-0.499984740745262"/>
      <name val="Arial"/>
      <family val="2"/>
    </font>
    <font>
      <sz val="7"/>
      <color theme="3"/>
      <name val="Calibri"/>
      <family val="2"/>
      <scheme val="minor"/>
    </font>
    <font>
      <b/>
      <sz val="8"/>
      <color theme="2" tint="-0.499984740745262"/>
      <name val="Calibri"/>
      <family val="2"/>
      <scheme val="minor"/>
    </font>
    <font>
      <b/>
      <sz val="7"/>
      <color theme="2" tint="-0.499984740745262"/>
      <name val="Calibri"/>
      <family val="2"/>
      <scheme val="minor"/>
    </font>
    <font>
      <sz val="6"/>
      <color theme="2" tint="-0.749992370372631"/>
      <name val="Calibri"/>
      <family val="2"/>
      <scheme val="minor"/>
    </font>
    <font>
      <b/>
      <i/>
      <sz val="9"/>
      <color rgb="FF0000CC"/>
      <name val="Calibri"/>
      <family val="2"/>
      <scheme val="minor"/>
    </font>
    <font>
      <b/>
      <i/>
      <sz val="9"/>
      <name val="Calibri"/>
      <family val="2"/>
      <scheme val="minor"/>
    </font>
    <font>
      <b/>
      <i/>
      <sz val="9"/>
      <color rgb="FFFF0000"/>
      <name val="Calibri"/>
      <family val="2"/>
      <scheme val="minor"/>
    </font>
    <font>
      <b/>
      <i/>
      <sz val="9"/>
      <color rgb="FF008000"/>
      <name val="Calibri"/>
      <family val="2"/>
      <scheme val="minor"/>
    </font>
    <font>
      <b/>
      <i/>
      <sz val="9"/>
      <color theme="2" tint="-0.499984740745262"/>
      <name val="Calibri"/>
      <family val="2"/>
      <scheme val="minor"/>
    </font>
    <font>
      <b/>
      <sz val="9"/>
      <color theme="2" tint="-0.249977111117893"/>
      <name val="Calibri"/>
      <family val="2"/>
      <scheme val="minor"/>
    </font>
    <font>
      <b/>
      <sz val="12"/>
      <color theme="0" tint="-4.9989318521683403E-2"/>
      <name val="Calibri"/>
      <family val="2"/>
      <scheme val="minor"/>
    </font>
    <font>
      <b/>
      <sz val="12"/>
      <color theme="1" tint="0.14999847407452621"/>
      <name val="Calibri"/>
      <family val="2"/>
      <scheme val="minor"/>
    </font>
    <font>
      <sz val="10"/>
      <color rgb="FF008000"/>
      <name val="Arial"/>
      <family val="2"/>
    </font>
    <font>
      <sz val="14"/>
      <color rgb="FFFF0000"/>
      <name val="Arial"/>
      <family val="2"/>
    </font>
    <font>
      <sz val="12"/>
      <color theme="2" tint="-0.499984740745262"/>
      <name val="Arial"/>
      <family val="2"/>
    </font>
    <font>
      <sz val="6"/>
      <color theme="2" tint="-0.499984740745262"/>
      <name val="Arial"/>
      <family val="2"/>
    </font>
    <font>
      <sz val="12"/>
      <color theme="0" tint="-0.34998626667073579"/>
      <name val="Arial"/>
      <family val="2"/>
    </font>
    <font>
      <i/>
      <sz val="7"/>
      <color theme="0"/>
      <name val="Arial"/>
      <family val="2"/>
    </font>
    <font>
      <b/>
      <sz val="16"/>
      <color theme="2" tint="-0.499984740745262"/>
      <name val="Wingdings"/>
      <charset val="2"/>
    </font>
    <font>
      <b/>
      <sz val="8"/>
      <color rgb="FF3333FF"/>
      <name val="Calibri"/>
      <family val="2"/>
      <scheme val="minor"/>
    </font>
    <font>
      <b/>
      <sz val="8"/>
      <color rgb="FFFF0000"/>
      <name val="Calibri"/>
      <family val="2"/>
      <scheme val="minor"/>
    </font>
    <font>
      <b/>
      <i/>
      <sz val="12"/>
      <name val="Calibri"/>
      <family val="2"/>
      <scheme val="minor"/>
    </font>
    <font>
      <b/>
      <i/>
      <sz val="8"/>
      <color theme="2" tint="-0.749992370372631"/>
      <name val="Arial"/>
      <family val="2"/>
    </font>
    <font>
      <sz val="8"/>
      <color theme="2" tint="-0.749992370372631"/>
      <name val="Arial"/>
      <family val="2"/>
    </font>
    <font>
      <sz val="7"/>
      <color theme="2" tint="-0.749992370372631"/>
      <name val="Arial"/>
      <family val="2"/>
    </font>
    <font>
      <u/>
      <sz val="8"/>
      <color indexed="12"/>
      <name val="Arial"/>
      <family val="2"/>
    </font>
    <font>
      <sz val="26"/>
      <color rgb="FFFF0000"/>
      <name val="Palace Script MT"/>
      <family val="4"/>
    </font>
    <font>
      <sz val="12"/>
      <color rgb="FFFF0000"/>
      <name val="Georgia"/>
      <family val="1"/>
    </font>
    <font>
      <b/>
      <sz val="11"/>
      <color rgb="FF008000"/>
      <name val="Arial"/>
      <family val="2"/>
    </font>
    <font>
      <b/>
      <sz val="11"/>
      <color indexed="10"/>
      <name val="Arial"/>
      <family val="2"/>
    </font>
    <font>
      <sz val="11"/>
      <color rgb="FFFF0000"/>
      <name val="Arial"/>
      <family val="2"/>
    </font>
    <font>
      <sz val="9"/>
      <color theme="2" tint="-9.9978637043366805E-2"/>
      <name val="Calibri"/>
      <family val="2"/>
      <scheme val="minor"/>
    </font>
    <font>
      <b/>
      <sz val="9.5"/>
      <name val="Calibri"/>
      <family val="2"/>
      <scheme val="minor"/>
    </font>
    <font>
      <b/>
      <sz val="9.5"/>
      <color theme="0"/>
      <name val="Calibri"/>
      <family val="2"/>
      <scheme val="minor"/>
    </font>
    <font>
      <sz val="9.5"/>
      <color theme="2" tint="-0.499984740745262"/>
      <name val="Calibri"/>
      <family val="2"/>
      <scheme val="minor"/>
    </font>
    <font>
      <sz val="10"/>
      <color theme="7" tint="0.79998168889431442"/>
      <name val="Arial"/>
      <family val="2"/>
    </font>
    <font>
      <sz val="26"/>
      <name val="Arial"/>
      <family val="2"/>
    </font>
    <font>
      <sz val="10"/>
      <color rgb="FFE0E0E0"/>
      <name val="Arial"/>
      <family val="2"/>
    </font>
    <font>
      <sz val="8"/>
      <color rgb="FFE0E0E0"/>
      <name val="Arial"/>
      <family val="2"/>
    </font>
    <font>
      <b/>
      <sz val="8"/>
      <color rgb="FFE0E0E0"/>
      <name val="Arial"/>
      <family val="2"/>
    </font>
    <font>
      <sz val="7"/>
      <color theme="2" tint="-0.249977111117893"/>
      <name val="Arial"/>
      <family val="2"/>
    </font>
    <font>
      <b/>
      <sz val="8"/>
      <color theme="0"/>
      <name val="Amazone BT"/>
      <family val="4"/>
    </font>
    <font>
      <sz val="14"/>
      <color rgb="FF0000CC"/>
      <name val="Arial"/>
      <family val="2"/>
    </font>
    <font>
      <b/>
      <i/>
      <sz val="10"/>
      <color theme="2" tint="-0.749992370372631"/>
      <name val="Calibri"/>
      <family val="2"/>
      <scheme val="minor"/>
    </font>
  </fonts>
  <fills count="61">
    <fill>
      <patternFill patternType="none"/>
    </fill>
    <fill>
      <patternFill patternType="gray125"/>
    </fill>
    <fill>
      <patternFill patternType="solid">
        <fgColor indexed="9"/>
        <bgColor indexed="64"/>
      </patternFill>
    </fill>
    <fill>
      <patternFill patternType="lightGrid">
        <fgColor indexed="42"/>
      </patternFill>
    </fill>
    <fill>
      <patternFill patternType="solid">
        <fgColor indexed="42"/>
        <bgColor indexed="64"/>
      </patternFill>
    </fill>
    <fill>
      <patternFill patternType="lightGrid">
        <fgColor indexed="43"/>
      </patternFill>
    </fill>
    <fill>
      <patternFill patternType="solid">
        <fgColor indexed="41"/>
        <bgColor indexed="64"/>
      </patternFill>
    </fill>
    <fill>
      <patternFill patternType="solid">
        <fgColor indexed="46"/>
        <bgColor indexed="64"/>
      </patternFill>
    </fill>
    <fill>
      <patternFill patternType="solid">
        <fgColor indexed="43"/>
        <bgColor indexed="64"/>
      </patternFill>
    </fill>
    <fill>
      <patternFill patternType="solid">
        <fgColor indexed="47"/>
        <bgColor indexed="64"/>
      </patternFill>
    </fill>
    <fill>
      <patternFill patternType="solid">
        <fgColor indexed="44"/>
        <bgColor indexed="64"/>
      </patternFill>
    </fill>
    <fill>
      <patternFill patternType="solid">
        <fgColor indexed="22"/>
        <bgColor indexed="64"/>
      </patternFill>
    </fill>
    <fill>
      <patternFill patternType="solid">
        <fgColor rgb="FFFFFFFF"/>
        <bgColor indexed="64"/>
      </patternFill>
    </fill>
    <fill>
      <patternFill patternType="solid">
        <fgColor rgb="FFFFFF00"/>
        <bgColor indexed="64"/>
      </patternFill>
    </fill>
    <fill>
      <patternFill patternType="solid">
        <fgColor indexed="65"/>
        <bgColor theme="0"/>
      </patternFill>
    </fill>
    <fill>
      <patternFill patternType="lightGrid">
        <fgColor rgb="FFFFFF99"/>
      </patternFill>
    </fill>
    <fill>
      <patternFill patternType="solid">
        <fgColor theme="0"/>
        <bgColor indexed="64"/>
      </patternFill>
    </fill>
    <fill>
      <patternFill patternType="solid">
        <fgColor theme="2" tint="-0.749992370372631"/>
        <bgColor indexed="64"/>
      </patternFill>
    </fill>
    <fill>
      <patternFill patternType="solid">
        <fgColor theme="2" tint="-9.9978637043366805E-2"/>
        <bgColor indexed="64"/>
      </patternFill>
    </fill>
    <fill>
      <patternFill patternType="solid">
        <fgColor theme="0" tint="-4.9989318521683403E-2"/>
        <bgColor indexed="64"/>
      </patternFill>
    </fill>
    <fill>
      <patternFill patternType="solid">
        <fgColor theme="2" tint="-0.249977111117893"/>
        <bgColor indexed="64"/>
      </patternFill>
    </fill>
    <fill>
      <patternFill patternType="solid">
        <fgColor theme="2" tint="-0.499984740745262"/>
        <bgColor indexed="64"/>
      </patternFill>
    </fill>
    <fill>
      <patternFill patternType="solid">
        <fgColor theme="0" tint="-0.14999847407452621"/>
        <bgColor indexed="64"/>
      </patternFill>
    </fill>
    <fill>
      <patternFill patternType="solid">
        <fgColor rgb="FFCCFF99"/>
        <bgColor indexed="64"/>
      </patternFill>
    </fill>
    <fill>
      <patternFill patternType="lightDown">
        <fgColor indexed="42"/>
        <bgColor indexed="9"/>
      </patternFill>
    </fill>
    <fill>
      <patternFill patternType="solid">
        <fgColor rgb="FFFF0000"/>
        <bgColor indexed="64"/>
      </patternFill>
    </fill>
    <fill>
      <patternFill patternType="solid">
        <fgColor rgb="FF3366FF"/>
        <bgColor indexed="64"/>
      </patternFill>
    </fill>
    <fill>
      <patternFill patternType="solid">
        <fgColor rgb="FF66FF66"/>
        <bgColor indexed="64"/>
      </patternFill>
    </fill>
    <fill>
      <patternFill patternType="solid">
        <fgColor theme="7" tint="0.39997558519241921"/>
        <bgColor indexed="64"/>
      </patternFill>
    </fill>
    <fill>
      <patternFill patternType="solid">
        <fgColor theme="2" tint="-0.89999084444715716"/>
        <bgColor indexed="64"/>
      </patternFill>
    </fill>
    <fill>
      <patternFill patternType="solid">
        <fgColor theme="9" tint="0.59999389629810485"/>
        <bgColor indexed="64"/>
      </patternFill>
    </fill>
    <fill>
      <patternFill patternType="solid">
        <fgColor theme="2"/>
        <bgColor indexed="64"/>
      </patternFill>
    </fill>
    <fill>
      <patternFill patternType="solid">
        <fgColor theme="2"/>
        <bgColor theme="0"/>
      </patternFill>
    </fill>
    <fill>
      <patternFill patternType="solid">
        <fgColor rgb="FFCCECFF"/>
        <bgColor indexed="64"/>
      </patternFill>
    </fill>
    <fill>
      <patternFill patternType="solid">
        <fgColor indexed="9"/>
        <bgColor indexed="9"/>
      </patternFill>
    </fill>
    <fill>
      <patternFill patternType="lightVertical">
        <fgColor indexed="27"/>
        <bgColor indexed="9"/>
      </patternFill>
    </fill>
    <fill>
      <patternFill patternType="lightHorizontal">
        <fgColor indexed="27"/>
        <bgColor indexed="9"/>
      </patternFill>
    </fill>
    <fill>
      <patternFill patternType="lightVertical">
        <fgColor indexed="41"/>
        <bgColor indexed="9"/>
      </patternFill>
    </fill>
    <fill>
      <patternFill patternType="lightDown">
        <fgColor indexed="41"/>
        <bgColor indexed="9"/>
      </patternFill>
    </fill>
    <fill>
      <patternFill patternType="darkGrid">
        <fgColor indexed="9"/>
        <bgColor indexed="9"/>
      </patternFill>
    </fill>
    <fill>
      <patternFill patternType="solid">
        <fgColor rgb="FFFFFF99"/>
        <bgColor indexed="64"/>
      </patternFill>
    </fill>
    <fill>
      <patternFill patternType="gray0625">
        <fgColor indexed="15"/>
        <bgColor theme="0"/>
      </patternFill>
    </fill>
    <fill>
      <patternFill patternType="solid">
        <fgColor rgb="FFFFFFCC"/>
        <bgColor indexed="64"/>
      </patternFill>
    </fill>
    <fill>
      <patternFill patternType="solid">
        <fgColor theme="3" tint="-0.249977111117893"/>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rgb="FF17365D"/>
        <bgColor indexed="64"/>
      </patternFill>
    </fill>
    <fill>
      <patternFill patternType="solid">
        <fgColor rgb="FFDFF1F5"/>
        <bgColor indexed="64"/>
      </patternFill>
    </fill>
    <fill>
      <patternFill patternType="solid">
        <fgColor theme="4" tint="0.59999389629810485"/>
        <bgColor indexed="64"/>
      </patternFill>
    </fill>
    <fill>
      <patternFill patternType="solid">
        <fgColor theme="8" tint="0.79998168889431442"/>
        <bgColor indexed="64"/>
      </patternFill>
    </fill>
    <fill>
      <patternFill patternType="solid">
        <fgColor theme="3"/>
        <bgColor indexed="64"/>
      </patternFill>
    </fill>
    <fill>
      <patternFill patternType="solid">
        <fgColor theme="1"/>
        <bgColor indexed="64"/>
      </patternFill>
    </fill>
    <fill>
      <patternFill patternType="solid">
        <fgColor rgb="FFFFFF66"/>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rgb="FFE4DFEC"/>
        <bgColor indexed="64"/>
      </patternFill>
    </fill>
    <fill>
      <patternFill patternType="solid">
        <fgColor theme="3" tint="0.59999389629810485"/>
        <bgColor indexed="64"/>
      </patternFill>
    </fill>
    <fill>
      <patternFill patternType="solid">
        <fgColor theme="7" tint="-0.249977111117893"/>
        <bgColor indexed="64"/>
      </patternFill>
    </fill>
    <fill>
      <patternFill patternType="solid">
        <fgColor theme="9"/>
        <bgColor indexed="64"/>
      </patternFill>
    </fill>
    <fill>
      <patternFill patternType="solid">
        <fgColor rgb="FF00B050"/>
        <bgColor indexed="64"/>
      </patternFill>
    </fill>
    <fill>
      <patternFill patternType="solid">
        <fgColor rgb="FFD9D9D9"/>
        <bgColor indexed="64"/>
      </patternFill>
    </fill>
  </fills>
  <borders count="648">
    <border>
      <left/>
      <right/>
      <top/>
      <bottom/>
      <diagonal/>
    </border>
    <border>
      <left style="hair">
        <color indexed="9"/>
      </left>
      <right style="hair">
        <color indexed="9"/>
      </right>
      <top style="hair">
        <color indexed="9"/>
      </top>
      <bottom style="hair">
        <color indexed="9"/>
      </bottom>
      <diagonal/>
    </border>
    <border>
      <left style="hair">
        <color indexed="9"/>
      </left>
      <right style="hair">
        <color indexed="9"/>
      </right>
      <top style="hair">
        <color indexed="9"/>
      </top>
      <bottom style="thin">
        <color indexed="64"/>
      </bottom>
      <diagonal/>
    </border>
    <border>
      <left style="hair">
        <color indexed="9"/>
      </left>
      <right style="hair">
        <color indexed="9"/>
      </right>
      <top/>
      <bottom style="hair">
        <color indexed="9"/>
      </bottom>
      <diagonal/>
    </border>
    <border>
      <left style="hair">
        <color indexed="9"/>
      </left>
      <right style="hair">
        <color indexed="9"/>
      </right>
      <top/>
      <bottom style="thin">
        <color indexed="64"/>
      </bottom>
      <diagonal/>
    </border>
    <border>
      <left style="hair">
        <color indexed="9"/>
      </left>
      <right/>
      <top style="hair">
        <color indexed="9"/>
      </top>
      <bottom style="hair">
        <color indexed="9"/>
      </bottom>
      <diagonal/>
    </border>
    <border>
      <left/>
      <right style="hair">
        <color indexed="9"/>
      </right>
      <top style="hair">
        <color indexed="9"/>
      </top>
      <bottom style="hair">
        <color indexed="9"/>
      </bottom>
      <diagonal/>
    </border>
    <border>
      <left style="thin">
        <color indexed="9"/>
      </left>
      <right style="thin">
        <color indexed="9"/>
      </right>
      <top style="medium">
        <color indexed="64"/>
      </top>
      <bottom style="thin">
        <color indexed="64"/>
      </bottom>
      <diagonal/>
    </border>
    <border>
      <left style="thin">
        <color indexed="9"/>
      </left>
      <right style="thin">
        <color indexed="64"/>
      </right>
      <top style="medium">
        <color indexed="64"/>
      </top>
      <bottom style="thin">
        <color indexed="64"/>
      </bottom>
      <diagonal/>
    </border>
    <border>
      <left style="thin">
        <color indexed="9"/>
      </left>
      <right style="thin">
        <color indexed="9"/>
      </right>
      <top style="thin">
        <color indexed="64"/>
      </top>
      <bottom style="thin">
        <color indexed="64"/>
      </bottom>
      <diagonal/>
    </border>
    <border>
      <left style="thin">
        <color indexed="9"/>
      </left>
      <right style="thin">
        <color indexed="64"/>
      </right>
      <top style="thin">
        <color indexed="64"/>
      </top>
      <bottom style="thin">
        <color indexed="64"/>
      </bottom>
      <diagonal/>
    </border>
    <border>
      <left style="thin">
        <color indexed="9"/>
      </left>
      <right style="thin">
        <color indexed="9"/>
      </right>
      <top style="thin">
        <color indexed="64"/>
      </top>
      <bottom style="medium">
        <color indexed="64"/>
      </bottom>
      <diagonal/>
    </border>
    <border>
      <left style="thin">
        <color indexed="9"/>
      </left>
      <right style="thin">
        <color indexed="64"/>
      </right>
      <top style="thin">
        <color indexed="64"/>
      </top>
      <bottom style="medium">
        <color indexed="64"/>
      </bottom>
      <diagonal/>
    </border>
    <border>
      <left style="hair">
        <color indexed="9"/>
      </left>
      <right style="hair">
        <color indexed="9"/>
      </right>
      <top style="medium">
        <color indexed="64"/>
      </top>
      <bottom style="hair">
        <color indexed="9"/>
      </bottom>
      <diagonal/>
    </border>
    <border>
      <left/>
      <right/>
      <top style="hair">
        <color indexed="9"/>
      </top>
      <bottom style="hair">
        <color indexed="9"/>
      </bottom>
      <diagonal/>
    </border>
    <border>
      <left style="thin">
        <color indexed="64"/>
      </left>
      <right style="thin">
        <color indexed="9"/>
      </right>
      <top style="medium">
        <color indexed="64"/>
      </top>
      <bottom style="thin">
        <color indexed="64"/>
      </bottom>
      <diagonal/>
    </border>
    <border>
      <left style="thin">
        <color indexed="64"/>
      </left>
      <right style="thin">
        <color indexed="9"/>
      </right>
      <top style="thin">
        <color indexed="64"/>
      </top>
      <bottom style="thin">
        <color indexed="64"/>
      </bottom>
      <diagonal/>
    </border>
    <border>
      <left style="thin">
        <color indexed="64"/>
      </left>
      <right style="thin">
        <color indexed="9"/>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medium">
        <color indexed="64"/>
      </top>
      <bottom style="thin">
        <color indexed="64"/>
      </bottom>
      <diagonal/>
    </border>
    <border>
      <left style="medium">
        <color indexed="64"/>
      </left>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double">
        <color indexed="9"/>
      </left>
      <right style="thin">
        <color indexed="9"/>
      </right>
      <top style="double">
        <color indexed="9"/>
      </top>
      <bottom style="thin">
        <color indexed="9"/>
      </bottom>
      <diagonal/>
    </border>
    <border>
      <left style="thin">
        <color indexed="9"/>
      </left>
      <right style="thin">
        <color indexed="9"/>
      </right>
      <top style="double">
        <color indexed="9"/>
      </top>
      <bottom style="thin">
        <color indexed="9"/>
      </bottom>
      <diagonal/>
    </border>
    <border>
      <left style="thin">
        <color indexed="9"/>
      </left>
      <right/>
      <top style="thin">
        <color indexed="9"/>
      </top>
      <bottom style="thin">
        <color indexed="9"/>
      </bottom>
      <diagonal/>
    </border>
    <border>
      <left style="thin">
        <color indexed="9"/>
      </left>
      <right style="double">
        <color indexed="9"/>
      </right>
      <top style="double">
        <color indexed="9"/>
      </top>
      <bottom style="thin">
        <color indexed="9"/>
      </bottom>
      <diagonal/>
    </border>
    <border>
      <left style="double">
        <color indexed="9"/>
      </left>
      <right style="thin">
        <color indexed="9"/>
      </right>
      <top style="thin">
        <color indexed="9"/>
      </top>
      <bottom style="thin">
        <color indexed="9"/>
      </bottom>
      <diagonal/>
    </border>
    <border>
      <left/>
      <right style="thin">
        <color indexed="9"/>
      </right>
      <top style="thin">
        <color indexed="9"/>
      </top>
      <bottom style="thin">
        <color indexed="9"/>
      </bottom>
      <diagonal/>
    </border>
    <border>
      <left style="thin">
        <color indexed="9"/>
      </left>
      <right style="thin">
        <color indexed="9"/>
      </right>
      <top style="thin">
        <color indexed="9"/>
      </top>
      <bottom style="thin">
        <color indexed="9"/>
      </bottom>
      <diagonal/>
    </border>
    <border>
      <left/>
      <right/>
      <top style="thin">
        <color indexed="9"/>
      </top>
      <bottom style="thin">
        <color indexed="9"/>
      </bottom>
      <diagonal/>
    </border>
    <border>
      <left style="thin">
        <color indexed="9"/>
      </left>
      <right style="double">
        <color indexed="9"/>
      </right>
      <top style="thin">
        <color indexed="9"/>
      </top>
      <bottom style="thin">
        <color indexed="9"/>
      </bottom>
      <diagonal/>
    </border>
    <border>
      <left style="thin">
        <color indexed="9"/>
      </left>
      <right/>
      <top style="thin">
        <color indexed="9"/>
      </top>
      <bottom/>
      <diagonal/>
    </border>
    <border>
      <left style="thin">
        <color indexed="9"/>
      </left>
      <right style="thin">
        <color indexed="9"/>
      </right>
      <top style="thin">
        <color indexed="9"/>
      </top>
      <bottom/>
      <diagonal/>
    </border>
    <border>
      <left style="double">
        <color indexed="9"/>
      </left>
      <right/>
      <top style="thin">
        <color indexed="9"/>
      </top>
      <bottom style="thin">
        <color indexed="9"/>
      </bottom>
      <diagonal/>
    </border>
    <border>
      <left style="medium">
        <color indexed="64"/>
      </left>
      <right style="medium">
        <color indexed="64"/>
      </right>
      <top style="thin">
        <color indexed="64"/>
      </top>
      <bottom style="thin">
        <color indexed="64"/>
      </bottom>
      <diagonal/>
    </border>
    <border>
      <left style="hair">
        <color indexed="9"/>
      </left>
      <right style="hair">
        <color indexed="9"/>
      </right>
      <top style="thin">
        <color indexed="64"/>
      </top>
      <bottom style="thin">
        <color indexed="64"/>
      </bottom>
      <diagonal/>
    </border>
    <border>
      <left style="medium">
        <color indexed="64"/>
      </left>
      <right style="medium">
        <color indexed="64"/>
      </right>
      <top/>
      <bottom style="thin">
        <color indexed="64"/>
      </bottom>
      <diagonal/>
    </border>
    <border>
      <left/>
      <right style="thin">
        <color indexed="9"/>
      </right>
      <top/>
      <bottom/>
      <diagonal/>
    </border>
    <border>
      <left style="thin">
        <color indexed="9"/>
      </left>
      <right style="thin">
        <color indexed="9"/>
      </right>
      <top/>
      <bottom/>
      <diagonal/>
    </border>
    <border>
      <left style="thin">
        <color indexed="9"/>
      </left>
      <right/>
      <top/>
      <bottom/>
      <diagonal/>
    </border>
    <border>
      <left style="double">
        <color indexed="9"/>
      </left>
      <right style="thin">
        <color indexed="9"/>
      </right>
      <top style="thin">
        <color indexed="9"/>
      </top>
      <bottom style="double">
        <color indexed="9"/>
      </bottom>
      <diagonal/>
    </border>
    <border>
      <left/>
      <right style="thin">
        <color indexed="9"/>
      </right>
      <top/>
      <bottom style="double">
        <color indexed="9"/>
      </bottom>
      <diagonal/>
    </border>
    <border>
      <left style="thin">
        <color indexed="9"/>
      </left>
      <right style="thin">
        <color indexed="9"/>
      </right>
      <top/>
      <bottom style="double">
        <color indexed="9"/>
      </bottom>
      <diagonal/>
    </border>
    <border>
      <left style="thin">
        <color indexed="9"/>
      </left>
      <right/>
      <top/>
      <bottom style="double">
        <color indexed="9"/>
      </bottom>
      <diagonal/>
    </border>
    <border>
      <left style="hair">
        <color indexed="9"/>
      </left>
      <right style="hair">
        <color indexed="9"/>
      </right>
      <top style="hair">
        <color indexed="9"/>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hair">
        <color indexed="9"/>
      </right>
      <top/>
      <bottom style="hair">
        <color indexed="9"/>
      </bottom>
      <diagonal/>
    </border>
    <border>
      <left/>
      <right style="hair">
        <color indexed="9"/>
      </right>
      <top style="hair">
        <color indexed="9"/>
      </top>
      <bottom/>
      <diagonal/>
    </border>
    <border>
      <left/>
      <right style="hair">
        <color indexed="9"/>
      </right>
      <top style="medium">
        <color indexed="64"/>
      </top>
      <bottom style="hair">
        <color indexed="9"/>
      </bottom>
      <diagonal/>
    </border>
    <border>
      <left style="hair">
        <color indexed="9"/>
      </left>
      <right/>
      <top style="hair">
        <color indexed="9"/>
      </top>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indexed="9"/>
      </left>
      <right/>
      <top/>
      <bottom style="thin">
        <color indexed="9"/>
      </bottom>
      <diagonal/>
    </border>
    <border>
      <left style="thin">
        <color indexed="9"/>
      </left>
      <right style="thin">
        <color indexed="9"/>
      </right>
      <top style="thin">
        <color indexed="9"/>
      </top>
      <bottom style="thin">
        <color indexed="64"/>
      </bottom>
      <diagonal/>
    </border>
    <border>
      <left/>
      <right style="thin">
        <color indexed="9"/>
      </right>
      <top style="thin">
        <color indexed="9"/>
      </top>
      <bottom/>
      <diagonal/>
    </border>
    <border>
      <left/>
      <right style="hair">
        <color indexed="9"/>
      </right>
      <top style="hair">
        <color indexed="9"/>
      </top>
      <bottom style="thin">
        <color indexed="64"/>
      </bottom>
      <diagonal/>
    </border>
    <border>
      <left style="hair">
        <color indexed="9"/>
      </left>
      <right/>
      <top style="hair">
        <color indexed="9"/>
      </top>
      <bottom style="thin">
        <color indexed="64"/>
      </bottom>
      <diagonal/>
    </border>
    <border>
      <left style="hair">
        <color indexed="9"/>
      </left>
      <right/>
      <top/>
      <bottom style="hair">
        <color indexed="9"/>
      </bottom>
      <diagonal/>
    </border>
    <border>
      <left style="thin">
        <color indexed="64"/>
      </left>
      <right style="hair">
        <color indexed="9"/>
      </right>
      <top style="thin">
        <color indexed="64"/>
      </top>
      <bottom style="thin">
        <color indexed="64"/>
      </bottom>
      <diagonal/>
    </border>
    <border>
      <left/>
      <right style="hair">
        <color indexed="9"/>
      </right>
      <top style="thin">
        <color indexed="64"/>
      </top>
      <bottom style="hair">
        <color indexed="9"/>
      </bottom>
      <diagonal/>
    </border>
    <border>
      <left style="hair">
        <color indexed="9"/>
      </left>
      <right style="hair">
        <color indexed="9"/>
      </right>
      <top style="thin">
        <color indexed="64"/>
      </top>
      <bottom style="hair">
        <color indexed="9"/>
      </bottom>
      <diagonal/>
    </border>
    <border>
      <left style="hair">
        <color indexed="9"/>
      </left>
      <right/>
      <top style="thin">
        <color indexed="64"/>
      </top>
      <bottom style="hair">
        <color indexed="9"/>
      </bottom>
      <diagonal/>
    </border>
    <border>
      <left/>
      <right/>
      <top/>
      <bottom style="hair">
        <color indexed="9"/>
      </bottom>
      <diagonal/>
    </border>
    <border>
      <left style="hair">
        <color indexed="9"/>
      </left>
      <right style="hair">
        <color indexed="9"/>
      </right>
      <top/>
      <bottom/>
      <diagonal/>
    </border>
    <border>
      <left style="thin">
        <color indexed="9"/>
      </left>
      <right style="hair">
        <color indexed="9"/>
      </right>
      <top style="thin">
        <color indexed="9"/>
      </top>
      <bottom style="thin">
        <color indexed="9"/>
      </bottom>
      <diagonal/>
    </border>
    <border>
      <left style="hair">
        <color indexed="9"/>
      </left>
      <right style="hair">
        <color indexed="9"/>
      </right>
      <top style="thin">
        <color indexed="9"/>
      </top>
      <bottom style="thin">
        <color indexed="9"/>
      </bottom>
      <diagonal/>
    </border>
    <border>
      <left style="hair">
        <color indexed="9"/>
      </left>
      <right style="thin">
        <color indexed="9"/>
      </right>
      <top style="thin">
        <color indexed="9"/>
      </top>
      <bottom style="thin">
        <color indexed="9"/>
      </bottom>
      <diagonal/>
    </border>
    <border>
      <left style="hair">
        <color indexed="9"/>
      </left>
      <right style="hair">
        <color indexed="9"/>
      </right>
      <top style="thin">
        <color indexed="9"/>
      </top>
      <bottom style="thin">
        <color indexed="64"/>
      </bottom>
      <diagonal/>
    </border>
    <border>
      <left style="hair">
        <color indexed="9"/>
      </left>
      <right style="thin">
        <color indexed="9"/>
      </right>
      <top style="thin">
        <color indexed="9"/>
      </top>
      <bottom style="thin">
        <color indexed="64"/>
      </bottom>
      <diagonal/>
    </border>
    <border>
      <left style="thin">
        <color indexed="9"/>
      </left>
      <right style="hair">
        <color indexed="9"/>
      </right>
      <top/>
      <bottom style="thin">
        <color indexed="64"/>
      </bottom>
      <diagonal/>
    </border>
    <border>
      <left style="hair">
        <color indexed="9"/>
      </left>
      <right style="thin">
        <color indexed="9"/>
      </right>
      <top/>
      <bottom style="thin">
        <color indexed="64"/>
      </bottom>
      <diagonal/>
    </border>
    <border>
      <left style="thin">
        <color indexed="9"/>
      </left>
      <right style="thin">
        <color indexed="9"/>
      </right>
      <top/>
      <bottom style="thin">
        <color indexed="64"/>
      </bottom>
      <diagonal/>
    </border>
    <border>
      <left style="thin">
        <color indexed="9"/>
      </left>
      <right style="hair">
        <color indexed="9"/>
      </right>
      <top style="hair">
        <color indexed="9"/>
      </top>
      <bottom style="hair">
        <color indexed="9"/>
      </bottom>
      <diagonal/>
    </border>
    <border>
      <left style="hair">
        <color indexed="9"/>
      </left>
      <right style="hair">
        <color indexed="9"/>
      </right>
      <top style="hair">
        <color indexed="9"/>
      </top>
      <bottom style="thin">
        <color indexed="9"/>
      </bottom>
      <diagonal/>
    </border>
    <border>
      <left style="thin">
        <color indexed="9"/>
      </left>
      <right style="hair">
        <color indexed="9"/>
      </right>
      <top style="hair">
        <color indexed="9"/>
      </top>
      <bottom style="thin">
        <color indexed="9"/>
      </bottom>
      <diagonal/>
    </border>
    <border>
      <left style="hair">
        <color indexed="9"/>
      </left>
      <right style="hair">
        <color indexed="9"/>
      </right>
      <top/>
      <bottom style="thin">
        <color indexed="9"/>
      </bottom>
      <diagonal/>
    </border>
    <border>
      <left style="hair">
        <color indexed="9"/>
      </left>
      <right style="thin">
        <color indexed="9"/>
      </right>
      <top/>
      <bottom style="thin">
        <color indexed="9"/>
      </bottom>
      <diagonal/>
    </border>
    <border>
      <left/>
      <right style="hair">
        <color indexed="9"/>
      </right>
      <top style="thin">
        <color indexed="9"/>
      </top>
      <bottom style="thin">
        <color indexed="9"/>
      </bottom>
      <diagonal/>
    </border>
    <border>
      <left style="thin">
        <color indexed="9"/>
      </left>
      <right style="thin">
        <color indexed="9"/>
      </right>
      <top style="thin">
        <color indexed="64"/>
      </top>
      <bottom style="thin">
        <color indexed="9"/>
      </bottom>
      <diagonal/>
    </border>
    <border>
      <left style="double">
        <color indexed="16"/>
      </left>
      <right style="double">
        <color indexed="16"/>
      </right>
      <top style="double">
        <color indexed="16"/>
      </top>
      <bottom style="double">
        <color indexed="16"/>
      </bottom>
      <diagonal/>
    </border>
    <border>
      <left style="double">
        <color indexed="16"/>
      </left>
      <right style="double">
        <color indexed="16"/>
      </right>
      <top/>
      <bottom style="dashed">
        <color indexed="16"/>
      </bottom>
      <diagonal/>
    </border>
    <border>
      <left style="thin">
        <color indexed="64"/>
      </left>
      <right/>
      <top style="thin">
        <color indexed="64"/>
      </top>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right/>
      <top style="thin">
        <color indexed="9"/>
      </top>
      <bottom/>
      <diagonal/>
    </border>
    <border>
      <left style="double">
        <color indexed="64"/>
      </left>
      <right/>
      <top style="thin">
        <color indexed="64"/>
      </top>
      <bottom style="thin">
        <color indexed="64"/>
      </bottom>
      <diagonal/>
    </border>
    <border>
      <left style="hair">
        <color indexed="9"/>
      </left>
      <right style="double">
        <color indexed="64"/>
      </right>
      <top style="thin">
        <color indexed="64"/>
      </top>
      <bottom style="thin">
        <color indexed="64"/>
      </bottom>
      <diagonal/>
    </border>
    <border>
      <left style="double">
        <color indexed="64"/>
      </left>
      <right style="thin">
        <color indexed="64"/>
      </right>
      <top style="double">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double">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thin">
        <color indexed="64"/>
      </top>
      <bottom/>
      <diagonal/>
    </border>
    <border>
      <left style="thin">
        <color indexed="64"/>
      </left>
      <right style="thin">
        <color indexed="64"/>
      </right>
      <top style="thin">
        <color indexed="64"/>
      </top>
      <bottom/>
      <diagonal/>
    </border>
    <border>
      <left style="double">
        <color indexed="64"/>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hair">
        <color indexed="9"/>
      </right>
      <top style="double">
        <color indexed="64"/>
      </top>
      <bottom style="double">
        <color indexed="64"/>
      </bottom>
      <diagonal/>
    </border>
    <border>
      <left style="hair">
        <color indexed="9"/>
      </left>
      <right style="hair">
        <color indexed="9"/>
      </right>
      <top style="double">
        <color indexed="64"/>
      </top>
      <bottom style="double">
        <color indexed="64"/>
      </bottom>
      <diagonal/>
    </border>
    <border>
      <left style="hair">
        <color indexed="9"/>
      </left>
      <right style="double">
        <color indexed="64"/>
      </right>
      <top style="double">
        <color indexed="64"/>
      </top>
      <bottom style="double">
        <color indexed="64"/>
      </bottom>
      <diagonal/>
    </border>
    <border>
      <left style="thin">
        <color indexed="64"/>
      </left>
      <right/>
      <top style="double">
        <color indexed="64"/>
      </top>
      <bottom/>
      <diagonal/>
    </border>
    <border>
      <left style="thin">
        <color indexed="64"/>
      </left>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indexed="64"/>
      </left>
      <right/>
      <top style="double">
        <color indexed="64"/>
      </top>
      <bottom style="double">
        <color indexed="64"/>
      </bottom>
      <diagonal/>
    </border>
    <border>
      <left/>
      <right/>
      <top style="double">
        <color indexed="64"/>
      </top>
      <bottom style="double">
        <color indexed="64"/>
      </bottom>
      <diagonal/>
    </border>
    <border>
      <left style="double">
        <color indexed="64"/>
      </left>
      <right/>
      <top style="thin">
        <color indexed="64"/>
      </top>
      <bottom style="double">
        <color indexed="64"/>
      </bottom>
      <diagonal/>
    </border>
    <border>
      <left style="thin">
        <color indexed="64"/>
      </left>
      <right style="hair">
        <color indexed="9"/>
      </right>
      <top style="thin">
        <color indexed="64"/>
      </top>
      <bottom style="double">
        <color indexed="64"/>
      </bottom>
      <diagonal/>
    </border>
    <border>
      <left style="hair">
        <color indexed="9"/>
      </left>
      <right style="hair">
        <color indexed="9"/>
      </right>
      <top style="thin">
        <color indexed="64"/>
      </top>
      <bottom style="double">
        <color indexed="64"/>
      </bottom>
      <diagonal/>
    </border>
    <border>
      <left style="hair">
        <color indexed="9"/>
      </left>
      <right style="double">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9"/>
      </right>
      <top/>
      <bottom style="thin">
        <color indexed="9"/>
      </bottom>
      <diagonal/>
    </border>
    <border>
      <left style="thin">
        <color indexed="9"/>
      </left>
      <right style="double">
        <color indexed="64"/>
      </right>
      <top/>
      <bottom style="thin">
        <color indexed="9"/>
      </bottom>
      <diagonal/>
    </border>
    <border>
      <left style="thin">
        <color indexed="9"/>
      </left>
      <right style="hair">
        <color indexed="9"/>
      </right>
      <top style="thin">
        <color indexed="9"/>
      </top>
      <bottom style="thin">
        <color indexed="64"/>
      </bottom>
      <diagonal/>
    </border>
    <border>
      <left style="double">
        <color indexed="64"/>
      </left>
      <right style="thin">
        <color indexed="9"/>
      </right>
      <top/>
      <bottom/>
      <diagonal/>
    </border>
    <border>
      <left style="double">
        <color indexed="64"/>
      </left>
      <right style="thin">
        <color indexed="9"/>
      </right>
      <top/>
      <bottom style="double">
        <color indexed="64"/>
      </bottom>
      <diagonal/>
    </border>
    <border>
      <left style="thin">
        <color indexed="9"/>
      </left>
      <right style="double">
        <color indexed="64"/>
      </right>
      <top/>
      <bottom style="double">
        <color indexed="64"/>
      </bottom>
      <diagonal/>
    </border>
    <border>
      <left style="thin">
        <color indexed="9"/>
      </left>
      <right style="double">
        <color indexed="64"/>
      </right>
      <top/>
      <bottom/>
      <diagonal/>
    </border>
    <border>
      <left/>
      <right style="double">
        <color indexed="64"/>
      </right>
      <top style="double">
        <color indexed="64"/>
      </top>
      <bottom style="double">
        <color indexed="64"/>
      </bottom>
      <diagonal/>
    </border>
    <border>
      <left style="thin">
        <color indexed="9"/>
      </left>
      <right style="double">
        <color indexed="64"/>
      </right>
      <top style="thin">
        <color indexed="9"/>
      </top>
      <bottom style="double">
        <color indexed="64"/>
      </bottom>
      <diagonal/>
    </border>
    <border>
      <left/>
      <right style="hair">
        <color indexed="9"/>
      </right>
      <top style="thin">
        <color indexed="64"/>
      </top>
      <bottom style="thin">
        <color indexed="64"/>
      </bottom>
      <diagonal/>
    </border>
    <border>
      <left style="medium">
        <color indexed="64"/>
      </left>
      <right/>
      <top/>
      <bottom/>
      <diagonal/>
    </border>
    <border>
      <left style="thin">
        <color indexed="9"/>
      </left>
      <right style="double">
        <color indexed="64"/>
      </right>
      <top style="thin">
        <color indexed="9"/>
      </top>
      <bottom style="thin">
        <color indexed="9"/>
      </bottom>
      <diagonal/>
    </border>
    <border>
      <left/>
      <right style="double">
        <color indexed="64"/>
      </right>
      <top/>
      <bottom/>
      <diagonal/>
    </border>
    <border>
      <left/>
      <right/>
      <top style="hair">
        <color indexed="9"/>
      </top>
      <bottom style="thin">
        <color indexed="64"/>
      </bottom>
      <diagonal/>
    </border>
    <border>
      <left style="thin">
        <color indexed="64"/>
      </left>
      <right/>
      <top/>
      <bottom style="hair">
        <color indexed="9"/>
      </bottom>
      <diagonal/>
    </border>
    <border>
      <left style="thin">
        <color indexed="64"/>
      </left>
      <right/>
      <top style="hair">
        <color indexed="9"/>
      </top>
      <bottom style="hair">
        <color indexed="9"/>
      </bottom>
      <diagonal/>
    </border>
    <border>
      <left/>
      <right style="hair">
        <color indexed="9"/>
      </right>
      <top/>
      <bottom/>
      <diagonal/>
    </border>
    <border>
      <left style="hair">
        <color indexed="9"/>
      </left>
      <right/>
      <top/>
      <bottom/>
      <diagonal/>
    </border>
    <border>
      <left style="thin">
        <color indexed="64"/>
      </left>
      <right style="hair">
        <color indexed="9"/>
      </right>
      <top style="hair">
        <color indexed="9"/>
      </top>
      <bottom style="hair">
        <color indexed="9"/>
      </bottom>
      <diagonal/>
    </border>
    <border>
      <left style="hair">
        <color indexed="9"/>
      </left>
      <right/>
      <top/>
      <bottom style="thin">
        <color indexed="64"/>
      </bottom>
      <diagonal/>
    </border>
    <border>
      <left/>
      <right style="thin">
        <color indexed="9"/>
      </right>
      <top/>
      <bottom style="thin">
        <color indexed="64"/>
      </bottom>
      <diagonal/>
    </border>
    <border>
      <left/>
      <right style="thin">
        <color indexed="9"/>
      </right>
      <top style="thin">
        <color indexed="64"/>
      </top>
      <bottom style="thin">
        <color indexed="64"/>
      </bottom>
      <diagonal/>
    </border>
    <border>
      <left style="medium">
        <color indexed="64"/>
      </left>
      <right style="medium">
        <color indexed="64"/>
      </right>
      <top style="thin">
        <color indexed="64"/>
      </top>
      <bottom/>
      <diagonal/>
    </border>
    <border>
      <left/>
      <right style="thin">
        <color indexed="9"/>
      </right>
      <top style="thin">
        <color indexed="9"/>
      </top>
      <bottom style="thin">
        <color indexed="64"/>
      </bottom>
      <diagonal/>
    </border>
    <border>
      <left/>
      <right style="thin">
        <color indexed="9"/>
      </right>
      <top style="thin">
        <color indexed="64"/>
      </top>
      <bottom style="thin">
        <color indexed="9"/>
      </bottom>
      <diagonal/>
    </border>
    <border>
      <left style="thin">
        <color indexed="9"/>
      </left>
      <right/>
      <top style="thin">
        <color indexed="64"/>
      </top>
      <bottom style="thin">
        <color indexed="9"/>
      </bottom>
      <diagonal/>
    </border>
    <border>
      <left/>
      <right/>
      <top/>
      <bottom style="thin">
        <color indexed="9"/>
      </bottom>
      <diagonal/>
    </border>
    <border>
      <left style="thin">
        <color indexed="64"/>
      </left>
      <right style="thin">
        <color indexed="64"/>
      </right>
      <top/>
      <bottom style="thin">
        <color indexed="64"/>
      </bottom>
      <diagonal/>
    </border>
    <border>
      <left style="thin">
        <color indexed="64"/>
      </left>
      <right/>
      <top style="thin">
        <color indexed="64"/>
      </top>
      <bottom style="medium">
        <color indexed="64"/>
      </bottom>
      <diagonal/>
    </border>
    <border>
      <left style="thin">
        <color indexed="9"/>
      </left>
      <right/>
      <top style="double">
        <color indexed="9"/>
      </top>
      <bottom style="thin">
        <color indexed="9"/>
      </bottom>
      <diagonal/>
    </border>
    <border>
      <left/>
      <right style="thin">
        <color indexed="64"/>
      </right>
      <top style="thin">
        <color indexed="64"/>
      </top>
      <bottom style="medium">
        <color indexed="64"/>
      </bottom>
      <diagonal/>
    </border>
    <border>
      <left style="thin">
        <color indexed="9"/>
      </left>
      <right style="double">
        <color indexed="9"/>
      </right>
      <top/>
      <bottom style="double">
        <color indexed="9"/>
      </bottom>
      <diagonal/>
    </border>
    <border>
      <left style="thin">
        <color indexed="9"/>
      </left>
      <right/>
      <top style="thin">
        <color indexed="9"/>
      </top>
      <bottom style="thin">
        <color indexed="64"/>
      </bottom>
      <diagonal/>
    </border>
    <border>
      <left/>
      <right/>
      <top style="thin">
        <color indexed="9"/>
      </top>
      <bottom style="thin">
        <color indexed="64"/>
      </bottom>
      <diagonal/>
    </border>
    <border>
      <left style="thin">
        <color indexed="9"/>
      </left>
      <right/>
      <top style="thin">
        <color indexed="64"/>
      </top>
      <bottom style="thin">
        <color indexed="64"/>
      </bottom>
      <diagonal/>
    </border>
    <border>
      <left style="double">
        <color indexed="9"/>
      </left>
      <right/>
      <top style="thin">
        <color indexed="9"/>
      </top>
      <bottom style="double">
        <color indexed="9"/>
      </bottom>
      <diagonal/>
    </border>
    <border>
      <left style="hair">
        <color indexed="9"/>
      </left>
      <right/>
      <top style="medium">
        <color indexed="64"/>
      </top>
      <bottom style="hair">
        <color indexed="9"/>
      </bottom>
      <diagonal/>
    </border>
    <border>
      <left style="thin">
        <color indexed="9"/>
      </left>
      <right/>
      <top/>
      <bottom style="thin">
        <color indexed="64"/>
      </bottom>
      <diagonal/>
    </border>
    <border>
      <left/>
      <right/>
      <top style="thin">
        <color indexed="64"/>
      </top>
      <bottom style="thin">
        <color indexed="9"/>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thin">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thin">
        <color indexed="9"/>
      </top>
      <bottom style="thin">
        <color indexed="64"/>
      </bottom>
      <diagonal/>
    </border>
    <border>
      <left/>
      <right style="thin">
        <color indexed="64"/>
      </right>
      <top style="thin">
        <color indexed="9"/>
      </top>
      <bottom style="thin">
        <color indexed="64"/>
      </bottom>
      <diagonal/>
    </border>
    <border>
      <left style="thin">
        <color indexed="64"/>
      </left>
      <right/>
      <top/>
      <bottom style="thin">
        <color indexed="9"/>
      </bottom>
      <diagonal/>
    </border>
    <border>
      <left/>
      <right style="thin">
        <color indexed="64"/>
      </right>
      <top/>
      <bottom style="thin">
        <color indexed="9"/>
      </bottom>
      <diagonal/>
    </border>
    <border>
      <left style="thin">
        <color indexed="9"/>
      </left>
      <right style="thin">
        <color indexed="64"/>
      </right>
      <top style="thin">
        <color indexed="64"/>
      </top>
      <bottom style="thin">
        <color indexed="9"/>
      </bottom>
      <diagonal/>
    </border>
    <border>
      <left/>
      <right style="medium">
        <color indexed="64"/>
      </right>
      <top/>
      <bottom style="thin">
        <color indexed="64"/>
      </bottom>
      <diagonal/>
    </border>
    <border>
      <left style="hair">
        <color indexed="9"/>
      </left>
      <right/>
      <top style="thin">
        <color indexed="64"/>
      </top>
      <bottom/>
      <diagonal/>
    </border>
    <border>
      <left/>
      <right style="medium">
        <color indexed="64"/>
      </right>
      <top style="thin">
        <color indexed="64"/>
      </top>
      <bottom/>
      <diagonal/>
    </border>
    <border>
      <left/>
      <right style="medium">
        <color indexed="64"/>
      </right>
      <top style="thin">
        <color indexed="64"/>
      </top>
      <bottom style="thin">
        <color indexed="64"/>
      </bottom>
      <diagonal/>
    </border>
    <border>
      <left style="hair">
        <color indexed="9"/>
      </left>
      <right/>
      <top style="thin">
        <color indexed="9"/>
      </top>
      <bottom style="thin">
        <color indexed="64"/>
      </bottom>
      <diagonal/>
    </border>
    <border>
      <left style="hair">
        <color indexed="9"/>
      </left>
      <right/>
      <top style="thin">
        <color indexed="9"/>
      </top>
      <bottom style="thin">
        <color indexed="9"/>
      </bottom>
      <diagonal/>
    </border>
    <border>
      <left/>
      <right/>
      <top style="thin">
        <color indexed="64"/>
      </top>
      <bottom style="hair">
        <color indexed="9"/>
      </bottom>
      <diagonal/>
    </border>
    <border>
      <left/>
      <right style="hair">
        <color indexed="9"/>
      </right>
      <top style="thin">
        <color indexed="64"/>
      </top>
      <bottom/>
      <diagonal/>
    </border>
    <border>
      <left/>
      <right/>
      <top style="hair">
        <color indexed="9"/>
      </top>
      <bottom/>
      <diagonal/>
    </border>
    <border>
      <left/>
      <right style="thin">
        <color indexed="64"/>
      </right>
      <top style="hair">
        <color indexed="9"/>
      </top>
      <bottom/>
      <diagonal/>
    </border>
    <border>
      <left/>
      <right style="thin">
        <color indexed="64"/>
      </right>
      <top/>
      <bottom style="hair">
        <color indexed="9"/>
      </bottom>
      <diagonal/>
    </border>
    <border>
      <left style="thin">
        <color indexed="9"/>
      </left>
      <right/>
      <top/>
      <bottom style="double">
        <color indexed="16"/>
      </bottom>
      <diagonal/>
    </border>
    <border>
      <left/>
      <right/>
      <top/>
      <bottom style="double">
        <color indexed="16"/>
      </bottom>
      <diagonal/>
    </border>
    <border>
      <left/>
      <right style="thin">
        <color indexed="9"/>
      </right>
      <top/>
      <bottom style="double">
        <color indexed="16"/>
      </bottom>
      <diagonal/>
    </border>
    <border>
      <left style="double">
        <color indexed="16"/>
      </left>
      <right/>
      <top style="double">
        <color indexed="16"/>
      </top>
      <bottom style="double">
        <color indexed="16"/>
      </bottom>
      <diagonal/>
    </border>
    <border>
      <left/>
      <right/>
      <top style="double">
        <color indexed="16"/>
      </top>
      <bottom style="double">
        <color indexed="16"/>
      </bottom>
      <diagonal/>
    </border>
    <border>
      <left/>
      <right style="dashed">
        <color indexed="16"/>
      </right>
      <top style="double">
        <color indexed="16"/>
      </top>
      <bottom style="double">
        <color indexed="16"/>
      </bottom>
      <diagonal/>
    </border>
    <border>
      <left style="dashed">
        <color indexed="16"/>
      </left>
      <right/>
      <top style="double">
        <color indexed="16"/>
      </top>
      <bottom style="double">
        <color indexed="16"/>
      </bottom>
      <diagonal/>
    </border>
    <border>
      <left/>
      <right style="double">
        <color indexed="16"/>
      </right>
      <top style="double">
        <color indexed="16"/>
      </top>
      <bottom style="double">
        <color indexed="16"/>
      </bottom>
      <diagonal/>
    </border>
    <border>
      <left style="double">
        <color indexed="16"/>
      </left>
      <right style="dotted">
        <color indexed="16"/>
      </right>
      <top style="dotted">
        <color indexed="16"/>
      </top>
      <bottom style="dotted">
        <color indexed="16"/>
      </bottom>
      <diagonal/>
    </border>
    <border>
      <left style="dotted">
        <color indexed="16"/>
      </left>
      <right style="dotted">
        <color indexed="16"/>
      </right>
      <top style="dotted">
        <color indexed="16"/>
      </top>
      <bottom style="dotted">
        <color indexed="16"/>
      </bottom>
      <diagonal/>
    </border>
    <border>
      <left style="double">
        <color indexed="64"/>
      </left>
      <right/>
      <top style="thin">
        <color indexed="9"/>
      </top>
      <bottom/>
      <diagonal/>
    </border>
    <border>
      <left/>
      <right style="double">
        <color indexed="64"/>
      </right>
      <top style="thin">
        <color indexed="9"/>
      </top>
      <bottom/>
      <diagonal/>
    </border>
    <border>
      <left style="double">
        <color indexed="64"/>
      </left>
      <right/>
      <top style="double">
        <color indexed="64"/>
      </top>
      <bottom/>
      <diagonal/>
    </border>
    <border>
      <left/>
      <right/>
      <top style="double">
        <color indexed="64"/>
      </top>
      <bottom/>
      <diagonal/>
    </border>
    <border>
      <left/>
      <right style="double">
        <color indexed="64"/>
      </right>
      <top style="double">
        <color indexed="64"/>
      </top>
      <bottom/>
      <diagonal/>
    </border>
    <border>
      <left style="double">
        <color indexed="64"/>
      </left>
      <right/>
      <top/>
      <bottom/>
      <diagonal/>
    </border>
    <border>
      <left style="double">
        <color indexed="64"/>
      </left>
      <right/>
      <top/>
      <bottom style="double">
        <color indexed="64"/>
      </bottom>
      <diagonal/>
    </border>
    <border>
      <left/>
      <right/>
      <top/>
      <bottom style="double">
        <color indexed="64"/>
      </bottom>
      <diagonal/>
    </border>
    <border>
      <left/>
      <right style="double">
        <color indexed="64"/>
      </right>
      <top/>
      <bottom style="double">
        <color indexed="64"/>
      </bottom>
      <diagonal/>
    </border>
    <border>
      <left style="double">
        <color indexed="64"/>
      </left>
      <right/>
      <top style="double">
        <color indexed="64"/>
      </top>
      <bottom style="thin">
        <color indexed="64"/>
      </bottom>
      <diagonal/>
    </border>
    <border>
      <left/>
      <right/>
      <top style="double">
        <color indexed="64"/>
      </top>
      <bottom style="thin">
        <color indexed="64"/>
      </bottom>
      <diagonal/>
    </border>
    <border>
      <left/>
      <right style="double">
        <color indexed="64"/>
      </right>
      <top style="double">
        <color indexed="64"/>
      </top>
      <bottom style="thin">
        <color indexed="64"/>
      </bottom>
      <diagonal/>
    </border>
    <border>
      <left/>
      <right style="double">
        <color indexed="64"/>
      </right>
      <top style="thin">
        <color indexed="64"/>
      </top>
      <bottom style="thin">
        <color indexed="64"/>
      </bottom>
      <diagonal/>
    </border>
    <border>
      <left/>
      <right style="thin">
        <color indexed="64"/>
      </right>
      <top style="double">
        <color indexed="64"/>
      </top>
      <bottom style="double">
        <color indexed="64"/>
      </bottom>
      <diagonal/>
    </border>
    <border>
      <left style="double">
        <color indexed="64"/>
      </left>
      <right/>
      <top/>
      <bottom style="thin">
        <color indexed="64"/>
      </bottom>
      <diagonal/>
    </border>
    <border>
      <left/>
      <right style="double">
        <color indexed="64"/>
      </right>
      <top/>
      <bottom style="thin">
        <color indexed="64"/>
      </bottom>
      <diagonal/>
    </border>
    <border>
      <left style="thin">
        <color indexed="9"/>
      </left>
      <right/>
      <top style="thin">
        <color indexed="64"/>
      </top>
      <bottom/>
      <diagonal/>
    </border>
    <border>
      <left/>
      <right style="thin">
        <color indexed="9"/>
      </right>
      <top style="thin">
        <color indexed="64"/>
      </top>
      <bottom/>
      <diagonal/>
    </border>
    <border>
      <left style="thin">
        <color indexed="9"/>
      </left>
      <right/>
      <top style="thin">
        <color indexed="64"/>
      </top>
      <bottom style="double">
        <color indexed="64"/>
      </bottom>
      <diagonal/>
    </border>
    <border>
      <left/>
      <right/>
      <top style="thin">
        <color indexed="64"/>
      </top>
      <bottom style="double">
        <color indexed="64"/>
      </bottom>
      <diagonal/>
    </border>
    <border>
      <left/>
      <right style="thin">
        <color indexed="9"/>
      </right>
      <top style="thin">
        <color indexed="64"/>
      </top>
      <bottom style="double">
        <color indexed="64"/>
      </bottom>
      <diagonal/>
    </border>
    <border>
      <left style="medium">
        <color indexed="64"/>
      </left>
      <right style="hair">
        <color theme="0"/>
      </right>
      <top style="thin">
        <color indexed="64"/>
      </top>
      <bottom style="thin">
        <color indexed="64"/>
      </bottom>
      <diagonal/>
    </border>
    <border>
      <left style="hair">
        <color theme="0"/>
      </left>
      <right style="hair">
        <color theme="0"/>
      </right>
      <top style="thin">
        <color indexed="64"/>
      </top>
      <bottom style="thin">
        <color indexed="64"/>
      </bottom>
      <diagonal/>
    </border>
    <border>
      <left style="hair">
        <color theme="0"/>
      </left>
      <right style="hair">
        <color theme="0"/>
      </right>
      <top/>
      <bottom style="thin">
        <color indexed="64"/>
      </bottom>
      <diagonal/>
    </border>
    <border>
      <left style="double">
        <color indexed="64"/>
      </left>
      <right style="hair">
        <color theme="0"/>
      </right>
      <top style="double">
        <color indexed="64"/>
      </top>
      <bottom style="hair">
        <color theme="0"/>
      </bottom>
      <diagonal/>
    </border>
    <border>
      <left style="hair">
        <color theme="0"/>
      </left>
      <right style="hair">
        <color theme="0"/>
      </right>
      <top style="double">
        <color indexed="64"/>
      </top>
      <bottom style="hair">
        <color theme="0"/>
      </bottom>
      <diagonal/>
    </border>
    <border>
      <left style="hair">
        <color theme="0"/>
      </left>
      <right style="double">
        <color indexed="64"/>
      </right>
      <top style="double">
        <color indexed="64"/>
      </top>
      <bottom style="hair">
        <color theme="0"/>
      </bottom>
      <diagonal/>
    </border>
    <border>
      <left style="double">
        <color indexed="64"/>
      </left>
      <right style="hair">
        <color theme="0"/>
      </right>
      <top style="hair">
        <color theme="0"/>
      </top>
      <bottom style="hair">
        <color theme="0"/>
      </bottom>
      <diagonal/>
    </border>
    <border>
      <left style="hair">
        <color theme="0"/>
      </left>
      <right style="hair">
        <color theme="0"/>
      </right>
      <top style="hair">
        <color theme="0"/>
      </top>
      <bottom style="hair">
        <color theme="0"/>
      </bottom>
      <diagonal/>
    </border>
    <border>
      <left/>
      <right style="double">
        <color indexed="64"/>
      </right>
      <top style="hair">
        <color theme="0"/>
      </top>
      <bottom style="hair">
        <color theme="0"/>
      </bottom>
      <diagonal/>
    </border>
    <border>
      <left style="hair">
        <color theme="0"/>
      </left>
      <right style="double">
        <color indexed="64"/>
      </right>
      <top style="hair">
        <color theme="0"/>
      </top>
      <bottom style="hair">
        <color theme="0"/>
      </bottom>
      <diagonal/>
    </border>
    <border>
      <left style="double">
        <color indexed="64"/>
      </left>
      <right style="hair">
        <color theme="0"/>
      </right>
      <top style="hair">
        <color theme="0"/>
      </top>
      <bottom style="double">
        <color indexed="64"/>
      </bottom>
      <diagonal/>
    </border>
    <border>
      <left style="hair">
        <color theme="0"/>
      </left>
      <right style="hair">
        <color theme="0"/>
      </right>
      <top style="hair">
        <color theme="0"/>
      </top>
      <bottom style="double">
        <color indexed="64"/>
      </bottom>
      <diagonal/>
    </border>
    <border>
      <left style="hair">
        <color theme="0"/>
      </left>
      <right style="double">
        <color indexed="64"/>
      </right>
      <top style="hair">
        <color theme="0"/>
      </top>
      <bottom style="double">
        <color indexed="64"/>
      </bottom>
      <diagonal/>
    </border>
    <border>
      <left style="hair">
        <color theme="0"/>
      </left>
      <right/>
      <top style="hair">
        <color theme="0"/>
      </top>
      <bottom style="hair">
        <color theme="0"/>
      </bottom>
      <diagonal/>
    </border>
    <border>
      <left/>
      <right/>
      <top style="hair">
        <color theme="0"/>
      </top>
      <bottom style="hair">
        <color theme="0"/>
      </bottom>
      <diagonal/>
    </border>
    <border>
      <left style="hair">
        <color theme="0"/>
      </left>
      <right style="hair">
        <color theme="0"/>
      </right>
      <top style="hair">
        <color theme="0"/>
      </top>
      <bottom/>
      <diagonal/>
    </border>
    <border>
      <left style="hair">
        <color theme="0"/>
      </left>
      <right style="hair">
        <color theme="0"/>
      </right>
      <top/>
      <bottom style="hair">
        <color theme="0"/>
      </bottom>
      <diagonal/>
    </border>
    <border>
      <left/>
      <right style="hair">
        <color theme="0"/>
      </right>
      <top style="hair">
        <color theme="0"/>
      </top>
      <bottom style="hair">
        <color theme="0"/>
      </bottom>
      <diagonal/>
    </border>
    <border>
      <left/>
      <right style="hair">
        <color theme="0"/>
      </right>
      <top/>
      <bottom style="hair">
        <color theme="0"/>
      </bottom>
      <diagonal/>
    </border>
    <border>
      <left/>
      <right style="hair">
        <color theme="0"/>
      </right>
      <top style="hair">
        <color theme="0"/>
      </top>
      <bottom/>
      <diagonal/>
    </border>
    <border>
      <left/>
      <right style="thin">
        <color theme="0"/>
      </right>
      <top/>
      <bottom style="thin">
        <color theme="0"/>
      </bottom>
      <diagonal/>
    </border>
    <border>
      <left style="thin">
        <color theme="0"/>
      </left>
      <right style="thin">
        <color theme="0"/>
      </right>
      <top/>
      <bottom style="thin">
        <color theme="0"/>
      </bottom>
      <diagonal/>
    </border>
    <border>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style="thin">
        <color theme="0"/>
      </left>
      <right/>
      <top style="thin">
        <color theme="0"/>
      </top>
      <bottom style="thin">
        <color theme="0"/>
      </bottom>
      <diagonal/>
    </border>
    <border>
      <left style="thin">
        <color theme="0"/>
      </left>
      <right/>
      <top/>
      <bottom style="thin">
        <color theme="0"/>
      </bottom>
      <diagonal/>
    </border>
    <border>
      <left style="thin">
        <color theme="0"/>
      </left>
      <right style="thin">
        <color theme="0"/>
      </right>
      <top style="thin">
        <color theme="0"/>
      </top>
      <bottom style="thin">
        <color indexed="64"/>
      </bottom>
      <diagonal/>
    </border>
    <border>
      <left style="thin">
        <color theme="0"/>
      </left>
      <right style="thin">
        <color theme="0"/>
      </right>
      <top/>
      <bottom/>
      <diagonal/>
    </border>
    <border>
      <left/>
      <right/>
      <top style="thin">
        <color theme="0"/>
      </top>
      <bottom style="thin">
        <color theme="0"/>
      </bottom>
      <diagonal/>
    </border>
    <border>
      <left style="thin">
        <color theme="0"/>
      </left>
      <right style="thin">
        <color theme="0"/>
      </right>
      <top style="thin">
        <color theme="0"/>
      </top>
      <bottom/>
      <diagonal/>
    </border>
    <border>
      <left style="thin">
        <color theme="0"/>
      </left>
      <right/>
      <top style="thin">
        <color theme="0"/>
      </top>
      <bottom/>
      <diagonal/>
    </border>
    <border>
      <left style="thin">
        <color theme="0"/>
      </left>
      <right/>
      <top/>
      <bottom/>
      <diagonal/>
    </border>
    <border>
      <left/>
      <right style="thin">
        <color theme="0"/>
      </right>
      <top style="thin">
        <color theme="0"/>
      </top>
      <bottom/>
      <diagonal/>
    </border>
    <border>
      <left style="hair">
        <color theme="0"/>
      </left>
      <right style="hair">
        <color theme="0"/>
      </right>
      <top style="hair">
        <color theme="0"/>
      </top>
      <bottom style="thin">
        <color indexed="64"/>
      </bottom>
      <diagonal/>
    </border>
    <border>
      <left style="hair">
        <color theme="0"/>
      </left>
      <right/>
      <top style="hair">
        <color theme="0"/>
      </top>
      <bottom style="thin">
        <color indexed="64"/>
      </bottom>
      <diagonal/>
    </border>
    <border>
      <left style="hair">
        <color theme="0"/>
      </left>
      <right/>
      <top/>
      <bottom style="hair">
        <color theme="0"/>
      </bottom>
      <diagonal/>
    </border>
    <border>
      <left style="thin">
        <color indexed="64"/>
      </left>
      <right style="hair">
        <color theme="0"/>
      </right>
      <top style="thin">
        <color indexed="64"/>
      </top>
      <bottom style="thin">
        <color indexed="64"/>
      </bottom>
      <diagonal/>
    </border>
    <border>
      <left style="hair">
        <color theme="0"/>
      </left>
      <right style="thin">
        <color indexed="64"/>
      </right>
      <top style="thin">
        <color indexed="64"/>
      </top>
      <bottom style="thin">
        <color indexed="64"/>
      </bottom>
      <diagonal/>
    </border>
    <border>
      <left style="hair">
        <color theme="0"/>
      </left>
      <right style="hair">
        <color theme="0"/>
      </right>
      <top style="thin">
        <color indexed="64"/>
      </top>
      <bottom style="hair">
        <color theme="0"/>
      </bottom>
      <diagonal/>
    </border>
    <border>
      <left style="hair">
        <color theme="0"/>
      </left>
      <right style="hair">
        <color theme="0"/>
      </right>
      <top/>
      <bottom/>
      <diagonal/>
    </border>
    <border>
      <left style="hair">
        <color theme="0" tint="-0.24994659260841701"/>
      </left>
      <right style="hair">
        <color theme="0"/>
      </right>
      <top style="hair">
        <color theme="0" tint="-0.24994659260841701"/>
      </top>
      <bottom style="hair">
        <color theme="0"/>
      </bottom>
      <diagonal/>
    </border>
    <border>
      <left style="hair">
        <color theme="0"/>
      </left>
      <right style="hair">
        <color theme="0"/>
      </right>
      <top style="hair">
        <color theme="0" tint="-0.24994659260841701"/>
      </top>
      <bottom style="hair">
        <color theme="0"/>
      </bottom>
      <diagonal/>
    </border>
    <border>
      <left style="hair">
        <color theme="0"/>
      </left>
      <right style="hair">
        <color theme="0" tint="-0.24994659260841701"/>
      </right>
      <top style="hair">
        <color theme="0" tint="-0.24994659260841701"/>
      </top>
      <bottom style="hair">
        <color theme="0"/>
      </bottom>
      <diagonal/>
    </border>
    <border>
      <left style="hair">
        <color theme="0" tint="-0.24994659260841701"/>
      </left>
      <right style="hair">
        <color theme="0"/>
      </right>
      <top style="hair">
        <color theme="0"/>
      </top>
      <bottom/>
      <diagonal/>
    </border>
    <border>
      <left/>
      <right style="hair">
        <color theme="0" tint="-0.24994659260841701"/>
      </right>
      <top style="hair">
        <color theme="0"/>
      </top>
      <bottom/>
      <diagonal/>
    </border>
    <border>
      <left style="hair">
        <color theme="0" tint="-0.24994659260841701"/>
      </left>
      <right style="hair">
        <color theme="0"/>
      </right>
      <top style="hair">
        <color theme="0"/>
      </top>
      <bottom style="hair">
        <color theme="0"/>
      </bottom>
      <diagonal/>
    </border>
    <border>
      <left style="hair">
        <color theme="0"/>
      </left>
      <right style="hair">
        <color theme="0" tint="-0.24994659260841701"/>
      </right>
      <top style="hair">
        <color theme="0"/>
      </top>
      <bottom style="hair">
        <color theme="0"/>
      </bottom>
      <diagonal/>
    </border>
    <border>
      <left style="hair">
        <color theme="0" tint="-0.24994659260841701"/>
      </left>
      <right style="hair">
        <color theme="0"/>
      </right>
      <top/>
      <bottom style="hair">
        <color theme="0"/>
      </bottom>
      <diagonal/>
    </border>
    <border>
      <left/>
      <right style="hair">
        <color theme="0" tint="-0.24994659260841701"/>
      </right>
      <top/>
      <bottom style="hair">
        <color theme="0"/>
      </bottom>
      <diagonal/>
    </border>
    <border>
      <left/>
      <right style="hair">
        <color theme="0" tint="-0.24994659260841701"/>
      </right>
      <top style="hair">
        <color theme="0"/>
      </top>
      <bottom style="hair">
        <color theme="0"/>
      </bottom>
      <diagonal/>
    </border>
    <border>
      <left style="hair">
        <color theme="0" tint="-0.24994659260841701"/>
      </left>
      <right style="hair">
        <color theme="0"/>
      </right>
      <top style="hair">
        <color theme="0"/>
      </top>
      <bottom style="hair">
        <color theme="0" tint="-0.24994659260841701"/>
      </bottom>
      <diagonal/>
    </border>
    <border>
      <left style="hair">
        <color theme="0"/>
      </left>
      <right style="hair">
        <color theme="0"/>
      </right>
      <top style="hair">
        <color theme="0"/>
      </top>
      <bottom style="hair">
        <color theme="0" tint="-0.24994659260841701"/>
      </bottom>
      <diagonal/>
    </border>
    <border>
      <left style="hair">
        <color theme="0"/>
      </left>
      <right style="hair">
        <color theme="0" tint="-0.24994659260841701"/>
      </right>
      <top style="hair">
        <color theme="0"/>
      </top>
      <bottom style="hair">
        <color theme="0" tint="-0.24994659260841701"/>
      </bottom>
      <diagonal/>
    </border>
    <border>
      <left style="thin">
        <color theme="0"/>
      </left>
      <right style="thin">
        <color theme="0"/>
      </right>
      <top style="thin">
        <color indexed="64"/>
      </top>
      <bottom style="thin">
        <color theme="0"/>
      </bottom>
      <diagonal/>
    </border>
    <border>
      <left style="double">
        <color indexed="64"/>
      </left>
      <right/>
      <top style="double">
        <color indexed="64"/>
      </top>
      <bottom style="hair">
        <color theme="0"/>
      </bottom>
      <diagonal/>
    </border>
    <border>
      <left/>
      <right style="double">
        <color indexed="64"/>
      </right>
      <top style="double">
        <color indexed="64"/>
      </top>
      <bottom style="hair">
        <color theme="0"/>
      </bottom>
      <diagonal/>
    </border>
    <border>
      <left/>
      <right style="hair">
        <color theme="0"/>
      </right>
      <top/>
      <bottom style="thin">
        <color indexed="64"/>
      </bottom>
      <diagonal/>
    </border>
    <border>
      <left style="hair">
        <color theme="0"/>
      </left>
      <right style="double">
        <color indexed="64"/>
      </right>
      <top style="double">
        <color indexed="64"/>
      </top>
      <bottom style="thin">
        <color indexed="64"/>
      </bottom>
      <diagonal/>
    </border>
    <border>
      <left style="hair">
        <color theme="0"/>
      </left>
      <right style="double">
        <color indexed="64"/>
      </right>
      <top style="thin">
        <color indexed="64"/>
      </top>
      <bottom style="thin">
        <color indexed="64"/>
      </bottom>
      <diagonal/>
    </border>
    <border>
      <left style="hair">
        <color theme="0"/>
      </left>
      <right style="double">
        <color indexed="64"/>
      </right>
      <top/>
      <bottom style="hair">
        <color theme="0"/>
      </bottom>
      <diagonal/>
    </border>
    <border>
      <left style="double">
        <color indexed="64"/>
      </left>
      <right/>
      <top style="hair">
        <color theme="0"/>
      </top>
      <bottom style="hair">
        <color theme="0"/>
      </bottom>
      <diagonal/>
    </border>
    <border>
      <left style="hair">
        <color theme="0"/>
      </left>
      <right style="hair">
        <color theme="0"/>
      </right>
      <top/>
      <bottom style="double">
        <color indexed="64"/>
      </bottom>
      <diagonal/>
    </border>
    <border>
      <left style="thin">
        <color indexed="64"/>
      </left>
      <right style="hair">
        <color theme="0"/>
      </right>
      <top style="double">
        <color indexed="64"/>
      </top>
      <bottom style="double">
        <color indexed="64"/>
      </bottom>
      <diagonal/>
    </border>
    <border>
      <left style="hair">
        <color theme="0"/>
      </left>
      <right style="hair">
        <color theme="0"/>
      </right>
      <top style="double">
        <color indexed="64"/>
      </top>
      <bottom style="double">
        <color indexed="64"/>
      </bottom>
      <diagonal/>
    </border>
    <border>
      <left style="hair">
        <color theme="0"/>
      </left>
      <right style="double">
        <color indexed="64"/>
      </right>
      <top style="double">
        <color indexed="64"/>
      </top>
      <bottom style="double">
        <color indexed="64"/>
      </bottom>
      <diagonal/>
    </border>
    <border>
      <left style="double">
        <color indexed="64"/>
      </left>
      <right style="hair">
        <color theme="0"/>
      </right>
      <top style="hair">
        <color theme="0"/>
      </top>
      <bottom style="thin">
        <color indexed="9"/>
      </bottom>
      <diagonal/>
    </border>
    <border>
      <left style="hair">
        <color theme="0"/>
      </left>
      <right/>
      <top style="hair">
        <color theme="0"/>
      </top>
      <bottom/>
      <diagonal/>
    </border>
    <border>
      <left style="hair">
        <color theme="0"/>
      </left>
      <right/>
      <top/>
      <bottom style="thin">
        <color indexed="64"/>
      </bottom>
      <diagonal/>
    </border>
    <border>
      <left style="hair">
        <color theme="0"/>
      </left>
      <right/>
      <top style="thin">
        <color indexed="64"/>
      </top>
      <bottom style="thin">
        <color indexed="64"/>
      </bottom>
      <diagonal/>
    </border>
    <border>
      <left style="medium">
        <color indexed="64"/>
      </left>
      <right style="hair">
        <color theme="0"/>
      </right>
      <top/>
      <bottom style="thin">
        <color indexed="64"/>
      </bottom>
      <diagonal/>
    </border>
    <border>
      <left/>
      <right style="hair">
        <color theme="0"/>
      </right>
      <top style="thin">
        <color indexed="64"/>
      </top>
      <bottom style="thin">
        <color indexed="64"/>
      </bottom>
      <diagonal/>
    </border>
    <border>
      <left style="thin">
        <color theme="0"/>
      </left>
      <right/>
      <top style="thin">
        <color theme="0"/>
      </top>
      <bottom style="thin">
        <color indexed="64"/>
      </bottom>
      <diagonal/>
    </border>
    <border>
      <left/>
      <right/>
      <top style="thin">
        <color theme="0"/>
      </top>
      <bottom style="thin">
        <color indexed="64"/>
      </bottom>
      <diagonal/>
    </border>
    <border>
      <left style="thin">
        <color theme="0"/>
      </left>
      <right style="thin">
        <color theme="0"/>
      </right>
      <top/>
      <bottom style="thin">
        <color indexed="64"/>
      </bottom>
      <diagonal/>
    </border>
    <border>
      <left/>
      <right/>
      <top style="thin">
        <color theme="0"/>
      </top>
      <bottom/>
      <diagonal/>
    </border>
    <border>
      <left/>
      <right/>
      <top/>
      <bottom style="thin">
        <color theme="0"/>
      </bottom>
      <diagonal/>
    </border>
    <border>
      <left style="thin">
        <color theme="0"/>
      </left>
      <right/>
      <top/>
      <bottom style="thin">
        <color indexed="64"/>
      </bottom>
      <diagonal/>
    </border>
    <border>
      <left style="thin">
        <color theme="0"/>
      </left>
      <right/>
      <top style="thin">
        <color indexed="64"/>
      </top>
      <bottom style="thin">
        <color indexed="64"/>
      </bottom>
      <diagonal/>
    </border>
    <border>
      <left style="thin">
        <color theme="0"/>
      </left>
      <right/>
      <top style="thin">
        <color indexed="64"/>
      </top>
      <bottom style="thin">
        <color theme="0"/>
      </bottom>
      <diagonal/>
    </border>
    <border>
      <left/>
      <right/>
      <top style="thin">
        <color indexed="64"/>
      </top>
      <bottom style="thin">
        <color theme="0"/>
      </bottom>
      <diagonal/>
    </border>
    <border>
      <left style="hair">
        <color theme="0"/>
      </left>
      <right/>
      <top style="hair">
        <color indexed="9"/>
      </top>
      <bottom style="hair">
        <color indexed="9"/>
      </bottom>
      <diagonal/>
    </border>
    <border>
      <left/>
      <right style="hair">
        <color theme="0"/>
      </right>
      <top/>
      <bottom/>
      <diagonal/>
    </border>
    <border>
      <left style="medium">
        <color indexed="64"/>
      </left>
      <right style="hair">
        <color theme="0"/>
      </right>
      <top style="thin">
        <color indexed="64"/>
      </top>
      <bottom/>
      <diagonal/>
    </border>
    <border>
      <left style="hair">
        <color theme="0"/>
      </left>
      <right style="hair">
        <color theme="0"/>
      </right>
      <top style="thin">
        <color indexed="64"/>
      </top>
      <bottom/>
      <diagonal/>
    </border>
    <border>
      <left style="hair">
        <color theme="0"/>
      </left>
      <right/>
      <top style="thin">
        <color indexed="64"/>
      </top>
      <bottom/>
      <diagonal/>
    </border>
    <border>
      <left/>
      <right style="thin">
        <color theme="0"/>
      </right>
      <top style="thin">
        <color indexed="64"/>
      </top>
      <bottom style="thin">
        <color theme="0"/>
      </bottom>
      <diagonal/>
    </border>
    <border>
      <left/>
      <right style="thin">
        <color theme="0"/>
      </right>
      <top style="thin">
        <color theme="0"/>
      </top>
      <bottom style="thin">
        <color indexed="64"/>
      </bottom>
      <diagonal/>
    </border>
    <border>
      <left/>
      <right style="thin">
        <color theme="0"/>
      </right>
      <top/>
      <bottom style="thin">
        <color indexed="64"/>
      </bottom>
      <diagonal/>
    </border>
    <border>
      <left/>
      <right style="thin">
        <color theme="0"/>
      </right>
      <top/>
      <bottom/>
      <diagonal/>
    </border>
    <border>
      <left style="hair">
        <color theme="0"/>
      </left>
      <right/>
      <top/>
      <bottom/>
      <diagonal/>
    </border>
    <border>
      <left/>
      <right style="thin">
        <color indexed="64"/>
      </right>
      <top style="hair">
        <color theme="0"/>
      </top>
      <bottom style="hair">
        <color theme="0"/>
      </bottom>
      <diagonal/>
    </border>
    <border>
      <left style="double">
        <color theme="0"/>
      </left>
      <right style="double">
        <color theme="0"/>
      </right>
      <top style="double">
        <color theme="0"/>
      </top>
      <bottom style="double">
        <color theme="0"/>
      </bottom>
      <diagonal/>
    </border>
    <border>
      <left/>
      <right/>
      <top/>
      <bottom style="hair">
        <color theme="0"/>
      </bottom>
      <diagonal/>
    </border>
    <border>
      <left/>
      <right style="thin">
        <color indexed="9"/>
      </right>
      <top style="hair">
        <color theme="0"/>
      </top>
      <bottom style="hair">
        <color theme="0"/>
      </bottom>
      <diagonal/>
    </border>
    <border>
      <left style="thin">
        <color indexed="9"/>
      </left>
      <right/>
      <top style="hair">
        <color indexed="9"/>
      </top>
      <bottom style="hair">
        <color indexed="9"/>
      </bottom>
      <diagonal/>
    </border>
    <border>
      <left/>
      <right style="thin">
        <color indexed="9"/>
      </right>
      <top style="hair">
        <color indexed="9"/>
      </top>
      <bottom style="hair">
        <color indexed="9"/>
      </bottom>
      <diagonal/>
    </border>
    <border>
      <left style="thin">
        <color theme="0"/>
      </left>
      <right style="thin">
        <color theme="0"/>
      </right>
      <top style="thin">
        <color indexed="64"/>
      </top>
      <bottom style="thin">
        <color indexed="64"/>
      </bottom>
      <diagonal/>
    </border>
    <border>
      <left style="thin">
        <color theme="0"/>
      </left>
      <right style="thin">
        <color indexed="64"/>
      </right>
      <top style="thin">
        <color indexed="64"/>
      </top>
      <bottom style="thin">
        <color indexed="64"/>
      </bottom>
      <diagonal/>
    </border>
    <border>
      <left style="thin">
        <color indexed="64"/>
      </left>
      <right style="thin">
        <color theme="0"/>
      </right>
      <top style="thin">
        <color indexed="64"/>
      </top>
      <bottom style="thin">
        <color indexed="64"/>
      </bottom>
      <diagonal/>
    </border>
    <border>
      <left/>
      <right style="hair">
        <color theme="0"/>
      </right>
      <top style="thin">
        <color indexed="64"/>
      </top>
      <bottom/>
      <diagonal/>
    </border>
    <border>
      <left/>
      <right/>
      <top style="thin">
        <color indexed="64"/>
      </top>
      <bottom style="medium">
        <color indexed="64"/>
      </bottom>
      <diagonal/>
    </border>
    <border>
      <left style="thin">
        <color indexed="64"/>
      </left>
      <right/>
      <top style="double">
        <color indexed="64"/>
      </top>
      <bottom style="thin">
        <color indexed="64"/>
      </bottom>
      <diagonal/>
    </border>
    <border>
      <left style="medium">
        <color indexed="64"/>
      </left>
      <right style="thin">
        <color indexed="64"/>
      </right>
      <top style="double">
        <color indexed="64"/>
      </top>
      <bottom style="medium">
        <color indexed="64"/>
      </bottom>
      <diagonal/>
    </border>
    <border>
      <left style="thin">
        <color indexed="64"/>
      </left>
      <right style="thin">
        <color indexed="64"/>
      </right>
      <top style="double">
        <color indexed="64"/>
      </top>
      <bottom style="medium">
        <color indexed="64"/>
      </bottom>
      <diagonal/>
    </border>
    <border>
      <left style="thin">
        <color indexed="64"/>
      </left>
      <right style="medium">
        <color indexed="64"/>
      </right>
      <top style="double">
        <color indexed="64"/>
      </top>
      <bottom style="medium">
        <color indexed="64"/>
      </bottom>
      <diagonal/>
    </border>
    <border>
      <left/>
      <right style="thin">
        <color indexed="64"/>
      </right>
      <top style="double">
        <color indexed="64"/>
      </top>
      <bottom style="medium">
        <color indexed="64"/>
      </bottom>
      <diagonal/>
    </border>
    <border>
      <left style="thin">
        <color indexed="64"/>
      </left>
      <right/>
      <top style="double">
        <color indexed="64"/>
      </top>
      <bottom style="medium">
        <color indexed="64"/>
      </bottom>
      <diagonal/>
    </border>
    <border>
      <left style="double">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double">
        <color indexed="64"/>
      </right>
      <top/>
      <bottom style="medium">
        <color indexed="64"/>
      </bottom>
      <diagonal/>
    </border>
    <border>
      <left style="double">
        <color indexed="64"/>
      </left>
      <right style="thin">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double">
        <color indexed="64"/>
      </right>
      <top/>
      <bottom style="thin">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medium">
        <color indexed="64"/>
      </right>
      <top/>
      <bottom style="double">
        <color indexed="64"/>
      </bottom>
      <diagonal/>
    </border>
    <border>
      <left/>
      <right style="thin">
        <color indexed="64"/>
      </right>
      <top/>
      <bottom style="double">
        <color indexed="64"/>
      </bottom>
      <diagonal/>
    </border>
    <border>
      <left style="thin">
        <color indexed="64"/>
      </left>
      <right style="double">
        <color indexed="64"/>
      </right>
      <top/>
      <bottom style="double">
        <color indexed="64"/>
      </bottom>
      <diagonal/>
    </border>
    <border>
      <left/>
      <right/>
      <top style="medium">
        <color indexed="64"/>
      </top>
      <bottom style="hair">
        <color indexed="9"/>
      </bottom>
      <diagonal/>
    </border>
    <border>
      <left style="hair">
        <color indexed="9"/>
      </left>
      <right style="hair">
        <color indexed="9"/>
      </right>
      <top style="medium">
        <color indexed="64"/>
      </top>
      <bottom style="medium">
        <color indexed="64"/>
      </bottom>
      <diagonal/>
    </border>
    <border>
      <left style="hair">
        <color indexed="9"/>
      </left>
      <right style="medium">
        <color indexed="64"/>
      </right>
      <top style="medium">
        <color indexed="64"/>
      </top>
      <bottom style="medium">
        <color indexed="64"/>
      </bottom>
      <diagonal/>
    </border>
    <border>
      <left style="thin">
        <color indexed="64"/>
      </left>
      <right style="dashDot">
        <color indexed="64"/>
      </right>
      <top style="thin">
        <color indexed="64"/>
      </top>
      <bottom style="dashDot">
        <color indexed="64"/>
      </bottom>
      <diagonal/>
    </border>
    <border>
      <left style="dashDot">
        <color indexed="64"/>
      </left>
      <right style="dashDot">
        <color indexed="64"/>
      </right>
      <top style="thin">
        <color indexed="64"/>
      </top>
      <bottom style="dashDot">
        <color indexed="64"/>
      </bottom>
      <diagonal/>
    </border>
    <border>
      <left style="dashDot">
        <color indexed="64"/>
      </left>
      <right/>
      <top style="thin">
        <color indexed="64"/>
      </top>
      <bottom/>
      <diagonal/>
    </border>
    <border>
      <left/>
      <right style="dashDot">
        <color indexed="64"/>
      </right>
      <top style="thin">
        <color indexed="64"/>
      </top>
      <bottom/>
      <diagonal/>
    </border>
    <border>
      <left style="dashDot">
        <color indexed="64"/>
      </left>
      <right style="thin">
        <color indexed="64"/>
      </right>
      <top style="thin">
        <color indexed="64"/>
      </top>
      <bottom style="dashDot">
        <color indexed="64"/>
      </bottom>
      <diagonal/>
    </border>
    <border>
      <left style="thin">
        <color indexed="64"/>
      </left>
      <right style="dashDot">
        <color indexed="64"/>
      </right>
      <top style="dashDot">
        <color indexed="64"/>
      </top>
      <bottom style="dashDot">
        <color indexed="64"/>
      </bottom>
      <diagonal/>
    </border>
    <border>
      <left style="dashDot">
        <color indexed="64"/>
      </left>
      <right style="dashDot">
        <color indexed="64"/>
      </right>
      <top style="dashDot">
        <color indexed="64"/>
      </top>
      <bottom style="dashDot">
        <color indexed="64"/>
      </bottom>
      <diagonal/>
    </border>
    <border>
      <left style="dashDot">
        <color indexed="64"/>
      </left>
      <right/>
      <top/>
      <bottom style="dashDot">
        <color indexed="64"/>
      </bottom>
      <diagonal/>
    </border>
    <border>
      <left/>
      <right/>
      <top/>
      <bottom style="dashDot">
        <color indexed="64"/>
      </bottom>
      <diagonal/>
    </border>
    <border>
      <left/>
      <right style="dashDot">
        <color indexed="64"/>
      </right>
      <top/>
      <bottom style="dashDot">
        <color indexed="64"/>
      </bottom>
      <diagonal/>
    </border>
    <border>
      <left style="dashDot">
        <color indexed="64"/>
      </left>
      <right style="thin">
        <color indexed="64"/>
      </right>
      <top style="dashDot">
        <color indexed="64"/>
      </top>
      <bottom style="dashDot">
        <color indexed="64"/>
      </bottom>
      <diagonal/>
    </border>
    <border>
      <left style="dashDot">
        <color indexed="64"/>
      </left>
      <right/>
      <top style="dashDot">
        <color indexed="64"/>
      </top>
      <bottom/>
      <diagonal/>
    </border>
    <border>
      <left/>
      <right style="dashDot">
        <color indexed="64"/>
      </right>
      <top style="dashDot">
        <color indexed="64"/>
      </top>
      <bottom/>
      <diagonal/>
    </border>
    <border>
      <left style="thin">
        <color indexed="64"/>
      </left>
      <right style="dashDot">
        <color indexed="64"/>
      </right>
      <top style="dashDot">
        <color indexed="64"/>
      </top>
      <bottom style="thin">
        <color indexed="64"/>
      </bottom>
      <diagonal/>
    </border>
    <border>
      <left style="dashDot">
        <color indexed="64"/>
      </left>
      <right style="dashDot">
        <color indexed="64"/>
      </right>
      <top style="dashDot">
        <color indexed="64"/>
      </top>
      <bottom style="thin">
        <color indexed="64"/>
      </bottom>
      <diagonal/>
    </border>
    <border>
      <left style="dashDot">
        <color indexed="64"/>
      </left>
      <right/>
      <top/>
      <bottom style="thin">
        <color indexed="64"/>
      </bottom>
      <diagonal/>
    </border>
    <border>
      <left/>
      <right style="dashDot">
        <color indexed="64"/>
      </right>
      <top/>
      <bottom style="thin">
        <color indexed="64"/>
      </bottom>
      <diagonal/>
    </border>
    <border>
      <left style="dashDot">
        <color indexed="64"/>
      </left>
      <right style="thin">
        <color indexed="64"/>
      </right>
      <top style="dashDot">
        <color indexed="64"/>
      </top>
      <bottom style="thin">
        <color indexed="64"/>
      </bottom>
      <diagonal/>
    </border>
    <border>
      <left style="dotted">
        <color indexed="64"/>
      </left>
      <right style="dotted">
        <color indexed="64"/>
      </right>
      <top/>
      <bottom style="dotted">
        <color indexed="64"/>
      </bottom>
      <diagonal/>
    </border>
    <border>
      <left style="dotted">
        <color indexed="64"/>
      </left>
      <right/>
      <top style="thin">
        <color indexed="64"/>
      </top>
      <bottom/>
      <diagonal/>
    </border>
    <border>
      <left/>
      <right style="dotted">
        <color indexed="64"/>
      </right>
      <top style="thin">
        <color indexed="64"/>
      </top>
      <bottom/>
      <diagonal/>
    </border>
    <border>
      <left style="dotted">
        <color indexed="64"/>
      </left>
      <right style="dotted">
        <color indexed="64"/>
      </right>
      <top style="dotted">
        <color indexed="64"/>
      </top>
      <bottom style="dotted">
        <color indexed="64"/>
      </bottom>
      <diagonal/>
    </border>
    <border>
      <left style="dotted">
        <color indexed="64"/>
      </left>
      <right/>
      <top/>
      <bottom style="dotted">
        <color indexed="64"/>
      </bottom>
      <diagonal/>
    </border>
    <border>
      <left/>
      <right/>
      <top/>
      <bottom style="dotted">
        <color indexed="64"/>
      </bottom>
      <diagonal/>
    </border>
    <border>
      <left/>
      <right style="dotted">
        <color indexed="64"/>
      </right>
      <top/>
      <bottom style="dotted">
        <color indexed="64"/>
      </bottom>
      <diagonal/>
    </border>
    <border>
      <left style="dotted">
        <color indexed="64"/>
      </left>
      <right/>
      <top/>
      <bottom/>
      <diagonal/>
    </border>
    <border>
      <left/>
      <right style="dotted">
        <color indexed="64"/>
      </right>
      <top/>
      <bottom/>
      <diagonal/>
    </border>
    <border>
      <left style="dotted">
        <color indexed="64"/>
      </left>
      <right/>
      <top style="dotted">
        <color indexed="64"/>
      </top>
      <bottom/>
      <diagonal/>
    </border>
    <border>
      <left/>
      <right style="dotted">
        <color indexed="64"/>
      </right>
      <top style="dotted">
        <color indexed="64"/>
      </top>
      <bottom/>
      <diagonal/>
    </border>
    <border>
      <left style="dotted">
        <color indexed="64"/>
      </left>
      <right style="dotted">
        <color indexed="64"/>
      </right>
      <top style="dotted">
        <color indexed="64"/>
      </top>
      <bottom/>
      <diagonal/>
    </border>
    <border>
      <left style="dotted">
        <color indexed="64"/>
      </left>
      <right style="dotted">
        <color indexed="64"/>
      </right>
      <top style="dotted">
        <color indexed="64"/>
      </top>
      <bottom style="dotted">
        <color indexed="9"/>
      </bottom>
      <diagonal/>
    </border>
    <border>
      <left style="dotted">
        <color indexed="64"/>
      </left>
      <right style="dotted">
        <color indexed="64"/>
      </right>
      <top style="dotted">
        <color indexed="9"/>
      </top>
      <bottom style="dotted">
        <color indexed="64"/>
      </bottom>
      <diagonal/>
    </border>
    <border>
      <left style="dotted">
        <color indexed="64"/>
      </left>
      <right style="dotted">
        <color indexed="9"/>
      </right>
      <top style="dotted">
        <color indexed="64"/>
      </top>
      <bottom/>
      <diagonal/>
    </border>
    <border>
      <left style="dotted">
        <color indexed="9"/>
      </left>
      <right/>
      <top style="dotted">
        <color indexed="64"/>
      </top>
      <bottom/>
      <diagonal/>
    </border>
    <border>
      <left/>
      <right/>
      <top style="dotted">
        <color indexed="64"/>
      </top>
      <bottom/>
      <diagonal/>
    </border>
    <border>
      <left/>
      <right style="dotted">
        <color indexed="9"/>
      </right>
      <top style="dotted">
        <color indexed="64"/>
      </top>
      <bottom/>
      <diagonal/>
    </border>
    <border>
      <left style="dotted">
        <color indexed="9"/>
      </left>
      <right style="dotted">
        <color indexed="9"/>
      </right>
      <top style="dotted">
        <color indexed="64"/>
      </top>
      <bottom/>
      <diagonal/>
    </border>
    <border>
      <left style="dotted">
        <color indexed="9"/>
      </left>
      <right style="dotted">
        <color indexed="64"/>
      </right>
      <top style="dotted">
        <color indexed="64"/>
      </top>
      <bottom/>
      <diagonal/>
    </border>
    <border>
      <left style="dotted">
        <color indexed="64"/>
      </left>
      <right style="dotted">
        <color indexed="9"/>
      </right>
      <top/>
      <bottom style="dotted">
        <color indexed="9"/>
      </bottom>
      <diagonal/>
    </border>
    <border>
      <left style="dotted">
        <color indexed="9"/>
      </left>
      <right/>
      <top/>
      <bottom style="dotted">
        <color indexed="9"/>
      </bottom>
      <diagonal/>
    </border>
    <border>
      <left/>
      <right/>
      <top/>
      <bottom style="dotted">
        <color indexed="9"/>
      </bottom>
      <diagonal/>
    </border>
    <border>
      <left/>
      <right style="dotted">
        <color indexed="9"/>
      </right>
      <top/>
      <bottom style="dotted">
        <color indexed="9"/>
      </bottom>
      <diagonal/>
    </border>
    <border>
      <left style="dotted">
        <color indexed="9"/>
      </left>
      <right style="dotted">
        <color indexed="9"/>
      </right>
      <top/>
      <bottom style="dotted">
        <color indexed="9"/>
      </bottom>
      <diagonal/>
    </border>
    <border>
      <left style="dotted">
        <color indexed="9"/>
      </left>
      <right style="dotted">
        <color indexed="64"/>
      </right>
      <top/>
      <bottom style="dotted">
        <color indexed="9"/>
      </bottom>
      <diagonal/>
    </border>
    <border>
      <left style="dotted">
        <color indexed="64"/>
      </left>
      <right style="dotted">
        <color indexed="9"/>
      </right>
      <top style="dotted">
        <color indexed="9"/>
      </top>
      <bottom style="dotted">
        <color indexed="9"/>
      </bottom>
      <diagonal/>
    </border>
    <border>
      <left/>
      <right/>
      <top style="dotted">
        <color indexed="9"/>
      </top>
      <bottom/>
      <diagonal/>
    </border>
    <border>
      <left/>
      <right style="dotted">
        <color indexed="9"/>
      </right>
      <top style="dotted">
        <color indexed="9"/>
      </top>
      <bottom/>
      <diagonal/>
    </border>
    <border>
      <left style="dotted">
        <color indexed="9"/>
      </left>
      <right style="dotted">
        <color indexed="9"/>
      </right>
      <top style="dotted">
        <color indexed="9"/>
      </top>
      <bottom style="dotted">
        <color indexed="9"/>
      </bottom>
      <diagonal/>
    </border>
    <border>
      <left style="dotted">
        <color indexed="9"/>
      </left>
      <right style="dotted">
        <color indexed="64"/>
      </right>
      <top style="dotted">
        <color indexed="9"/>
      </top>
      <bottom style="dotted">
        <color indexed="9"/>
      </bottom>
      <diagonal/>
    </border>
    <border>
      <left style="dotted">
        <color indexed="9"/>
      </left>
      <right style="dotted">
        <color indexed="9"/>
      </right>
      <top style="dotted">
        <color indexed="9"/>
      </top>
      <bottom style="thin">
        <color indexed="64"/>
      </bottom>
      <diagonal/>
    </border>
    <border>
      <left style="dotted">
        <color indexed="9"/>
      </left>
      <right/>
      <top style="thin">
        <color indexed="64"/>
      </top>
      <bottom/>
      <diagonal/>
    </border>
    <border>
      <left/>
      <right style="dotted">
        <color indexed="9"/>
      </right>
      <top style="thin">
        <color indexed="64"/>
      </top>
      <bottom/>
      <diagonal/>
    </border>
    <border>
      <left style="dotted">
        <color indexed="9"/>
      </left>
      <right/>
      <top style="dotted">
        <color indexed="9"/>
      </top>
      <bottom/>
      <diagonal/>
    </border>
    <border>
      <left style="dotted">
        <color indexed="9"/>
      </left>
      <right/>
      <top/>
      <bottom style="thin">
        <color indexed="64"/>
      </bottom>
      <diagonal/>
    </border>
    <border>
      <left/>
      <right style="dotted">
        <color indexed="9"/>
      </right>
      <top/>
      <bottom style="thin">
        <color indexed="64"/>
      </bottom>
      <diagonal/>
    </border>
    <border>
      <left style="dotted">
        <color indexed="64"/>
      </left>
      <right style="dotted">
        <color indexed="9"/>
      </right>
      <top style="dotted">
        <color indexed="9"/>
      </top>
      <bottom style="dotted">
        <color indexed="64"/>
      </bottom>
      <diagonal/>
    </border>
    <border>
      <left style="dotted">
        <color indexed="9"/>
      </left>
      <right style="dotted">
        <color indexed="9"/>
      </right>
      <top style="dotted">
        <color indexed="9"/>
      </top>
      <bottom style="dotted">
        <color indexed="64"/>
      </bottom>
      <diagonal/>
    </border>
    <border>
      <left style="dotted">
        <color indexed="9"/>
      </left>
      <right style="dotted">
        <color indexed="64"/>
      </right>
      <top style="dotted">
        <color indexed="9"/>
      </top>
      <bottom style="dotted">
        <color indexed="64"/>
      </bottom>
      <diagonal/>
    </border>
    <border>
      <left style="dotted">
        <color indexed="64"/>
      </left>
      <right style="dotted">
        <color indexed="9"/>
      </right>
      <top style="dotted">
        <color indexed="64"/>
      </top>
      <bottom style="dotted">
        <color indexed="9"/>
      </bottom>
      <diagonal/>
    </border>
    <border>
      <left style="dotted">
        <color indexed="9"/>
      </left>
      <right style="dotted">
        <color indexed="9"/>
      </right>
      <top style="dotted">
        <color indexed="64"/>
      </top>
      <bottom style="dotted">
        <color indexed="9"/>
      </bottom>
      <diagonal/>
    </border>
    <border>
      <left style="hair">
        <color indexed="9"/>
      </left>
      <right style="hair">
        <color indexed="9"/>
      </right>
      <top style="dotted">
        <color indexed="64"/>
      </top>
      <bottom style="hair">
        <color indexed="9"/>
      </bottom>
      <diagonal/>
    </border>
    <border>
      <left/>
      <right style="dotted">
        <color indexed="9"/>
      </right>
      <top style="dotted">
        <color indexed="64"/>
      </top>
      <bottom style="hair">
        <color indexed="9"/>
      </bottom>
      <diagonal/>
    </border>
    <border>
      <left style="dotted">
        <color indexed="9"/>
      </left>
      <right style="dotted">
        <color indexed="9"/>
      </right>
      <top style="dotted">
        <color indexed="64"/>
      </top>
      <bottom style="hair">
        <color indexed="9"/>
      </bottom>
      <diagonal/>
    </border>
    <border>
      <left style="dotted">
        <color indexed="9"/>
      </left>
      <right style="hair">
        <color indexed="9"/>
      </right>
      <top style="dotted">
        <color indexed="64"/>
      </top>
      <bottom style="hair">
        <color indexed="9"/>
      </bottom>
      <diagonal/>
    </border>
    <border>
      <left/>
      <right style="dotted">
        <color indexed="9"/>
      </right>
      <top style="hair">
        <color indexed="9"/>
      </top>
      <bottom style="hair">
        <color indexed="9"/>
      </bottom>
      <diagonal/>
    </border>
    <border>
      <left style="dotted">
        <color indexed="9"/>
      </left>
      <right style="dotted">
        <color indexed="9"/>
      </right>
      <top style="hair">
        <color indexed="9"/>
      </top>
      <bottom style="hair">
        <color indexed="9"/>
      </bottom>
      <diagonal/>
    </border>
    <border>
      <left style="dotted">
        <color indexed="9"/>
      </left>
      <right style="hair">
        <color indexed="9"/>
      </right>
      <top style="hair">
        <color indexed="9"/>
      </top>
      <bottom style="hair">
        <color indexed="9"/>
      </bottom>
      <diagonal/>
    </border>
    <border>
      <left style="dotted">
        <color indexed="9"/>
      </left>
      <right/>
      <top/>
      <bottom/>
      <diagonal/>
    </border>
    <border>
      <left/>
      <right style="dotted">
        <color indexed="9"/>
      </right>
      <top style="dotted">
        <color indexed="9"/>
      </top>
      <bottom style="dotted">
        <color indexed="9"/>
      </bottom>
      <diagonal/>
    </border>
    <border>
      <left style="dashDot">
        <color indexed="64"/>
      </left>
      <right style="dashDot">
        <color indexed="64"/>
      </right>
      <top style="thin">
        <color indexed="64"/>
      </top>
      <bottom/>
      <diagonal/>
    </border>
    <border>
      <left/>
      <right style="dashDot">
        <color indexed="9"/>
      </right>
      <top style="thin">
        <color indexed="64"/>
      </top>
      <bottom/>
      <diagonal/>
    </border>
    <border>
      <left style="dashDot">
        <color indexed="9"/>
      </left>
      <right/>
      <top style="thin">
        <color indexed="64"/>
      </top>
      <bottom/>
      <diagonal/>
    </border>
    <border>
      <left style="thin">
        <color indexed="64"/>
      </left>
      <right style="dashDot">
        <color indexed="64"/>
      </right>
      <top/>
      <bottom style="dashDot">
        <color indexed="64"/>
      </bottom>
      <diagonal/>
    </border>
    <border>
      <left style="dashDot">
        <color indexed="64"/>
      </left>
      <right style="dashDot">
        <color indexed="64"/>
      </right>
      <top/>
      <bottom style="dashDot">
        <color indexed="64"/>
      </bottom>
      <diagonal/>
    </border>
    <border>
      <left style="dashDot">
        <color indexed="64"/>
      </left>
      <right/>
      <top/>
      <bottom/>
      <diagonal/>
    </border>
    <border>
      <left/>
      <right style="dashDot">
        <color indexed="64"/>
      </right>
      <top/>
      <bottom/>
      <diagonal/>
    </border>
    <border>
      <left style="dashDot">
        <color indexed="64"/>
      </left>
      <right style="dashDot">
        <color indexed="64"/>
      </right>
      <top/>
      <bottom/>
      <diagonal/>
    </border>
    <border>
      <left/>
      <right style="dashDot">
        <color indexed="9"/>
      </right>
      <top/>
      <bottom/>
      <diagonal/>
    </border>
    <border>
      <left style="dashDot">
        <color indexed="9"/>
      </left>
      <right/>
      <top/>
      <bottom/>
      <diagonal/>
    </border>
    <border>
      <left/>
      <right style="dashDot">
        <color indexed="9"/>
      </right>
      <top/>
      <bottom style="dashDot">
        <color indexed="64"/>
      </bottom>
      <diagonal/>
    </border>
    <border>
      <left style="dashDot">
        <color indexed="9"/>
      </left>
      <right/>
      <top/>
      <bottom style="dashDot">
        <color indexed="64"/>
      </bottom>
      <diagonal/>
    </border>
    <border>
      <left/>
      <right style="thin">
        <color indexed="64"/>
      </right>
      <top/>
      <bottom style="dashDot">
        <color indexed="64"/>
      </bottom>
      <diagonal/>
    </border>
    <border>
      <left style="dashDot">
        <color indexed="64"/>
      </left>
      <right style="dashDot">
        <color indexed="64"/>
      </right>
      <top/>
      <bottom style="thin">
        <color indexed="64"/>
      </bottom>
      <diagonal/>
    </border>
    <border>
      <left style="dotted">
        <color indexed="64"/>
      </left>
      <right style="dotted">
        <color indexed="9"/>
      </right>
      <top style="dotted">
        <color indexed="9"/>
      </top>
      <bottom style="thin">
        <color indexed="64"/>
      </bottom>
      <diagonal/>
    </border>
    <border>
      <left style="dotted">
        <color indexed="9"/>
      </left>
      <right style="dotted">
        <color indexed="64"/>
      </right>
      <top style="dotted">
        <color indexed="9"/>
      </top>
      <bottom style="thin">
        <color indexed="64"/>
      </bottom>
      <diagonal/>
    </border>
    <border>
      <left style="dotted">
        <color indexed="64"/>
      </left>
      <right/>
      <top style="dotted">
        <color indexed="9"/>
      </top>
      <bottom/>
      <diagonal/>
    </border>
    <border>
      <left/>
      <right style="dotted">
        <color indexed="64"/>
      </right>
      <top style="dotted">
        <color indexed="9"/>
      </top>
      <bottom/>
      <diagonal/>
    </border>
    <border>
      <left style="dotted">
        <color indexed="64"/>
      </left>
      <right/>
      <top/>
      <bottom style="thin">
        <color indexed="64"/>
      </bottom>
      <diagonal/>
    </border>
    <border>
      <left/>
      <right style="dotted">
        <color indexed="64"/>
      </right>
      <top/>
      <bottom style="thin">
        <color indexed="64"/>
      </bottom>
      <diagonal/>
    </border>
    <border>
      <left style="hair">
        <color indexed="9"/>
      </left>
      <right style="thin">
        <color indexed="64"/>
      </right>
      <top style="thin">
        <color indexed="64"/>
      </top>
      <bottom style="thin">
        <color indexed="64"/>
      </bottom>
      <diagonal/>
    </border>
    <border>
      <left style="thin">
        <color indexed="64"/>
      </left>
      <right style="hair">
        <color indexed="9"/>
      </right>
      <top style="thin">
        <color indexed="64"/>
      </top>
      <bottom style="hair">
        <color indexed="9"/>
      </bottom>
      <diagonal/>
    </border>
    <border>
      <left style="hair">
        <color indexed="9"/>
      </left>
      <right style="thin">
        <color indexed="64"/>
      </right>
      <top style="thin">
        <color indexed="64"/>
      </top>
      <bottom style="hair">
        <color indexed="9"/>
      </bottom>
      <diagonal/>
    </border>
    <border>
      <left style="hair">
        <color indexed="9"/>
      </left>
      <right style="thin">
        <color indexed="64"/>
      </right>
      <top style="hair">
        <color indexed="9"/>
      </top>
      <bottom style="hair">
        <color indexed="9"/>
      </bottom>
      <diagonal/>
    </border>
    <border>
      <left style="thin">
        <color indexed="64"/>
      </left>
      <right style="hair">
        <color indexed="9"/>
      </right>
      <top style="hair">
        <color indexed="9"/>
      </top>
      <bottom style="thin">
        <color indexed="64"/>
      </bottom>
      <diagonal/>
    </border>
    <border>
      <left style="hair">
        <color indexed="9"/>
      </left>
      <right style="thin">
        <color indexed="64"/>
      </right>
      <top style="hair">
        <color indexed="9"/>
      </top>
      <bottom style="thin">
        <color indexed="64"/>
      </bottom>
      <diagonal/>
    </border>
    <border>
      <left style="thin">
        <color indexed="64"/>
      </left>
      <right style="hair">
        <color indexed="9"/>
      </right>
      <top style="hair">
        <color indexed="9"/>
      </top>
      <bottom/>
      <diagonal/>
    </border>
    <border>
      <left style="hair">
        <color indexed="9"/>
      </left>
      <right style="thin">
        <color indexed="64"/>
      </right>
      <top style="hair">
        <color indexed="9"/>
      </top>
      <bottom/>
      <diagonal/>
    </border>
    <border>
      <left style="hair">
        <color indexed="9"/>
      </left>
      <right/>
      <top style="thin">
        <color indexed="64"/>
      </top>
      <bottom style="thin">
        <color indexed="64"/>
      </bottom>
      <diagonal/>
    </border>
    <border>
      <left style="thin">
        <color indexed="64"/>
      </left>
      <right style="hair">
        <color indexed="9"/>
      </right>
      <top/>
      <bottom style="thin">
        <color indexed="64"/>
      </bottom>
      <diagonal/>
    </border>
    <border>
      <left style="hair">
        <color indexed="9"/>
      </left>
      <right style="thin">
        <color indexed="64"/>
      </right>
      <top/>
      <bottom style="thin">
        <color indexed="64"/>
      </bottom>
      <diagonal/>
    </border>
    <border>
      <left style="thin">
        <color indexed="64"/>
      </left>
      <right/>
      <top style="thin">
        <color indexed="64"/>
      </top>
      <bottom style="thin">
        <color theme="0" tint="-0.14996795556505021"/>
      </bottom>
      <diagonal/>
    </border>
    <border>
      <left/>
      <right/>
      <top style="thin">
        <color indexed="64"/>
      </top>
      <bottom style="thin">
        <color theme="0" tint="-0.14996795556505021"/>
      </bottom>
      <diagonal/>
    </border>
    <border>
      <left/>
      <right style="thin">
        <color indexed="64"/>
      </right>
      <top style="thin">
        <color indexed="64"/>
      </top>
      <bottom style="thin">
        <color theme="0" tint="-0.14996795556505021"/>
      </bottom>
      <diagonal/>
    </border>
    <border>
      <left style="thin">
        <color indexed="64"/>
      </left>
      <right/>
      <top style="thin">
        <color theme="0" tint="-0.14996795556505021"/>
      </top>
      <bottom style="thin">
        <color indexed="64"/>
      </bottom>
      <diagonal/>
    </border>
    <border>
      <left/>
      <right/>
      <top style="thin">
        <color theme="0" tint="-0.14996795556505021"/>
      </top>
      <bottom style="thin">
        <color indexed="64"/>
      </bottom>
      <diagonal/>
    </border>
    <border>
      <left/>
      <right style="thin">
        <color indexed="64"/>
      </right>
      <top style="thin">
        <color theme="0" tint="-0.14996795556505021"/>
      </top>
      <bottom style="thin">
        <color indexed="64"/>
      </bottom>
      <diagonal/>
    </border>
    <border>
      <left style="thin">
        <color indexed="64"/>
      </left>
      <right style="thin">
        <color indexed="64"/>
      </right>
      <top style="thin">
        <color indexed="64"/>
      </top>
      <bottom style="thin">
        <color theme="0" tint="-0.14996795556505021"/>
      </bottom>
      <diagonal/>
    </border>
    <border>
      <left style="thin">
        <color indexed="64"/>
      </left>
      <right style="thin">
        <color indexed="64"/>
      </right>
      <top style="thin">
        <color theme="0" tint="-0.14996795556505021"/>
      </top>
      <bottom style="thin">
        <color indexed="64"/>
      </bottom>
      <diagonal/>
    </border>
    <border>
      <left style="medium">
        <color indexed="64"/>
      </left>
      <right/>
      <top style="double">
        <color indexed="64"/>
      </top>
      <bottom style="medium">
        <color indexed="64"/>
      </bottom>
      <diagonal/>
    </border>
    <border>
      <left/>
      <right/>
      <top style="double">
        <color indexed="64"/>
      </top>
      <bottom style="medium">
        <color indexed="64"/>
      </bottom>
      <diagonal/>
    </border>
    <border>
      <left/>
      <right style="double">
        <color indexed="64"/>
      </right>
      <top style="double">
        <color indexed="64"/>
      </top>
      <bottom style="medium">
        <color indexed="64"/>
      </bottom>
      <diagonal/>
    </border>
    <border>
      <left/>
      <right style="thin">
        <color theme="0"/>
      </right>
      <top style="thin">
        <color indexed="64"/>
      </top>
      <bottom/>
      <diagonal/>
    </border>
    <border>
      <left style="thin">
        <color theme="0"/>
      </left>
      <right/>
      <top style="thin">
        <color indexed="64"/>
      </top>
      <bottom/>
      <diagonal/>
    </border>
    <border>
      <left/>
      <right style="thin">
        <color theme="0"/>
      </right>
      <top style="thin">
        <color indexed="9"/>
      </top>
      <bottom style="thin">
        <color indexed="9"/>
      </bottom>
      <diagonal/>
    </border>
    <border>
      <left style="thin">
        <color indexed="64"/>
      </left>
      <right/>
      <top style="hair">
        <color indexed="9"/>
      </top>
      <bottom/>
      <diagonal/>
    </border>
    <border>
      <left style="thin">
        <color indexed="64"/>
      </left>
      <right/>
      <top style="thin">
        <color indexed="64"/>
      </top>
      <bottom style="hair">
        <color indexed="9"/>
      </bottom>
      <diagonal/>
    </border>
    <border>
      <left style="medium">
        <color indexed="64"/>
      </left>
      <right style="medium">
        <color indexed="64"/>
      </right>
      <top style="medium">
        <color indexed="64"/>
      </top>
      <bottom/>
      <diagonal/>
    </border>
    <border>
      <left style="medium">
        <color indexed="64"/>
      </left>
      <right style="medium">
        <color indexed="64"/>
      </right>
      <top style="thin">
        <color indexed="64"/>
      </top>
      <bottom style="medium">
        <color indexed="64"/>
      </bottom>
      <diagonal/>
    </border>
    <border>
      <left style="medium">
        <color indexed="64"/>
      </left>
      <right style="thin">
        <color indexed="9"/>
      </right>
      <top/>
      <bottom style="thin">
        <color indexed="64"/>
      </bottom>
      <diagonal/>
    </border>
    <border>
      <left style="hair">
        <color theme="0"/>
      </left>
      <right style="medium">
        <color indexed="64"/>
      </right>
      <top/>
      <bottom style="thin">
        <color indexed="64"/>
      </bottom>
      <diagonal/>
    </border>
    <border>
      <left style="medium">
        <color indexed="64"/>
      </left>
      <right style="thin">
        <color indexed="9"/>
      </right>
      <top style="thin">
        <color indexed="64"/>
      </top>
      <bottom style="thin">
        <color indexed="64"/>
      </bottom>
      <diagonal/>
    </border>
    <border>
      <left style="hair">
        <color theme="0"/>
      </left>
      <right style="medium">
        <color indexed="64"/>
      </right>
      <top style="thin">
        <color indexed="64"/>
      </top>
      <bottom style="thin">
        <color indexed="64"/>
      </bottom>
      <diagonal/>
    </border>
    <border>
      <left style="medium">
        <color indexed="64"/>
      </left>
      <right style="thin">
        <color indexed="9"/>
      </right>
      <top style="thin">
        <color indexed="64"/>
      </top>
      <bottom style="medium">
        <color indexed="64"/>
      </bottom>
      <diagonal/>
    </border>
    <border>
      <left style="hair">
        <color theme="0"/>
      </left>
      <right style="hair">
        <color theme="0"/>
      </right>
      <top style="thin">
        <color indexed="64"/>
      </top>
      <bottom style="medium">
        <color indexed="64"/>
      </bottom>
      <diagonal/>
    </border>
    <border>
      <left style="hair">
        <color theme="0"/>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thin">
        <color indexed="64"/>
      </right>
      <top style="medium">
        <color indexed="64"/>
      </top>
      <bottom/>
      <diagonal/>
    </border>
    <border>
      <left style="medium">
        <color indexed="64"/>
      </left>
      <right style="medium">
        <color indexed="64"/>
      </right>
      <top/>
      <bottom style="medium">
        <color indexed="64"/>
      </bottom>
      <diagonal/>
    </border>
    <border>
      <left style="thin">
        <color indexed="64"/>
      </left>
      <right style="medium">
        <color indexed="64"/>
      </right>
      <top style="medium">
        <color indexed="64"/>
      </top>
      <bottom/>
      <diagonal/>
    </border>
    <border>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style="thin">
        <color rgb="FFCCECFF"/>
      </right>
      <top style="thin">
        <color indexed="64"/>
      </top>
      <bottom style="thin">
        <color indexed="64"/>
      </bottom>
      <diagonal/>
    </border>
    <border>
      <left style="thin">
        <color rgb="FFCCECFF"/>
      </left>
      <right style="thin">
        <color rgb="FFCCECFF"/>
      </right>
      <top style="thin">
        <color indexed="64"/>
      </top>
      <bottom style="thin">
        <color indexed="64"/>
      </bottom>
      <diagonal/>
    </border>
    <border>
      <left style="thin">
        <color rgb="FFCCECFF"/>
      </left>
      <right/>
      <top style="thin">
        <color indexed="64"/>
      </top>
      <bottom style="thin">
        <color indexed="64"/>
      </bottom>
      <diagonal/>
    </border>
    <border>
      <left style="medium">
        <color indexed="64"/>
      </left>
      <right style="dashed">
        <color indexed="64"/>
      </right>
      <top style="medium">
        <color indexed="64"/>
      </top>
      <bottom style="dashed">
        <color indexed="64"/>
      </bottom>
      <diagonal/>
    </border>
    <border>
      <left style="dashed">
        <color indexed="64"/>
      </left>
      <right style="medium">
        <color indexed="64"/>
      </right>
      <top style="medium">
        <color indexed="64"/>
      </top>
      <bottom style="dashed">
        <color indexed="64"/>
      </bottom>
      <diagonal/>
    </border>
    <border>
      <left style="medium">
        <color indexed="64"/>
      </left>
      <right style="dashed">
        <color indexed="64"/>
      </right>
      <top style="dashed">
        <color indexed="64"/>
      </top>
      <bottom style="dashed">
        <color indexed="64"/>
      </bottom>
      <diagonal/>
    </border>
    <border>
      <left style="dashed">
        <color indexed="64"/>
      </left>
      <right style="medium">
        <color indexed="64"/>
      </right>
      <top style="dashed">
        <color indexed="64"/>
      </top>
      <bottom style="dashed">
        <color indexed="64"/>
      </bottom>
      <diagonal/>
    </border>
    <border>
      <left style="medium">
        <color indexed="64"/>
      </left>
      <right style="dashed">
        <color indexed="64"/>
      </right>
      <top style="dashed">
        <color indexed="64"/>
      </top>
      <bottom style="medium">
        <color indexed="64"/>
      </bottom>
      <diagonal/>
    </border>
    <border>
      <left style="dashed">
        <color indexed="64"/>
      </left>
      <right style="medium">
        <color indexed="64"/>
      </right>
      <top style="dashed">
        <color indexed="64"/>
      </top>
      <bottom style="medium">
        <color indexed="64"/>
      </bottom>
      <diagonal/>
    </border>
    <border>
      <left style="medium">
        <color indexed="64"/>
      </left>
      <right style="dashed">
        <color indexed="64"/>
      </right>
      <top style="dashed">
        <color indexed="64"/>
      </top>
      <bottom style="thin">
        <color indexed="64"/>
      </bottom>
      <diagonal/>
    </border>
    <border>
      <left style="dashed">
        <color indexed="64"/>
      </left>
      <right style="medium">
        <color indexed="64"/>
      </right>
      <top style="dashed">
        <color indexed="64"/>
      </top>
      <bottom style="thin">
        <color indexed="64"/>
      </bottom>
      <diagonal/>
    </border>
    <border>
      <left style="thin">
        <color indexed="64"/>
      </left>
      <right/>
      <top style="thin">
        <color indexed="64"/>
      </top>
      <bottom style="thin">
        <color rgb="FFCCECFF"/>
      </bottom>
      <diagonal/>
    </border>
    <border>
      <left/>
      <right/>
      <top style="thin">
        <color indexed="64"/>
      </top>
      <bottom style="thin">
        <color rgb="FFCCECFF"/>
      </bottom>
      <diagonal/>
    </border>
    <border>
      <left/>
      <right style="thin">
        <color indexed="64"/>
      </right>
      <top style="thin">
        <color indexed="64"/>
      </top>
      <bottom style="thin">
        <color rgb="FFCCECFF"/>
      </bottom>
      <diagonal/>
    </border>
    <border>
      <left style="thin">
        <color indexed="64"/>
      </left>
      <right/>
      <top style="thin">
        <color rgb="FFCCECFF"/>
      </top>
      <bottom style="thin">
        <color rgb="FFCCECFF"/>
      </bottom>
      <diagonal/>
    </border>
    <border>
      <left/>
      <right/>
      <top style="thin">
        <color rgb="FFCCECFF"/>
      </top>
      <bottom style="thin">
        <color rgb="FFCCECFF"/>
      </bottom>
      <diagonal/>
    </border>
    <border>
      <left/>
      <right style="thin">
        <color indexed="64"/>
      </right>
      <top style="thin">
        <color rgb="FFCCECFF"/>
      </top>
      <bottom style="thin">
        <color rgb="FFCCECFF"/>
      </bottom>
      <diagonal/>
    </border>
    <border>
      <left style="thin">
        <color indexed="64"/>
      </left>
      <right/>
      <top style="thin">
        <color rgb="FFCCECFF"/>
      </top>
      <bottom style="thin">
        <color indexed="64"/>
      </bottom>
      <diagonal/>
    </border>
    <border>
      <left/>
      <right/>
      <top style="thin">
        <color rgb="FFCCECFF"/>
      </top>
      <bottom style="thin">
        <color indexed="64"/>
      </bottom>
      <diagonal/>
    </border>
    <border>
      <left/>
      <right style="thin">
        <color indexed="64"/>
      </right>
      <top style="thin">
        <color rgb="FFCCECFF"/>
      </top>
      <bottom style="thin">
        <color indexed="64"/>
      </bottom>
      <diagonal/>
    </border>
    <border>
      <left style="double">
        <color indexed="9"/>
      </left>
      <right/>
      <top style="thin">
        <color indexed="9"/>
      </top>
      <bottom/>
      <diagonal/>
    </border>
    <border>
      <left style="medium">
        <color indexed="64"/>
      </left>
      <right style="thin">
        <color indexed="9"/>
      </right>
      <top style="thin">
        <color indexed="64"/>
      </top>
      <bottom/>
      <diagonal/>
    </border>
    <border>
      <left style="hair">
        <color theme="0"/>
      </left>
      <right style="medium">
        <color indexed="64"/>
      </right>
      <top style="thin">
        <color indexed="64"/>
      </top>
      <bottom/>
      <diagonal/>
    </border>
    <border>
      <left style="medium">
        <color indexed="64"/>
      </left>
      <right style="dashed">
        <color indexed="64"/>
      </right>
      <top style="dashed">
        <color indexed="64"/>
      </top>
      <bottom/>
      <diagonal/>
    </border>
    <border>
      <left style="dashed">
        <color indexed="64"/>
      </left>
      <right style="medium">
        <color indexed="64"/>
      </right>
      <top style="dashed">
        <color indexed="64"/>
      </top>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double">
        <color indexed="9"/>
      </left>
      <right/>
      <top/>
      <bottom style="thin">
        <color indexed="9"/>
      </bottom>
      <diagonal/>
    </border>
    <border>
      <left style="medium">
        <color indexed="64"/>
      </left>
      <right style="dashed">
        <color indexed="64"/>
      </right>
      <top/>
      <bottom style="dashed">
        <color indexed="64"/>
      </bottom>
      <diagonal/>
    </border>
    <border>
      <left style="dashed">
        <color indexed="64"/>
      </left>
      <right style="medium">
        <color indexed="64"/>
      </right>
      <top/>
      <bottom style="dashed">
        <color indexed="64"/>
      </bottom>
      <diagonal/>
    </border>
    <border>
      <left style="double">
        <color indexed="9"/>
      </left>
      <right/>
      <top style="thin">
        <color indexed="64"/>
      </top>
      <bottom style="thin">
        <color indexed="9"/>
      </bottom>
      <diagonal/>
    </border>
    <border>
      <left style="medium">
        <color indexed="64"/>
      </left>
      <right style="dashed">
        <color indexed="64"/>
      </right>
      <top style="thin">
        <color indexed="64"/>
      </top>
      <bottom style="dashed">
        <color indexed="64"/>
      </bottom>
      <diagonal/>
    </border>
    <border>
      <left style="dashed">
        <color indexed="64"/>
      </left>
      <right style="medium">
        <color indexed="64"/>
      </right>
      <top style="thin">
        <color indexed="64"/>
      </top>
      <bottom style="dashed">
        <color indexed="64"/>
      </bottom>
      <diagonal/>
    </border>
    <border>
      <left style="double">
        <color indexed="9"/>
      </left>
      <right/>
      <top style="thin">
        <color indexed="9"/>
      </top>
      <bottom style="medium">
        <color indexed="64"/>
      </bottom>
      <diagonal/>
    </border>
    <border>
      <left style="medium">
        <color indexed="64"/>
      </left>
      <right/>
      <top style="thin">
        <color indexed="64"/>
      </top>
      <bottom/>
      <diagonal/>
    </border>
    <border>
      <left style="dotted">
        <color indexed="64"/>
      </left>
      <right style="dotted">
        <color indexed="64"/>
      </right>
      <top style="thin">
        <color indexed="64"/>
      </top>
      <bottom/>
      <diagonal/>
    </border>
    <border>
      <left style="dotted">
        <color indexed="64"/>
      </left>
      <right style="dotted">
        <color indexed="64"/>
      </right>
      <top style="thin">
        <color indexed="64"/>
      </top>
      <bottom style="dotted">
        <color indexed="64"/>
      </bottom>
      <diagonal/>
    </border>
    <border>
      <left style="dotted">
        <color indexed="64"/>
      </left>
      <right/>
      <top style="thin">
        <color indexed="64"/>
      </top>
      <bottom style="dotted">
        <color indexed="64"/>
      </bottom>
      <diagonal/>
    </border>
    <border>
      <left/>
      <right/>
      <top style="thin">
        <color indexed="64"/>
      </top>
      <bottom style="dotted">
        <color indexed="64"/>
      </bottom>
      <diagonal/>
    </border>
    <border>
      <left/>
      <right style="dotted">
        <color indexed="64"/>
      </right>
      <top style="thin">
        <color indexed="64"/>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
      <left style="medium">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right style="thin">
        <color indexed="64"/>
      </right>
      <top style="double">
        <color indexed="64"/>
      </top>
      <bottom style="thin">
        <color indexed="64"/>
      </bottom>
      <diagonal/>
    </border>
    <border>
      <left style="thin">
        <color indexed="64"/>
      </left>
      <right style="double">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bottom style="thin">
        <color indexed="64"/>
      </bottom>
      <diagonal/>
    </border>
    <border>
      <left style="thin">
        <color indexed="64"/>
      </left>
      <right/>
      <top/>
      <bottom style="mediumDashDot">
        <color indexed="64"/>
      </bottom>
      <diagonal/>
    </border>
    <border>
      <left/>
      <right/>
      <top/>
      <bottom style="mediumDashDot">
        <color indexed="64"/>
      </bottom>
      <diagonal/>
    </border>
    <border>
      <left/>
      <right style="thin">
        <color indexed="64"/>
      </right>
      <top/>
      <bottom style="mediumDashDot">
        <color indexed="64"/>
      </bottom>
      <diagonal/>
    </border>
    <border>
      <left style="thin">
        <color indexed="64"/>
      </left>
      <right style="thin">
        <color indexed="64"/>
      </right>
      <top/>
      <bottom style="mediumDashDot">
        <color indexed="64"/>
      </bottom>
      <diagonal/>
    </border>
    <border>
      <left style="hair">
        <color theme="0"/>
      </left>
      <right/>
      <top style="hair">
        <color indexed="9"/>
      </top>
      <bottom/>
      <diagonal/>
    </border>
    <border>
      <left style="hair">
        <color theme="0"/>
      </left>
      <right/>
      <top/>
      <bottom style="hair">
        <color indexed="9"/>
      </bottom>
      <diagonal/>
    </border>
    <border>
      <left/>
      <right style="hair">
        <color theme="0"/>
      </right>
      <top style="hair">
        <color indexed="9"/>
      </top>
      <bottom/>
      <diagonal/>
    </border>
    <border>
      <left/>
      <right style="hair">
        <color theme="0"/>
      </right>
      <top/>
      <bottom style="hair">
        <color indexed="9"/>
      </bottom>
      <diagonal/>
    </border>
    <border>
      <left style="hair">
        <color theme="0"/>
      </left>
      <right style="hair">
        <color indexed="9"/>
      </right>
      <top style="hair">
        <color theme="0"/>
      </top>
      <bottom style="hair">
        <color theme="0"/>
      </bottom>
      <diagonal/>
    </border>
    <border>
      <left style="dotted">
        <color indexed="64"/>
      </left>
      <right/>
      <top style="medium">
        <color indexed="64"/>
      </top>
      <bottom/>
      <diagonal/>
    </border>
    <border>
      <left/>
      <right style="dotted">
        <color indexed="64"/>
      </right>
      <top style="medium">
        <color indexed="64"/>
      </top>
      <bottom/>
      <diagonal/>
    </border>
    <border>
      <left style="slantDashDot">
        <color rgb="FF7030A0"/>
      </left>
      <right style="hair">
        <color indexed="9"/>
      </right>
      <top style="slantDashDot">
        <color rgb="FF7030A0"/>
      </top>
      <bottom style="hair">
        <color indexed="9"/>
      </bottom>
      <diagonal/>
    </border>
    <border>
      <left style="hair">
        <color indexed="9"/>
      </left>
      <right style="hair">
        <color indexed="9"/>
      </right>
      <top style="slantDashDot">
        <color rgb="FF7030A0"/>
      </top>
      <bottom style="hair">
        <color indexed="9"/>
      </bottom>
      <diagonal/>
    </border>
    <border>
      <left style="hair">
        <color indexed="9"/>
      </left>
      <right/>
      <top style="slantDashDot">
        <color rgb="FF7030A0"/>
      </top>
      <bottom/>
      <diagonal/>
    </border>
    <border>
      <left/>
      <right/>
      <top style="slantDashDot">
        <color rgb="FF7030A0"/>
      </top>
      <bottom/>
      <diagonal/>
    </border>
    <border>
      <left/>
      <right style="hair">
        <color indexed="9"/>
      </right>
      <top style="slantDashDot">
        <color rgb="FF7030A0"/>
      </top>
      <bottom/>
      <diagonal/>
    </border>
    <border>
      <left style="hair">
        <color indexed="9"/>
      </left>
      <right style="slantDashDot">
        <color rgb="FF7030A0"/>
      </right>
      <top style="slantDashDot">
        <color rgb="FF7030A0"/>
      </top>
      <bottom style="hair">
        <color indexed="9"/>
      </bottom>
      <diagonal/>
    </border>
    <border>
      <left style="slantDashDot">
        <color rgb="FF7030A0"/>
      </left>
      <right style="hair">
        <color theme="0"/>
      </right>
      <top style="hair">
        <color theme="0"/>
      </top>
      <bottom style="hair">
        <color theme="0"/>
      </bottom>
      <diagonal/>
    </border>
    <border>
      <left style="hair">
        <color indexed="9"/>
      </left>
      <right style="slantDashDot">
        <color rgb="FF7030A0"/>
      </right>
      <top style="hair">
        <color indexed="9"/>
      </top>
      <bottom style="hair">
        <color indexed="9"/>
      </bottom>
      <diagonal/>
    </border>
    <border>
      <left style="slantDashDot">
        <color rgb="FF7030A0"/>
      </left>
      <right style="hair">
        <color indexed="9"/>
      </right>
      <top style="hair">
        <color indexed="9"/>
      </top>
      <bottom style="hair">
        <color indexed="9"/>
      </bottom>
      <diagonal/>
    </border>
    <border>
      <left style="slantDashDot">
        <color rgb="FF7030A0"/>
      </left>
      <right style="hair">
        <color theme="0"/>
      </right>
      <top style="hair">
        <color theme="0"/>
      </top>
      <bottom style="slantDashDot">
        <color rgb="FF7030A0"/>
      </bottom>
      <diagonal/>
    </border>
    <border>
      <left style="hair">
        <color theme="0"/>
      </left>
      <right style="hair">
        <color theme="0"/>
      </right>
      <top style="hair">
        <color theme="0"/>
      </top>
      <bottom style="slantDashDot">
        <color rgb="FF7030A0"/>
      </bottom>
      <diagonal/>
    </border>
    <border>
      <left style="hair">
        <color indexed="9"/>
      </left>
      <right/>
      <top style="hair">
        <color indexed="9"/>
      </top>
      <bottom style="slantDashDot">
        <color rgb="FF7030A0"/>
      </bottom>
      <diagonal/>
    </border>
    <border>
      <left/>
      <right style="hair">
        <color theme="0"/>
      </right>
      <top style="hair">
        <color theme="0"/>
      </top>
      <bottom style="slantDashDot">
        <color rgb="FF7030A0"/>
      </bottom>
      <diagonal/>
    </border>
    <border>
      <left style="hair">
        <color indexed="9"/>
      </left>
      <right style="slantDashDot">
        <color rgb="FF7030A0"/>
      </right>
      <top style="hair">
        <color indexed="9"/>
      </top>
      <bottom style="slantDashDot">
        <color rgb="FF7030A0"/>
      </bottom>
      <diagonal/>
    </border>
    <border>
      <left style="medium">
        <color indexed="64"/>
      </left>
      <right style="medium">
        <color indexed="64"/>
      </right>
      <top style="medium">
        <color indexed="64"/>
      </top>
      <bottom style="thin">
        <color indexed="64"/>
      </bottom>
      <diagonal/>
    </border>
    <border>
      <left style="thin">
        <color theme="2" tint="-0.24994659260841701"/>
      </left>
      <right style="thin">
        <color theme="2" tint="-0.24994659260841701"/>
      </right>
      <top style="thin">
        <color theme="2" tint="-0.24994659260841701"/>
      </top>
      <bottom style="thin">
        <color theme="2" tint="-0.24994659260841701"/>
      </bottom>
      <diagonal/>
    </border>
    <border>
      <left style="thin">
        <color indexed="64"/>
      </left>
      <right style="hair">
        <color indexed="9"/>
      </right>
      <top style="thin">
        <color indexed="64"/>
      </top>
      <bottom style="thin">
        <color theme="0"/>
      </bottom>
      <diagonal/>
    </border>
    <border>
      <left style="thin">
        <color indexed="64"/>
      </left>
      <right style="hair">
        <color indexed="9"/>
      </right>
      <top style="thin">
        <color theme="0"/>
      </top>
      <bottom style="thin">
        <color theme="0"/>
      </bottom>
      <diagonal/>
    </border>
    <border>
      <left style="thin">
        <color indexed="64"/>
      </left>
      <right style="hair">
        <color indexed="9"/>
      </right>
      <top style="thin">
        <color theme="0"/>
      </top>
      <bottom style="thin">
        <color indexed="64"/>
      </bottom>
      <diagonal/>
    </border>
    <border>
      <left style="hair">
        <color theme="0"/>
      </left>
      <right/>
      <top style="hair">
        <color indexed="9"/>
      </top>
      <bottom style="thin">
        <color indexed="64"/>
      </bottom>
      <diagonal/>
    </border>
    <border>
      <left style="dashDotDot">
        <color indexed="64"/>
      </left>
      <right/>
      <top style="thin">
        <color indexed="64"/>
      </top>
      <bottom/>
      <diagonal/>
    </border>
    <border>
      <left/>
      <right style="dashDotDot">
        <color indexed="64"/>
      </right>
      <top style="thin">
        <color indexed="64"/>
      </top>
      <bottom/>
      <diagonal/>
    </border>
    <border>
      <left style="dashDotDot">
        <color indexed="64"/>
      </left>
      <right/>
      <top/>
      <bottom/>
      <diagonal/>
    </border>
    <border>
      <left/>
      <right style="dashDotDot">
        <color indexed="64"/>
      </right>
      <top/>
      <bottom/>
      <diagonal/>
    </border>
    <border>
      <left style="dashDotDot">
        <color indexed="64"/>
      </left>
      <right/>
      <top/>
      <bottom style="mediumDashDot">
        <color indexed="64"/>
      </bottom>
      <diagonal/>
    </border>
    <border>
      <left/>
      <right style="dashDotDot">
        <color indexed="64"/>
      </right>
      <top/>
      <bottom style="mediumDashDot">
        <color indexed="64"/>
      </bottom>
      <diagonal/>
    </border>
    <border>
      <left style="dashDotDot">
        <color indexed="64"/>
      </left>
      <right/>
      <top/>
      <bottom style="thin">
        <color indexed="64"/>
      </bottom>
      <diagonal/>
    </border>
    <border>
      <left/>
      <right style="dashDotDot">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thin">
        <color theme="3" tint="0.39994506668294322"/>
      </left>
      <right style="thin">
        <color theme="3" tint="0.39991454817346722"/>
      </right>
      <top style="thin">
        <color theme="3" tint="0.39994506668294322"/>
      </top>
      <bottom style="thin">
        <color theme="3" tint="0.39994506668294322"/>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medium">
        <color indexed="64"/>
      </left>
      <right style="hair">
        <color indexed="9"/>
      </right>
      <top style="medium">
        <color indexed="64"/>
      </top>
      <bottom style="medium">
        <color indexed="64"/>
      </bottom>
      <diagonal/>
    </border>
    <border>
      <left/>
      <right/>
      <top style="medium">
        <color indexed="64"/>
      </top>
      <bottom style="thin">
        <color indexed="64"/>
      </bottom>
      <diagonal/>
    </border>
    <border>
      <left style="thin">
        <color rgb="FF4BACC6"/>
      </left>
      <right style="thin">
        <color rgb="FF4BACC6"/>
      </right>
      <top style="thin">
        <color rgb="FF4BACC6"/>
      </top>
      <bottom style="thin">
        <color theme="3" tint="0.39994506668294322"/>
      </bottom>
      <diagonal/>
    </border>
    <border>
      <left style="thin">
        <color rgb="FF4BACC6"/>
      </left>
      <right style="thin">
        <color rgb="FF4BACC6"/>
      </right>
      <top style="thin">
        <color rgb="FF4BACC6"/>
      </top>
      <bottom style="thin">
        <color rgb="FF4BACC6"/>
      </bottom>
      <diagonal/>
    </border>
    <border>
      <left style="thin">
        <color rgb="FF4BACC6"/>
      </left>
      <right style="thin">
        <color rgb="FF4BACC6"/>
      </right>
      <top style="thin">
        <color rgb="FF4BACC6"/>
      </top>
      <bottom/>
      <diagonal/>
    </border>
    <border>
      <left style="thin">
        <color rgb="FF4BACC6"/>
      </left>
      <right style="thin">
        <color rgb="FF4BACC6"/>
      </right>
      <top/>
      <bottom style="thin">
        <color theme="3" tint="0.39994506668294322"/>
      </bottom>
      <diagonal/>
    </border>
    <border>
      <left style="thin">
        <color indexed="64"/>
      </left>
      <right/>
      <top style="thin">
        <color indexed="64"/>
      </top>
      <bottom style="dotted">
        <color theme="2" tint="-9.9948118533890809E-2"/>
      </bottom>
      <diagonal/>
    </border>
    <border>
      <left/>
      <right/>
      <top style="thin">
        <color indexed="64"/>
      </top>
      <bottom style="dotted">
        <color theme="2" tint="-9.9948118533890809E-2"/>
      </bottom>
      <diagonal/>
    </border>
    <border>
      <left/>
      <right style="thin">
        <color indexed="64"/>
      </right>
      <top style="thin">
        <color indexed="64"/>
      </top>
      <bottom style="dotted">
        <color theme="2" tint="-9.9948118533890809E-2"/>
      </bottom>
      <diagonal/>
    </border>
    <border>
      <left style="thin">
        <color indexed="64"/>
      </left>
      <right/>
      <top style="dotted">
        <color theme="2" tint="-9.9948118533890809E-2"/>
      </top>
      <bottom style="dotted">
        <color theme="2" tint="-9.9948118533890809E-2"/>
      </bottom>
      <diagonal/>
    </border>
    <border>
      <left/>
      <right/>
      <top style="dotted">
        <color theme="2" tint="-9.9948118533890809E-2"/>
      </top>
      <bottom style="dotted">
        <color theme="2" tint="-9.9948118533890809E-2"/>
      </bottom>
      <diagonal/>
    </border>
    <border>
      <left/>
      <right style="thin">
        <color indexed="64"/>
      </right>
      <top style="dotted">
        <color theme="2" tint="-9.9948118533890809E-2"/>
      </top>
      <bottom style="dotted">
        <color theme="2" tint="-9.9948118533890809E-2"/>
      </bottom>
      <diagonal/>
    </border>
    <border>
      <left style="thin">
        <color theme="3" tint="0.39991454817346722"/>
      </left>
      <right style="thin">
        <color theme="3" tint="0.39994506668294322"/>
      </right>
      <top style="thin">
        <color theme="3" tint="0.39994506668294322"/>
      </top>
      <bottom style="thin">
        <color theme="3" tint="0.39994506668294322"/>
      </bottom>
      <diagonal/>
    </border>
    <border>
      <left style="thin">
        <color indexed="64"/>
      </left>
      <right/>
      <top style="dashed">
        <color theme="2" tint="-0.24994659260841701"/>
      </top>
      <bottom style="dashed">
        <color theme="2" tint="-0.24994659260841701"/>
      </bottom>
      <diagonal/>
    </border>
    <border>
      <left/>
      <right/>
      <top style="dashed">
        <color theme="2" tint="-0.24994659260841701"/>
      </top>
      <bottom style="dashed">
        <color theme="2" tint="-0.24994659260841701"/>
      </bottom>
      <diagonal/>
    </border>
    <border>
      <left/>
      <right style="thin">
        <color indexed="64"/>
      </right>
      <top style="dashed">
        <color theme="2" tint="-0.24994659260841701"/>
      </top>
      <bottom style="dashed">
        <color theme="2" tint="-0.24994659260841701"/>
      </bottom>
      <diagonal/>
    </border>
    <border>
      <left style="thin">
        <color indexed="64"/>
      </left>
      <right/>
      <top style="thin">
        <color indexed="64"/>
      </top>
      <bottom style="dashed">
        <color theme="2" tint="-0.24994659260841701"/>
      </bottom>
      <diagonal/>
    </border>
    <border>
      <left/>
      <right/>
      <top style="thin">
        <color indexed="64"/>
      </top>
      <bottom style="dashed">
        <color theme="2" tint="-0.24994659260841701"/>
      </bottom>
      <diagonal/>
    </border>
    <border>
      <left/>
      <right style="thin">
        <color indexed="64"/>
      </right>
      <top style="thin">
        <color indexed="64"/>
      </top>
      <bottom style="dashed">
        <color theme="2" tint="-0.24994659260841701"/>
      </bottom>
      <diagonal/>
    </border>
    <border>
      <left style="thin">
        <color indexed="64"/>
      </left>
      <right/>
      <top style="dashed">
        <color theme="2" tint="-0.24994659260841701"/>
      </top>
      <bottom style="thin">
        <color indexed="64"/>
      </bottom>
      <diagonal/>
    </border>
    <border>
      <left/>
      <right/>
      <top style="dashed">
        <color theme="2" tint="-0.24994659260841701"/>
      </top>
      <bottom style="thin">
        <color indexed="64"/>
      </bottom>
      <diagonal/>
    </border>
    <border>
      <left/>
      <right style="thin">
        <color indexed="64"/>
      </right>
      <top style="dashed">
        <color theme="2" tint="-0.24994659260841701"/>
      </top>
      <bottom style="thin">
        <color indexed="64"/>
      </bottom>
      <diagonal/>
    </border>
    <border>
      <left style="thin">
        <color indexed="64"/>
      </left>
      <right style="thin">
        <color theme="0"/>
      </right>
      <top style="thin">
        <color theme="0"/>
      </top>
      <bottom style="thin">
        <color theme="0"/>
      </bottom>
      <diagonal/>
    </border>
    <border>
      <left style="medium">
        <color indexed="64"/>
      </left>
      <right style="medium">
        <color indexed="64"/>
      </right>
      <top style="medium">
        <color indexed="64"/>
      </top>
      <bottom style="thin">
        <color theme="2" tint="-0.24994659260841701"/>
      </bottom>
      <diagonal/>
    </border>
    <border>
      <left style="medium">
        <color indexed="64"/>
      </left>
      <right style="medium">
        <color indexed="64"/>
      </right>
      <top style="thin">
        <color theme="2" tint="-0.24994659260841701"/>
      </top>
      <bottom style="thin">
        <color theme="2" tint="-0.24994659260841701"/>
      </bottom>
      <diagonal/>
    </border>
    <border>
      <left style="medium">
        <color indexed="64"/>
      </left>
      <right style="medium">
        <color indexed="64"/>
      </right>
      <top style="thin">
        <color theme="2" tint="-0.24994659260841701"/>
      </top>
      <bottom style="medium">
        <color indexed="64"/>
      </bottom>
      <diagonal/>
    </border>
    <border>
      <left style="medium">
        <color indexed="64"/>
      </left>
      <right style="thin">
        <color theme="2" tint="-0.24994659260841701"/>
      </right>
      <top style="medium">
        <color indexed="64"/>
      </top>
      <bottom style="thin">
        <color theme="2" tint="-0.24994659260841701"/>
      </bottom>
      <diagonal/>
    </border>
    <border>
      <left style="thin">
        <color theme="2" tint="-0.24994659260841701"/>
      </left>
      <right style="thin">
        <color theme="2" tint="-0.24994659260841701"/>
      </right>
      <top style="medium">
        <color indexed="64"/>
      </top>
      <bottom style="thin">
        <color theme="2" tint="-0.24994659260841701"/>
      </bottom>
      <diagonal/>
    </border>
    <border>
      <left style="thin">
        <color theme="2" tint="-0.24994659260841701"/>
      </left>
      <right style="medium">
        <color indexed="64"/>
      </right>
      <top style="medium">
        <color indexed="64"/>
      </top>
      <bottom style="thin">
        <color theme="2" tint="-0.24994659260841701"/>
      </bottom>
      <diagonal/>
    </border>
    <border>
      <left style="medium">
        <color indexed="64"/>
      </left>
      <right style="thin">
        <color theme="2" tint="-0.24994659260841701"/>
      </right>
      <top style="thin">
        <color theme="2" tint="-0.24994659260841701"/>
      </top>
      <bottom style="thin">
        <color theme="2" tint="-0.24994659260841701"/>
      </bottom>
      <diagonal/>
    </border>
    <border>
      <left style="thin">
        <color theme="2" tint="-0.24994659260841701"/>
      </left>
      <right style="medium">
        <color indexed="64"/>
      </right>
      <top style="thin">
        <color theme="2" tint="-0.24994659260841701"/>
      </top>
      <bottom style="thin">
        <color theme="2" tint="-0.24994659260841701"/>
      </bottom>
      <diagonal/>
    </border>
    <border>
      <left style="medium">
        <color indexed="64"/>
      </left>
      <right style="thin">
        <color theme="2" tint="-0.24994659260841701"/>
      </right>
      <top style="thin">
        <color theme="2" tint="-0.24994659260841701"/>
      </top>
      <bottom style="medium">
        <color indexed="64"/>
      </bottom>
      <diagonal/>
    </border>
    <border>
      <left style="thin">
        <color theme="2" tint="-0.24994659260841701"/>
      </left>
      <right style="thin">
        <color theme="2" tint="-0.24994659260841701"/>
      </right>
      <top style="thin">
        <color theme="2" tint="-0.24994659260841701"/>
      </top>
      <bottom style="medium">
        <color indexed="64"/>
      </bottom>
      <diagonal/>
    </border>
    <border>
      <left style="thin">
        <color theme="2" tint="-0.24994659260841701"/>
      </left>
      <right style="medium">
        <color indexed="64"/>
      </right>
      <top style="thin">
        <color theme="2" tint="-0.24994659260841701"/>
      </top>
      <bottom style="medium">
        <color indexed="64"/>
      </bottom>
      <diagonal/>
    </border>
    <border>
      <left style="medium">
        <color indexed="64"/>
      </left>
      <right style="thin">
        <color theme="2" tint="-0.24994659260841701"/>
      </right>
      <top style="medium">
        <color indexed="64"/>
      </top>
      <bottom style="medium">
        <color indexed="64"/>
      </bottom>
      <diagonal/>
    </border>
    <border>
      <left style="thin">
        <color theme="2" tint="-0.24994659260841701"/>
      </left>
      <right style="thin">
        <color theme="2" tint="-0.24994659260841701"/>
      </right>
      <top style="medium">
        <color indexed="64"/>
      </top>
      <bottom style="medium">
        <color indexed="64"/>
      </bottom>
      <diagonal/>
    </border>
    <border>
      <left style="thin">
        <color theme="2" tint="-0.24994659260841701"/>
      </left>
      <right style="medium">
        <color indexed="64"/>
      </right>
      <top style="medium">
        <color indexed="64"/>
      </top>
      <bottom style="medium">
        <color indexed="64"/>
      </bottom>
      <diagonal/>
    </border>
    <border>
      <left style="dotted">
        <color indexed="16"/>
      </left>
      <right/>
      <top style="dotted">
        <color indexed="16"/>
      </top>
      <bottom style="dotted">
        <color indexed="16"/>
      </bottom>
      <diagonal/>
    </border>
    <border>
      <left style="dotted">
        <color indexed="16"/>
      </left>
      <right/>
      <top style="double">
        <color indexed="16"/>
      </top>
      <bottom style="double">
        <color indexed="16"/>
      </bottom>
      <diagonal/>
    </border>
    <border>
      <left style="double">
        <color indexed="16"/>
      </left>
      <right style="double">
        <color indexed="16"/>
      </right>
      <top style="dotted">
        <color indexed="16"/>
      </top>
      <bottom style="dotted">
        <color indexed="16"/>
      </bottom>
      <diagonal/>
    </border>
    <border>
      <left style="double">
        <color indexed="16"/>
      </left>
      <right style="double">
        <color indexed="16"/>
      </right>
      <top/>
      <bottom/>
      <diagonal/>
    </border>
    <border>
      <left style="double">
        <color indexed="16"/>
      </left>
      <right style="dotted">
        <color indexed="16"/>
      </right>
      <top style="double">
        <color indexed="16"/>
      </top>
      <bottom/>
      <diagonal/>
    </border>
    <border>
      <left style="dotted">
        <color indexed="16"/>
      </left>
      <right style="dotted">
        <color indexed="16"/>
      </right>
      <top style="double">
        <color indexed="16"/>
      </top>
      <bottom/>
      <diagonal/>
    </border>
    <border>
      <left style="dotted">
        <color indexed="16"/>
      </left>
      <right/>
      <top style="double">
        <color indexed="16"/>
      </top>
      <bottom/>
      <diagonal/>
    </border>
    <border>
      <left/>
      <right style="double">
        <color indexed="16"/>
      </right>
      <top style="double">
        <color indexed="16"/>
      </top>
      <bottom/>
      <diagonal/>
    </border>
    <border>
      <left style="double">
        <color indexed="16"/>
      </left>
      <right/>
      <top/>
      <bottom style="double">
        <color indexed="16"/>
      </bottom>
      <diagonal/>
    </border>
    <border>
      <left/>
      <right style="dotted">
        <color indexed="16"/>
      </right>
      <top/>
      <bottom style="double">
        <color indexed="16"/>
      </bottom>
      <diagonal/>
    </border>
    <border>
      <left style="dotted">
        <color indexed="16"/>
      </left>
      <right/>
      <top/>
      <bottom style="double">
        <color indexed="16"/>
      </bottom>
      <diagonal/>
    </border>
    <border>
      <left/>
      <right style="double">
        <color indexed="16"/>
      </right>
      <top/>
      <bottom style="double">
        <color indexed="16"/>
      </bottom>
      <diagonal/>
    </border>
    <border>
      <left/>
      <right style="double">
        <color indexed="16"/>
      </right>
      <top style="dotted">
        <color indexed="16"/>
      </top>
      <bottom style="dotted">
        <color indexed="16"/>
      </bottom>
      <diagonal/>
    </border>
    <border>
      <left/>
      <right style="thin">
        <color rgb="FF4BACC6"/>
      </right>
      <top style="thin">
        <color rgb="FF4BACC6"/>
      </top>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1454817346722"/>
      </left>
      <right style="thin">
        <color theme="3" tint="0.39994506668294322"/>
      </right>
      <top style="thin">
        <color theme="3" tint="0.39991454817346722"/>
      </top>
      <bottom style="thin">
        <color theme="3" tint="0.39991454817346722"/>
      </bottom>
      <diagonal/>
    </border>
    <border>
      <left/>
      <right style="thin">
        <color rgb="FF4BACC6"/>
      </right>
      <top style="thin">
        <color rgb="FF4BACC6"/>
      </top>
      <bottom style="thin">
        <color rgb="FF4BACC6"/>
      </bottom>
      <diagonal/>
    </border>
    <border>
      <left/>
      <right style="thin">
        <color theme="3" tint="0.39991454817346722"/>
      </right>
      <top style="thin">
        <color theme="3" tint="0.39991454817346722"/>
      </top>
      <bottom style="thin">
        <color theme="3" tint="0.39991454817346722"/>
      </bottom>
      <diagonal/>
    </border>
    <border>
      <left/>
      <right/>
      <top style="thin">
        <color theme="3" tint="0.39994506668294322"/>
      </top>
      <bottom/>
      <diagonal/>
    </border>
    <border>
      <left style="thin">
        <color theme="3" tint="0.39994506668294322"/>
      </left>
      <right/>
      <top style="thin">
        <color theme="3" tint="0.39994506668294322"/>
      </top>
      <bottom/>
      <diagonal/>
    </border>
    <border>
      <left/>
      <right style="thin">
        <color theme="3" tint="0.39994506668294322"/>
      </right>
      <top style="thin">
        <color theme="3" tint="0.39994506668294322"/>
      </top>
      <bottom/>
      <diagonal/>
    </border>
    <border>
      <left style="thin">
        <color theme="3" tint="0.39994506668294322"/>
      </left>
      <right/>
      <top/>
      <bottom style="thin">
        <color theme="3" tint="0.39994506668294322"/>
      </bottom>
      <diagonal/>
    </border>
    <border>
      <left/>
      <right style="thin">
        <color theme="3" tint="0.39994506668294322"/>
      </right>
      <top/>
      <bottom style="thin">
        <color theme="3" tint="0.39994506668294322"/>
      </bottom>
      <diagonal/>
    </border>
  </borders>
  <cellStyleXfs count="8">
    <xf numFmtId="0" fontId="0" fillId="0" borderId="0"/>
    <xf numFmtId="0" fontId="8" fillId="0" borderId="0" applyNumberFormat="0" applyFill="0" applyBorder="0" applyAlignment="0" applyProtection="0">
      <alignment vertical="top"/>
      <protection locked="0"/>
    </xf>
    <xf numFmtId="0" fontId="123" fillId="0" borderId="0"/>
    <xf numFmtId="0" fontId="4" fillId="0" borderId="0"/>
    <xf numFmtId="43" fontId="307" fillId="0" borderId="0" applyFont="0" applyFill="0" applyBorder="0" applyAlignment="0" applyProtection="0"/>
    <xf numFmtId="0" fontId="2" fillId="0" borderId="0"/>
    <xf numFmtId="0" fontId="342" fillId="0" borderId="0" applyNumberFormat="0" applyFill="0" applyBorder="0" applyAlignment="0" applyProtection="0"/>
    <xf numFmtId="0" fontId="1" fillId="0" borderId="0"/>
  </cellStyleXfs>
  <cellXfs count="5596">
    <xf numFmtId="0" fontId="0" fillId="0" borderId="0" xfId="0"/>
    <xf numFmtId="0" fontId="0" fillId="0" borderId="1" xfId="0" applyBorder="1" applyProtection="1"/>
    <xf numFmtId="0" fontId="6" fillId="0" borderId="1" xfId="0" applyFont="1" applyBorder="1" applyAlignment="1" applyProtection="1"/>
    <xf numFmtId="0" fontId="6" fillId="0" borderId="1" xfId="0" applyFont="1" applyBorder="1" applyAlignment="1" applyProtection="1">
      <alignment horizontal="right"/>
    </xf>
    <xf numFmtId="0" fontId="13" fillId="0" borderId="1" xfId="0" applyFont="1" applyBorder="1" applyAlignment="1" applyProtection="1">
      <alignment horizontal="center"/>
    </xf>
    <xf numFmtId="0" fontId="6" fillId="0" borderId="1" xfId="0" applyFont="1" applyBorder="1" applyProtection="1"/>
    <xf numFmtId="0" fontId="6" fillId="0" borderId="2" xfId="0" applyFont="1" applyBorder="1" applyAlignment="1" applyProtection="1"/>
    <xf numFmtId="0" fontId="6" fillId="0" borderId="2" xfId="0" applyFont="1" applyBorder="1" applyProtection="1"/>
    <xf numFmtId="0" fontId="13" fillId="0" borderId="1" xfId="0" applyFont="1" applyBorder="1" applyAlignment="1" applyProtection="1">
      <alignment horizontal="right"/>
    </xf>
    <xf numFmtId="0" fontId="6" fillId="0" borderId="3" xfId="0" applyFont="1" applyBorder="1" applyAlignment="1" applyProtection="1"/>
    <xf numFmtId="0" fontId="6" fillId="0" borderId="4" xfId="0" applyFont="1" applyBorder="1" applyAlignment="1" applyProtection="1"/>
    <xf numFmtId="0" fontId="6" fillId="0" borderId="5" xfId="0" applyFont="1" applyBorder="1" applyAlignment="1" applyProtection="1"/>
    <xf numFmtId="0" fontId="6" fillId="0" borderId="6" xfId="0" applyFont="1" applyBorder="1" applyAlignment="1" applyProtection="1"/>
    <xf numFmtId="0" fontId="6" fillId="0" borderId="3" xfId="0" applyFont="1" applyBorder="1" applyProtection="1"/>
    <xf numFmtId="0" fontId="11" fillId="0" borderId="2" xfId="0" applyFont="1" applyBorder="1" applyAlignment="1" applyProtection="1"/>
    <xf numFmtId="0" fontId="16" fillId="0" borderId="0" xfId="0" applyFont="1" applyBorder="1" applyAlignment="1" applyProtection="1">
      <alignment horizontal="center"/>
      <protection locked="0"/>
    </xf>
    <xf numFmtId="0" fontId="0" fillId="0" borderId="0" xfId="0" applyBorder="1" applyProtection="1"/>
    <xf numFmtId="0" fontId="0" fillId="0" borderId="0" xfId="0" applyProtection="1"/>
    <xf numFmtId="0" fontId="6" fillId="0" borderId="0" xfId="0" applyFont="1" applyProtection="1"/>
    <xf numFmtId="0" fontId="7" fillId="0" borderId="0" xfId="0" applyFont="1" applyProtection="1"/>
    <xf numFmtId="0" fontId="15" fillId="0" borderId="7" xfId="0" applyFont="1" applyBorder="1" applyAlignment="1" applyProtection="1">
      <alignment vertical="center"/>
    </xf>
    <xf numFmtId="0" fontId="15" fillId="0" borderId="9" xfId="0" applyFont="1" applyBorder="1" applyAlignment="1" applyProtection="1">
      <alignment vertical="center"/>
    </xf>
    <xf numFmtId="0" fontId="15" fillId="0" borderId="11" xfId="0" applyFont="1" applyBorder="1" applyAlignment="1" applyProtection="1">
      <alignment vertical="center"/>
    </xf>
    <xf numFmtId="0" fontId="0" fillId="0" borderId="14" xfId="0" applyBorder="1" applyAlignment="1" applyProtection="1"/>
    <xf numFmtId="0" fontId="0" fillId="0" borderId="1" xfId="0" applyBorder="1" applyAlignment="1" applyProtection="1">
      <alignment horizontal="center"/>
    </xf>
    <xf numFmtId="0" fontId="0" fillId="0" borderId="5" xfId="0" applyBorder="1" applyProtection="1"/>
    <xf numFmtId="0" fontId="0" fillId="0" borderId="3" xfId="0" applyBorder="1" applyProtection="1"/>
    <xf numFmtId="0" fontId="14" fillId="0" borderId="0" xfId="0" applyFont="1" applyProtection="1"/>
    <xf numFmtId="0" fontId="19" fillId="0" borderId="15" xfId="0" applyFont="1" applyBorder="1" applyAlignment="1" applyProtection="1">
      <alignment vertical="center"/>
    </xf>
    <xf numFmtId="0" fontId="19" fillId="0" borderId="16" xfId="0" applyFont="1" applyBorder="1" applyAlignment="1" applyProtection="1">
      <alignment vertical="center"/>
    </xf>
    <xf numFmtId="0" fontId="19" fillId="0" borderId="17" xfId="0" applyFont="1" applyBorder="1" applyAlignment="1" applyProtection="1">
      <alignment vertical="center"/>
    </xf>
    <xf numFmtId="0" fontId="9" fillId="0" borderId="18" xfId="0" applyFont="1" applyBorder="1" applyAlignment="1" applyProtection="1">
      <alignment horizontal="center" vertical="center"/>
    </xf>
    <xf numFmtId="0" fontId="9" fillId="0" borderId="19" xfId="0" applyFont="1" applyBorder="1" applyAlignment="1" applyProtection="1">
      <alignment horizontal="center" vertical="center"/>
    </xf>
    <xf numFmtId="0" fontId="9" fillId="0" borderId="20" xfId="0" applyFont="1" applyBorder="1" applyAlignment="1" applyProtection="1">
      <alignment horizontal="center" vertical="center"/>
    </xf>
    <xf numFmtId="0" fontId="9" fillId="0" borderId="21" xfId="0" applyFont="1" applyBorder="1" applyAlignment="1" applyProtection="1">
      <alignment horizontal="center" vertical="center"/>
    </xf>
    <xf numFmtId="0" fontId="9" fillId="0" borderId="22" xfId="0" applyFont="1" applyBorder="1" applyAlignment="1" applyProtection="1">
      <alignment horizontal="center" vertical="center"/>
    </xf>
    <xf numFmtId="0" fontId="9" fillId="0" borderId="23" xfId="0" applyFont="1" applyBorder="1" applyAlignment="1" applyProtection="1">
      <alignment horizontal="center" vertical="center"/>
    </xf>
    <xf numFmtId="0" fontId="0" fillId="0" borderId="24" xfId="0" applyBorder="1" applyProtection="1"/>
    <xf numFmtId="0" fontId="0" fillId="0" borderId="25" xfId="0" applyBorder="1" applyProtection="1"/>
    <xf numFmtId="0" fontId="14" fillId="0" borderId="25" xfId="0" applyFont="1" applyBorder="1" applyProtection="1"/>
    <xf numFmtId="0" fontId="22" fillId="0" borderId="26" xfId="0" applyFont="1" applyBorder="1" applyAlignment="1" applyProtection="1"/>
    <xf numFmtId="0" fontId="0" fillId="0" borderId="27" xfId="0" applyBorder="1" applyProtection="1"/>
    <xf numFmtId="0" fontId="0" fillId="0" borderId="28" xfId="0" applyBorder="1" applyProtection="1"/>
    <xf numFmtId="0" fontId="0" fillId="0" borderId="29" xfId="0" applyBorder="1" applyProtection="1"/>
    <xf numFmtId="0" fontId="0" fillId="0" borderId="30" xfId="0" applyBorder="1" applyProtection="1"/>
    <xf numFmtId="0" fontId="0" fillId="0" borderId="26" xfId="0" applyBorder="1" applyProtection="1"/>
    <xf numFmtId="0" fontId="14" fillId="0" borderId="26" xfId="0" applyFont="1" applyBorder="1" applyProtection="1"/>
    <xf numFmtId="0" fontId="14" fillId="0" borderId="30" xfId="0" applyFont="1" applyBorder="1" applyProtection="1"/>
    <xf numFmtId="0" fontId="22" fillId="0" borderId="31" xfId="0" applyFont="1" applyBorder="1" applyAlignment="1" applyProtection="1"/>
    <xf numFmtId="0" fontId="24" fillId="0" borderId="30" xfId="0" applyFont="1" applyBorder="1" applyAlignment="1" applyProtection="1"/>
    <xf numFmtId="0" fontId="24" fillId="0" borderId="29" xfId="0" applyFont="1" applyBorder="1" applyAlignment="1" applyProtection="1"/>
    <xf numFmtId="0" fontId="22" fillId="0" borderId="29" xfId="0" applyFont="1" applyBorder="1" applyAlignment="1" applyProtection="1">
      <alignment horizontal="center"/>
    </xf>
    <xf numFmtId="0" fontId="0" fillId="0" borderId="32" xfId="0" applyBorder="1" applyProtection="1"/>
    <xf numFmtId="0" fontId="126" fillId="0" borderId="30" xfId="0" applyFont="1" applyBorder="1" applyAlignment="1" applyProtection="1"/>
    <xf numFmtId="0" fontId="6" fillId="0" borderId="26" xfId="0" applyFont="1" applyBorder="1" applyAlignment="1" applyProtection="1">
      <alignment horizontal="center"/>
    </xf>
    <xf numFmtId="0" fontId="7" fillId="0" borderId="30" xfId="0" applyFont="1" applyBorder="1" applyProtection="1"/>
    <xf numFmtId="0" fontId="0" fillId="0" borderId="30" xfId="0" applyBorder="1" applyAlignment="1" applyProtection="1"/>
    <xf numFmtId="0" fontId="0" fillId="0" borderId="33" xfId="0" applyBorder="1" applyAlignment="1" applyProtection="1">
      <alignment horizontal="center"/>
    </xf>
    <xf numFmtId="0" fontId="0" fillId="0" borderId="34" xfId="0" applyBorder="1" applyProtection="1"/>
    <xf numFmtId="0" fontId="0" fillId="0" borderId="35" xfId="0" applyBorder="1" applyProtection="1"/>
    <xf numFmtId="0" fontId="0" fillId="0" borderId="31" xfId="0" applyBorder="1" applyProtection="1"/>
    <xf numFmtId="1" fontId="31" fillId="0" borderId="36" xfId="0" applyNumberFormat="1" applyFont="1" applyBorder="1" applyAlignment="1" applyProtection="1">
      <alignment horizontal="center" vertical="center" wrapText="1"/>
    </xf>
    <xf numFmtId="0" fontId="31" fillId="0" borderId="224" xfId="0" applyFont="1" applyBorder="1" applyAlignment="1" applyProtection="1">
      <alignment vertical="center"/>
    </xf>
    <xf numFmtId="0" fontId="31" fillId="0" borderId="225" xfId="0" applyFont="1" applyBorder="1" applyAlignment="1" applyProtection="1">
      <alignment vertical="center" wrapText="1"/>
    </xf>
    <xf numFmtId="1" fontId="31" fillId="0" borderId="38" xfId="0" applyNumberFormat="1" applyFont="1" applyBorder="1" applyAlignment="1" applyProtection="1">
      <alignment horizontal="center" vertical="center" wrapText="1"/>
    </xf>
    <xf numFmtId="0" fontId="31" fillId="0" borderId="226" xfId="0" applyFont="1" applyBorder="1" applyAlignment="1" applyProtection="1">
      <alignment vertical="center" wrapText="1"/>
    </xf>
    <xf numFmtId="1" fontId="31" fillId="0" borderId="224" xfId="0" applyNumberFormat="1" applyFont="1" applyBorder="1" applyAlignment="1" applyProtection="1">
      <alignment vertical="center"/>
    </xf>
    <xf numFmtId="0" fontId="31" fillId="0" borderId="226" xfId="0" applyFont="1" applyBorder="1" applyAlignment="1" applyProtection="1">
      <alignment horizontal="left" vertical="center" wrapText="1"/>
    </xf>
    <xf numFmtId="0" fontId="0" fillId="0" borderId="39" xfId="0" applyBorder="1" applyProtection="1"/>
    <xf numFmtId="0" fontId="33" fillId="0" borderId="40" xfId="0" applyFont="1" applyBorder="1" applyAlignment="1" applyProtection="1">
      <alignment horizontal="center" vertical="center"/>
    </xf>
    <xf numFmtId="0" fontId="31" fillId="0" borderId="40" xfId="0" applyFont="1" applyBorder="1" applyAlignment="1" applyProtection="1"/>
    <xf numFmtId="0" fontId="31" fillId="0" borderId="40" xfId="0" applyFont="1" applyBorder="1" applyProtection="1"/>
    <xf numFmtId="0" fontId="31" fillId="0" borderId="41" xfId="0" applyFont="1" applyBorder="1" applyProtection="1"/>
    <xf numFmtId="0" fontId="19" fillId="0" borderId="35" xfId="0" applyFont="1" applyBorder="1" applyProtection="1"/>
    <xf numFmtId="0" fontId="19" fillId="0" borderId="0" xfId="0" applyFont="1" applyProtection="1"/>
    <xf numFmtId="0" fontId="0" fillId="0" borderId="42" xfId="0" applyBorder="1" applyProtection="1"/>
    <xf numFmtId="0" fontId="0" fillId="0" borderId="43" xfId="0" applyBorder="1" applyProtection="1"/>
    <xf numFmtId="0" fontId="0" fillId="0" borderId="44" xfId="0" applyBorder="1" applyProtection="1"/>
    <xf numFmtId="0" fontId="31" fillId="0" borderId="44" xfId="0" applyFont="1" applyBorder="1" applyAlignment="1" applyProtection="1"/>
    <xf numFmtId="0" fontId="31" fillId="0" borderId="45" xfId="0" applyFont="1" applyBorder="1" applyAlignment="1" applyProtection="1"/>
    <xf numFmtId="0" fontId="35" fillId="0" borderId="1" xfId="0" applyFont="1" applyBorder="1" applyAlignment="1" applyProtection="1">
      <alignment horizontal="center"/>
    </xf>
    <xf numFmtId="0" fontId="35" fillId="0" borderId="46" xfId="0" applyFont="1" applyBorder="1" applyAlignment="1" applyProtection="1">
      <alignment horizontal="center"/>
    </xf>
    <xf numFmtId="0" fontId="18" fillId="0" borderId="0" xfId="0" applyFont="1" applyBorder="1" applyAlignment="1" applyProtection="1">
      <alignment horizontal="left" vertical="center"/>
    </xf>
    <xf numFmtId="0" fontId="14" fillId="0" borderId="0" xfId="0" applyFont="1" applyBorder="1" applyAlignment="1" applyProtection="1">
      <alignment horizontal="left" vertical="center"/>
    </xf>
    <xf numFmtId="0" fontId="19" fillId="0" borderId="0" xfId="0" applyFont="1" applyBorder="1" applyAlignment="1" applyProtection="1">
      <alignment horizontal="left" vertical="center"/>
    </xf>
    <xf numFmtId="0" fontId="19" fillId="0" borderId="0" xfId="0" applyFont="1" applyAlignment="1" applyProtection="1">
      <alignment horizontal="left" vertical="center"/>
    </xf>
    <xf numFmtId="0" fontId="18" fillId="0" borderId="0" xfId="0" applyFont="1" applyBorder="1" applyAlignment="1" applyProtection="1">
      <alignment horizontal="left"/>
    </xf>
    <xf numFmtId="0" fontId="18" fillId="0" borderId="0" xfId="0" applyFont="1" applyBorder="1" applyAlignment="1" applyProtection="1">
      <alignment horizontal="center" vertical="center"/>
    </xf>
    <xf numFmtId="0" fontId="0" fillId="0" borderId="227" xfId="0" applyBorder="1"/>
    <xf numFmtId="0" fontId="0" fillId="0" borderId="228" xfId="0" applyBorder="1"/>
    <xf numFmtId="0" fontId="0" fillId="0" borderId="229" xfId="0" applyBorder="1"/>
    <xf numFmtId="0" fontId="0" fillId="0" borderId="230" xfId="0" applyBorder="1"/>
    <xf numFmtId="0" fontId="0" fillId="0" borderId="231" xfId="0" applyBorder="1"/>
    <xf numFmtId="0" fontId="0" fillId="0" borderId="232" xfId="0" applyBorder="1"/>
    <xf numFmtId="0" fontId="0" fillId="0" borderId="233" xfId="0" applyBorder="1"/>
    <xf numFmtId="0" fontId="0" fillId="0" borderId="234" xfId="0" applyBorder="1"/>
    <xf numFmtId="0" fontId="0" fillId="0" borderId="235" xfId="0" applyBorder="1"/>
    <xf numFmtId="0" fontId="0" fillId="0" borderId="236" xfId="0" applyBorder="1"/>
    <xf numFmtId="0" fontId="0" fillId="0" borderId="231" xfId="0" applyBorder="1" applyAlignment="1">
      <alignment vertical="center"/>
    </xf>
    <xf numFmtId="0" fontId="127" fillId="0" borderId="231" xfId="0" applyFont="1" applyBorder="1" applyAlignment="1">
      <alignment vertical="center"/>
    </xf>
    <xf numFmtId="0" fontId="0" fillId="0" borderId="237" xfId="0" applyBorder="1" applyAlignment="1">
      <alignment vertical="center"/>
    </xf>
    <xf numFmtId="0" fontId="127" fillId="0" borderId="237" xfId="0" applyFont="1" applyBorder="1" applyAlignment="1">
      <alignment horizontal="right" vertical="center"/>
    </xf>
    <xf numFmtId="0" fontId="127" fillId="0" borderId="238" xfId="0" applyFont="1" applyBorder="1" applyAlignment="1">
      <alignment horizontal="right" vertical="center"/>
    </xf>
    <xf numFmtId="0" fontId="0" fillId="0" borderId="239" xfId="0" applyBorder="1" applyAlignment="1">
      <alignment vertical="center"/>
    </xf>
    <xf numFmtId="0" fontId="0" fillId="0" borderId="240" xfId="0" applyBorder="1" applyAlignment="1">
      <alignment vertical="center"/>
    </xf>
    <xf numFmtId="0" fontId="125" fillId="0" borderId="237" xfId="0" applyFont="1" applyBorder="1" applyAlignment="1">
      <alignment horizontal="center" vertical="center"/>
    </xf>
    <xf numFmtId="0" fontId="125" fillId="0" borderId="241" xfId="0" applyFont="1" applyBorder="1" applyAlignment="1">
      <alignment horizontal="center" vertical="center"/>
    </xf>
    <xf numFmtId="0" fontId="0" fillId="0" borderId="0" xfId="0" applyAlignment="1">
      <alignment horizontal="center" vertical="center"/>
    </xf>
    <xf numFmtId="0" fontId="14" fillId="0" borderId="0" xfId="0" applyFont="1" applyAlignment="1" applyProtection="1">
      <alignment horizontal="center" vertical="center"/>
    </xf>
    <xf numFmtId="0" fontId="18" fillId="0" borderId="0" xfId="0" applyFont="1" applyProtection="1"/>
    <xf numFmtId="0" fontId="18" fillId="0" borderId="0" xfId="0" applyFont="1" applyBorder="1" applyAlignment="1" applyProtection="1">
      <alignment horizontal="center" vertical="center" wrapText="1"/>
    </xf>
    <xf numFmtId="0" fontId="18" fillId="0" borderId="0" xfId="0" applyFont="1" applyBorder="1" applyAlignment="1" applyProtection="1">
      <alignment horizontal="center"/>
    </xf>
    <xf numFmtId="0" fontId="18" fillId="0" borderId="0" xfId="0" applyFont="1" applyAlignment="1" applyProtection="1">
      <alignment horizontal="center" vertical="center"/>
    </xf>
    <xf numFmtId="0" fontId="18" fillId="0" borderId="0" xfId="0" applyFont="1" applyFill="1" applyAlignment="1" applyProtection="1">
      <alignment horizontal="left" vertical="center"/>
    </xf>
    <xf numFmtId="0" fontId="18" fillId="0" borderId="0" xfId="0" applyFont="1" applyFill="1" applyAlignment="1" applyProtection="1">
      <alignment horizontal="center" vertical="center"/>
    </xf>
    <xf numFmtId="0" fontId="36" fillId="0" borderId="0" xfId="0" applyFont="1" applyFill="1" applyAlignment="1" applyProtection="1">
      <alignment vertical="center"/>
    </xf>
    <xf numFmtId="0" fontId="31" fillId="0" borderId="0" xfId="0" applyFont="1" applyAlignment="1" applyProtection="1">
      <alignment horizontal="center" vertical="center"/>
    </xf>
    <xf numFmtId="0" fontId="0" fillId="0" borderId="242" xfId="0" applyBorder="1" applyProtection="1"/>
    <xf numFmtId="0" fontId="0" fillId="0" borderId="241" xfId="0" applyBorder="1" applyProtection="1"/>
    <xf numFmtId="0" fontId="0" fillId="0" borderId="243" xfId="0" applyBorder="1" applyProtection="1"/>
    <xf numFmtId="0" fontId="0" fillId="0" borderId="239" xfId="0" applyBorder="1" applyProtection="1"/>
    <xf numFmtId="0" fontId="6" fillId="0" borderId="0" xfId="0" applyFont="1" applyBorder="1" applyAlignment="1" applyProtection="1"/>
    <xf numFmtId="0" fontId="0" fillId="0" borderId="0" xfId="0" applyBorder="1" applyAlignment="1" applyProtection="1"/>
    <xf numFmtId="0" fontId="6" fillId="0" borderId="6" xfId="0" applyFont="1" applyBorder="1" applyProtection="1"/>
    <xf numFmtId="0" fontId="13" fillId="0" borderId="6" xfId="0" applyFont="1" applyBorder="1" applyAlignment="1" applyProtection="1"/>
    <xf numFmtId="0" fontId="6" fillId="0" borderId="0" xfId="0" applyFont="1" applyBorder="1" applyProtection="1"/>
    <xf numFmtId="0" fontId="7" fillId="0" borderId="0" xfId="0" applyFont="1" applyBorder="1" applyProtection="1"/>
    <xf numFmtId="0" fontId="17" fillId="0" borderId="0" xfId="0" applyFont="1" applyBorder="1" applyProtection="1"/>
    <xf numFmtId="0" fontId="0" fillId="0" borderId="1" xfId="0" applyBorder="1" applyAlignment="1" applyProtection="1"/>
    <xf numFmtId="0" fontId="6" fillId="0" borderId="5" xfId="0" applyFont="1" applyBorder="1" applyProtection="1"/>
    <xf numFmtId="0" fontId="15" fillId="0" borderId="1" xfId="0" applyFont="1" applyBorder="1" applyProtection="1"/>
    <xf numFmtId="0" fontId="15" fillId="0" borderId="0" xfId="0" applyFont="1" applyBorder="1" applyProtection="1"/>
    <xf numFmtId="0" fontId="0" fillId="0" borderId="53" xfId="0" applyBorder="1" applyProtection="1"/>
    <xf numFmtId="0" fontId="18" fillId="0" borderId="0" xfId="0" applyNumberFormat="1" applyFont="1" applyBorder="1" applyAlignment="1">
      <alignment horizontal="center" vertical="center"/>
    </xf>
    <xf numFmtId="0" fontId="7" fillId="0" borderId="0" xfId="0" applyFont="1" applyFill="1" applyBorder="1" applyAlignment="1">
      <alignment horizontal="center" vertical="center"/>
    </xf>
    <xf numFmtId="49" fontId="7" fillId="0" borderId="0" xfId="0" applyNumberFormat="1" applyFont="1" applyFill="1" applyBorder="1" applyAlignment="1">
      <alignment horizontal="center" vertical="center"/>
    </xf>
    <xf numFmtId="0" fontId="7" fillId="0" borderId="0" xfId="0" applyFont="1" applyBorder="1" applyAlignment="1">
      <alignment horizontal="center" vertical="center"/>
    </xf>
    <xf numFmtId="0" fontId="18" fillId="0" borderId="0" xfId="0" applyNumberFormat="1" applyFont="1" applyBorder="1" applyAlignment="1">
      <alignment horizontal="center" vertical="top"/>
    </xf>
    <xf numFmtId="0" fontId="18" fillId="0" borderId="0" xfId="0" applyFont="1" applyFill="1" applyBorder="1" applyAlignment="1">
      <alignment horizontal="left" vertical="top" wrapText="1"/>
    </xf>
    <xf numFmtId="49" fontId="18" fillId="0" borderId="0" xfId="0" applyNumberFormat="1" applyFont="1" applyBorder="1" applyAlignment="1">
      <alignment horizontal="center" vertical="top"/>
    </xf>
    <xf numFmtId="0" fontId="18" fillId="0" borderId="0" xfId="0" applyFont="1" applyBorder="1" applyAlignment="1">
      <alignment horizontal="left" vertical="top" wrapText="1"/>
    </xf>
    <xf numFmtId="0" fontId="0" fillId="0" borderId="0" xfId="0" applyBorder="1" applyAlignment="1" applyProtection="1">
      <alignment horizontal="center"/>
    </xf>
    <xf numFmtId="0" fontId="128" fillId="0" borderId="244" xfId="0" applyFont="1" applyBorder="1" applyAlignment="1" applyProtection="1">
      <alignment vertical="center"/>
    </xf>
    <xf numFmtId="0" fontId="128" fillId="0" borderId="245" xfId="0" applyFont="1" applyBorder="1" applyAlignment="1" applyProtection="1">
      <alignment horizontal="left" vertical="center"/>
    </xf>
    <xf numFmtId="0" fontId="128" fillId="0" borderId="245" xfId="0" applyFont="1" applyBorder="1" applyAlignment="1" applyProtection="1">
      <alignment vertical="center"/>
    </xf>
    <xf numFmtId="0" fontId="128" fillId="0" borderId="245" xfId="0" applyFont="1" applyBorder="1" applyAlignment="1" applyProtection="1">
      <alignment horizontal="center" vertical="center"/>
    </xf>
    <xf numFmtId="0" fontId="128" fillId="0" borderId="0" xfId="0" applyFont="1" applyAlignment="1" applyProtection="1">
      <alignment vertical="center"/>
    </xf>
    <xf numFmtId="0" fontId="128" fillId="0" borderId="246" xfId="0" applyFont="1" applyBorder="1" applyAlignment="1" applyProtection="1">
      <alignment vertical="center"/>
    </xf>
    <xf numFmtId="0" fontId="128" fillId="0" borderId="247" xfId="0" applyFont="1" applyBorder="1" applyAlignment="1" applyProtection="1">
      <alignment horizontal="left" vertical="center"/>
    </xf>
    <xf numFmtId="0" fontId="128" fillId="0" borderId="247" xfId="0" applyFont="1" applyBorder="1" applyAlignment="1" applyProtection="1">
      <alignment vertical="center"/>
    </xf>
    <xf numFmtId="0" fontId="128" fillId="0" borderId="247" xfId="0" applyFont="1" applyBorder="1" applyAlignment="1" applyProtection="1">
      <alignment horizontal="center" vertical="center"/>
    </xf>
    <xf numFmtId="0" fontId="128" fillId="0" borderId="248" xfId="0" applyFont="1" applyBorder="1" applyAlignment="1" applyProtection="1">
      <alignment vertical="center"/>
    </xf>
    <xf numFmtId="0" fontId="127" fillId="0" borderId="246" xfId="0" applyFont="1" applyBorder="1" applyAlignment="1" applyProtection="1">
      <alignment horizontal="left" vertical="center"/>
    </xf>
    <xf numFmtId="0" fontId="127" fillId="0" borderId="247" xfId="0" applyFont="1" applyBorder="1" applyAlignment="1" applyProtection="1">
      <alignment horizontal="right" vertical="center"/>
    </xf>
    <xf numFmtId="0" fontId="128" fillId="0" borderId="249" xfId="0" applyFont="1" applyBorder="1" applyAlignment="1" applyProtection="1">
      <alignment vertical="center"/>
    </xf>
    <xf numFmtId="0" fontId="129" fillId="0" borderId="250" xfId="0" applyFont="1" applyBorder="1" applyAlignment="1" applyProtection="1">
      <alignment horizontal="center" vertical="center"/>
    </xf>
    <xf numFmtId="0" fontId="128" fillId="0" borderId="248" xfId="0" applyFont="1" applyBorder="1" applyAlignment="1" applyProtection="1">
      <alignment horizontal="center" vertical="center"/>
    </xf>
    <xf numFmtId="0" fontId="128" fillId="0" borderId="251" xfId="0" applyFont="1" applyBorder="1" applyAlignment="1" applyProtection="1">
      <alignment vertical="center"/>
    </xf>
    <xf numFmtId="0" fontId="128" fillId="0" borderId="252" xfId="0" applyFont="1" applyBorder="1" applyAlignment="1" applyProtection="1">
      <alignment horizontal="center" vertical="center"/>
    </xf>
    <xf numFmtId="0" fontId="128" fillId="0" borderId="249" xfId="0" applyFont="1" applyBorder="1" applyAlignment="1" applyProtection="1">
      <alignment horizontal="center" vertical="center"/>
    </xf>
    <xf numFmtId="0" fontId="128" fillId="0" borderId="253" xfId="0" applyFont="1" applyBorder="1" applyAlignment="1" applyProtection="1">
      <alignment horizontal="center" vertical="center"/>
    </xf>
    <xf numFmtId="0" fontId="128" fillId="0" borderId="254" xfId="0" applyFont="1" applyBorder="1" applyAlignment="1" applyProtection="1">
      <alignment horizontal="center" vertical="center"/>
    </xf>
    <xf numFmtId="0" fontId="127" fillId="0" borderId="247" xfId="0" applyFont="1" applyBorder="1" applyAlignment="1" applyProtection="1">
      <alignment vertical="center"/>
    </xf>
    <xf numFmtId="0" fontId="0" fillId="0" borderId="247" xfId="0" applyBorder="1" applyAlignment="1" applyProtection="1">
      <alignment vertical="center"/>
    </xf>
    <xf numFmtId="0" fontId="128" fillId="0" borderId="253" xfId="0" applyFont="1" applyBorder="1" applyAlignment="1" applyProtection="1">
      <alignment vertical="center"/>
    </xf>
    <xf numFmtId="0" fontId="128" fillId="0" borderId="255" xfId="0" applyFont="1" applyBorder="1" applyAlignment="1" applyProtection="1">
      <alignment horizontal="center" vertical="center"/>
    </xf>
    <xf numFmtId="0" fontId="128" fillId="0" borderId="247" xfId="0" applyFont="1" applyBorder="1" applyAlignment="1" applyProtection="1">
      <alignment horizontal="right" vertical="center"/>
    </xf>
    <xf numFmtId="0" fontId="127" fillId="0" borderId="247" xfId="0" applyFont="1" applyBorder="1" applyAlignment="1" applyProtection="1">
      <alignment horizontal="left" vertical="center"/>
    </xf>
    <xf numFmtId="0" fontId="127" fillId="0" borderId="253" xfId="0" applyFont="1" applyBorder="1" applyAlignment="1" applyProtection="1">
      <alignment horizontal="left" vertical="center"/>
    </xf>
    <xf numFmtId="0" fontId="128" fillId="0" borderId="256" xfId="0" applyFont="1" applyBorder="1" applyAlignment="1" applyProtection="1">
      <alignment vertical="center"/>
    </xf>
    <xf numFmtId="0" fontId="128" fillId="0" borderId="253" xfId="0" applyFont="1" applyBorder="1" applyAlignment="1" applyProtection="1">
      <alignment horizontal="left" vertical="center"/>
    </xf>
    <xf numFmtId="0" fontId="128" fillId="0" borderId="0" xfId="0" applyFont="1" applyAlignment="1" applyProtection="1">
      <alignment horizontal="left" vertical="center"/>
    </xf>
    <xf numFmtId="0" fontId="128" fillId="0" borderId="0" xfId="0" applyFont="1" applyAlignment="1" applyProtection="1">
      <alignment horizontal="center" vertical="center"/>
    </xf>
    <xf numFmtId="0" fontId="14" fillId="0" borderId="0" xfId="0" applyFont="1" applyBorder="1" applyProtection="1"/>
    <xf numFmtId="0" fontId="22" fillId="0" borderId="0" xfId="0" applyFont="1" applyBorder="1" applyAlignment="1" applyProtection="1"/>
    <xf numFmtId="0" fontId="14" fillId="0" borderId="0" xfId="0" applyFont="1" applyBorder="1" applyAlignment="1" applyProtection="1">
      <alignment horizontal="center" vertical="center"/>
    </xf>
    <xf numFmtId="0" fontId="0" fillId="0" borderId="0" xfId="0" applyBorder="1" applyAlignment="1" applyProtection="1">
      <alignment horizontal="center" vertical="center"/>
    </xf>
    <xf numFmtId="0" fontId="18" fillId="0" borderId="0" xfId="0" applyFont="1" applyBorder="1" applyProtection="1"/>
    <xf numFmtId="0" fontId="24" fillId="0" borderId="0" xfId="0" applyFont="1" applyBorder="1" applyAlignment="1" applyProtection="1"/>
    <xf numFmtId="0" fontId="22" fillId="0" borderId="0" xfId="0" applyFont="1" applyBorder="1" applyAlignment="1" applyProtection="1">
      <alignment horizontal="center"/>
    </xf>
    <xf numFmtId="0" fontId="23" fillId="2" borderId="0" xfId="1" applyFont="1" applyFill="1" applyBorder="1" applyAlignment="1" applyProtection="1">
      <alignment horizontal="center" vertical="center"/>
    </xf>
    <xf numFmtId="0" fontId="27" fillId="2" borderId="0" xfId="1" applyFont="1" applyFill="1" applyBorder="1" applyAlignment="1" applyProtection="1">
      <alignment vertical="center"/>
    </xf>
    <xf numFmtId="0" fontId="9" fillId="0" borderId="0" xfId="0" applyFont="1" applyBorder="1" applyAlignment="1" applyProtection="1">
      <alignment horizontal="center" vertical="center" wrapText="1"/>
    </xf>
    <xf numFmtId="0" fontId="19" fillId="0" borderId="0" xfId="0" applyFont="1" applyBorder="1" applyAlignment="1" applyProtection="1">
      <alignment horizontal="center" vertical="center"/>
    </xf>
    <xf numFmtId="0" fontId="6" fillId="0" borderId="0" xfId="0" applyFont="1" applyBorder="1" applyAlignment="1" applyProtection="1">
      <alignment horizontal="center"/>
    </xf>
    <xf numFmtId="0" fontId="30" fillId="0" borderId="0" xfId="0" applyFont="1" applyBorder="1" applyAlignment="1" applyProtection="1"/>
    <xf numFmtId="0" fontId="7" fillId="0" borderId="0" xfId="0" applyFont="1" applyBorder="1" applyAlignment="1" applyProtection="1">
      <alignment horizontal="right" vertical="center"/>
    </xf>
    <xf numFmtId="0" fontId="18" fillId="0" borderId="0" xfId="0" applyFont="1" applyBorder="1" applyAlignment="1" applyProtection="1">
      <alignment horizontal="right" vertical="center"/>
    </xf>
    <xf numFmtId="0" fontId="14" fillId="0" borderId="0" xfId="0" applyFont="1" applyBorder="1" applyAlignment="1" applyProtection="1">
      <alignment horizontal="right" vertical="center"/>
    </xf>
    <xf numFmtId="0" fontId="6" fillId="2" borderId="0" xfId="0" applyFont="1" applyFill="1" applyBorder="1" applyAlignment="1" applyProtection="1">
      <alignment horizontal="center" vertical="center"/>
    </xf>
    <xf numFmtId="0" fontId="14" fillId="0" borderId="0" xfId="0" applyFont="1" applyBorder="1" applyAlignment="1" applyProtection="1">
      <alignment horizontal="center" vertical="center" wrapText="1"/>
    </xf>
    <xf numFmtId="0" fontId="18" fillId="0" borderId="0" xfId="0" applyFont="1" applyBorder="1" applyAlignment="1" applyProtection="1"/>
    <xf numFmtId="0" fontId="9" fillId="0" borderId="0" xfId="0" applyFont="1" applyBorder="1" applyAlignment="1" applyProtection="1"/>
    <xf numFmtId="0" fontId="126" fillId="0" borderId="0" xfId="0" applyFont="1" applyBorder="1" applyAlignment="1" applyProtection="1">
      <alignment horizontal="right"/>
    </xf>
    <xf numFmtId="0" fontId="7" fillId="0" borderId="0" xfId="0" applyFont="1" applyFill="1" applyBorder="1" applyAlignment="1" applyProtection="1">
      <alignment vertical="center" wrapText="1"/>
    </xf>
    <xf numFmtId="0" fontId="0" fillId="0" borderId="0" xfId="0" applyBorder="1" applyAlignment="1" applyProtection="1">
      <alignment vertical="center"/>
    </xf>
    <xf numFmtId="0" fontId="18" fillId="0" borderId="0" xfId="0" applyFont="1" applyBorder="1" applyAlignment="1" applyProtection="1">
      <alignment vertical="center"/>
    </xf>
    <xf numFmtId="1" fontId="130" fillId="0" borderId="0" xfId="0" applyNumberFormat="1" applyFont="1" applyBorder="1" applyAlignment="1" applyProtection="1">
      <alignment horizontal="center" vertical="center" wrapText="1"/>
    </xf>
    <xf numFmtId="1" fontId="131" fillId="0" borderId="0" xfId="0" applyNumberFormat="1" applyFont="1" applyBorder="1" applyAlignment="1" applyProtection="1">
      <alignment horizontal="center" vertical="center" wrapText="1"/>
    </xf>
    <xf numFmtId="0" fontId="18" fillId="0" borderId="0" xfId="0" applyFont="1" applyFill="1" applyBorder="1" applyAlignment="1" applyProtection="1">
      <alignment horizontal="left" vertical="center"/>
    </xf>
    <xf numFmtId="0" fontId="18" fillId="0" borderId="0" xfId="0" applyFont="1" applyFill="1" applyBorder="1" applyAlignment="1" applyProtection="1">
      <alignment horizontal="center" vertical="center"/>
    </xf>
    <xf numFmtId="1" fontId="19" fillId="0" borderId="0" xfId="0" applyNumberFormat="1" applyFont="1" applyBorder="1" applyAlignment="1" applyProtection="1">
      <alignment horizontal="center" vertical="center" wrapText="1"/>
    </xf>
    <xf numFmtId="1" fontId="31" fillId="0" borderId="0" xfId="0" applyNumberFormat="1" applyFont="1" applyBorder="1" applyAlignment="1" applyProtection="1">
      <alignment horizontal="center" vertical="center" wrapText="1"/>
    </xf>
    <xf numFmtId="0" fontId="0" fillId="0" borderId="231" xfId="0" applyBorder="1" applyAlignment="1" applyProtection="1">
      <alignment horizontal="center" vertical="center"/>
    </xf>
    <xf numFmtId="0" fontId="14" fillId="0" borderId="231" xfId="0" applyFont="1" applyBorder="1" applyProtection="1"/>
    <xf numFmtId="0" fontId="19" fillId="0" borderId="22" xfId="0" applyFont="1" applyBorder="1" applyAlignment="1" applyProtection="1">
      <alignment horizontal="center" vertical="center"/>
    </xf>
    <xf numFmtId="0" fontId="31" fillId="0" borderId="262" xfId="0" applyFont="1" applyBorder="1" applyAlignment="1" applyProtection="1">
      <alignment horizontal="center" vertical="center" wrapText="1"/>
    </xf>
    <xf numFmtId="0" fontId="14" fillId="0" borderId="3" xfId="0" applyFont="1" applyBorder="1" applyProtection="1"/>
    <xf numFmtId="0" fontId="14" fillId="0" borderId="61" xfId="0" applyFont="1" applyBorder="1" applyAlignment="1" applyProtection="1">
      <alignment horizontal="center" vertical="top"/>
    </xf>
    <xf numFmtId="0" fontId="14" fillId="0" borderId="66" xfId="0" applyFont="1" applyBorder="1" applyAlignment="1" applyProtection="1"/>
    <xf numFmtId="0" fontId="128" fillId="0" borderId="0" xfId="0" applyFont="1" applyBorder="1" applyAlignment="1" applyProtection="1">
      <alignment vertical="center"/>
    </xf>
    <xf numFmtId="0" fontId="127" fillId="0" borderId="245" xfId="0" applyFont="1" applyBorder="1" applyAlignment="1" applyProtection="1">
      <alignment horizontal="right" vertical="center"/>
    </xf>
    <xf numFmtId="0" fontId="132" fillId="0" borderId="0" xfId="0" applyFont="1" applyBorder="1" applyAlignment="1" applyProtection="1">
      <alignment horizontal="center" vertical="center"/>
      <protection locked="0"/>
    </xf>
    <xf numFmtId="0" fontId="133" fillId="0" borderId="0" xfId="0" applyFont="1" applyProtection="1">
      <protection locked="0"/>
    </xf>
    <xf numFmtId="0" fontId="0" fillId="0" borderId="263" xfId="0" applyBorder="1" applyAlignment="1">
      <alignment vertical="center"/>
    </xf>
    <xf numFmtId="0" fontId="134" fillId="0" borderId="249" xfId="0" applyFont="1" applyBorder="1" applyAlignment="1" applyProtection="1">
      <alignment horizontal="center" vertical="center"/>
    </xf>
    <xf numFmtId="0" fontId="134" fillId="0" borderId="248" xfId="0" applyFont="1" applyBorder="1" applyAlignment="1" applyProtection="1">
      <alignment horizontal="center" vertical="center"/>
    </xf>
    <xf numFmtId="0" fontId="0" fillId="0" borderId="254" xfId="0" applyBorder="1" applyAlignment="1" applyProtection="1">
      <alignment vertical="center"/>
    </xf>
    <xf numFmtId="0" fontId="135" fillId="0" borderId="247" xfId="0" applyFont="1" applyBorder="1" applyAlignment="1" applyProtection="1">
      <alignment vertical="center"/>
    </xf>
    <xf numFmtId="0" fontId="136" fillId="0" borderId="247" xfId="0" applyFont="1" applyBorder="1" applyAlignment="1" applyProtection="1">
      <alignment vertical="center"/>
    </xf>
    <xf numFmtId="0" fontId="136" fillId="0" borderId="245" xfId="0" applyFont="1" applyBorder="1" applyAlignment="1" applyProtection="1">
      <alignment horizontal="center" vertical="center"/>
    </xf>
    <xf numFmtId="0" fontId="136" fillId="0" borderId="248" xfId="0" applyFont="1" applyBorder="1" applyAlignment="1" applyProtection="1">
      <alignment vertical="center"/>
    </xf>
    <xf numFmtId="0" fontId="136" fillId="0" borderId="247" xfId="0" applyFont="1" applyBorder="1" applyAlignment="1" applyProtection="1">
      <alignment horizontal="center" vertical="center"/>
    </xf>
    <xf numFmtId="0" fontId="136" fillId="0" borderId="245" xfId="0" applyFont="1" applyBorder="1" applyAlignment="1" applyProtection="1">
      <alignment vertical="center"/>
    </xf>
    <xf numFmtId="0" fontId="136" fillId="0" borderId="251" xfId="0" applyFont="1" applyBorder="1" applyAlignment="1" applyProtection="1">
      <alignment vertical="center"/>
    </xf>
    <xf numFmtId="0" fontId="136" fillId="0" borderId="22" xfId="0" applyFont="1" applyBorder="1" applyAlignment="1" applyProtection="1">
      <alignment horizontal="center" vertical="center"/>
    </xf>
    <xf numFmtId="0" fontId="136" fillId="0" borderId="253" xfId="0" applyFont="1" applyBorder="1" applyAlignment="1" applyProtection="1">
      <alignment horizontal="center" vertical="center"/>
    </xf>
    <xf numFmtId="0" fontId="137" fillId="0" borderId="247" xfId="0" applyFont="1" applyBorder="1" applyAlignment="1" applyProtection="1">
      <alignment vertical="center"/>
    </xf>
    <xf numFmtId="0" fontId="136" fillId="0" borderId="253" xfId="0" applyFont="1" applyBorder="1" applyAlignment="1" applyProtection="1">
      <alignment vertical="center"/>
    </xf>
    <xf numFmtId="0" fontId="136" fillId="0" borderId="251" xfId="0" applyFont="1" applyBorder="1" applyAlignment="1" applyProtection="1">
      <alignment horizontal="center" vertical="center"/>
    </xf>
    <xf numFmtId="0" fontId="136" fillId="0" borderId="0" xfId="0" applyFont="1" applyAlignment="1" applyProtection="1">
      <alignment vertical="center"/>
    </xf>
    <xf numFmtId="0" fontId="136" fillId="0" borderId="0" xfId="0" applyFont="1" applyAlignment="1" applyProtection="1">
      <alignment horizontal="center" vertical="center"/>
    </xf>
    <xf numFmtId="0" fontId="136" fillId="0" borderId="249" xfId="0" applyFont="1" applyBorder="1" applyAlignment="1" applyProtection="1">
      <alignment vertical="center"/>
    </xf>
    <xf numFmtId="0" fontId="136" fillId="0" borderId="248" xfId="0" applyFont="1" applyBorder="1" applyAlignment="1" applyProtection="1">
      <alignment horizontal="center" vertical="center"/>
    </xf>
    <xf numFmtId="0" fontId="136" fillId="0" borderId="255" xfId="0" applyFont="1" applyBorder="1" applyAlignment="1" applyProtection="1">
      <alignment vertical="center"/>
    </xf>
    <xf numFmtId="0" fontId="136" fillId="0" borderId="249" xfId="0" applyFont="1" applyBorder="1" applyAlignment="1" applyProtection="1">
      <alignment horizontal="center" vertical="center"/>
    </xf>
    <xf numFmtId="0" fontId="136" fillId="0" borderId="254" xfId="0" applyFont="1" applyBorder="1" applyAlignment="1" applyProtection="1">
      <alignment horizontal="center" vertical="center"/>
    </xf>
    <xf numFmtId="0" fontId="137" fillId="0" borderId="248" xfId="0" applyFont="1" applyBorder="1" applyAlignment="1" applyProtection="1">
      <alignment vertical="center"/>
    </xf>
    <xf numFmtId="0" fontId="136" fillId="0" borderId="255" xfId="0" applyFont="1" applyBorder="1" applyAlignment="1" applyProtection="1">
      <alignment horizontal="center" vertical="center"/>
    </xf>
    <xf numFmtId="0" fontId="136" fillId="0" borderId="252" xfId="0" applyFont="1" applyBorder="1" applyAlignment="1" applyProtection="1">
      <alignment horizontal="center" vertical="center"/>
    </xf>
    <xf numFmtId="0" fontId="138" fillId="12" borderId="231" xfId="0" applyFont="1" applyFill="1" applyBorder="1" applyAlignment="1">
      <alignment horizontal="right"/>
    </xf>
    <xf numFmtId="0" fontId="138" fillId="12" borderId="231" xfId="0" applyFont="1" applyFill="1" applyBorder="1"/>
    <xf numFmtId="0" fontId="138" fillId="12" borderId="231" xfId="0" applyNumberFormat="1" applyFont="1" applyFill="1" applyBorder="1" applyAlignment="1">
      <alignment horizontal="center"/>
    </xf>
    <xf numFmtId="0" fontId="139" fillId="12" borderId="231" xfId="0" applyNumberFormat="1" applyFont="1" applyFill="1" applyBorder="1" applyAlignment="1">
      <alignment horizontal="center"/>
    </xf>
    <xf numFmtId="0" fontId="138" fillId="12" borderId="231" xfId="0" applyFont="1" applyFill="1" applyBorder="1" applyAlignment="1">
      <alignment horizontal="center"/>
    </xf>
    <xf numFmtId="0" fontId="139" fillId="12" borderId="231" xfId="0" applyFont="1" applyFill="1" applyBorder="1"/>
    <xf numFmtId="0" fontId="14" fillId="0" borderId="0" xfId="0" applyFont="1"/>
    <xf numFmtId="0" fontId="14" fillId="0" borderId="0" xfId="0" applyFont="1" applyAlignment="1">
      <alignment horizontal="center"/>
    </xf>
    <xf numFmtId="0" fontId="14" fillId="0" borderId="0" xfId="0" applyFont="1" applyAlignment="1">
      <alignment vertical="center"/>
    </xf>
    <xf numFmtId="0" fontId="14" fillId="12" borderId="264" xfId="0" applyFont="1" applyFill="1" applyBorder="1"/>
    <xf numFmtId="0" fontId="14" fillId="12" borderId="265" xfId="0" applyFont="1" applyFill="1" applyBorder="1"/>
    <xf numFmtId="0" fontId="14" fillId="12" borderId="266" xfId="0" applyFont="1" applyFill="1" applyBorder="1"/>
    <xf numFmtId="0" fontId="8" fillId="0" borderId="0" xfId="1" applyFont="1" applyAlignment="1" applyProtection="1"/>
    <xf numFmtId="0" fontId="14" fillId="0" borderId="0" xfId="0" applyFont="1" applyFill="1" applyBorder="1"/>
    <xf numFmtId="0" fontId="14" fillId="12" borderId="267" xfId="0" applyFont="1" applyFill="1" applyBorder="1"/>
    <xf numFmtId="0" fontId="14" fillId="12" borderId="239" xfId="0" applyFont="1" applyFill="1" applyBorder="1"/>
    <xf numFmtId="0" fontId="14" fillId="12" borderId="231" xfId="0" applyFont="1" applyFill="1" applyBorder="1"/>
    <xf numFmtId="0" fontId="14" fillId="12" borderId="268" xfId="0" applyFont="1" applyFill="1" applyBorder="1"/>
    <xf numFmtId="0" fontId="14" fillId="0" borderId="0" xfId="0" applyFont="1" applyBorder="1"/>
    <xf numFmtId="0" fontId="8" fillId="0" borderId="0" xfId="1" applyFont="1" applyFill="1" applyBorder="1" applyAlignment="1" applyProtection="1"/>
    <xf numFmtId="0" fontId="14" fillId="12" borderId="269" xfId="0" applyFont="1" applyFill="1" applyBorder="1"/>
    <xf numFmtId="0" fontId="14" fillId="12" borderId="270" xfId="0" applyFont="1" applyFill="1" applyBorder="1"/>
    <xf numFmtId="0" fontId="14" fillId="0" borderId="0" xfId="0" applyFont="1" applyBorder="1" applyAlignment="1">
      <alignment horizontal="center"/>
    </xf>
    <xf numFmtId="0" fontId="14" fillId="12" borderId="271" xfId="0" applyFont="1" applyFill="1" applyBorder="1"/>
    <xf numFmtId="0" fontId="14" fillId="12" borderId="272" xfId="0" applyFont="1" applyFill="1" applyBorder="1"/>
    <xf numFmtId="0" fontId="14" fillId="0" borderId="0" xfId="0" applyFont="1" applyFill="1" applyBorder="1" applyAlignment="1">
      <alignment horizontal="center"/>
    </xf>
    <xf numFmtId="0" fontId="14" fillId="12" borderId="269" xfId="0" applyNumberFormat="1" applyFont="1" applyFill="1" applyBorder="1"/>
    <xf numFmtId="0" fontId="14" fillId="12" borderId="231" xfId="0" applyNumberFormat="1" applyFont="1" applyFill="1" applyBorder="1"/>
    <xf numFmtId="0" fontId="138" fillId="12" borderId="231" xfId="0" applyNumberFormat="1" applyFont="1" applyFill="1" applyBorder="1" applyAlignment="1">
      <alignment horizontal="right"/>
    </xf>
    <xf numFmtId="0" fontId="138" fillId="12" borderId="0" xfId="0" applyNumberFormat="1" applyFont="1" applyFill="1" applyBorder="1"/>
    <xf numFmtId="0" fontId="138" fillId="12" borderId="231" xfId="0" applyNumberFormat="1" applyFont="1" applyFill="1" applyBorder="1"/>
    <xf numFmtId="0" fontId="14" fillId="12" borderId="270" xfId="0" applyNumberFormat="1" applyFont="1" applyFill="1" applyBorder="1"/>
    <xf numFmtId="0" fontId="138" fillId="12" borderId="0" xfId="0" applyFont="1" applyFill="1" applyBorder="1"/>
    <xf numFmtId="0" fontId="14" fillId="12" borderId="273" xfId="0" applyNumberFormat="1" applyFont="1" applyFill="1" applyBorder="1"/>
    <xf numFmtId="0" fontId="14" fillId="12" borderId="273" xfId="0" applyFont="1" applyFill="1" applyBorder="1"/>
    <xf numFmtId="0" fontId="40" fillId="12" borderId="231" xfId="1" applyNumberFormat="1" applyFont="1" applyFill="1" applyBorder="1" applyAlignment="1" applyProtection="1">
      <alignment horizontal="right"/>
    </xf>
    <xf numFmtId="0" fontId="14" fillId="12" borderId="274" xfId="0" applyNumberFormat="1" applyFont="1" applyFill="1" applyBorder="1"/>
    <xf numFmtId="0" fontId="14" fillId="12" borderId="275" xfId="0" applyNumberFormat="1" applyFont="1" applyFill="1" applyBorder="1"/>
    <xf numFmtId="0" fontId="14" fillId="12" borderId="276" xfId="0" applyNumberFormat="1" applyFont="1" applyFill="1" applyBorder="1"/>
    <xf numFmtId="0" fontId="14" fillId="12" borderId="274" xfId="0" applyFont="1" applyFill="1" applyBorder="1"/>
    <xf numFmtId="0" fontId="14" fillId="12" borderId="275" xfId="0" applyFont="1" applyFill="1" applyBorder="1"/>
    <xf numFmtId="0" fontId="14" fillId="12" borderId="276" xfId="0" applyFont="1" applyFill="1" applyBorder="1"/>
    <xf numFmtId="0" fontId="125" fillId="12" borderId="231" xfId="0" applyNumberFormat="1" applyFont="1" applyFill="1" applyBorder="1" applyAlignment="1">
      <alignment horizontal="center"/>
    </xf>
    <xf numFmtId="0" fontId="0" fillId="0" borderId="1" xfId="0" applyBorder="1" applyAlignment="1" applyProtection="1">
      <alignment horizontal="left"/>
    </xf>
    <xf numFmtId="0" fontId="22" fillId="0" borderId="2" xfId="0" applyFont="1" applyBorder="1" applyAlignment="1" applyProtection="1">
      <alignment horizontal="center" vertical="center"/>
    </xf>
    <xf numFmtId="49" fontId="14" fillId="0" borderId="2" xfId="0" applyNumberFormat="1" applyFont="1" applyBorder="1" applyAlignment="1" applyProtection="1">
      <alignment horizontal="center"/>
    </xf>
    <xf numFmtId="0" fontId="41" fillId="0" borderId="2" xfId="0" applyFont="1" applyBorder="1" applyAlignment="1" applyProtection="1"/>
    <xf numFmtId="0" fontId="41" fillId="0" borderId="59" xfId="0" applyFont="1" applyBorder="1" applyAlignment="1" applyProtection="1"/>
    <xf numFmtId="0" fontId="31" fillId="0" borderId="3" xfId="0" applyFont="1" applyBorder="1" applyProtection="1"/>
    <xf numFmtId="0" fontId="15" fillId="0" borderId="3" xfId="0" applyFont="1" applyBorder="1" applyProtection="1"/>
    <xf numFmtId="0" fontId="14" fillId="0" borderId="1" xfId="0" applyFont="1" applyBorder="1" applyAlignment="1" applyProtection="1">
      <alignment horizontal="left"/>
    </xf>
    <xf numFmtId="49" fontId="19" fillId="0" borderId="2" xfId="0" applyNumberFormat="1" applyFont="1" applyFill="1" applyBorder="1" applyAlignment="1" applyProtection="1">
      <alignment horizontal="center"/>
    </xf>
    <xf numFmtId="49" fontId="19" fillId="0" borderId="2" xfId="0" applyNumberFormat="1" applyFont="1" applyBorder="1" applyAlignment="1" applyProtection="1">
      <alignment horizontal="right"/>
    </xf>
    <xf numFmtId="0" fontId="31" fillId="0" borderId="1" xfId="0" applyFont="1" applyBorder="1" applyProtection="1"/>
    <xf numFmtId="0" fontId="31" fillId="0" borderId="1" xfId="0" applyFont="1" applyBorder="1" applyAlignment="1" applyProtection="1">
      <alignment horizontal="center"/>
    </xf>
    <xf numFmtId="0" fontId="13" fillId="0" borderId="3" xfId="0" applyFont="1" applyBorder="1" applyAlignment="1" applyProtection="1">
      <alignment horizontal="left"/>
    </xf>
    <xf numFmtId="0" fontId="14" fillId="0" borderId="3" xfId="0" applyFont="1" applyBorder="1" applyAlignment="1" applyProtection="1">
      <alignment horizontal="left"/>
    </xf>
    <xf numFmtId="0" fontId="13" fillId="0" borderId="1" xfId="0" applyFont="1" applyBorder="1" applyProtection="1"/>
    <xf numFmtId="0" fontId="42" fillId="0" borderId="1" xfId="0" applyFont="1" applyBorder="1" applyAlignment="1" applyProtection="1">
      <alignment horizontal="center"/>
    </xf>
    <xf numFmtId="0" fontId="21" fillId="0" borderId="1" xfId="0" applyFont="1" applyBorder="1" applyAlignment="1" applyProtection="1">
      <alignment horizontal="left"/>
    </xf>
    <xf numFmtId="0" fontId="43" fillId="0" borderId="3" xfId="0" applyFont="1" applyBorder="1" applyAlignment="1" applyProtection="1">
      <alignment horizontal="center" vertical="center"/>
    </xf>
    <xf numFmtId="0" fontId="42" fillId="0" borderId="1" xfId="0" applyFont="1" applyBorder="1" applyProtection="1"/>
    <xf numFmtId="0" fontId="43" fillId="0" borderId="46" xfId="0" applyFont="1" applyBorder="1" applyAlignment="1" applyProtection="1">
      <alignment vertical="center"/>
    </xf>
    <xf numFmtId="0" fontId="43" fillId="0" borderId="3" xfId="0" applyFont="1" applyBorder="1" applyAlignment="1" applyProtection="1">
      <alignment vertical="center"/>
    </xf>
    <xf numFmtId="49" fontId="14" fillId="0" borderId="1" xfId="0" applyNumberFormat="1" applyFont="1" applyBorder="1" applyAlignment="1" applyProtection="1">
      <alignment horizontal="right"/>
    </xf>
    <xf numFmtId="0" fontId="44" fillId="0" borderId="1" xfId="0" applyFont="1" applyBorder="1" applyAlignment="1" applyProtection="1">
      <alignment horizontal="left" vertical="center"/>
    </xf>
    <xf numFmtId="0" fontId="0" fillId="0" borderId="3" xfId="0" applyBorder="1" applyAlignment="1" applyProtection="1">
      <alignment horizontal="center" vertical="center"/>
    </xf>
    <xf numFmtId="0" fontId="41" fillId="0" borderId="1" xfId="0" applyFont="1" applyBorder="1" applyAlignment="1" applyProtection="1">
      <alignment horizontal="left" vertical="center"/>
    </xf>
    <xf numFmtId="0" fontId="0" fillId="0" borderId="6" xfId="0" applyBorder="1" applyAlignment="1" applyProtection="1">
      <alignment horizontal="center"/>
    </xf>
    <xf numFmtId="0" fontId="18" fillId="0" borderId="0" xfId="0" applyFont="1" applyAlignment="1" applyProtection="1">
      <alignment horizontal="center"/>
    </xf>
    <xf numFmtId="0" fontId="18" fillId="0" borderId="0" xfId="0" applyFont="1" applyFill="1" applyBorder="1" applyProtection="1"/>
    <xf numFmtId="0" fontId="19" fillId="0" borderId="2" xfId="0" applyFont="1" applyBorder="1" applyAlignment="1" applyProtection="1"/>
    <xf numFmtId="0" fontId="19" fillId="0" borderId="59" xfId="0" applyFont="1" applyBorder="1" applyAlignment="1" applyProtection="1"/>
    <xf numFmtId="0" fontId="19" fillId="0" borderId="2" xfId="0" applyFont="1" applyBorder="1" applyAlignment="1" applyProtection="1">
      <alignment horizontal="left"/>
    </xf>
    <xf numFmtId="0" fontId="19" fillId="0" borderId="2" xfId="0" applyFont="1" applyBorder="1" applyAlignment="1" applyProtection="1">
      <alignment horizontal="center"/>
    </xf>
    <xf numFmtId="0" fontId="0" fillId="0" borderId="5" xfId="0" applyBorder="1" applyAlignment="1" applyProtection="1">
      <alignment horizontal="right"/>
    </xf>
    <xf numFmtId="0" fontId="0" fillId="0" borderId="46" xfId="0" applyBorder="1" applyAlignment="1" applyProtection="1"/>
    <xf numFmtId="0" fontId="22" fillId="0" borderId="22" xfId="0" applyFont="1" applyBorder="1" applyAlignment="1" applyProtection="1">
      <alignment horizontal="center" vertical="center"/>
    </xf>
    <xf numFmtId="0" fontId="45" fillId="0" borderId="30" xfId="0" applyFont="1" applyBorder="1" applyAlignment="1" applyProtection="1">
      <alignment horizontal="center"/>
    </xf>
    <xf numFmtId="0" fontId="46" fillId="0" borderId="68" xfId="0" applyFont="1" applyBorder="1" applyAlignment="1" applyProtection="1"/>
    <xf numFmtId="0" fontId="46" fillId="0" borderId="69" xfId="0" applyFont="1" applyBorder="1" applyAlignment="1" applyProtection="1"/>
    <xf numFmtId="0" fontId="46" fillId="0" borderId="70" xfId="0" applyFont="1" applyBorder="1" applyAlignment="1" applyProtection="1"/>
    <xf numFmtId="0" fontId="0" fillId="0" borderId="56" xfId="0" applyBorder="1" applyProtection="1"/>
    <xf numFmtId="0" fontId="45" fillId="0" borderId="69" xfId="0" applyFont="1" applyBorder="1" applyAlignment="1" applyProtection="1">
      <alignment horizontal="center"/>
    </xf>
    <xf numFmtId="0" fontId="0" fillId="0" borderId="55" xfId="0" applyBorder="1" applyProtection="1"/>
    <xf numFmtId="1" fontId="15" fillId="0" borderId="71" xfId="0" applyNumberFormat="1" applyFont="1" applyBorder="1" applyAlignment="1" applyProtection="1"/>
    <xf numFmtId="0" fontId="6" fillId="0" borderId="71" xfId="0" applyFont="1" applyBorder="1" applyAlignment="1" applyProtection="1"/>
    <xf numFmtId="0" fontId="6" fillId="0" borderId="72" xfId="0" applyFont="1" applyBorder="1" applyAlignment="1" applyProtection="1"/>
    <xf numFmtId="0" fontId="47" fillId="0" borderId="26" xfId="0" applyFont="1" applyBorder="1" applyAlignment="1" applyProtection="1">
      <alignment horizontal="left"/>
    </xf>
    <xf numFmtId="0" fontId="47" fillId="0" borderId="29" xfId="0" applyFont="1" applyBorder="1" applyAlignment="1" applyProtection="1">
      <alignment horizontal="left"/>
    </xf>
    <xf numFmtId="0" fontId="15" fillId="0" borderId="73" xfId="0" applyFont="1" applyBorder="1" applyAlignment="1" applyProtection="1"/>
    <xf numFmtId="0" fontId="6" fillId="0" borderId="74" xfId="0" applyFont="1" applyBorder="1" applyAlignment="1" applyProtection="1"/>
    <xf numFmtId="0" fontId="15" fillId="0" borderId="75" xfId="0" applyFont="1" applyBorder="1" applyAlignment="1" applyProtection="1"/>
    <xf numFmtId="0" fontId="49" fillId="0" borderId="0" xfId="0" applyFont="1" applyProtection="1"/>
    <xf numFmtId="0" fontId="47" fillId="0" borderId="30" xfId="0" applyFont="1" applyBorder="1" applyAlignment="1" applyProtection="1">
      <alignment horizontal="left"/>
    </xf>
    <xf numFmtId="0" fontId="47" fillId="0" borderId="30" xfId="0" applyFont="1" applyBorder="1" applyProtection="1"/>
    <xf numFmtId="0" fontId="47" fillId="0" borderId="26" xfId="0" applyFont="1" applyBorder="1" applyAlignment="1" applyProtection="1"/>
    <xf numFmtId="0" fontId="47" fillId="0" borderId="31" xfId="0" applyFont="1" applyBorder="1" applyAlignment="1" applyProtection="1"/>
    <xf numFmtId="0" fontId="47" fillId="0" borderId="29" xfId="0" applyFont="1" applyBorder="1" applyAlignment="1" applyProtection="1"/>
    <xf numFmtId="0" fontId="26" fillId="0" borderId="55" xfId="0" applyFont="1" applyBorder="1" applyProtection="1"/>
    <xf numFmtId="0" fontId="26" fillId="0" borderId="55" xfId="0" applyFont="1" applyBorder="1" applyAlignment="1" applyProtection="1">
      <alignment horizontal="left"/>
    </xf>
    <xf numFmtId="0" fontId="6" fillId="0" borderId="55" xfId="0" applyFont="1" applyBorder="1" applyAlignment="1" applyProtection="1">
      <alignment horizontal="left"/>
    </xf>
    <xf numFmtId="0" fontId="47" fillId="0" borderId="30" xfId="0" applyFont="1" applyBorder="1" applyAlignment="1" applyProtection="1"/>
    <xf numFmtId="0" fontId="26" fillId="0" borderId="30" xfId="0" applyFont="1" applyBorder="1" applyAlignment="1" applyProtection="1">
      <alignment horizontal="left"/>
    </xf>
    <xf numFmtId="0" fontId="6" fillId="0" borderId="30" xfId="0" applyFont="1" applyBorder="1" applyAlignment="1" applyProtection="1">
      <alignment horizontal="left"/>
    </xf>
    <xf numFmtId="0" fontId="0" fillId="0" borderId="26" xfId="0" applyBorder="1" applyAlignment="1" applyProtection="1"/>
    <xf numFmtId="0" fontId="0" fillId="0" borderId="31" xfId="0" applyBorder="1" applyAlignment="1" applyProtection="1"/>
    <xf numFmtId="0" fontId="0" fillId="0" borderId="29" xfId="0" applyBorder="1" applyAlignment="1" applyProtection="1"/>
    <xf numFmtId="0" fontId="0" fillId="0" borderId="30" xfId="0" applyBorder="1" applyAlignment="1" applyProtection="1">
      <alignment horizontal="left"/>
    </xf>
    <xf numFmtId="0" fontId="0" fillId="0" borderId="55" xfId="0" applyBorder="1" applyAlignment="1" applyProtection="1">
      <alignment horizontal="left"/>
    </xf>
    <xf numFmtId="0" fontId="0" fillId="0" borderId="30" xfId="0" applyBorder="1" applyAlignment="1" applyProtection="1">
      <alignment horizontal="center"/>
    </xf>
    <xf numFmtId="0" fontId="14" fillId="0" borderId="30" xfId="0" applyFont="1" applyBorder="1" applyAlignment="1" applyProtection="1">
      <alignment horizontal="right"/>
    </xf>
    <xf numFmtId="0" fontId="6" fillId="0" borderId="69" xfId="0" applyFont="1" applyBorder="1" applyAlignment="1" applyProtection="1"/>
    <xf numFmtId="0" fontId="6" fillId="0" borderId="70" xfId="0" applyFont="1" applyBorder="1" applyAlignment="1" applyProtection="1"/>
    <xf numFmtId="0" fontId="0" fillId="0" borderId="33" xfId="0" applyBorder="1" applyProtection="1"/>
    <xf numFmtId="0" fontId="56" fillId="0" borderId="76" xfId="0" applyFont="1" applyBorder="1" applyAlignment="1" applyProtection="1"/>
    <xf numFmtId="0" fontId="56" fillId="0" borderId="1" xfId="0" applyFont="1" applyBorder="1" applyAlignment="1" applyProtection="1"/>
    <xf numFmtId="0" fontId="56" fillId="0" borderId="1" xfId="0" applyFont="1" applyBorder="1" applyProtection="1"/>
    <xf numFmtId="0" fontId="22" fillId="0" borderId="5" xfId="0" applyFont="1" applyBorder="1" applyProtection="1"/>
    <xf numFmtId="0" fontId="57" fillId="0" borderId="1" xfId="0" applyFont="1" applyBorder="1" applyProtection="1"/>
    <xf numFmtId="0" fontId="57" fillId="0" borderId="29" xfId="0" applyFont="1" applyBorder="1" applyProtection="1"/>
    <xf numFmtId="0" fontId="57" fillId="0" borderId="34" xfId="0" applyFont="1" applyBorder="1" applyProtection="1"/>
    <xf numFmtId="0" fontId="57" fillId="0" borderId="30" xfId="0" applyFont="1" applyBorder="1" applyProtection="1"/>
    <xf numFmtId="0" fontId="57" fillId="0" borderId="26" xfId="0" applyFont="1" applyBorder="1" applyProtection="1"/>
    <xf numFmtId="0" fontId="46" fillId="0" borderId="77" xfId="0" applyFont="1" applyBorder="1" applyAlignment="1" applyProtection="1"/>
    <xf numFmtId="0" fontId="56" fillId="0" borderId="29" xfId="0" applyFont="1" applyBorder="1" applyProtection="1"/>
    <xf numFmtId="0" fontId="56" fillId="0" borderId="30" xfId="0" applyFont="1" applyBorder="1" applyProtection="1"/>
    <xf numFmtId="0" fontId="56" fillId="0" borderId="55" xfId="0" applyFont="1" applyBorder="1" applyProtection="1"/>
    <xf numFmtId="0" fontId="56" fillId="0" borderId="26" xfId="0" applyFont="1" applyBorder="1" applyProtection="1"/>
    <xf numFmtId="0" fontId="56" fillId="0" borderId="78" xfId="0" applyFont="1" applyBorder="1" applyAlignment="1" applyProtection="1"/>
    <xf numFmtId="0" fontId="56" fillId="0" borderId="79" xfId="0" applyFont="1" applyBorder="1" applyAlignment="1" applyProtection="1"/>
    <xf numFmtId="0" fontId="56" fillId="0" borderId="79" xfId="0" applyFont="1" applyBorder="1" applyProtection="1"/>
    <xf numFmtId="0" fontId="22" fillId="0" borderId="79" xfId="0" applyFont="1" applyBorder="1" applyProtection="1"/>
    <xf numFmtId="0" fontId="56" fillId="0" borderId="80" xfId="0" applyFont="1" applyBorder="1" applyAlignment="1" applyProtection="1"/>
    <xf numFmtId="0" fontId="22" fillId="0" borderId="55" xfId="0" applyFont="1" applyBorder="1" applyProtection="1"/>
    <xf numFmtId="0" fontId="60" fillId="0" borderId="30" xfId="0" applyFont="1" applyBorder="1" applyProtection="1"/>
    <xf numFmtId="0" fontId="56" fillId="0" borderId="55" xfId="0" applyFont="1" applyBorder="1" applyAlignment="1" applyProtection="1"/>
    <xf numFmtId="0" fontId="56" fillId="0" borderId="26" xfId="0" applyFont="1" applyBorder="1" applyAlignment="1" applyProtection="1"/>
    <xf numFmtId="0" fontId="56" fillId="0" borderId="31" xfId="0" applyFont="1" applyBorder="1" applyAlignment="1" applyProtection="1"/>
    <xf numFmtId="0" fontId="56" fillId="0" borderId="81" xfId="0" applyFont="1" applyBorder="1" applyAlignment="1" applyProtection="1"/>
    <xf numFmtId="0" fontId="56" fillId="0" borderId="29" xfId="0" applyFont="1" applyBorder="1" applyAlignment="1" applyProtection="1"/>
    <xf numFmtId="0" fontId="56" fillId="0" borderId="56" xfId="0" applyFont="1" applyBorder="1" applyProtection="1"/>
    <xf numFmtId="0" fontId="56" fillId="0" borderId="30" xfId="0" applyFont="1" applyBorder="1" applyAlignment="1" applyProtection="1">
      <alignment horizontal="left"/>
    </xf>
    <xf numFmtId="0" fontId="56" fillId="0" borderId="30" xfId="0" applyFont="1" applyBorder="1" applyAlignment="1" applyProtection="1"/>
    <xf numFmtId="0" fontId="61" fillId="0" borderId="30" xfId="0" applyFont="1" applyBorder="1" applyAlignment="1" applyProtection="1"/>
    <xf numFmtId="0" fontId="61" fillId="0" borderId="30" xfId="0" applyFont="1" applyBorder="1" applyAlignment="1" applyProtection="1">
      <alignment horizontal="center"/>
    </xf>
    <xf numFmtId="0" fontId="60" fillId="0" borderId="40" xfId="0" applyFont="1" applyBorder="1" applyProtection="1"/>
    <xf numFmtId="0" fontId="60" fillId="0" borderId="34" xfId="0" applyFont="1" applyBorder="1" applyProtection="1"/>
    <xf numFmtId="0" fontId="60" fillId="0" borderId="26" xfId="0" applyFont="1" applyBorder="1" applyProtection="1"/>
    <xf numFmtId="0" fontId="60" fillId="0" borderId="31" xfId="0" applyFont="1" applyBorder="1" applyAlignment="1" applyProtection="1"/>
    <xf numFmtId="0" fontId="60" fillId="0" borderId="26" xfId="0" applyFont="1" applyBorder="1" applyAlignment="1" applyProtection="1">
      <alignment horizontal="right"/>
    </xf>
    <xf numFmtId="0" fontId="60" fillId="0" borderId="30" xfId="0" applyFont="1" applyBorder="1" applyAlignment="1" applyProtection="1">
      <alignment horizontal="center"/>
    </xf>
    <xf numFmtId="0" fontId="6" fillId="0" borderId="30" xfId="0" applyFont="1" applyBorder="1" applyAlignment="1" applyProtection="1">
      <alignment horizontal="center"/>
    </xf>
    <xf numFmtId="0" fontId="60" fillId="0" borderId="55" xfId="0" applyFont="1" applyBorder="1" applyProtection="1"/>
    <xf numFmtId="0" fontId="60" fillId="0" borderId="55" xfId="0" applyFont="1" applyBorder="1" applyAlignment="1" applyProtection="1">
      <alignment horizontal="right"/>
    </xf>
    <xf numFmtId="0" fontId="60" fillId="0" borderId="55" xfId="0" applyFont="1" applyBorder="1" applyAlignment="1" applyProtection="1">
      <alignment horizontal="center"/>
    </xf>
    <xf numFmtId="0" fontId="57" fillId="0" borderId="57" xfId="0" applyFont="1" applyBorder="1" applyProtection="1"/>
    <xf numFmtId="0" fontId="0" fillId="0" borderId="277" xfId="0" applyBorder="1" applyProtection="1"/>
    <xf numFmtId="1" fontId="63" fillId="0" borderId="277" xfId="0" applyNumberFormat="1" applyFont="1" applyBorder="1" applyAlignment="1" applyProtection="1"/>
    <xf numFmtId="1" fontId="63" fillId="0" borderId="277" xfId="0" applyNumberFormat="1" applyFont="1" applyBorder="1" applyAlignment="1" applyProtection="1">
      <alignment horizontal="center"/>
    </xf>
    <xf numFmtId="0" fontId="57" fillId="0" borderId="40" xfId="0" applyFont="1" applyBorder="1" applyProtection="1"/>
    <xf numFmtId="0" fontId="57" fillId="0" borderId="33" xfId="0" applyFont="1" applyBorder="1" applyProtection="1"/>
    <xf numFmtId="0" fontId="6" fillId="0" borderId="69" xfId="0" applyFont="1" applyBorder="1" applyAlignment="1" applyProtection="1">
      <alignment horizontal="center"/>
    </xf>
    <xf numFmtId="0" fontId="19" fillId="0" borderId="231" xfId="0" applyFont="1" applyBorder="1" applyAlignment="1" applyProtection="1">
      <alignment horizontal="left"/>
    </xf>
    <xf numFmtId="0" fontId="64" fillId="0" borderId="30" xfId="0" applyFont="1" applyBorder="1" applyAlignment="1" applyProtection="1"/>
    <xf numFmtId="0" fontId="64" fillId="0" borderId="29" xfId="0" applyFont="1" applyBorder="1" applyAlignment="1" applyProtection="1"/>
    <xf numFmtId="0" fontId="65" fillId="0" borderId="26" xfId="0" applyFont="1" applyBorder="1" applyAlignment="1" applyProtection="1">
      <alignment horizontal="center" vertical="center"/>
    </xf>
    <xf numFmtId="0" fontId="66" fillId="0" borderId="30" xfId="0" applyFont="1" applyFill="1" applyBorder="1" applyAlignment="1" applyProtection="1">
      <alignment horizontal="left" vertical="center" wrapText="1"/>
    </xf>
    <xf numFmtId="0" fontId="69" fillId="0" borderId="30" xfId="0" applyFont="1" applyBorder="1" applyAlignment="1" applyProtection="1">
      <alignment horizontal="center"/>
    </xf>
    <xf numFmtId="0" fontId="70" fillId="0" borderId="30" xfId="0" applyFont="1" applyBorder="1" applyAlignment="1" applyProtection="1">
      <alignment horizontal="center"/>
    </xf>
    <xf numFmtId="0" fontId="65" fillId="0" borderId="30" xfId="0" applyFont="1" applyBorder="1" applyAlignment="1" applyProtection="1">
      <alignment horizontal="center" vertical="top"/>
    </xf>
    <xf numFmtId="0" fontId="72" fillId="0" borderId="30" xfId="0" applyFont="1" applyBorder="1" applyAlignment="1" applyProtection="1"/>
    <xf numFmtId="0" fontId="65" fillId="0" borderId="30" xfId="0" applyFont="1" applyBorder="1" applyAlignment="1" applyProtection="1">
      <alignment horizontal="center" vertical="center"/>
    </xf>
    <xf numFmtId="0" fontId="73" fillId="0" borderId="30" xfId="0" applyFont="1" applyBorder="1" applyAlignment="1" applyProtection="1"/>
    <xf numFmtId="0" fontId="74" fillId="0" borderId="40" xfId="0" applyFont="1" applyBorder="1" applyAlignment="1" applyProtection="1">
      <alignment vertical="center"/>
    </xf>
    <xf numFmtId="0" fontId="74" fillId="0" borderId="30" xfId="0" applyFont="1" applyBorder="1" applyAlignment="1" applyProtection="1">
      <alignment horizontal="center" vertical="center"/>
    </xf>
    <xf numFmtId="0" fontId="72" fillId="0" borderId="30" xfId="0" applyFont="1" applyBorder="1" applyAlignment="1" applyProtection="1">
      <alignment horizontal="center" vertical="center"/>
    </xf>
    <xf numFmtId="0" fontId="0" fillId="0" borderId="0" xfId="0" applyAlignment="1" applyProtection="1">
      <alignment vertical="center"/>
    </xf>
    <xf numFmtId="0" fontId="0" fillId="2" borderId="26" xfId="0" applyFill="1" applyBorder="1" applyAlignment="1" applyProtection="1">
      <alignment vertical="center"/>
    </xf>
    <xf numFmtId="0" fontId="0" fillId="2" borderId="31" xfId="0" applyFill="1" applyBorder="1" applyAlignment="1" applyProtection="1">
      <alignment vertical="center"/>
    </xf>
    <xf numFmtId="0" fontId="22" fillId="2" borderId="31" xfId="0" applyFont="1" applyFill="1" applyBorder="1" applyAlignment="1" applyProtection="1">
      <alignment horizontal="center" vertical="center"/>
    </xf>
    <xf numFmtId="0" fontId="0" fillId="0" borderId="29" xfId="0" applyBorder="1" applyAlignment="1" applyProtection="1">
      <alignment vertical="center"/>
    </xf>
    <xf numFmtId="0" fontId="133" fillId="0" borderId="30" xfId="0" applyFont="1" applyBorder="1" applyAlignment="1" applyProtection="1">
      <alignment vertical="center"/>
    </xf>
    <xf numFmtId="0" fontId="7" fillId="0" borderId="0" xfId="0" applyFont="1" applyAlignment="1" applyProtection="1">
      <alignment horizontal="center" vertical="center"/>
    </xf>
    <xf numFmtId="0" fontId="18" fillId="0" borderId="0" xfId="0" applyFont="1" applyAlignment="1" applyProtection="1">
      <alignment horizontal="left" vertical="center"/>
    </xf>
    <xf numFmtId="0" fontId="7" fillId="0" borderId="0" xfId="0" applyFont="1" applyBorder="1" applyAlignment="1" applyProtection="1">
      <alignment horizontal="right"/>
    </xf>
    <xf numFmtId="0" fontId="7" fillId="0" borderId="0" xfId="0" applyFont="1" applyBorder="1" applyAlignment="1" applyProtection="1">
      <alignment horizontal="left"/>
    </xf>
    <xf numFmtId="0" fontId="79" fillId="0" borderId="0" xfId="0" applyFont="1" applyBorder="1" applyAlignment="1" applyProtection="1">
      <alignment horizontal="center" vertical="center"/>
    </xf>
    <xf numFmtId="1" fontId="18" fillId="0" borderId="0" xfId="0" applyNumberFormat="1" applyFont="1" applyAlignment="1" applyProtection="1">
      <alignment horizontal="center" vertical="center"/>
    </xf>
    <xf numFmtId="1" fontId="18" fillId="0" borderId="0" xfId="0" applyNumberFormat="1" applyFont="1" applyAlignment="1" applyProtection="1">
      <alignment vertical="center"/>
    </xf>
    <xf numFmtId="0" fontId="18" fillId="0" borderId="0" xfId="0" applyFont="1" applyAlignment="1" applyProtection="1">
      <alignment vertical="center"/>
    </xf>
    <xf numFmtId="1" fontId="18" fillId="0" borderId="0" xfId="0" applyNumberFormat="1" applyFont="1" applyBorder="1" applyAlignment="1" applyProtection="1">
      <alignment horizontal="center" vertical="center"/>
    </xf>
    <xf numFmtId="0" fontId="23" fillId="2" borderId="31" xfId="1" applyFont="1" applyFill="1" applyBorder="1" applyAlignment="1" applyProtection="1">
      <alignment horizontal="center" vertical="center"/>
    </xf>
    <xf numFmtId="0" fontId="7" fillId="0" borderId="0" xfId="0" applyFont="1" applyBorder="1" applyAlignment="1" applyProtection="1">
      <alignment horizontal="center"/>
    </xf>
    <xf numFmtId="0" fontId="7" fillId="0" borderId="0" xfId="0" applyFont="1" applyBorder="1" applyAlignment="1" applyProtection="1">
      <alignment horizontal="center" vertical="center"/>
    </xf>
    <xf numFmtId="0" fontId="6" fillId="2" borderId="93" xfId="0" applyFont="1" applyFill="1" applyBorder="1" applyAlignment="1" applyProtection="1">
      <alignment horizontal="center" vertical="center"/>
    </xf>
    <xf numFmtId="0" fontId="0" fillId="2" borderId="93" xfId="0" applyFill="1" applyBorder="1" applyAlignment="1" applyProtection="1">
      <alignment vertical="center"/>
    </xf>
    <xf numFmtId="0" fontId="11" fillId="2" borderId="93" xfId="0" applyFont="1" applyFill="1" applyBorder="1" applyAlignment="1" applyProtection="1">
      <alignment horizontal="center" vertical="center"/>
    </xf>
    <xf numFmtId="0" fontId="0" fillId="0" borderId="58" xfId="0" applyBorder="1" applyAlignment="1" applyProtection="1">
      <alignment vertical="center"/>
    </xf>
    <xf numFmtId="0" fontId="0" fillId="0" borderId="34" xfId="0" applyBorder="1" applyAlignment="1" applyProtection="1">
      <alignment vertical="center"/>
    </xf>
    <xf numFmtId="0" fontId="126" fillId="0" borderId="278" xfId="0" applyFont="1" applyFill="1" applyBorder="1" applyAlignment="1" applyProtection="1">
      <alignment horizontal="left" vertical="center"/>
    </xf>
    <xf numFmtId="0" fontId="77" fillId="0" borderId="279" xfId="0" applyFont="1" applyFill="1" applyBorder="1" applyAlignment="1" applyProtection="1"/>
    <xf numFmtId="0" fontId="133" fillId="0" borderId="29" xfId="0" applyFont="1" applyBorder="1" applyAlignment="1" applyProtection="1">
      <alignment vertical="center"/>
    </xf>
    <xf numFmtId="0" fontId="18" fillId="0" borderId="0" xfId="0" applyFont="1" applyFill="1" applyAlignment="1" applyProtection="1">
      <alignment vertical="center"/>
    </xf>
    <xf numFmtId="0" fontId="142" fillId="14" borderId="230" xfId="0" applyFont="1" applyFill="1" applyBorder="1" applyAlignment="1" applyProtection="1">
      <alignment horizontal="left" vertical="center"/>
    </xf>
    <xf numFmtId="1" fontId="126" fillId="0" borderId="233" xfId="0" applyNumberFormat="1" applyFont="1" applyFill="1" applyBorder="1" applyAlignment="1" applyProtection="1"/>
    <xf numFmtId="0" fontId="7" fillId="5" borderId="94" xfId="0" applyFont="1" applyFill="1" applyBorder="1" applyAlignment="1" applyProtection="1">
      <alignment horizontal="center" vertical="center" wrapText="1"/>
    </xf>
    <xf numFmtId="0" fontId="81" fillId="0" borderId="62" xfId="0" applyFont="1" applyBorder="1" applyAlignment="1" applyProtection="1">
      <alignment horizontal="left" vertical="center"/>
    </xf>
    <xf numFmtId="0" fontId="78" fillId="0" borderId="37" xfId="0" applyFont="1" applyBorder="1" applyAlignment="1" applyProtection="1">
      <alignment vertical="center" wrapText="1"/>
    </xf>
    <xf numFmtId="0" fontId="78" fillId="0" borderId="95" xfId="0" applyFont="1" applyBorder="1" applyAlignment="1" applyProtection="1">
      <alignment vertical="center" wrapText="1"/>
    </xf>
    <xf numFmtId="0" fontId="126" fillId="0" borderId="233" xfId="0" applyFont="1" applyFill="1" applyBorder="1" applyAlignment="1" applyProtection="1">
      <alignment vertical="top"/>
    </xf>
    <xf numFmtId="0" fontId="18" fillId="6" borderId="0" xfId="0" applyFont="1" applyFill="1" applyAlignment="1" applyProtection="1">
      <alignment vertical="center"/>
    </xf>
    <xf numFmtId="0" fontId="82" fillId="5" borderId="96" xfId="0" applyFont="1" applyFill="1" applyBorder="1" applyAlignment="1" applyProtection="1">
      <alignment horizontal="center" vertical="center"/>
    </xf>
    <xf numFmtId="0" fontId="78" fillId="5" borderId="97" xfId="0" applyFont="1" applyFill="1" applyBorder="1" applyAlignment="1" applyProtection="1">
      <alignment horizontal="center" vertical="center"/>
    </xf>
    <xf numFmtId="0" fontId="83" fillId="5" borderId="97" xfId="0" applyFont="1" applyFill="1" applyBorder="1" applyAlignment="1" applyProtection="1">
      <alignment horizontal="center" vertical="center"/>
    </xf>
    <xf numFmtId="0" fontId="84" fillId="5" borderId="98" xfId="0" applyFont="1" applyFill="1" applyBorder="1" applyAlignment="1" applyProtection="1">
      <alignment horizontal="center" vertical="center"/>
    </xf>
    <xf numFmtId="0" fontId="84" fillId="15" borderId="96" xfId="0" applyFont="1" applyFill="1" applyBorder="1" applyAlignment="1" applyProtection="1">
      <alignment horizontal="center" vertical="center" wrapText="1"/>
    </xf>
    <xf numFmtId="0" fontId="85" fillId="0" borderId="88" xfId="0" applyFont="1" applyBorder="1" applyAlignment="1" applyProtection="1">
      <alignment vertical="center"/>
    </xf>
    <xf numFmtId="0" fontId="85" fillId="0" borderId="280" xfId="0" applyFont="1" applyBorder="1" applyAlignment="1" applyProtection="1">
      <alignment vertical="center"/>
    </xf>
    <xf numFmtId="0" fontId="18" fillId="0" borderId="281" xfId="0" applyFont="1" applyBorder="1" applyAlignment="1" applyProtection="1">
      <alignment horizontal="center" vertical="center"/>
    </xf>
    <xf numFmtId="1" fontId="126" fillId="0" borderId="233" xfId="0" applyNumberFormat="1" applyFont="1" applyFill="1" applyBorder="1" applyAlignment="1" applyProtection="1">
      <alignment horizontal="left"/>
    </xf>
    <xf numFmtId="1" fontId="81" fillId="0" borderId="62" xfId="0" applyNumberFormat="1" applyFont="1" applyBorder="1" applyAlignment="1" applyProtection="1">
      <alignment horizontal="left" vertical="center"/>
    </xf>
    <xf numFmtId="0" fontId="86" fillId="5" borderId="99" xfId="0" applyFont="1" applyFill="1" applyBorder="1" applyAlignment="1" applyProtection="1">
      <alignment horizontal="center" vertical="center"/>
    </xf>
    <xf numFmtId="1" fontId="87" fillId="0" borderId="22" xfId="0" applyNumberFormat="1" applyFont="1" applyFill="1" applyBorder="1" applyAlignment="1" applyProtection="1">
      <alignment horizontal="center" vertical="center"/>
    </xf>
    <xf numFmtId="1" fontId="88" fillId="0" borderId="22" xfId="0" applyNumberFormat="1" applyFont="1" applyFill="1" applyBorder="1" applyAlignment="1" applyProtection="1">
      <alignment horizontal="center" vertical="center"/>
    </xf>
    <xf numFmtId="1" fontId="9" fillId="5" borderId="47" xfId="0" applyNumberFormat="1" applyFont="1" applyFill="1" applyBorder="1" applyAlignment="1" applyProtection="1">
      <alignment horizontal="center" vertical="center"/>
    </xf>
    <xf numFmtId="0" fontId="84" fillId="15" borderId="99" xfId="0" applyFont="1" applyFill="1" applyBorder="1" applyAlignment="1" applyProtection="1">
      <alignment horizontal="center" vertical="center" wrapText="1"/>
    </xf>
    <xf numFmtId="0" fontId="85" fillId="0" borderId="260" xfId="0" applyFont="1" applyBorder="1" applyAlignment="1" applyProtection="1">
      <alignment vertical="center"/>
    </xf>
    <xf numFmtId="0" fontId="85" fillId="0" borderId="225" xfId="0" applyFont="1" applyBorder="1" applyAlignment="1" applyProtection="1">
      <alignment vertical="center"/>
    </xf>
    <xf numFmtId="0" fontId="85" fillId="0" borderId="282" xfId="0" applyFont="1" applyBorder="1" applyAlignment="1" applyProtection="1">
      <alignment vertical="center"/>
    </xf>
    <xf numFmtId="0" fontId="89" fillId="5" borderId="99" xfId="0" applyFont="1" applyFill="1" applyBorder="1" applyAlignment="1" applyProtection="1">
      <alignment horizontal="center" vertical="center"/>
    </xf>
    <xf numFmtId="0" fontId="78" fillId="5" borderId="22" xfId="0" applyFont="1" applyFill="1" applyBorder="1" applyAlignment="1" applyProtection="1">
      <alignment horizontal="center" vertical="center"/>
    </xf>
    <xf numFmtId="0" fontId="126" fillId="0" borderId="230" xfId="0" applyFont="1" applyFill="1" applyBorder="1" applyAlignment="1" applyProtection="1">
      <alignment horizontal="left" vertical="center"/>
    </xf>
    <xf numFmtId="1" fontId="131" fillId="0" borderId="233" xfId="0" applyNumberFormat="1" applyFont="1" applyFill="1" applyBorder="1" applyAlignment="1" applyProtection="1">
      <alignment horizontal="left"/>
    </xf>
    <xf numFmtId="0" fontId="18" fillId="7" borderId="0" xfId="0" applyFont="1" applyFill="1" applyAlignment="1" applyProtection="1">
      <alignment vertical="center"/>
    </xf>
    <xf numFmtId="0" fontId="143" fillId="5" borderId="22" xfId="0" applyFont="1" applyFill="1" applyBorder="1" applyAlignment="1" applyProtection="1">
      <alignment horizontal="center" vertical="center"/>
    </xf>
    <xf numFmtId="0" fontId="126" fillId="0" borderId="283" xfId="0" applyFont="1" applyFill="1" applyBorder="1" applyAlignment="1" applyProtection="1">
      <alignment vertical="top"/>
    </xf>
    <xf numFmtId="0" fontId="18" fillId="8" borderId="0" xfId="0" applyFont="1" applyFill="1" applyAlignment="1" applyProtection="1">
      <alignment vertical="center"/>
    </xf>
    <xf numFmtId="0" fontId="84" fillId="15" borderId="94" xfId="0" applyFont="1" applyFill="1" applyBorder="1" applyAlignment="1" applyProtection="1">
      <alignment horizontal="center" vertical="center"/>
    </xf>
    <xf numFmtId="0" fontId="87" fillId="0" borderId="49" xfId="0" applyFont="1" applyBorder="1" applyAlignment="1" applyProtection="1">
      <alignment horizontal="center" vertical="center"/>
    </xf>
    <xf numFmtId="0" fontId="87" fillId="0" borderId="100" xfId="0" applyFont="1" applyFill="1" applyBorder="1" applyAlignment="1" applyProtection="1">
      <alignment horizontal="center" vertical="center"/>
    </xf>
    <xf numFmtId="0" fontId="142" fillId="14" borderId="284" xfId="0" applyNumberFormat="1" applyFont="1" applyFill="1" applyBorder="1" applyAlignment="1" applyProtection="1">
      <alignment horizontal="left" vertical="center"/>
    </xf>
    <xf numFmtId="49" fontId="81" fillId="0" borderId="47" xfId="0" applyNumberFormat="1" applyFont="1" applyBorder="1" applyAlignment="1" applyProtection="1">
      <alignment vertical="center"/>
    </xf>
    <xf numFmtId="49" fontId="78" fillId="0" borderId="95" xfId="0" applyNumberFormat="1" applyFont="1" applyBorder="1" applyAlignment="1" applyProtection="1">
      <alignment vertical="center" wrapText="1"/>
    </xf>
    <xf numFmtId="0" fontId="86" fillId="5" borderId="101" xfId="0" applyFont="1" applyFill="1" applyBorder="1" applyAlignment="1" applyProtection="1">
      <alignment horizontal="center" vertical="center"/>
    </xf>
    <xf numFmtId="1" fontId="87" fillId="5" borderId="102" xfId="0" applyNumberFormat="1" applyFont="1" applyFill="1" applyBorder="1" applyAlignment="1" applyProtection="1">
      <alignment horizontal="center" vertical="center"/>
    </xf>
    <xf numFmtId="1" fontId="88" fillId="5" borderId="102" xfId="0" applyNumberFormat="1" applyFont="1" applyFill="1" applyBorder="1" applyAlignment="1" applyProtection="1">
      <alignment horizontal="center" vertical="center"/>
    </xf>
    <xf numFmtId="0" fontId="87" fillId="0" borderId="103" xfId="0" applyFont="1" applyBorder="1" applyAlignment="1" applyProtection="1">
      <alignment horizontal="center" vertical="center"/>
    </xf>
    <xf numFmtId="0" fontId="87" fillId="0" borderId="104" xfId="0" applyFont="1" applyBorder="1" applyAlignment="1" applyProtection="1">
      <alignment horizontal="center" vertical="center"/>
    </xf>
    <xf numFmtId="0" fontId="126" fillId="0" borderId="234" xfId="0" applyFont="1" applyFill="1" applyBorder="1" applyAlignment="1" applyProtection="1">
      <alignment horizontal="left" vertical="center"/>
    </xf>
    <xf numFmtId="0" fontId="18" fillId="0" borderId="235" xfId="0" applyFont="1" applyBorder="1" applyAlignment="1" applyProtection="1">
      <alignment vertical="center"/>
    </xf>
    <xf numFmtId="0" fontId="18" fillId="0" borderId="235" xfId="0" applyFont="1" applyFill="1" applyBorder="1" applyProtection="1"/>
    <xf numFmtId="0" fontId="0" fillId="0" borderId="263" xfId="0" applyBorder="1" applyAlignment="1" applyProtection="1">
      <alignment vertical="center"/>
    </xf>
    <xf numFmtId="0" fontId="126" fillId="0" borderId="285" xfId="0" applyFont="1" applyFill="1" applyBorder="1" applyAlignment="1" applyProtection="1">
      <alignment horizontal="left" vertical="top"/>
    </xf>
    <xf numFmtId="0" fontId="126" fillId="0" borderId="235" xfId="0" applyFont="1" applyBorder="1" applyAlignment="1" applyProtection="1">
      <alignment vertical="center"/>
    </xf>
    <xf numFmtId="0" fontId="126" fillId="0" borderId="285" xfId="0" applyFont="1" applyFill="1" applyBorder="1" applyAlignment="1" applyProtection="1">
      <alignment vertical="top"/>
    </xf>
    <xf numFmtId="1" fontId="126" fillId="0" borderId="285" xfId="0" applyNumberFormat="1" applyFont="1" applyFill="1" applyBorder="1" applyAlignment="1" applyProtection="1"/>
    <xf numFmtId="1" fontId="126" fillId="0" borderId="236" xfId="0" applyNumberFormat="1" applyFont="1" applyFill="1" applyBorder="1" applyAlignment="1" applyProtection="1"/>
    <xf numFmtId="0" fontId="90" fillId="5" borderId="87" xfId="0" applyNumberFormat="1" applyFont="1" applyFill="1" applyBorder="1" applyAlignment="1" applyProtection="1">
      <alignment horizontal="center" vertical="center"/>
    </xf>
    <xf numFmtId="1" fontId="144" fillId="0" borderId="286" xfId="0" applyNumberFormat="1" applyFont="1" applyFill="1" applyBorder="1" applyAlignment="1" applyProtection="1">
      <alignment vertical="center"/>
    </xf>
    <xf numFmtId="1" fontId="7" fillId="0" borderId="285" xfId="0" applyNumberFormat="1" applyFont="1" applyFill="1" applyBorder="1" applyAlignment="1" applyProtection="1">
      <alignment vertical="center"/>
    </xf>
    <xf numFmtId="1" fontId="7" fillId="0" borderId="287" xfId="0" applyNumberFormat="1" applyFont="1" applyFill="1" applyBorder="1" applyAlignment="1" applyProtection="1">
      <alignment vertical="center"/>
    </xf>
    <xf numFmtId="1" fontId="18" fillId="0" borderId="287" xfId="0" applyNumberFormat="1" applyFont="1" applyFill="1" applyBorder="1" applyAlignment="1" applyProtection="1">
      <alignment vertical="center"/>
    </xf>
    <xf numFmtId="1" fontId="18" fillId="0" borderId="288" xfId="0" applyNumberFormat="1" applyFont="1" applyFill="1" applyBorder="1" applyAlignment="1" applyProtection="1">
      <alignment vertical="center"/>
    </xf>
    <xf numFmtId="1" fontId="7" fillId="0" borderId="288" xfId="0" applyNumberFormat="1" applyFont="1" applyFill="1" applyBorder="1" applyAlignment="1" applyProtection="1">
      <alignment vertical="center"/>
    </xf>
    <xf numFmtId="0" fontId="81" fillId="0" borderId="95" xfId="0" applyFont="1" applyBorder="1" applyAlignment="1" applyProtection="1">
      <alignment horizontal="center" vertical="center" wrapText="1"/>
    </xf>
    <xf numFmtId="1" fontId="90" fillId="5" borderId="108" xfId="0" applyNumberFormat="1" applyFont="1" applyFill="1" applyBorder="1" applyAlignment="1" applyProtection="1">
      <alignment horizontal="center" vertical="center"/>
    </xf>
    <xf numFmtId="1" fontId="126" fillId="0" borderId="288" xfId="0" applyNumberFormat="1" applyFont="1" applyFill="1" applyBorder="1" applyAlignment="1" applyProtection="1">
      <alignment vertical="center"/>
    </xf>
    <xf numFmtId="1" fontId="90" fillId="5" borderId="109" xfId="0" applyNumberFormat="1" applyFont="1" applyFill="1" applyBorder="1" applyAlignment="1" applyProtection="1">
      <alignment horizontal="center" vertical="center"/>
    </xf>
    <xf numFmtId="1" fontId="126" fillId="0" borderId="287" xfId="0" applyNumberFormat="1" applyFont="1" applyFill="1" applyBorder="1" applyAlignment="1" applyProtection="1">
      <alignment horizontal="center" vertical="center"/>
    </xf>
    <xf numFmtId="0" fontId="126" fillId="0" borderId="231" xfId="0" applyFont="1" applyFill="1" applyBorder="1" applyAlignment="1" applyProtection="1">
      <alignment horizontal="center" vertical="center"/>
    </xf>
    <xf numFmtId="1" fontId="10" fillId="0" borderId="106" xfId="0" applyNumberFormat="1" applyFont="1" applyFill="1" applyBorder="1" applyAlignment="1" applyProtection="1">
      <alignment horizontal="left" vertical="center"/>
    </xf>
    <xf numFmtId="1" fontId="9" fillId="5" borderId="110" xfId="0" applyNumberFormat="1" applyFont="1" applyFill="1" applyBorder="1" applyAlignment="1" applyProtection="1">
      <alignment horizontal="center" vertical="center"/>
    </xf>
    <xf numFmtId="1" fontId="10" fillId="0" borderId="107" xfId="0" applyNumberFormat="1" applyFont="1" applyFill="1" applyBorder="1" applyAlignment="1" applyProtection="1">
      <alignment horizontal="left" vertical="center"/>
    </xf>
    <xf numFmtId="0" fontId="18" fillId="0" borderId="230" xfId="0" applyFont="1" applyFill="1" applyBorder="1" applyAlignment="1" applyProtection="1"/>
    <xf numFmtId="0" fontId="18" fillId="0" borderId="231" xfId="0" applyFont="1" applyFill="1" applyBorder="1" applyAlignment="1" applyProtection="1"/>
    <xf numFmtId="1" fontId="126" fillId="0" borderId="231" xfId="0" applyNumberFormat="1" applyFont="1" applyFill="1" applyBorder="1" applyAlignment="1" applyProtection="1"/>
    <xf numFmtId="0" fontId="126" fillId="0" borderId="240" xfId="0" applyFont="1" applyFill="1" applyBorder="1" applyAlignment="1" applyProtection="1">
      <alignment horizontal="center" vertical="top"/>
    </xf>
    <xf numFmtId="0" fontId="126" fillId="0" borderId="231" xfId="0" applyFont="1" applyFill="1" applyBorder="1" applyAlignment="1" applyProtection="1">
      <alignment horizontal="center" vertical="top"/>
    </xf>
    <xf numFmtId="0" fontId="18" fillId="0" borderId="233" xfId="0" applyFont="1" applyFill="1" applyBorder="1" applyAlignment="1" applyProtection="1"/>
    <xf numFmtId="0" fontId="18" fillId="0" borderId="233" xfId="0" applyFont="1" applyFill="1" applyBorder="1" applyAlignment="1" applyProtection="1">
      <alignment horizontal="right"/>
    </xf>
    <xf numFmtId="0" fontId="78" fillId="0" borderId="230" xfId="0" applyFont="1" applyBorder="1" applyAlignment="1" applyProtection="1">
      <alignment horizontal="center" vertical="center"/>
    </xf>
    <xf numFmtId="0" fontId="7" fillId="0" borderId="231" xfId="0" applyFont="1" applyFill="1" applyBorder="1" applyProtection="1"/>
    <xf numFmtId="0" fontId="78" fillId="0" borderId="230" xfId="0" applyFont="1" applyBorder="1" applyAlignment="1" applyProtection="1">
      <alignment horizontal="left" vertical="center"/>
    </xf>
    <xf numFmtId="0" fontId="81" fillId="0" borderId="62" xfId="0" applyFont="1" applyBorder="1" applyAlignment="1" applyProtection="1">
      <alignment vertical="center"/>
    </xf>
    <xf numFmtId="0" fontId="18" fillId="0" borderId="0" xfId="0" applyFont="1" applyAlignment="1" applyProtection="1">
      <alignment horizontal="left"/>
    </xf>
    <xf numFmtId="0" fontId="126" fillId="0" borderId="230" xfId="0" applyFont="1" applyFill="1" applyBorder="1" applyAlignment="1" applyProtection="1">
      <alignment horizontal="left" vertical="top"/>
    </xf>
    <xf numFmtId="0" fontId="126" fillId="0" borderId="231" xfId="0" applyFont="1" applyFill="1" applyBorder="1" applyAlignment="1" applyProtection="1">
      <alignment horizontal="left" vertical="top"/>
    </xf>
    <xf numFmtId="0" fontId="126" fillId="0" borderId="233" xfId="0" applyFont="1" applyFill="1" applyBorder="1" applyAlignment="1" applyProtection="1"/>
    <xf numFmtId="0" fontId="126" fillId="0" borderId="233" xfId="0" applyFont="1" applyFill="1" applyBorder="1" applyAlignment="1" applyProtection="1">
      <alignment horizontal="center" vertical="center"/>
    </xf>
    <xf numFmtId="0" fontId="126" fillId="0" borderId="230" xfId="0" applyFont="1" applyFill="1" applyBorder="1" applyProtection="1"/>
    <xf numFmtId="0" fontId="126" fillId="0" borderId="231" xfId="0" applyFont="1" applyFill="1" applyBorder="1" applyProtection="1"/>
    <xf numFmtId="0" fontId="126" fillId="0" borderId="231" xfId="0" applyFont="1" applyFill="1" applyBorder="1" applyAlignment="1" applyProtection="1"/>
    <xf numFmtId="0" fontId="126" fillId="0" borderId="231" xfId="0" applyFont="1" applyFill="1" applyBorder="1" applyAlignment="1" applyProtection="1">
      <alignment vertical="top"/>
    </xf>
    <xf numFmtId="0" fontId="126" fillId="0" borderId="230" xfId="0" applyFont="1" applyFill="1" applyBorder="1" applyAlignment="1" applyProtection="1">
      <alignment horizontal="left"/>
    </xf>
    <xf numFmtId="49" fontId="18" fillId="0" borderId="0" xfId="0" applyNumberFormat="1" applyFont="1" applyAlignment="1" applyProtection="1">
      <alignment horizontal="left" vertical="center"/>
    </xf>
    <xf numFmtId="0" fontId="126" fillId="0" borderId="230" xfId="0" applyFont="1" applyBorder="1" applyAlignment="1" applyProtection="1">
      <alignment vertical="center"/>
    </xf>
    <xf numFmtId="0" fontId="145" fillId="0" borderId="231" xfId="0" applyFont="1" applyFill="1" applyBorder="1" applyProtection="1"/>
    <xf numFmtId="0" fontId="126" fillId="0" borderId="230" xfId="0" applyFont="1" applyBorder="1" applyAlignment="1" applyProtection="1">
      <alignment horizontal="left" vertical="center"/>
    </xf>
    <xf numFmtId="0" fontId="18" fillId="0" borderId="231" xfId="0" applyFont="1" applyFill="1" applyBorder="1" applyProtection="1"/>
    <xf numFmtId="0" fontId="18" fillId="0" borderId="231" xfId="0" applyFont="1" applyFill="1" applyBorder="1" applyAlignment="1" applyProtection="1">
      <alignment vertical="top"/>
    </xf>
    <xf numFmtId="0" fontId="0" fillId="0" borderId="231" xfId="0" applyBorder="1" applyAlignment="1" applyProtection="1">
      <alignment vertical="center"/>
    </xf>
    <xf numFmtId="1" fontId="78" fillId="0" borderId="230" xfId="0" applyNumberFormat="1" applyFont="1" applyFill="1" applyBorder="1" applyAlignment="1" applyProtection="1">
      <alignment horizontal="center" vertical="center"/>
    </xf>
    <xf numFmtId="1" fontId="31" fillId="0" borderId="257" xfId="0" applyNumberFormat="1" applyFont="1" applyFill="1" applyBorder="1" applyAlignment="1" applyProtection="1"/>
    <xf numFmtId="0" fontId="78" fillId="0" borderId="233" xfId="0" applyFont="1" applyBorder="1" applyAlignment="1" applyProtection="1">
      <alignment horizontal="center" vertical="center"/>
    </xf>
    <xf numFmtId="0" fontId="31" fillId="0" borderId="257" xfId="0" applyFont="1" applyFill="1" applyBorder="1" applyAlignment="1" applyProtection="1"/>
    <xf numFmtId="1" fontId="78" fillId="0" borderId="234" xfId="0" applyNumberFormat="1" applyFont="1" applyFill="1" applyBorder="1" applyAlignment="1" applyProtection="1">
      <alignment horizontal="center" vertical="center"/>
    </xf>
    <xf numFmtId="0" fontId="78" fillId="0" borderId="236" xfId="0" applyFont="1" applyBorder="1" applyAlignment="1" applyProtection="1">
      <alignment horizontal="center" vertical="center"/>
    </xf>
    <xf numFmtId="0" fontId="78" fillId="0" borderId="234" xfId="0" applyFont="1" applyBorder="1" applyAlignment="1" applyProtection="1">
      <alignment horizontal="center" vertical="center"/>
    </xf>
    <xf numFmtId="0" fontId="18" fillId="0" borderId="236" xfId="0" applyFont="1" applyFill="1" applyBorder="1" applyAlignment="1" applyProtection="1"/>
    <xf numFmtId="0" fontId="18" fillId="0" borderId="234" xfId="0" applyFont="1" applyFill="1" applyBorder="1" applyAlignment="1" applyProtection="1"/>
    <xf numFmtId="0" fontId="81" fillId="0" borderId="105" xfId="0" applyFont="1" applyBorder="1" applyAlignment="1" applyProtection="1">
      <alignment horizontal="left" vertical="center"/>
    </xf>
    <xf numFmtId="0" fontId="7" fillId="5" borderId="110" xfId="0" applyFont="1" applyFill="1" applyBorder="1" applyAlignment="1" applyProtection="1">
      <alignment horizontal="center" vertical="center" wrapText="1"/>
    </xf>
    <xf numFmtId="1" fontId="144" fillId="0" borderId="105" xfId="0" applyNumberFormat="1" applyFont="1" applyFill="1" applyBorder="1" applyAlignment="1" applyProtection="1">
      <alignment horizontal="left" vertical="center"/>
    </xf>
    <xf numFmtId="1" fontId="144" fillId="0" borderId="106" xfId="0" applyNumberFormat="1" applyFont="1" applyFill="1" applyBorder="1" applyAlignment="1" applyProtection="1">
      <alignment horizontal="left" vertical="center"/>
    </xf>
    <xf numFmtId="1" fontId="144" fillId="0" borderId="107" xfId="0" applyNumberFormat="1" applyFont="1" applyFill="1" applyBorder="1" applyAlignment="1" applyProtection="1">
      <alignment horizontal="left" vertical="center"/>
    </xf>
    <xf numFmtId="0" fontId="18" fillId="8" borderId="111" xfId="0" applyFont="1" applyFill="1" applyBorder="1" applyAlignment="1" applyProtection="1">
      <alignment vertical="center"/>
    </xf>
    <xf numFmtId="0" fontId="18" fillId="8" borderId="112" xfId="0" applyFont="1" applyFill="1" applyBorder="1" applyAlignment="1" applyProtection="1">
      <alignment vertical="center"/>
    </xf>
    <xf numFmtId="0" fontId="7" fillId="5" borderId="113" xfId="0" applyFont="1" applyFill="1" applyBorder="1" applyAlignment="1" applyProtection="1">
      <alignment horizontal="center" vertical="center" wrapText="1"/>
    </xf>
    <xf numFmtId="0" fontId="81" fillId="0" borderId="114" xfId="0" applyFont="1" applyBorder="1" applyAlignment="1" applyProtection="1">
      <alignment horizontal="left" vertical="center"/>
    </xf>
    <xf numFmtId="0" fontId="78" fillId="0" borderId="115" xfId="0" applyFont="1" applyBorder="1" applyAlignment="1" applyProtection="1">
      <alignment vertical="center" wrapText="1"/>
    </xf>
    <xf numFmtId="0" fontId="78" fillId="0" borderId="116" xfId="0" applyFont="1" applyBorder="1" applyAlignment="1" applyProtection="1">
      <alignment vertical="center" wrapText="1"/>
    </xf>
    <xf numFmtId="0" fontId="126" fillId="0" borderId="278" xfId="0" applyFont="1" applyFill="1" applyBorder="1" applyAlignment="1" applyProtection="1">
      <alignment horizontal="center" vertical="center"/>
    </xf>
    <xf numFmtId="0" fontId="80" fillId="0" borderId="228" xfId="0" applyFont="1" applyFill="1" applyBorder="1" applyAlignment="1" applyProtection="1"/>
    <xf numFmtId="0" fontId="77" fillId="0" borderId="228" xfId="0" applyFont="1" applyFill="1" applyBorder="1" applyAlignment="1" applyProtection="1"/>
    <xf numFmtId="0" fontId="142" fillId="14" borderId="230" xfId="0" applyFont="1" applyFill="1" applyBorder="1" applyAlignment="1" applyProtection="1">
      <alignment vertical="center"/>
    </xf>
    <xf numFmtId="49" fontId="18" fillId="0" borderId="0" xfId="0" applyNumberFormat="1" applyFont="1" applyAlignment="1" applyProtection="1">
      <alignment horizontal="right"/>
    </xf>
    <xf numFmtId="49" fontId="18" fillId="0" borderId="0" xfId="0" applyNumberFormat="1" applyFont="1" applyAlignment="1" applyProtection="1">
      <alignment horizontal="center"/>
    </xf>
    <xf numFmtId="0" fontId="126" fillId="0" borderId="230" xfId="0" applyFont="1" applyFill="1" applyBorder="1" applyAlignment="1" applyProtection="1">
      <alignment horizontal="center" vertical="center"/>
    </xf>
    <xf numFmtId="0" fontId="142" fillId="14" borderId="284" xfId="0" applyNumberFormat="1" applyFont="1" applyFill="1" applyBorder="1" applyAlignment="1" applyProtection="1">
      <alignment vertical="center"/>
    </xf>
    <xf numFmtId="0" fontId="18" fillId="0" borderId="0" xfId="0" applyFont="1" applyFill="1" applyBorder="1" applyAlignment="1" applyProtection="1">
      <alignment horizontal="left"/>
    </xf>
    <xf numFmtId="0" fontId="18" fillId="0" borderId="0" xfId="0" applyFont="1" applyFill="1" applyBorder="1" applyAlignment="1" applyProtection="1">
      <alignment horizontal="center"/>
    </xf>
    <xf numFmtId="0" fontId="146" fillId="0" borderId="257" xfId="0" applyFont="1" applyFill="1" applyBorder="1" applyAlignment="1" applyProtection="1"/>
    <xf numFmtId="0" fontId="18" fillId="0" borderId="257" xfId="0" applyFont="1" applyFill="1" applyBorder="1" applyAlignment="1" applyProtection="1"/>
    <xf numFmtId="0" fontId="7" fillId="0" borderId="231" xfId="0" applyFont="1" applyFill="1" applyBorder="1" applyAlignment="1" applyProtection="1">
      <alignment horizontal="right"/>
    </xf>
    <xf numFmtId="0" fontId="18" fillId="0" borderId="257" xfId="0" applyFont="1" applyBorder="1" applyAlignment="1" applyProtection="1">
      <alignment vertical="center"/>
    </xf>
    <xf numFmtId="1" fontId="146" fillId="0" borderId="257" xfId="0" applyNumberFormat="1" applyFont="1" applyFill="1" applyBorder="1" applyAlignment="1" applyProtection="1"/>
    <xf numFmtId="0" fontId="87" fillId="0" borderId="113" xfId="0" applyFont="1" applyBorder="1" applyAlignment="1" applyProtection="1">
      <alignment horizontal="center" vertical="center"/>
    </xf>
    <xf numFmtId="0" fontId="87" fillId="0" borderId="117" xfId="0" applyFont="1" applyBorder="1" applyAlignment="1" applyProtection="1">
      <alignment horizontal="center" vertical="center"/>
    </xf>
    <xf numFmtId="0" fontId="87" fillId="0" borderId="118" xfId="0" applyFont="1" applyBorder="1" applyAlignment="1" applyProtection="1">
      <alignment horizontal="center" vertical="center"/>
    </xf>
    <xf numFmtId="0" fontId="126" fillId="0" borderId="234" xfId="0" applyFont="1" applyFill="1" applyBorder="1" applyAlignment="1" applyProtection="1">
      <alignment horizontal="center" vertical="center"/>
    </xf>
    <xf numFmtId="0" fontId="7" fillId="0" borderId="0" xfId="0" applyFont="1" applyAlignment="1" applyProtection="1">
      <alignment horizontal="center"/>
    </xf>
    <xf numFmtId="1" fontId="147" fillId="0" borderId="286" xfId="0" applyNumberFormat="1" applyFont="1" applyFill="1" applyBorder="1" applyAlignment="1" applyProtection="1">
      <alignment vertical="center"/>
    </xf>
    <xf numFmtId="0" fontId="18" fillId="0" borderId="0" xfId="0" applyFont="1" applyAlignment="1" applyProtection="1">
      <alignment horizontal="right"/>
    </xf>
    <xf numFmtId="1" fontId="10" fillId="0" borderId="287" xfId="0" applyNumberFormat="1" applyFont="1" applyFill="1" applyBorder="1" applyAlignment="1" applyProtection="1">
      <alignment vertical="center"/>
    </xf>
    <xf numFmtId="0" fontId="145" fillId="0" borderId="231" xfId="0" applyFont="1" applyFill="1" applyBorder="1" applyAlignment="1" applyProtection="1">
      <alignment horizontal="center" vertical="center"/>
    </xf>
    <xf numFmtId="1" fontId="78" fillId="0" borderId="119" xfId="0" applyNumberFormat="1" applyFont="1" applyFill="1" applyBorder="1" applyAlignment="1" applyProtection="1">
      <alignment horizontal="center" vertical="center"/>
    </xf>
    <xf numFmtId="1" fontId="78" fillId="0" borderId="55" xfId="0" applyNumberFormat="1" applyFont="1" applyFill="1" applyBorder="1" applyAlignment="1" applyProtection="1">
      <alignment horizontal="center" vertical="center"/>
    </xf>
    <xf numFmtId="1" fontId="83" fillId="0" borderId="55" xfId="0" applyNumberFormat="1" applyFont="1" applyFill="1" applyBorder="1" applyAlignment="1" applyProtection="1">
      <alignment horizontal="center" vertical="center"/>
    </xf>
    <xf numFmtId="0" fontId="78" fillId="0" borderId="54" xfId="0" applyFont="1" applyBorder="1" applyAlignment="1" applyProtection="1">
      <alignment horizontal="center" vertical="center"/>
    </xf>
    <xf numFmtId="0" fontId="78" fillId="0" borderId="55" xfId="0" applyFont="1" applyBorder="1" applyAlignment="1" applyProtection="1">
      <alignment horizontal="center" vertical="center"/>
    </xf>
    <xf numFmtId="0" fontId="78" fillId="0" borderId="56" xfId="0" applyFont="1" applyBorder="1" applyAlignment="1" applyProtection="1">
      <alignment horizontal="center" vertical="center"/>
    </xf>
    <xf numFmtId="0" fontId="18" fillId="0" borderId="230" xfId="0" applyFont="1" applyFill="1" applyBorder="1" applyAlignment="1" applyProtection="1">
      <alignment horizontal="left"/>
    </xf>
    <xf numFmtId="0" fontId="18" fillId="0" borderId="54" xfId="0" applyFont="1" applyFill="1" applyBorder="1" applyAlignment="1" applyProtection="1"/>
    <xf numFmtId="0" fontId="18" fillId="0" borderId="55" xfId="0" applyFont="1" applyFill="1" applyBorder="1" applyAlignment="1" applyProtection="1"/>
    <xf numFmtId="0" fontId="18" fillId="0" borderId="56" xfId="0" applyFont="1" applyFill="1" applyBorder="1" applyProtection="1"/>
    <xf numFmtId="0" fontId="7" fillId="0" borderId="55" xfId="0" applyFont="1" applyFill="1" applyBorder="1" applyAlignment="1" applyProtection="1">
      <alignment horizontal="center"/>
    </xf>
    <xf numFmtId="0" fontId="18" fillId="0" borderId="120" xfId="0" applyFont="1" applyFill="1" applyBorder="1" applyAlignment="1" applyProtection="1"/>
    <xf numFmtId="0" fontId="18" fillId="0" borderId="55" xfId="0" applyFont="1" applyFill="1" applyBorder="1" applyProtection="1"/>
    <xf numFmtId="1" fontId="7" fillId="0" borderId="55" xfId="0" applyNumberFormat="1" applyFont="1" applyFill="1" applyBorder="1" applyAlignment="1" applyProtection="1">
      <alignment horizontal="center" vertical="center"/>
    </xf>
    <xf numFmtId="0" fontId="126" fillId="0" borderId="233" xfId="0" applyFont="1" applyFill="1" applyBorder="1" applyAlignment="1" applyProtection="1">
      <alignment horizontal="right"/>
    </xf>
    <xf numFmtId="0" fontId="77" fillId="0" borderId="55" xfId="0" applyFont="1" applyFill="1" applyBorder="1" applyAlignment="1" applyProtection="1">
      <alignment vertical="top"/>
    </xf>
    <xf numFmtId="0" fontId="18" fillId="0" borderId="56" xfId="0" applyFont="1" applyFill="1" applyBorder="1" applyAlignment="1" applyProtection="1"/>
    <xf numFmtId="1" fontId="31" fillId="0" borderId="121" xfId="0" applyNumberFormat="1" applyFont="1" applyFill="1" applyBorder="1" applyAlignment="1" applyProtection="1"/>
    <xf numFmtId="1" fontId="31" fillId="0" borderId="71" xfId="0" applyNumberFormat="1" applyFont="1" applyFill="1" applyBorder="1" applyAlignment="1" applyProtection="1"/>
    <xf numFmtId="1" fontId="31" fillId="0" borderId="72" xfId="0" applyNumberFormat="1" applyFont="1" applyFill="1" applyBorder="1" applyAlignment="1" applyProtection="1"/>
    <xf numFmtId="0" fontId="126" fillId="0" borderId="289" xfId="0" applyFont="1" applyBorder="1" applyAlignment="1" applyProtection="1">
      <alignment horizontal="left" vertical="center"/>
    </xf>
    <xf numFmtId="0" fontId="31" fillId="0" borderId="121" xfId="0" applyFont="1" applyFill="1" applyBorder="1" applyAlignment="1" applyProtection="1"/>
    <xf numFmtId="0" fontId="31" fillId="0" borderId="71" xfId="0" applyFont="1" applyFill="1" applyBorder="1" applyAlignment="1" applyProtection="1"/>
    <xf numFmtId="0" fontId="31" fillId="0" borderId="72" xfId="0" applyFont="1" applyFill="1" applyBorder="1" applyAlignment="1" applyProtection="1"/>
    <xf numFmtId="1" fontId="78" fillId="0" borderId="122" xfId="0" applyNumberFormat="1" applyFont="1" applyFill="1" applyBorder="1" applyAlignment="1" applyProtection="1">
      <alignment horizontal="center" vertical="center"/>
    </xf>
    <xf numFmtId="0" fontId="78" fillId="0" borderId="41" xfId="0" applyFont="1" applyBorder="1" applyAlignment="1" applyProtection="1">
      <alignment horizontal="center" vertical="center"/>
    </xf>
    <xf numFmtId="0" fontId="78" fillId="0" borderId="123" xfId="0" applyFont="1" applyBorder="1" applyAlignment="1" applyProtection="1">
      <alignment horizontal="center" vertical="center"/>
    </xf>
    <xf numFmtId="0" fontId="18" fillId="0" borderId="124" xfId="0" applyFont="1" applyFill="1" applyBorder="1" applyAlignment="1" applyProtection="1"/>
    <xf numFmtId="0" fontId="18" fillId="0" borderId="39" xfId="0" applyFont="1" applyFill="1" applyBorder="1" applyAlignment="1" applyProtection="1"/>
    <xf numFmtId="0" fontId="18" fillId="0" borderId="125" xfId="0" applyFont="1" applyFill="1" applyBorder="1" applyAlignment="1" applyProtection="1"/>
    <xf numFmtId="0" fontId="18" fillId="6" borderId="111" xfId="0" applyFont="1" applyFill="1" applyBorder="1" applyAlignment="1" applyProtection="1">
      <alignment vertical="center"/>
    </xf>
    <xf numFmtId="0" fontId="18" fillId="6" borderId="112" xfId="0" applyFont="1" applyFill="1" applyBorder="1" applyAlignment="1" applyProtection="1">
      <alignment vertical="center"/>
    </xf>
    <xf numFmtId="0" fontId="18" fillId="0" borderId="0" xfId="0" applyFont="1" applyAlignment="1" applyProtection="1"/>
    <xf numFmtId="0" fontId="94" fillId="0" borderId="231" xfId="0" applyFont="1" applyFill="1" applyBorder="1" applyAlignment="1" applyProtection="1">
      <alignment horizontal="center" vertical="center"/>
    </xf>
    <xf numFmtId="0" fontId="77" fillId="0" borderId="0" xfId="0" applyFont="1" applyFill="1" applyBorder="1" applyAlignment="1" applyProtection="1">
      <alignment vertical="top"/>
    </xf>
    <xf numFmtId="0" fontId="18" fillId="9" borderId="111" xfId="0" applyFont="1" applyFill="1" applyBorder="1" applyAlignment="1" applyProtection="1">
      <alignment vertical="center"/>
    </xf>
    <xf numFmtId="0" fontId="18" fillId="9" borderId="112" xfId="0" applyFont="1" applyFill="1" applyBorder="1" applyAlignment="1" applyProtection="1">
      <alignment vertical="center"/>
    </xf>
    <xf numFmtId="0" fontId="88" fillId="0" borderId="100" xfId="0" applyFont="1" applyFill="1" applyBorder="1" applyAlignment="1" applyProtection="1">
      <alignment horizontal="center" vertical="center"/>
    </xf>
    <xf numFmtId="1" fontId="148" fillId="0" borderId="22" xfId="0" applyNumberFormat="1" applyFont="1" applyFill="1" applyBorder="1" applyAlignment="1" applyProtection="1">
      <alignment horizontal="center" vertical="center"/>
    </xf>
    <xf numFmtId="1" fontId="9" fillId="5" borderId="109" xfId="0" applyNumberFormat="1" applyFont="1" applyFill="1" applyBorder="1" applyAlignment="1" applyProtection="1">
      <alignment horizontal="center" vertical="center"/>
    </xf>
    <xf numFmtId="1" fontId="149" fillId="0" borderId="287" xfId="0" applyNumberFormat="1" applyFont="1" applyFill="1" applyBorder="1" applyAlignment="1" applyProtection="1">
      <alignment vertical="center"/>
    </xf>
    <xf numFmtId="0" fontId="7" fillId="0" borderId="55" xfId="0" applyFont="1" applyFill="1" applyBorder="1" applyProtection="1"/>
    <xf numFmtId="49" fontId="81" fillId="0" borderId="105" xfId="0" applyNumberFormat="1" applyFont="1" applyBorder="1" applyAlignment="1" applyProtection="1">
      <alignment horizontal="center" vertical="center"/>
    </xf>
    <xf numFmtId="49" fontId="81" fillId="0" borderId="106" xfId="0" applyNumberFormat="1" applyFont="1" applyBorder="1" applyAlignment="1" applyProtection="1">
      <alignment horizontal="center" vertical="center" wrapText="1"/>
    </xf>
    <xf numFmtId="49" fontId="81" fillId="0" borderId="107" xfId="0" applyNumberFormat="1" applyFont="1" applyBorder="1" applyAlignment="1" applyProtection="1">
      <alignment horizontal="center" vertical="center" wrapText="1"/>
    </xf>
    <xf numFmtId="0" fontId="18" fillId="4" borderId="111" xfId="0" applyFont="1" applyFill="1" applyBorder="1" applyAlignment="1" applyProtection="1">
      <alignment vertical="center"/>
    </xf>
    <xf numFmtId="0" fontId="18" fillId="4" borderId="112" xfId="0" applyFont="1" applyFill="1" applyBorder="1" applyAlignment="1" applyProtection="1">
      <alignment vertical="center"/>
    </xf>
    <xf numFmtId="0" fontId="126" fillId="0" borderId="233" xfId="0" applyFont="1" applyFill="1" applyBorder="1" applyAlignment="1" applyProtection="1">
      <alignment horizontal="left"/>
    </xf>
    <xf numFmtId="0" fontId="81" fillId="0" borderId="230" xfId="0" applyFont="1" applyFill="1" applyBorder="1" applyAlignment="1" applyProtection="1">
      <alignment horizontal="center" vertical="center"/>
    </xf>
    <xf numFmtId="0" fontId="131" fillId="0" borderId="233" xfId="0" applyFont="1" applyFill="1" applyBorder="1" applyAlignment="1" applyProtection="1">
      <alignment horizontal="left"/>
    </xf>
    <xf numFmtId="0" fontId="95" fillId="0" borderId="230" xfId="0" applyFont="1" applyFill="1" applyBorder="1" applyAlignment="1" applyProtection="1">
      <alignment horizontal="center" vertical="center"/>
    </xf>
    <xf numFmtId="0" fontId="18" fillId="0" borderId="283" xfId="0" applyFont="1" applyFill="1" applyBorder="1" applyProtection="1"/>
    <xf numFmtId="0" fontId="96" fillId="0" borderId="230" xfId="0" applyFont="1" applyFill="1" applyBorder="1" applyAlignment="1" applyProtection="1">
      <alignment horizontal="center" vertical="center"/>
    </xf>
    <xf numFmtId="0" fontId="18" fillId="0" borderId="233" xfId="0" applyFont="1" applyFill="1" applyBorder="1" applyProtection="1"/>
    <xf numFmtId="1" fontId="146" fillId="0" borderId="257" xfId="0" applyNumberFormat="1" applyFont="1" applyBorder="1" applyAlignment="1" applyProtection="1">
      <alignment vertical="center"/>
    </xf>
    <xf numFmtId="0" fontId="0" fillId="0" borderId="257" xfId="0" applyBorder="1" applyAlignment="1" applyProtection="1">
      <alignment vertical="center"/>
    </xf>
    <xf numFmtId="0" fontId="142" fillId="0" borderId="235" xfId="0" applyFont="1" applyFill="1" applyBorder="1" applyAlignment="1" applyProtection="1">
      <alignment horizontal="center" vertical="center"/>
    </xf>
    <xf numFmtId="0" fontId="126" fillId="0" borderId="285" xfId="0" applyFont="1" applyFill="1" applyBorder="1" applyAlignment="1" applyProtection="1">
      <alignment horizontal="center" vertical="top"/>
    </xf>
    <xf numFmtId="0" fontId="133" fillId="0" borderId="285" xfId="0" applyFont="1" applyBorder="1" applyAlignment="1" applyProtection="1">
      <alignment vertical="center"/>
    </xf>
    <xf numFmtId="0" fontId="0" fillId="0" borderId="285" xfId="0" applyBorder="1" applyAlignment="1" applyProtection="1">
      <alignment vertical="center"/>
    </xf>
    <xf numFmtId="0" fontId="18" fillId="0" borderId="236" xfId="0" applyFont="1" applyFill="1" applyBorder="1" applyProtection="1"/>
    <xf numFmtId="1" fontId="150" fillId="0" borderId="286" xfId="0" applyNumberFormat="1" applyFont="1" applyFill="1" applyBorder="1" applyAlignment="1" applyProtection="1">
      <alignment vertical="center"/>
    </xf>
    <xf numFmtId="1" fontId="151" fillId="0" borderId="286" xfId="0" applyNumberFormat="1" applyFont="1" applyFill="1" applyBorder="1" applyAlignment="1" applyProtection="1">
      <alignment vertical="center"/>
    </xf>
    <xf numFmtId="1" fontId="7" fillId="0" borderId="68" xfId="0" applyNumberFormat="1" applyFont="1" applyFill="1" applyBorder="1" applyAlignment="1" applyProtection="1">
      <alignment horizontal="center" vertical="top"/>
    </xf>
    <xf numFmtId="1" fontId="7" fillId="0" borderId="70" xfId="0" applyNumberFormat="1" applyFont="1" applyFill="1" applyBorder="1" applyAlignment="1" applyProtection="1">
      <alignment horizontal="center" vertical="top"/>
    </xf>
    <xf numFmtId="0" fontId="18" fillId="10" borderId="111" xfId="0" applyFont="1" applyFill="1" applyBorder="1" applyAlignment="1" applyProtection="1">
      <alignment vertical="center"/>
    </xf>
    <xf numFmtId="0" fontId="18" fillId="10" borderId="112" xfId="0" applyFont="1" applyFill="1" applyBorder="1" applyAlignment="1" applyProtection="1">
      <alignment vertical="center"/>
    </xf>
    <xf numFmtId="0" fontId="18" fillId="0" borderId="280" xfId="0" applyFont="1" applyBorder="1" applyAlignment="1" applyProtection="1">
      <alignment vertical="center"/>
    </xf>
    <xf numFmtId="0" fontId="126" fillId="0" borderId="281" xfId="0" applyFont="1" applyBorder="1" applyAlignment="1" applyProtection="1">
      <alignment horizontal="center" vertical="center"/>
    </xf>
    <xf numFmtId="0" fontId="126" fillId="0" borderId="233" xfId="0" applyFont="1" applyFill="1" applyBorder="1" applyAlignment="1" applyProtection="1">
      <alignment horizontal="left" vertical="top"/>
    </xf>
    <xf numFmtId="0" fontId="78" fillId="0" borderId="122" xfId="0" applyFont="1" applyBorder="1" applyAlignment="1" applyProtection="1">
      <alignment horizontal="center" vertical="center"/>
    </xf>
    <xf numFmtId="0" fontId="18" fillId="7" borderId="111" xfId="0" applyFont="1" applyFill="1" applyBorder="1" applyAlignment="1" applyProtection="1">
      <alignment vertical="center"/>
    </xf>
    <xf numFmtId="0" fontId="18" fillId="7" borderId="112" xfId="0" applyFont="1" applyFill="1" applyBorder="1" applyAlignment="1" applyProtection="1">
      <alignment vertical="center"/>
    </xf>
    <xf numFmtId="0" fontId="18" fillId="7" borderId="126" xfId="0" applyFont="1" applyFill="1" applyBorder="1" applyAlignment="1" applyProtection="1">
      <alignment vertical="center"/>
    </xf>
    <xf numFmtId="0" fontId="7" fillId="0" borderId="0" xfId="0" applyFont="1" applyBorder="1" applyAlignment="1" applyProtection="1">
      <alignment vertical="center"/>
    </xf>
    <xf numFmtId="0" fontId="7" fillId="0" borderId="0" xfId="0" applyFont="1" applyBorder="1" applyAlignment="1" applyProtection="1">
      <alignment horizontal="left" vertical="center"/>
    </xf>
    <xf numFmtId="0" fontId="133" fillId="0" borderId="0" xfId="0" applyFont="1" applyAlignment="1" applyProtection="1">
      <alignment vertical="center"/>
    </xf>
    <xf numFmtId="0" fontId="18" fillId="11" borderId="111" xfId="0" applyFont="1" applyFill="1" applyBorder="1" applyAlignment="1" applyProtection="1">
      <alignment vertical="center"/>
    </xf>
    <xf numFmtId="0" fontId="18" fillId="11" borderId="112" xfId="0" applyFont="1" applyFill="1" applyBorder="1" applyAlignment="1" applyProtection="1">
      <alignment vertical="center"/>
    </xf>
    <xf numFmtId="0" fontId="18" fillId="11" borderId="126" xfId="0" applyFont="1" applyFill="1" applyBorder="1" applyAlignment="1" applyProtection="1">
      <alignment vertical="center"/>
    </xf>
    <xf numFmtId="0" fontId="97" fillId="8" borderId="111" xfId="0" applyFont="1" applyFill="1" applyBorder="1" applyAlignment="1" applyProtection="1">
      <alignment vertical="center"/>
    </xf>
    <xf numFmtId="0" fontId="97" fillId="8" borderId="112" xfId="0" applyFont="1" applyFill="1" applyBorder="1" applyAlignment="1" applyProtection="1">
      <alignment vertical="center"/>
    </xf>
    <xf numFmtId="49" fontId="81" fillId="0" borderId="260" xfId="0" applyNumberFormat="1" applyFont="1" applyBorder="1" applyAlignment="1" applyProtection="1">
      <alignment vertical="center"/>
    </xf>
    <xf numFmtId="49" fontId="78" fillId="0" borderId="225" xfId="0" applyNumberFormat="1" applyFont="1" applyBorder="1" applyAlignment="1" applyProtection="1">
      <alignment vertical="center"/>
    </xf>
    <xf numFmtId="49" fontId="78" fillId="0" borderId="282" xfId="0" applyNumberFormat="1" applyFont="1" applyBorder="1" applyAlignment="1" applyProtection="1">
      <alignment vertical="center" wrapText="1"/>
    </xf>
    <xf numFmtId="0" fontId="18" fillId="0" borderId="127" xfId="0" applyFont="1" applyFill="1" applyBorder="1" applyAlignment="1" applyProtection="1"/>
    <xf numFmtId="0" fontId="78" fillId="0" borderId="283" xfId="0" applyFont="1" applyFill="1" applyBorder="1" applyAlignment="1" applyProtection="1">
      <alignment horizontal="right"/>
    </xf>
    <xf numFmtId="49" fontId="78" fillId="0" borderId="128" xfId="0" applyNumberFormat="1" applyFont="1" applyBorder="1" applyAlignment="1" applyProtection="1">
      <alignment vertical="center"/>
    </xf>
    <xf numFmtId="0" fontId="18" fillId="10" borderId="126" xfId="0" applyFont="1" applyFill="1" applyBorder="1" applyAlignment="1" applyProtection="1">
      <alignment vertical="center"/>
    </xf>
    <xf numFmtId="0" fontId="140" fillId="0" borderId="230" xfId="0" applyFont="1" applyFill="1" applyBorder="1" applyAlignment="1" applyProtection="1">
      <alignment horizontal="left"/>
    </xf>
    <xf numFmtId="0" fontId="140" fillId="0" borderId="231" xfId="0" applyFont="1" applyFill="1" applyBorder="1" applyAlignment="1" applyProtection="1"/>
    <xf numFmtId="1" fontId="140" fillId="0" borderId="231" xfId="0" applyNumberFormat="1" applyFont="1" applyFill="1" applyBorder="1" applyAlignment="1" applyProtection="1"/>
    <xf numFmtId="0" fontId="140" fillId="0" borderId="231" xfId="0" applyFont="1" applyFill="1" applyBorder="1" applyAlignment="1" applyProtection="1">
      <alignment horizontal="left"/>
    </xf>
    <xf numFmtId="1" fontId="152" fillId="0" borderId="22" xfId="0" applyNumberFormat="1" applyFont="1" applyFill="1" applyBorder="1" applyAlignment="1" applyProtection="1">
      <alignment horizontal="center" vertical="center"/>
    </xf>
    <xf numFmtId="0" fontId="0" fillId="0" borderId="3" xfId="0" applyBorder="1" applyAlignment="1" applyProtection="1"/>
    <xf numFmtId="0" fontId="130" fillId="0" borderId="0" xfId="0" applyFont="1" applyBorder="1" applyAlignment="1" applyProtection="1">
      <alignment horizontal="center" vertical="center"/>
      <protection locked="0"/>
    </xf>
    <xf numFmtId="0" fontId="19" fillId="0" borderId="54" xfId="0" applyFont="1" applyFill="1" applyBorder="1" applyAlignment="1" applyProtection="1"/>
    <xf numFmtId="0" fontId="19" fillId="0" borderId="56" xfId="0" applyFont="1" applyFill="1" applyBorder="1" applyAlignment="1" applyProtection="1"/>
    <xf numFmtId="0" fontId="19" fillId="0" borderId="120" xfId="0" applyFont="1" applyFill="1" applyBorder="1" applyAlignment="1" applyProtection="1"/>
    <xf numFmtId="0" fontId="153" fillId="0" borderId="37" xfId="0" applyFont="1" applyBorder="1" applyAlignment="1" applyProtection="1"/>
    <xf numFmtId="0" fontId="0" fillId="0" borderId="130" xfId="0" applyBorder="1" applyAlignment="1" applyProtection="1">
      <alignment vertical="center"/>
    </xf>
    <xf numFmtId="0" fontId="0" fillId="0" borderId="130" xfId="0" applyFill="1" applyBorder="1" applyAlignment="1" applyProtection="1">
      <alignment vertical="center"/>
    </xf>
    <xf numFmtId="0" fontId="0" fillId="0" borderId="131" xfId="0" applyBorder="1" applyAlignment="1" applyProtection="1">
      <alignment vertical="center"/>
    </xf>
    <xf numFmtId="0" fontId="14" fillId="0" borderId="231" xfId="0" applyFont="1" applyBorder="1" applyAlignment="1" applyProtection="1">
      <alignment horizontal="center"/>
    </xf>
    <xf numFmtId="0" fontId="0" fillId="0" borderId="259" xfId="0" applyBorder="1" applyProtection="1"/>
    <xf numFmtId="1" fontId="6" fillId="0" borderId="57" xfId="0" applyNumberFormat="1" applyFont="1" applyBorder="1" applyAlignment="1" applyProtection="1">
      <alignment horizontal="center"/>
    </xf>
    <xf numFmtId="0" fontId="84" fillId="15" borderId="99" xfId="0" applyFont="1" applyFill="1" applyBorder="1" applyAlignment="1" applyProtection="1">
      <alignment horizontal="center" vertical="center"/>
    </xf>
    <xf numFmtId="0" fontId="0" fillId="0" borderId="242" xfId="0" applyBorder="1" applyAlignment="1" applyProtection="1">
      <alignment shrinkToFit="1"/>
    </xf>
    <xf numFmtId="0" fontId="0" fillId="0" borderId="240" xfId="0" applyBorder="1" applyAlignment="1" applyProtection="1">
      <alignment shrinkToFit="1"/>
    </xf>
    <xf numFmtId="0" fontId="0" fillId="0" borderId="241" xfId="0" applyBorder="1" applyAlignment="1" applyProtection="1">
      <alignment shrinkToFit="1"/>
    </xf>
    <xf numFmtId="0" fontId="0" fillId="0" borderId="231" xfId="0" applyBorder="1" applyAlignment="1" applyProtection="1">
      <alignment shrinkToFit="1"/>
    </xf>
    <xf numFmtId="0" fontId="0" fillId="0" borderId="0" xfId="0" applyAlignment="1" applyProtection="1">
      <alignment shrinkToFit="1"/>
    </xf>
    <xf numFmtId="0" fontId="9" fillId="0" borderId="0" xfId="0" applyFont="1" applyBorder="1" applyAlignment="1" applyProtection="1">
      <alignment horizontal="center"/>
    </xf>
    <xf numFmtId="0" fontId="7" fillId="0" borderId="231" xfId="0" applyFont="1" applyFill="1" applyBorder="1" applyAlignment="1" applyProtection="1">
      <alignment horizontal="left"/>
    </xf>
    <xf numFmtId="0" fontId="144" fillId="0" borderId="231" xfId="0" applyFont="1" applyFill="1" applyBorder="1" applyProtection="1"/>
    <xf numFmtId="0" fontId="146" fillId="0" borderId="257" xfId="0" applyFont="1" applyFill="1" applyBorder="1" applyAlignment="1" applyProtection="1">
      <alignment horizontal="left"/>
    </xf>
    <xf numFmtId="0" fontId="18" fillId="0" borderId="257" xfId="0" applyFont="1" applyFill="1" applyBorder="1" applyProtection="1"/>
    <xf numFmtId="0" fontId="145" fillId="0" borderId="257" xfId="0" applyFont="1" applyFill="1" applyBorder="1" applyAlignment="1" applyProtection="1">
      <alignment horizontal="right"/>
    </xf>
    <xf numFmtId="0" fontId="77" fillId="0" borderId="240" xfId="0" applyFont="1" applyFill="1" applyBorder="1" applyAlignment="1" applyProtection="1">
      <alignment vertical="top"/>
    </xf>
    <xf numFmtId="0" fontId="77" fillId="0" borderId="231" xfId="0" applyFont="1" applyFill="1" applyBorder="1" applyAlignment="1" applyProtection="1">
      <alignment vertical="top"/>
    </xf>
    <xf numFmtId="0" fontId="0" fillId="0" borderId="240" xfId="0" applyBorder="1" applyAlignment="1" applyProtection="1">
      <alignment vertical="center"/>
    </xf>
    <xf numFmtId="0" fontId="144" fillId="0" borderId="257" xfId="0" applyFont="1" applyBorder="1" applyAlignment="1" applyProtection="1">
      <alignment vertical="center"/>
    </xf>
    <xf numFmtId="0" fontId="146" fillId="0" borderId="257" xfId="0" applyFont="1" applyFill="1" applyBorder="1" applyAlignment="1" applyProtection="1">
      <alignment horizontal="right"/>
    </xf>
    <xf numFmtId="0" fontId="144" fillId="0" borderId="231" xfId="0" applyFont="1" applyBorder="1" applyAlignment="1" applyProtection="1">
      <alignment vertical="center"/>
    </xf>
    <xf numFmtId="0" fontId="7" fillId="0" borderId="240" xfId="0" applyFont="1" applyFill="1" applyBorder="1" applyAlignment="1" applyProtection="1">
      <alignment horizontal="right"/>
    </xf>
    <xf numFmtId="49" fontId="146" fillId="0" borderId="257" xfId="0" applyNumberFormat="1" applyFont="1" applyFill="1" applyBorder="1" applyAlignment="1" applyProtection="1">
      <alignment horizontal="right"/>
    </xf>
    <xf numFmtId="0" fontId="146" fillId="0" borderId="257" xfId="0" applyNumberFormat="1" applyFont="1" applyFill="1" applyBorder="1" applyAlignment="1" applyProtection="1"/>
    <xf numFmtId="0" fontId="154" fillId="0" borderId="257" xfId="0" applyFont="1" applyFill="1" applyBorder="1" applyAlignment="1" applyProtection="1">
      <alignment horizontal="center"/>
    </xf>
    <xf numFmtId="0" fontId="18" fillId="0" borderId="231" xfId="0" applyFont="1" applyBorder="1" applyAlignment="1" applyProtection="1">
      <alignment vertical="center"/>
    </xf>
    <xf numFmtId="0" fontId="14" fillId="0" borderId="231" xfId="0" applyFont="1" applyBorder="1" applyAlignment="1" applyProtection="1">
      <alignment vertical="center"/>
    </xf>
    <xf numFmtId="0" fontId="18" fillId="0" borderId="240" xfId="0" applyFont="1" applyFill="1" applyBorder="1" applyAlignment="1" applyProtection="1">
      <alignment vertical="top"/>
    </xf>
    <xf numFmtId="0" fontId="18" fillId="0" borderId="231" xfId="0" applyFont="1" applyFill="1" applyBorder="1" applyAlignment="1" applyProtection="1">
      <alignment horizontal="center"/>
    </xf>
    <xf numFmtId="0" fontId="18" fillId="0" borderId="262" xfId="0" applyFont="1" applyFill="1" applyBorder="1" applyProtection="1"/>
    <xf numFmtId="14" fontId="18" fillId="0" borderId="257" xfId="0" applyNumberFormat="1" applyFont="1" applyFill="1" applyBorder="1" applyAlignment="1" applyProtection="1"/>
    <xf numFmtId="0" fontId="81" fillId="0" borderId="257" xfId="0" applyFont="1" applyFill="1" applyBorder="1" applyProtection="1"/>
    <xf numFmtId="0" fontId="146" fillId="0" borderId="257" xfId="0" applyFont="1" applyFill="1" applyBorder="1" applyAlignment="1" applyProtection="1">
      <alignment horizontal="center"/>
    </xf>
    <xf numFmtId="1" fontId="146" fillId="0" borderId="257" xfId="0" applyNumberFormat="1" applyFont="1" applyBorder="1" applyAlignment="1" applyProtection="1"/>
    <xf numFmtId="1" fontId="18" fillId="0" borderId="257" xfId="0" applyNumberFormat="1" applyFont="1" applyFill="1" applyBorder="1" applyAlignment="1" applyProtection="1"/>
    <xf numFmtId="0" fontId="18" fillId="0" borderId="240" xfId="0" applyFont="1" applyFill="1" applyBorder="1" applyAlignment="1" applyProtection="1">
      <alignment horizontal="left" vertical="top"/>
    </xf>
    <xf numFmtId="1" fontId="146" fillId="0" borderId="257" xfId="0" applyNumberFormat="1" applyFont="1" applyFill="1" applyBorder="1" applyAlignment="1" applyProtection="1">
      <alignment horizontal="left"/>
    </xf>
    <xf numFmtId="1" fontId="18" fillId="0" borderId="257" xfId="0" applyNumberFormat="1" applyFont="1" applyFill="1" applyBorder="1" applyAlignment="1" applyProtection="1">
      <alignment horizontal="left"/>
    </xf>
    <xf numFmtId="0" fontId="18" fillId="0" borderId="257" xfId="0" applyFont="1" applyFill="1" applyBorder="1" applyAlignment="1" applyProtection="1">
      <alignment horizontal="left"/>
    </xf>
    <xf numFmtId="0" fontId="146" fillId="0" borderId="257" xfId="0" applyFont="1" applyBorder="1" applyAlignment="1" applyProtection="1">
      <alignment vertical="center"/>
    </xf>
    <xf numFmtId="0" fontId="85" fillId="14" borderId="241" xfId="0" applyNumberFormat="1" applyFont="1" applyFill="1" applyBorder="1" applyAlignment="1" applyProtection="1">
      <alignment vertical="center"/>
    </xf>
    <xf numFmtId="0" fontId="133" fillId="0" borderId="262" xfId="0" applyFont="1" applyBorder="1" applyAlignment="1" applyProtection="1">
      <alignment horizontal="left" vertical="center"/>
    </xf>
    <xf numFmtId="0" fontId="126" fillId="0" borderId="262" xfId="0" applyFont="1" applyFill="1" applyBorder="1" applyAlignment="1" applyProtection="1">
      <alignment horizontal="left" vertical="top"/>
    </xf>
    <xf numFmtId="0" fontId="126" fillId="0" borderId="240" xfId="0" applyFont="1" applyFill="1" applyBorder="1" applyAlignment="1" applyProtection="1">
      <alignment vertical="top"/>
    </xf>
    <xf numFmtId="0" fontId="126" fillId="0" borderId="240" xfId="0" applyFont="1" applyBorder="1" applyAlignment="1" applyProtection="1">
      <alignment vertical="center"/>
    </xf>
    <xf numFmtId="1" fontId="155" fillId="0" borderId="105" xfId="0" applyNumberFormat="1" applyFont="1" applyFill="1" applyBorder="1" applyAlignment="1" applyProtection="1">
      <alignment horizontal="left" vertical="center"/>
    </xf>
    <xf numFmtId="0" fontId="126" fillId="0" borderId="240" xfId="0" applyFont="1" applyFill="1" applyBorder="1" applyProtection="1"/>
    <xf numFmtId="0" fontId="135" fillId="0" borderId="258" xfId="0" applyFont="1" applyBorder="1" applyAlignment="1" applyProtection="1">
      <alignment vertical="center"/>
    </xf>
    <xf numFmtId="0" fontId="144" fillId="0" borderId="257" xfId="0" applyFont="1" applyFill="1" applyBorder="1" applyProtection="1"/>
    <xf numFmtId="0" fontId="0" fillId="0" borderId="258" xfId="0" applyBorder="1" applyAlignment="1" applyProtection="1">
      <alignment vertical="center"/>
    </xf>
    <xf numFmtId="0" fontId="154" fillId="0" borderId="257" xfId="0" applyFont="1" applyFill="1" applyBorder="1" applyAlignment="1" applyProtection="1">
      <alignment horizontal="right"/>
    </xf>
    <xf numFmtId="0" fontId="144" fillId="0" borderId="231" xfId="0" applyFont="1" applyFill="1" applyBorder="1" applyAlignment="1" applyProtection="1">
      <alignment vertical="top"/>
    </xf>
    <xf numFmtId="0" fontId="144" fillId="0" borderId="240" xfId="0" applyFont="1" applyFill="1" applyBorder="1" applyAlignment="1" applyProtection="1">
      <alignment vertical="top"/>
    </xf>
    <xf numFmtId="0" fontId="18" fillId="0" borderId="262" xfId="0" applyFont="1" applyFill="1" applyBorder="1" applyAlignment="1" applyProtection="1">
      <alignment vertical="top"/>
    </xf>
    <xf numFmtId="0" fontId="144" fillId="0" borderId="240" xfId="0" applyFont="1" applyFill="1" applyBorder="1" applyProtection="1"/>
    <xf numFmtId="0" fontId="78" fillId="0" borderId="257" xfId="0" applyFont="1" applyFill="1" applyBorder="1" applyAlignment="1" applyProtection="1">
      <alignment horizontal="right"/>
    </xf>
    <xf numFmtId="0" fontId="77" fillId="0" borderId="231" xfId="0" applyFont="1" applyFill="1" applyBorder="1" applyAlignment="1" applyProtection="1">
      <alignment horizontal="center"/>
    </xf>
    <xf numFmtId="0" fontId="18" fillId="0" borderId="240" xfId="0" applyFont="1" applyFill="1" applyBorder="1" applyProtection="1"/>
    <xf numFmtId="0" fontId="77" fillId="0" borderId="259" xfId="0" applyFont="1" applyFill="1" applyBorder="1" applyAlignment="1" applyProtection="1">
      <alignment vertical="top"/>
    </xf>
    <xf numFmtId="1" fontId="146" fillId="0" borderId="257" xfId="0" applyNumberFormat="1" applyFont="1" applyFill="1" applyBorder="1" applyAlignment="1" applyProtection="1">
      <alignment horizontal="center"/>
    </xf>
    <xf numFmtId="49" fontId="146" fillId="0" borderId="257" xfId="0" applyNumberFormat="1" applyFont="1" applyFill="1" applyBorder="1" applyAlignment="1" applyProtection="1"/>
    <xf numFmtId="49" fontId="25" fillId="0" borderId="231" xfId="0" applyNumberFormat="1" applyFont="1" applyFill="1" applyBorder="1" applyAlignment="1" applyProtection="1">
      <alignment horizontal="center"/>
    </xf>
    <xf numFmtId="0" fontId="145" fillId="0" borderId="231" xfId="0" applyFont="1" applyFill="1" applyBorder="1" applyAlignment="1" applyProtection="1">
      <alignment horizontal="center"/>
    </xf>
    <xf numFmtId="0" fontId="126" fillId="0" borderId="262" xfId="0" applyFont="1" applyFill="1" applyBorder="1" applyAlignment="1" applyProtection="1">
      <alignment vertical="top"/>
    </xf>
    <xf numFmtId="1" fontId="31" fillId="0" borderId="257" xfId="0" applyNumberFormat="1" applyFont="1" applyBorder="1" applyAlignment="1" applyProtection="1"/>
    <xf numFmtId="0" fontId="130" fillId="0" borderId="0" xfId="0" applyFont="1" applyBorder="1" applyAlignment="1" applyProtection="1">
      <alignment horizontal="center" vertical="center"/>
    </xf>
    <xf numFmtId="1" fontId="59" fillId="0" borderId="57" xfId="0" applyNumberFormat="1" applyFont="1" applyBorder="1" applyAlignment="1" applyProtection="1">
      <alignment horizontal="center"/>
    </xf>
    <xf numFmtId="0" fontId="0" fillId="0" borderId="284" xfId="0" applyBorder="1"/>
    <xf numFmtId="0" fontId="0" fillId="0" borderId="285" xfId="0" applyBorder="1"/>
    <xf numFmtId="0" fontId="157" fillId="0" borderId="69" xfId="0" applyFont="1" applyBorder="1" applyAlignment="1" applyProtection="1">
      <alignment horizontal="center" vertical="center"/>
    </xf>
    <xf numFmtId="0" fontId="156" fillId="2" borderId="31" xfId="0" applyFont="1" applyFill="1" applyBorder="1" applyAlignment="1" applyProtection="1">
      <alignment horizontal="center" vertical="center"/>
    </xf>
    <xf numFmtId="0" fontId="6" fillId="0" borderId="1" xfId="0" applyFont="1" applyBorder="1" applyAlignment="1" applyProtection="1">
      <alignment horizontal="left" vertical="center"/>
    </xf>
    <xf numFmtId="0" fontId="16" fillId="0" borderId="1" xfId="0" applyFont="1" applyBorder="1" applyAlignment="1" applyProtection="1">
      <alignment vertical="center"/>
    </xf>
    <xf numFmtId="0" fontId="20" fillId="0" borderId="1" xfId="0" applyFont="1" applyBorder="1" applyAlignment="1" applyProtection="1">
      <alignment horizontal="left" vertical="center"/>
    </xf>
    <xf numFmtId="0" fontId="18" fillId="0" borderId="40" xfId="0" applyFont="1" applyBorder="1" applyProtection="1"/>
    <xf numFmtId="0" fontId="0" fillId="0" borderId="40" xfId="0" applyBorder="1" applyProtection="1"/>
    <xf numFmtId="0" fontId="21" fillId="0" borderId="26" xfId="0" applyFont="1" applyBorder="1" applyProtection="1"/>
    <xf numFmtId="0" fontId="21" fillId="0" borderId="29" xfId="0" applyFont="1" applyBorder="1" applyProtection="1"/>
    <xf numFmtId="0" fontId="21" fillId="0" borderId="0" xfId="0" applyFont="1" applyProtection="1"/>
    <xf numFmtId="0" fontId="15" fillId="0" borderId="26" xfId="0" applyFont="1" applyBorder="1" applyProtection="1"/>
    <xf numFmtId="0" fontId="15" fillId="0" borderId="29" xfId="0" applyFont="1" applyBorder="1" applyProtection="1"/>
    <xf numFmtId="0" fontId="15" fillId="0" borderId="0" xfId="0" applyFont="1" applyProtection="1"/>
    <xf numFmtId="0" fontId="19" fillId="0" borderId="0" xfId="0" applyFont="1" applyBorder="1" applyAlignment="1" applyProtection="1">
      <alignment vertical="center"/>
    </xf>
    <xf numFmtId="0" fontId="18" fillId="0" borderId="0" xfId="0" applyFont="1" applyBorder="1" applyAlignment="1" applyProtection="1">
      <alignment vertical="center" wrapText="1"/>
    </xf>
    <xf numFmtId="0" fontId="9" fillId="0" borderId="0" xfId="0" applyFont="1" applyBorder="1" applyAlignment="1" applyProtection="1">
      <alignment vertical="center" wrapText="1"/>
    </xf>
    <xf numFmtId="0" fontId="21" fillId="0" borderId="0" xfId="0" applyFont="1" applyBorder="1" applyProtection="1"/>
    <xf numFmtId="0" fontId="31" fillId="0" borderId="0" xfId="0" applyFont="1" applyBorder="1" applyProtection="1"/>
    <xf numFmtId="0" fontId="31" fillId="0" borderId="0" xfId="0" applyFont="1" applyBorder="1" applyAlignment="1" applyProtection="1"/>
    <xf numFmtId="0" fontId="0" fillId="0" borderId="0" xfId="0" applyAlignment="1" applyProtection="1"/>
    <xf numFmtId="0" fontId="19" fillId="0" borderId="0" xfId="0" applyFont="1" applyAlignment="1" applyProtection="1">
      <alignment horizontal="center" vertical="center"/>
    </xf>
    <xf numFmtId="0" fontId="19" fillId="0" borderId="87" xfId="0" applyFont="1" applyBorder="1" applyAlignment="1" applyProtection="1">
      <alignment horizontal="center" vertical="center"/>
    </xf>
    <xf numFmtId="0" fontId="19" fillId="0" borderId="88" xfId="0" applyFont="1" applyBorder="1" applyAlignment="1" applyProtection="1">
      <alignment horizontal="center" vertical="center"/>
    </xf>
    <xf numFmtId="0" fontId="19" fillId="0" borderId="48" xfId="0" applyFont="1" applyFill="1" applyBorder="1" applyAlignment="1" applyProtection="1">
      <alignment horizontal="center" vertical="center"/>
    </xf>
    <xf numFmtId="0" fontId="19" fillId="0" borderId="91" xfId="0" applyFont="1" applyBorder="1" applyAlignment="1" applyProtection="1">
      <alignment horizontal="center" vertical="center"/>
    </xf>
    <xf numFmtId="0" fontId="19" fillId="0" borderId="89" xfId="0" applyFont="1" applyBorder="1" applyAlignment="1" applyProtection="1">
      <alignment horizontal="center" vertical="center"/>
    </xf>
    <xf numFmtId="0" fontId="19" fillId="0" borderId="92" xfId="0" applyFont="1" applyBorder="1" applyAlignment="1" applyProtection="1">
      <alignment horizontal="center" vertical="center"/>
    </xf>
    <xf numFmtId="0" fontId="8" fillId="0" borderId="0" xfId="1" applyFill="1" applyBorder="1" applyAlignment="1" applyProtection="1"/>
    <xf numFmtId="0" fontId="138" fillId="12" borderId="231" xfId="0" applyNumberFormat="1" applyFont="1" applyFill="1" applyBorder="1" applyAlignment="1">
      <alignment horizontal="left"/>
    </xf>
    <xf numFmtId="0" fontId="14" fillId="0" borderId="0" xfId="0" applyFont="1" applyBorder="1" applyAlignment="1">
      <alignment horizontal="right"/>
    </xf>
    <xf numFmtId="0" fontId="138" fillId="12" borderId="231" xfId="0" applyNumberFormat="1" applyFont="1" applyFill="1" applyBorder="1" applyAlignment="1">
      <alignment horizontal="left" vertical="center"/>
    </xf>
    <xf numFmtId="0" fontId="14" fillId="0" borderId="231" xfId="0" applyFont="1" applyBorder="1"/>
    <xf numFmtId="0" fontId="138" fillId="12" borderId="231" xfId="0" applyFont="1" applyFill="1" applyBorder="1" applyAlignment="1">
      <alignment horizontal="left"/>
    </xf>
    <xf numFmtId="0" fontId="19" fillId="0" borderId="0" xfId="0" applyFont="1"/>
    <xf numFmtId="0" fontId="31" fillId="0" borderId="22" xfId="0" applyFont="1" applyBorder="1" applyAlignment="1">
      <alignment vertical="center"/>
    </xf>
    <xf numFmtId="0" fontId="0" fillId="16" borderId="26" xfId="0" applyFill="1" applyBorder="1" applyProtection="1"/>
    <xf numFmtId="0" fontId="0" fillId="16" borderId="30" xfId="0" applyFill="1" applyBorder="1" applyProtection="1"/>
    <xf numFmtId="0" fontId="6" fillId="16" borderId="30" xfId="0" applyFont="1" applyFill="1" applyBorder="1" applyAlignment="1" applyProtection="1"/>
    <xf numFmtId="0" fontId="0" fillId="16" borderId="0" xfId="0" applyFill="1" applyProtection="1"/>
    <xf numFmtId="0" fontId="16" fillId="16" borderId="30" xfId="0" applyFont="1" applyFill="1" applyBorder="1" applyAlignment="1" applyProtection="1">
      <alignment horizontal="center"/>
    </xf>
    <xf numFmtId="0" fontId="0" fillId="16" borderId="26" xfId="0" applyFill="1" applyBorder="1" applyAlignment="1" applyProtection="1">
      <alignment vertical="center"/>
    </xf>
    <xf numFmtId="0" fontId="0" fillId="16" borderId="30" xfId="0" applyFill="1" applyBorder="1" applyAlignment="1" applyProtection="1">
      <alignment vertical="center"/>
    </xf>
    <xf numFmtId="0" fontId="6" fillId="16" borderId="30" xfId="0" applyFont="1" applyFill="1" applyBorder="1" applyAlignment="1" applyProtection="1">
      <alignment vertical="center"/>
    </xf>
    <xf numFmtId="0" fontId="0" fillId="16" borderId="0" xfId="0" applyFill="1" applyAlignment="1" applyProtection="1">
      <alignment vertical="center"/>
    </xf>
    <xf numFmtId="0" fontId="22" fillId="16" borderId="30" xfId="0" applyFont="1" applyFill="1" applyBorder="1" applyAlignment="1" applyProtection="1">
      <alignment horizontal="center" vertical="center"/>
    </xf>
    <xf numFmtId="0" fontId="6" fillId="16" borderId="30" xfId="0" applyFont="1" applyFill="1" applyBorder="1" applyAlignment="1" applyProtection="1">
      <alignment horizontal="center" vertical="center"/>
    </xf>
    <xf numFmtId="0" fontId="21" fillId="16" borderId="30" xfId="0" applyFont="1" applyFill="1" applyBorder="1" applyAlignment="1" applyProtection="1">
      <alignment vertical="center"/>
    </xf>
    <xf numFmtId="0" fontId="21" fillId="16" borderId="30" xfId="0" applyFont="1" applyFill="1" applyBorder="1" applyAlignment="1" applyProtection="1">
      <alignment horizontal="center" vertical="center"/>
    </xf>
    <xf numFmtId="0" fontId="21" fillId="16" borderId="30" xfId="0" applyFont="1" applyFill="1" applyBorder="1" applyAlignment="1" applyProtection="1">
      <alignment horizontal="right" vertical="center"/>
    </xf>
    <xf numFmtId="0" fontId="0" fillId="16" borderId="55" xfId="0" applyFill="1" applyBorder="1" applyProtection="1"/>
    <xf numFmtId="0" fontId="18" fillId="16" borderId="30" xfId="0" applyFont="1" applyFill="1" applyBorder="1" applyProtection="1"/>
    <xf numFmtId="0" fontId="7" fillId="16" borderId="30" xfId="0" applyFont="1" applyFill="1" applyBorder="1" applyProtection="1"/>
    <xf numFmtId="0" fontId="15" fillId="16" borderId="30" xfId="0" applyFont="1" applyFill="1" applyBorder="1" applyProtection="1"/>
    <xf numFmtId="0" fontId="7" fillId="16" borderId="30" xfId="0" applyFont="1" applyFill="1" applyBorder="1" applyAlignment="1" applyProtection="1">
      <alignment horizontal="center"/>
    </xf>
    <xf numFmtId="0" fontId="18" fillId="16" borderId="30" xfId="0" applyFont="1" applyFill="1" applyBorder="1" applyAlignment="1" applyProtection="1">
      <alignment horizontal="center"/>
    </xf>
    <xf numFmtId="0" fontId="15" fillId="16" borderId="30" xfId="0" applyFont="1" applyFill="1" applyBorder="1" applyAlignment="1" applyProtection="1"/>
    <xf numFmtId="0" fontId="15" fillId="16" borderId="55" xfId="0" applyFont="1" applyFill="1" applyBorder="1" applyAlignment="1" applyProtection="1"/>
    <xf numFmtId="0" fontId="15" fillId="16" borderId="55" xfId="0" applyFont="1" applyFill="1" applyBorder="1" applyProtection="1"/>
    <xf numFmtId="0" fontId="18" fillId="16" borderId="55" xfId="0" applyFont="1" applyFill="1" applyBorder="1" applyProtection="1"/>
    <xf numFmtId="0" fontId="18" fillId="16" borderId="26" xfId="0" applyFont="1" applyFill="1" applyBorder="1" applyProtection="1"/>
    <xf numFmtId="0" fontId="0" fillId="16" borderId="29" xfId="0" applyFill="1" applyBorder="1" applyProtection="1"/>
    <xf numFmtId="0" fontId="18" fillId="16" borderId="26" xfId="0" applyFont="1" applyFill="1" applyBorder="1" applyAlignment="1" applyProtection="1">
      <alignment horizontal="center"/>
    </xf>
    <xf numFmtId="0" fontId="18" fillId="16" borderId="34" xfId="0" applyFont="1" applyFill="1" applyBorder="1" applyProtection="1"/>
    <xf numFmtId="0" fontId="0" fillId="16" borderId="34" xfId="0" applyFill="1" applyBorder="1" applyProtection="1"/>
    <xf numFmtId="0" fontId="0" fillId="16" borderId="40" xfId="0" applyFill="1" applyBorder="1" applyProtection="1"/>
    <xf numFmtId="0" fontId="18" fillId="16" borderId="86" xfId="0" applyFont="1" applyFill="1" applyBorder="1" applyProtection="1"/>
    <xf numFmtId="0" fontId="0" fillId="16" borderId="86" xfId="0" applyFill="1" applyBorder="1" applyProtection="1"/>
    <xf numFmtId="0" fontId="18" fillId="16" borderId="90" xfId="0" applyFont="1" applyFill="1" applyBorder="1" applyAlignment="1" applyProtection="1"/>
    <xf numFmtId="0" fontId="21" fillId="16" borderId="87" xfId="0" applyFont="1" applyFill="1" applyBorder="1" applyProtection="1"/>
    <xf numFmtId="0" fontId="18" fillId="16" borderId="91" xfId="0" applyFont="1" applyFill="1" applyBorder="1" applyAlignment="1" applyProtection="1"/>
    <xf numFmtId="0" fontId="0" fillId="16" borderId="0" xfId="0" applyFill="1" applyBorder="1" applyProtection="1"/>
    <xf numFmtId="0" fontId="18" fillId="16" borderId="0" xfId="0" applyFont="1" applyFill="1" applyBorder="1" applyProtection="1"/>
    <xf numFmtId="0" fontId="18" fillId="16" borderId="0" xfId="0" applyFont="1" applyFill="1" applyBorder="1" applyAlignment="1" applyProtection="1"/>
    <xf numFmtId="0" fontId="10" fillId="16" borderId="0" xfId="0" applyFont="1" applyFill="1" applyBorder="1" applyAlignment="1" applyProtection="1">
      <alignment vertical="center"/>
    </xf>
    <xf numFmtId="0" fontId="18" fillId="16" borderId="87" xfId="0" applyFont="1" applyFill="1" applyBorder="1" applyProtection="1"/>
    <xf numFmtId="0" fontId="98" fillId="16" borderId="0" xfId="0" applyFont="1" applyFill="1" applyBorder="1" applyAlignment="1" applyProtection="1">
      <alignment vertical="center"/>
    </xf>
    <xf numFmtId="0" fontId="6" fillId="16" borderId="0" xfId="0" applyFont="1" applyFill="1" applyBorder="1" applyAlignment="1" applyProtection="1">
      <alignment vertical="center" wrapText="1"/>
    </xf>
    <xf numFmtId="0" fontId="18" fillId="16" borderId="133" xfId="0" applyFont="1" applyFill="1" applyBorder="1" applyProtection="1"/>
    <xf numFmtId="0" fontId="0" fillId="16" borderId="0" xfId="0" applyFill="1" applyBorder="1" applyAlignment="1" applyProtection="1">
      <alignment vertical="center" wrapText="1"/>
    </xf>
    <xf numFmtId="0" fontId="18" fillId="16" borderId="134" xfId="0" applyFont="1" applyFill="1" applyBorder="1" applyProtection="1"/>
    <xf numFmtId="0" fontId="10" fillId="16" borderId="0" xfId="0" applyFont="1" applyFill="1" applyBorder="1" applyAlignment="1" applyProtection="1">
      <alignment horizontal="center" vertical="center" wrapText="1"/>
    </xf>
    <xf numFmtId="0" fontId="19" fillId="16" borderId="0" xfId="0" applyFont="1" applyFill="1" applyBorder="1" applyAlignment="1" applyProtection="1">
      <alignment vertical="center" wrapText="1"/>
    </xf>
    <xf numFmtId="0" fontId="18" fillId="16" borderId="137" xfId="0" applyFont="1" applyFill="1" applyBorder="1" applyProtection="1"/>
    <xf numFmtId="0" fontId="7" fillId="16" borderId="0" xfId="0" applyFont="1" applyFill="1" applyBorder="1" applyAlignment="1" applyProtection="1">
      <alignment vertical="center"/>
    </xf>
    <xf numFmtId="0" fontId="18" fillId="16" borderId="0" xfId="0" applyFont="1" applyFill="1" applyBorder="1" applyAlignment="1" applyProtection="1">
      <alignment vertical="center"/>
    </xf>
    <xf numFmtId="0" fontId="18" fillId="16" borderId="0" xfId="0" applyFont="1" applyFill="1" applyBorder="1" applyAlignment="1" applyProtection="1">
      <alignment horizontal="center" vertical="center"/>
    </xf>
    <xf numFmtId="0" fontId="15" fillId="16" borderId="0" xfId="0" applyFont="1" applyFill="1" applyBorder="1" applyAlignment="1" applyProtection="1">
      <alignment horizontal="center" vertical="center"/>
    </xf>
    <xf numFmtId="0" fontId="15" fillId="16" borderId="0" xfId="0" applyFont="1" applyFill="1" applyBorder="1" applyProtection="1"/>
    <xf numFmtId="0" fontId="23" fillId="16" borderId="26" xfId="1" applyFont="1" applyFill="1" applyBorder="1" applyAlignment="1" applyProtection="1">
      <alignment horizontal="center" vertical="center"/>
    </xf>
    <xf numFmtId="0" fontId="19" fillId="0" borderId="0" xfId="0" applyFont="1" applyBorder="1" applyAlignment="1" applyProtection="1">
      <alignment horizontal="center" vertical="center" wrapText="1"/>
    </xf>
    <xf numFmtId="0" fontId="0" fillId="0" borderId="58" xfId="0" applyBorder="1" applyProtection="1"/>
    <xf numFmtId="0" fontId="31" fillId="0" borderId="291" xfId="0" applyFont="1" applyBorder="1" applyAlignment="1" applyProtection="1">
      <alignment vertical="center" wrapText="1"/>
    </xf>
    <xf numFmtId="0" fontId="31" fillId="0" borderId="292" xfId="0" applyFont="1" applyBorder="1" applyAlignment="1" applyProtection="1">
      <alignment vertical="center" wrapText="1"/>
    </xf>
    <xf numFmtId="0" fontId="31" fillId="0" borderId="291" xfId="0" applyFont="1" applyBorder="1" applyAlignment="1" applyProtection="1">
      <alignment horizontal="left" vertical="center" wrapText="1"/>
    </xf>
    <xf numFmtId="0" fontId="31" fillId="0" borderId="22" xfId="0" applyFont="1" applyBorder="1" applyAlignment="1" applyProtection="1">
      <alignment horizontal="center" vertical="center" wrapText="1"/>
    </xf>
    <xf numFmtId="1" fontId="31" fillId="0" borderId="22" xfId="0" applyNumberFormat="1" applyFont="1" applyBorder="1" applyAlignment="1" applyProtection="1">
      <alignment horizontal="center" vertical="center" wrapText="1"/>
    </xf>
    <xf numFmtId="1" fontId="131" fillId="0" borderId="22" xfId="0" applyNumberFormat="1" applyFont="1" applyBorder="1" applyAlignment="1" applyProtection="1">
      <alignment horizontal="center" vertical="center" wrapText="1"/>
    </xf>
    <xf numFmtId="1" fontId="32" fillId="0" borderId="22" xfId="0" applyNumberFormat="1" applyFont="1" applyBorder="1" applyAlignment="1" applyProtection="1">
      <alignment horizontal="center" vertical="center" wrapText="1"/>
    </xf>
    <xf numFmtId="0" fontId="32" fillId="0" borderId="22" xfId="0" applyFont="1" applyBorder="1" applyAlignment="1" applyProtection="1">
      <alignment horizontal="center" vertical="center" wrapText="1"/>
    </xf>
    <xf numFmtId="0" fontId="31" fillId="0" borderId="22" xfId="0" applyNumberFormat="1" applyFont="1" applyBorder="1" applyAlignment="1" applyProtection="1">
      <alignment horizontal="center" vertical="center" wrapText="1"/>
    </xf>
    <xf numFmtId="0" fontId="31" fillId="0" borderId="141" xfId="0" applyFont="1" applyBorder="1" applyAlignment="1" applyProtection="1">
      <alignment horizontal="center" vertical="center" wrapText="1"/>
    </xf>
    <xf numFmtId="0" fontId="131" fillId="0" borderId="64" xfId="0" applyFont="1" applyBorder="1" applyAlignment="1" applyProtection="1">
      <alignment horizontal="center" vertical="center" wrapText="1"/>
    </xf>
    <xf numFmtId="0" fontId="33" fillId="0" borderId="64" xfId="0" applyFont="1" applyBorder="1" applyAlignment="1" applyProtection="1">
      <alignment horizontal="center" vertical="center" wrapText="1"/>
    </xf>
    <xf numFmtId="0" fontId="33" fillId="0" borderId="65" xfId="0" applyFont="1" applyBorder="1" applyAlignment="1" applyProtection="1">
      <alignment horizontal="center" vertical="center" wrapText="1"/>
    </xf>
    <xf numFmtId="0" fontId="10" fillId="0" borderId="55" xfId="0" applyFont="1" applyBorder="1" applyAlignment="1" applyProtection="1"/>
    <xf numFmtId="0" fontId="14" fillId="0" borderId="55" xfId="0" applyFont="1" applyBorder="1" applyProtection="1"/>
    <xf numFmtId="0" fontId="14" fillId="0" borderId="40" xfId="0" applyFont="1" applyBorder="1" applyProtection="1"/>
    <xf numFmtId="0" fontId="9" fillId="0" borderId="40" xfId="0" applyFont="1" applyBorder="1" applyAlignment="1" applyProtection="1">
      <alignment horizontal="center" vertical="center" wrapText="1"/>
    </xf>
    <xf numFmtId="0" fontId="0" fillId="0" borderId="54" xfId="0" applyBorder="1" applyProtection="1"/>
    <xf numFmtId="0" fontId="6" fillId="0" borderId="55" xfId="0" applyFont="1" applyBorder="1" applyAlignment="1" applyProtection="1"/>
    <xf numFmtId="0" fontId="6" fillId="0" borderId="30" xfId="0" applyFont="1" applyBorder="1" applyAlignment="1" applyProtection="1"/>
    <xf numFmtId="0" fontId="10" fillId="0" borderId="30" xfId="0" applyFont="1" applyBorder="1" applyProtection="1"/>
    <xf numFmtId="0" fontId="10" fillId="0" borderId="30" xfId="0" applyFont="1" applyBorder="1" applyAlignment="1" applyProtection="1">
      <alignment horizontal="center"/>
    </xf>
    <xf numFmtId="49" fontId="10" fillId="0" borderId="57" xfId="0" applyNumberFormat="1" applyFont="1" applyBorder="1" applyAlignment="1" applyProtection="1">
      <alignment horizontal="center"/>
      <protection locked="0"/>
    </xf>
    <xf numFmtId="0" fontId="14" fillId="0" borderId="142" xfId="0" applyFont="1" applyBorder="1" applyAlignment="1" applyProtection="1"/>
    <xf numFmtId="0" fontId="14" fillId="0" borderId="57" xfId="0" applyFont="1" applyBorder="1" applyAlignment="1" applyProtection="1"/>
    <xf numFmtId="0" fontId="0" fillId="0" borderId="57" xfId="0" applyBorder="1" applyProtection="1"/>
    <xf numFmtId="0" fontId="14" fillId="0" borderId="34" xfId="0" applyFont="1" applyBorder="1" applyAlignment="1" applyProtection="1"/>
    <xf numFmtId="0" fontId="7" fillId="0" borderId="75" xfId="0" applyFont="1" applyBorder="1" applyProtection="1"/>
    <xf numFmtId="0" fontId="19" fillId="0" borderId="29" xfId="0" applyFont="1" applyBorder="1" applyProtection="1"/>
    <xf numFmtId="0" fontId="19" fillId="0" borderId="82" xfId="0" applyFont="1" applyBorder="1" applyAlignment="1" applyProtection="1">
      <alignment horizontal="center" vertical="center"/>
    </xf>
    <xf numFmtId="0" fontId="19" fillId="0" borderId="82" xfId="0" applyFont="1" applyBorder="1" applyAlignment="1" applyProtection="1">
      <alignment horizontal="center" vertical="center" wrapText="1" shrinkToFit="1"/>
    </xf>
    <xf numFmtId="0" fontId="23" fillId="0" borderId="82" xfId="0" applyFont="1" applyBorder="1" applyAlignment="1" applyProtection="1">
      <alignment horizontal="center" vertical="center" wrapText="1" shrinkToFit="1"/>
    </xf>
    <xf numFmtId="0" fontId="18" fillId="0" borderId="30" xfId="0" applyFont="1" applyBorder="1" applyAlignment="1" applyProtection="1">
      <alignment horizontal="center" vertical="center"/>
    </xf>
    <xf numFmtId="0" fontId="18" fillId="0" borderId="34" xfId="0" applyFont="1" applyBorder="1" applyAlignment="1" applyProtection="1">
      <alignment horizontal="center" vertical="center"/>
    </xf>
    <xf numFmtId="0" fontId="18" fillId="0" borderId="34" xfId="0" applyFont="1" applyBorder="1" applyAlignment="1" applyProtection="1">
      <alignment horizontal="center" vertical="center" wrapText="1" shrinkToFit="1"/>
    </xf>
    <xf numFmtId="0" fontId="7" fillId="0" borderId="33" xfId="0" applyFont="1" applyBorder="1" applyAlignment="1" applyProtection="1">
      <alignment horizontal="right" vertical="center"/>
    </xf>
    <xf numFmtId="0" fontId="25" fillId="0" borderId="9" xfId="0" applyFont="1" applyBorder="1" applyAlignment="1" applyProtection="1">
      <alignment horizontal="center" vertical="center"/>
    </xf>
    <xf numFmtId="0" fontId="25" fillId="0" borderId="9" xfId="0" applyFont="1" applyBorder="1" applyAlignment="1" applyProtection="1">
      <alignment horizontal="center" vertical="center" wrapText="1" shrinkToFit="1"/>
    </xf>
    <xf numFmtId="0" fontId="25" fillId="0" borderId="58" xfId="0" applyFont="1" applyBorder="1" applyAlignment="1" applyProtection="1">
      <alignment horizontal="center" vertical="center" wrapText="1" shrinkToFit="1"/>
    </xf>
    <xf numFmtId="0" fontId="25" fillId="0" borderId="34" xfId="0" applyFont="1" applyBorder="1" applyAlignment="1" applyProtection="1">
      <alignment horizontal="center" vertical="center" wrapText="1" shrinkToFit="1"/>
    </xf>
    <xf numFmtId="0" fontId="18" fillId="0" borderId="26" xfId="0" applyFont="1" applyBorder="1" applyAlignment="1" applyProtection="1">
      <alignment horizontal="center" vertical="center"/>
    </xf>
    <xf numFmtId="0" fontId="18" fillId="0" borderId="29" xfId="0" applyFont="1" applyBorder="1" applyAlignment="1" applyProtection="1">
      <alignment horizontal="center" vertical="center"/>
    </xf>
    <xf numFmtId="0" fontId="18" fillId="0" borderId="9" xfId="0" applyFont="1" applyBorder="1" applyAlignment="1" applyProtection="1">
      <alignment horizontal="center" vertical="center"/>
    </xf>
    <xf numFmtId="0" fontId="18" fillId="0" borderId="9" xfId="0" applyFont="1" applyBorder="1" applyAlignment="1" applyProtection="1">
      <alignment horizontal="center" vertical="center" wrapText="1" shrinkToFit="1"/>
    </xf>
    <xf numFmtId="0" fontId="18" fillId="0" borderId="143" xfId="0" applyFont="1" applyBorder="1" applyAlignment="1" applyProtection="1">
      <alignment horizontal="center" vertical="center" wrapText="1" shrinkToFit="1"/>
    </xf>
    <xf numFmtId="0" fontId="18" fillId="0" borderId="82" xfId="0" applyFont="1" applyBorder="1" applyAlignment="1" applyProtection="1">
      <alignment horizontal="center" vertical="center"/>
    </xf>
    <xf numFmtId="0" fontId="18" fillId="0" borderId="82" xfId="0" applyFont="1" applyBorder="1" applyAlignment="1" applyProtection="1">
      <alignment horizontal="center" vertical="center" wrapText="1" shrinkToFit="1"/>
    </xf>
    <xf numFmtId="0" fontId="7" fillId="0" borderId="82" xfId="0" applyFont="1" applyBorder="1" applyAlignment="1" applyProtection="1">
      <alignment horizontal="right" vertical="center"/>
    </xf>
    <xf numFmtId="0" fontId="25" fillId="0" borderId="82" xfId="0" applyFont="1" applyBorder="1" applyAlignment="1" applyProtection="1">
      <alignment horizontal="center" vertical="center"/>
    </xf>
    <xf numFmtId="0" fontId="25" fillId="0" borderId="144" xfId="0" applyFont="1" applyBorder="1" applyAlignment="1" applyProtection="1">
      <alignment horizontal="center" vertical="center"/>
    </xf>
    <xf numFmtId="0" fontId="18" fillId="0" borderId="58" xfId="0" applyFont="1" applyBorder="1" applyAlignment="1" applyProtection="1">
      <alignment horizontal="center" vertical="center"/>
    </xf>
    <xf numFmtId="0" fontId="14" fillId="0" borderId="34" xfId="0" applyFont="1" applyBorder="1" applyProtection="1"/>
    <xf numFmtId="0" fontId="18" fillId="0" borderId="31" xfId="0" applyFont="1" applyBorder="1" applyAlignment="1" applyProtection="1">
      <alignment horizontal="center" vertical="center"/>
    </xf>
    <xf numFmtId="0" fontId="18" fillId="0" borderId="40" xfId="0" applyFont="1" applyBorder="1" applyAlignment="1" applyProtection="1">
      <alignment horizontal="center" vertical="center"/>
    </xf>
    <xf numFmtId="0" fontId="99" fillId="0" borderId="30" xfId="0" applyFont="1" applyBorder="1" applyAlignment="1" applyProtection="1">
      <alignment horizontal="center" vertical="center"/>
    </xf>
    <xf numFmtId="0" fontId="22" fillId="16" borderId="30" xfId="0" applyFont="1" applyFill="1" applyBorder="1" applyAlignment="1" applyProtection="1"/>
    <xf numFmtId="0" fontId="22" fillId="16" borderId="26" xfId="0" applyFont="1" applyFill="1" applyBorder="1" applyAlignment="1" applyProtection="1"/>
    <xf numFmtId="0" fontId="19" fillId="16" borderId="26" xfId="0" applyFont="1" applyFill="1" applyBorder="1" applyAlignment="1" applyProtection="1">
      <alignment horizontal="center"/>
    </xf>
    <xf numFmtId="0" fontId="14" fillId="16" borderId="30" xfId="0" applyFont="1" applyFill="1" applyBorder="1" applyAlignment="1" applyProtection="1"/>
    <xf numFmtId="0" fontId="0" fillId="16" borderId="30" xfId="0" applyFill="1" applyBorder="1" applyAlignment="1" applyProtection="1"/>
    <xf numFmtId="0" fontId="31" fillId="16" borderId="0" xfId="0" applyFont="1" applyFill="1" applyBorder="1" applyAlignment="1" applyProtection="1"/>
    <xf numFmtId="0" fontId="18" fillId="16" borderId="93" xfId="0" applyFont="1" applyFill="1" applyBorder="1" applyAlignment="1" applyProtection="1"/>
    <xf numFmtId="0" fontId="14" fillId="16" borderId="0" xfId="0" applyFont="1" applyFill="1" applyProtection="1"/>
    <xf numFmtId="0" fontId="22" fillId="0" borderId="56" xfId="0" applyFont="1" applyBorder="1" applyAlignment="1" applyProtection="1"/>
    <xf numFmtId="0" fontId="0" fillId="0" borderId="145" xfId="0" applyBorder="1" applyProtection="1"/>
    <xf numFmtId="0" fontId="31" fillId="0" borderId="146" xfId="0" applyFont="1" applyBorder="1" applyAlignment="1" applyProtection="1">
      <alignment horizontal="center" vertical="center" wrapText="1"/>
    </xf>
    <xf numFmtId="1" fontId="31" fillId="0" borderId="146" xfId="0" applyNumberFormat="1" applyFont="1" applyBorder="1" applyAlignment="1" applyProtection="1">
      <alignment horizontal="center" vertical="center" wrapText="1"/>
    </xf>
    <xf numFmtId="1" fontId="131" fillId="0" borderId="146" xfId="0" applyNumberFormat="1" applyFont="1" applyBorder="1" applyAlignment="1" applyProtection="1">
      <alignment horizontal="center" vertical="center" wrapText="1"/>
    </xf>
    <xf numFmtId="1" fontId="131" fillId="0" borderId="88" xfId="0" applyNumberFormat="1" applyFont="1" applyBorder="1" applyAlignment="1" applyProtection="1">
      <alignment horizontal="center" vertical="center" wrapText="1"/>
    </xf>
    <xf numFmtId="1" fontId="131" fillId="0" borderId="47" xfId="0" applyNumberFormat="1" applyFont="1" applyBorder="1" applyAlignment="1" applyProtection="1">
      <alignment horizontal="center" vertical="center" wrapText="1"/>
    </xf>
    <xf numFmtId="1" fontId="31" fillId="0" borderId="47" xfId="0" applyNumberFormat="1" applyFont="1" applyBorder="1" applyAlignment="1" applyProtection="1">
      <alignment horizontal="center" vertical="center" wrapText="1"/>
    </xf>
    <xf numFmtId="0" fontId="31" fillId="0" borderId="293" xfId="0" applyFont="1" applyBorder="1" applyAlignment="1" applyProtection="1">
      <alignment vertical="center"/>
    </xf>
    <xf numFmtId="1" fontId="31" fillId="0" borderId="23" xfId="0" applyNumberFormat="1" applyFont="1" applyBorder="1" applyAlignment="1" applyProtection="1">
      <alignment horizontal="center" vertical="center" wrapText="1"/>
    </xf>
    <xf numFmtId="1" fontId="31" fillId="0" borderId="147" xfId="0" applyNumberFormat="1" applyFont="1" applyBorder="1" applyAlignment="1" applyProtection="1">
      <alignment horizontal="center" vertical="center" wrapText="1"/>
    </xf>
    <xf numFmtId="0" fontId="0" fillId="0" borderId="148" xfId="0" applyBorder="1" applyProtection="1"/>
    <xf numFmtId="0" fontId="131" fillId="0" borderId="0" xfId="0" applyFont="1" applyBorder="1" applyAlignment="1" applyProtection="1">
      <alignment horizontal="center" vertical="center" wrapText="1"/>
    </xf>
    <xf numFmtId="0" fontId="25" fillId="16" borderId="30" xfId="0" applyFont="1" applyFill="1" applyBorder="1" applyAlignment="1" applyProtection="1"/>
    <xf numFmtId="0" fontId="22" fillId="16" borderId="29" xfId="0" applyFont="1" applyFill="1" applyBorder="1" applyAlignment="1" applyProtection="1"/>
    <xf numFmtId="0" fontId="27" fillId="16" borderId="29" xfId="1" applyFont="1" applyFill="1" applyBorder="1" applyAlignment="1" applyProtection="1">
      <alignment vertical="center"/>
    </xf>
    <xf numFmtId="0" fontId="9" fillId="16" borderId="26" xfId="0" applyFont="1" applyFill="1" applyBorder="1" applyAlignment="1" applyProtection="1">
      <alignment horizontal="center" vertical="center" wrapText="1"/>
    </xf>
    <xf numFmtId="0" fontId="22" fillId="16" borderId="29" xfId="0" applyFont="1" applyFill="1" applyBorder="1" applyAlignment="1" applyProtection="1">
      <alignment horizontal="center"/>
    </xf>
    <xf numFmtId="0" fontId="156" fillId="16" borderId="26" xfId="0" applyFont="1" applyFill="1" applyBorder="1" applyAlignment="1" applyProtection="1">
      <alignment horizontal="center" vertical="center"/>
    </xf>
    <xf numFmtId="0" fontId="30" fillId="16" borderId="26" xfId="0" applyFont="1" applyFill="1" applyBorder="1" applyAlignment="1" applyProtection="1"/>
    <xf numFmtId="0" fontId="7" fillId="16" borderId="30" xfId="0" applyFont="1" applyFill="1" applyBorder="1" applyAlignment="1" applyProtection="1">
      <alignment horizontal="right" vertical="center"/>
    </xf>
    <xf numFmtId="0" fontId="0" fillId="16" borderId="33" xfId="0" applyFill="1" applyBorder="1" applyAlignment="1" applyProtection="1">
      <alignment horizontal="center"/>
    </xf>
    <xf numFmtId="0" fontId="6" fillId="16" borderId="34" xfId="0" applyFont="1" applyFill="1" applyBorder="1" applyProtection="1"/>
    <xf numFmtId="0" fontId="0" fillId="16" borderId="93" xfId="0" applyFill="1" applyBorder="1" applyAlignment="1" applyProtection="1">
      <alignment horizontal="center"/>
    </xf>
    <xf numFmtId="0" fontId="18" fillId="16" borderId="26" xfId="0" applyFont="1" applyFill="1" applyBorder="1" applyAlignment="1" applyProtection="1">
      <alignment horizontal="right" vertical="center"/>
    </xf>
    <xf numFmtId="0" fontId="18" fillId="16" borderId="55" xfId="0" applyFont="1" applyFill="1" applyBorder="1" applyAlignment="1" applyProtection="1"/>
    <xf numFmtId="0" fontId="7" fillId="16" borderId="30" xfId="0" applyFont="1" applyFill="1" applyBorder="1" applyAlignment="1" applyProtection="1">
      <alignment horizontal="left" vertical="center"/>
    </xf>
    <xf numFmtId="0" fontId="18" fillId="16" borderId="26" xfId="0" applyFont="1" applyFill="1" applyBorder="1" applyAlignment="1" applyProtection="1">
      <alignment horizontal="left" vertical="center"/>
    </xf>
    <xf numFmtId="0" fontId="6" fillId="16" borderId="26" xfId="0" applyFont="1" applyFill="1" applyBorder="1" applyAlignment="1" applyProtection="1">
      <alignment horizontal="center"/>
    </xf>
    <xf numFmtId="0" fontId="6" fillId="16" borderId="26" xfId="0" applyFont="1" applyFill="1" applyBorder="1" applyAlignment="1" applyProtection="1">
      <alignment horizontal="right"/>
    </xf>
    <xf numFmtId="49" fontId="10" fillId="16" borderId="0" xfId="0" applyNumberFormat="1" applyFont="1" applyFill="1" applyBorder="1" applyAlignment="1" applyProtection="1"/>
    <xf numFmtId="0" fontId="10" fillId="16" borderId="0" xfId="0" applyFont="1" applyFill="1" applyBorder="1" applyAlignment="1" applyProtection="1"/>
    <xf numFmtId="0" fontId="126" fillId="16" borderId="30" xfId="0" applyFont="1" applyFill="1" applyBorder="1" applyAlignment="1" applyProtection="1"/>
    <xf numFmtId="0" fontId="0" fillId="16" borderId="29" xfId="0" applyFill="1" applyBorder="1" applyAlignment="1" applyProtection="1">
      <alignment horizontal="center" vertical="center"/>
    </xf>
    <xf numFmtId="0" fontId="126" fillId="16" borderId="34" xfId="0" applyFont="1" applyFill="1" applyBorder="1" applyAlignment="1" applyProtection="1"/>
    <xf numFmtId="1" fontId="31" fillId="0" borderId="92" xfId="0" applyNumberFormat="1" applyFont="1" applyBorder="1" applyAlignment="1" applyProtection="1">
      <alignment horizontal="center" vertical="center" wrapText="1"/>
    </xf>
    <xf numFmtId="1" fontId="131" fillId="0" borderId="49" xfId="0" applyNumberFormat="1" applyFont="1" applyBorder="1" applyAlignment="1" applyProtection="1">
      <alignment horizontal="center" vertical="center" wrapText="1"/>
    </xf>
    <xf numFmtId="1" fontId="31" fillId="0" borderId="49" xfId="0" applyNumberFormat="1" applyFont="1" applyBorder="1" applyAlignment="1" applyProtection="1">
      <alignment horizontal="center" vertical="center" wrapText="1"/>
    </xf>
    <xf numFmtId="1" fontId="31" fillId="0" borderId="149" xfId="0" applyNumberFormat="1" applyFont="1" applyBorder="1" applyAlignment="1" applyProtection="1">
      <alignment horizontal="center" vertical="center" wrapText="1"/>
    </xf>
    <xf numFmtId="0" fontId="0" fillId="0" borderId="150" xfId="0" applyBorder="1" applyProtection="1"/>
    <xf numFmtId="0" fontId="31" fillId="16" borderId="0" xfId="0" applyFont="1" applyFill="1" applyBorder="1" applyAlignment="1" applyProtection="1">
      <alignment vertical="center"/>
    </xf>
    <xf numFmtId="0" fontId="26" fillId="0" borderId="30" xfId="0" applyFont="1" applyBorder="1" applyAlignment="1" applyProtection="1"/>
    <xf numFmtId="0" fontId="10" fillId="16" borderId="55" xfId="0" applyFont="1" applyFill="1" applyBorder="1" applyAlignment="1" applyProtection="1">
      <alignment vertical="center"/>
    </xf>
    <xf numFmtId="0" fontId="6" fillId="16" borderId="29" xfId="0" applyFont="1" applyFill="1" applyBorder="1" applyAlignment="1" applyProtection="1"/>
    <xf numFmtId="0" fontId="10" fillId="16" borderId="30" xfId="0" applyFont="1" applyFill="1" applyBorder="1" applyAlignment="1" applyProtection="1">
      <alignment horizontal="right" vertical="center"/>
    </xf>
    <xf numFmtId="0" fontId="7" fillId="16" borderId="55" xfId="0" applyFont="1" applyFill="1" applyBorder="1" applyAlignment="1" applyProtection="1"/>
    <xf numFmtId="0" fontId="10" fillId="16" borderId="30" xfId="0" applyFont="1" applyFill="1" applyBorder="1" applyAlignment="1" applyProtection="1">
      <alignment vertical="center"/>
    </xf>
    <xf numFmtId="0" fontId="6" fillId="16" borderId="55" xfId="0" applyFont="1" applyFill="1" applyBorder="1" applyAlignment="1" applyProtection="1">
      <alignment vertical="center"/>
    </xf>
    <xf numFmtId="0" fontId="31" fillId="0" borderId="22" xfId="0" applyFont="1" applyFill="1" applyBorder="1" applyAlignment="1" applyProtection="1">
      <alignment horizontal="center" vertical="center" wrapText="1" shrinkToFit="1"/>
    </xf>
    <xf numFmtId="0" fontId="31" fillId="0" borderId="47" xfId="0" applyFont="1" applyFill="1" applyBorder="1" applyAlignment="1" applyProtection="1">
      <alignment horizontal="center" vertical="center" wrapText="1" shrinkToFit="1"/>
    </xf>
    <xf numFmtId="0" fontId="0" fillId="16" borderId="55" xfId="0" applyFill="1" applyBorder="1" applyAlignment="1" applyProtection="1">
      <alignment vertical="center"/>
    </xf>
    <xf numFmtId="0" fontId="14" fillId="0" borderId="57" xfId="0" applyFont="1" applyBorder="1" applyAlignment="1" applyProtection="1">
      <alignment vertical="center"/>
    </xf>
    <xf numFmtId="0" fontId="14" fillId="0" borderId="34" xfId="0" applyFont="1" applyBorder="1" applyAlignment="1" applyProtection="1">
      <alignment vertical="center"/>
    </xf>
    <xf numFmtId="0" fontId="22" fillId="16" borderId="26" xfId="0" applyFont="1" applyFill="1" applyBorder="1" applyAlignment="1" applyProtection="1">
      <alignment vertical="center"/>
    </xf>
    <xf numFmtId="0" fontId="18" fillId="0" borderId="34" xfId="0" applyFont="1" applyBorder="1" applyAlignment="1" applyProtection="1">
      <alignment vertical="center" wrapText="1" shrinkToFit="1"/>
    </xf>
    <xf numFmtId="0" fontId="18" fillId="0" borderId="82" xfId="0" applyFont="1" applyBorder="1" applyAlignment="1" applyProtection="1">
      <alignment vertical="center" wrapText="1" shrinkToFit="1"/>
    </xf>
    <xf numFmtId="0" fontId="18" fillId="0" borderId="30" xfId="0" applyFont="1" applyBorder="1" applyAlignment="1" applyProtection="1">
      <alignment vertical="center"/>
    </xf>
    <xf numFmtId="0" fontId="18" fillId="0" borderId="40" xfId="0" applyFont="1" applyBorder="1" applyAlignment="1" applyProtection="1">
      <alignment vertical="center"/>
    </xf>
    <xf numFmtId="0" fontId="99" fillId="0" borderId="30" xfId="0" applyFont="1" applyBorder="1" applyAlignment="1" applyProtection="1">
      <alignment vertical="center"/>
    </xf>
    <xf numFmtId="0" fontId="131" fillId="0" borderId="22" xfId="0" applyFont="1" applyBorder="1" applyAlignment="1" applyProtection="1">
      <alignment horizontal="center" vertical="center"/>
    </xf>
    <xf numFmtId="0" fontId="31" fillId="16" borderId="0" xfId="0" applyFont="1" applyFill="1" applyBorder="1" applyAlignment="1" applyProtection="1">
      <alignment horizontal="center" vertical="center"/>
    </xf>
    <xf numFmtId="0" fontId="31" fillId="0" borderId="280" xfId="0" applyFont="1" applyBorder="1" applyAlignment="1" applyProtection="1">
      <alignment vertical="center"/>
    </xf>
    <xf numFmtId="0" fontId="31" fillId="0" borderId="294" xfId="0" applyFont="1" applyBorder="1" applyAlignment="1" applyProtection="1">
      <alignment vertical="center"/>
    </xf>
    <xf numFmtId="1" fontId="31" fillId="0" borderId="294" xfId="0" applyNumberFormat="1" applyFont="1" applyBorder="1" applyAlignment="1" applyProtection="1">
      <alignment vertical="center"/>
    </xf>
    <xf numFmtId="0" fontId="31" fillId="0" borderId="92" xfId="0" applyFont="1" applyBorder="1" applyAlignment="1" applyProtection="1">
      <alignment horizontal="center" vertical="center" wrapText="1"/>
    </xf>
    <xf numFmtId="0" fontId="31" fillId="0" borderId="49" xfId="0" applyFont="1" applyBorder="1" applyAlignment="1" applyProtection="1">
      <alignment horizontal="center" vertical="center" wrapText="1"/>
    </xf>
    <xf numFmtId="0" fontId="131" fillId="16" borderId="0" xfId="0" applyFont="1" applyFill="1" applyBorder="1" applyAlignment="1" applyProtection="1">
      <alignment horizontal="center" vertical="center" wrapText="1"/>
    </xf>
    <xf numFmtId="0" fontId="0" fillId="16" borderId="31" xfId="0" applyFill="1" applyBorder="1" applyProtection="1"/>
    <xf numFmtId="0" fontId="31" fillId="16" borderId="85" xfId="0" applyFont="1" applyFill="1" applyBorder="1" applyAlignment="1" applyProtection="1">
      <alignment vertical="center"/>
    </xf>
    <xf numFmtId="0" fontId="31" fillId="16" borderId="86" xfId="0" applyFont="1" applyFill="1" applyBorder="1" applyAlignment="1" applyProtection="1">
      <alignment vertical="center"/>
    </xf>
    <xf numFmtId="0" fontId="31" fillId="16" borderId="90" xfId="0" applyFont="1" applyFill="1" applyBorder="1" applyAlignment="1" applyProtection="1">
      <alignment vertical="center"/>
    </xf>
    <xf numFmtId="0" fontId="31" fillId="16" borderId="87" xfId="0" applyFont="1" applyFill="1" applyBorder="1" applyAlignment="1" applyProtection="1">
      <alignment vertical="center"/>
    </xf>
    <xf numFmtId="0" fontId="31" fillId="16" borderId="91" xfId="0" applyFont="1" applyFill="1" applyBorder="1" applyAlignment="1" applyProtection="1">
      <alignment vertical="center"/>
    </xf>
    <xf numFmtId="0" fontId="0" fillId="0" borderId="35" xfId="0" applyBorder="1" applyAlignment="1" applyProtection="1"/>
    <xf numFmtId="0" fontId="126" fillId="16" borderId="0" xfId="0" applyFont="1" applyFill="1" applyBorder="1" applyAlignment="1" applyProtection="1">
      <alignment horizontal="center" vertical="center" wrapText="1"/>
    </xf>
    <xf numFmtId="0" fontId="126" fillId="16" borderId="0" xfId="0" applyFont="1" applyFill="1" applyBorder="1" applyProtection="1"/>
    <xf numFmtId="0" fontId="126" fillId="16" borderId="0" xfId="0" applyFont="1" applyFill="1" applyBorder="1" applyAlignment="1" applyProtection="1"/>
    <xf numFmtId="0" fontId="26" fillId="16" borderId="26" xfId="0" applyFont="1" applyFill="1" applyBorder="1" applyAlignment="1" applyProtection="1">
      <alignment horizontal="center"/>
    </xf>
    <xf numFmtId="0" fontId="161" fillId="16" borderId="64" xfId="0" applyFont="1" applyFill="1" applyBorder="1" applyAlignment="1" applyProtection="1">
      <alignment horizontal="center" vertical="center" wrapText="1"/>
    </xf>
    <xf numFmtId="0" fontId="126" fillId="16" borderId="30" xfId="0" applyFont="1" applyFill="1" applyBorder="1" applyAlignment="1" applyProtection="1">
      <alignment horizontal="right"/>
    </xf>
    <xf numFmtId="0" fontId="133" fillId="16" borderId="30" xfId="0" applyFont="1" applyFill="1" applyBorder="1" applyProtection="1"/>
    <xf numFmtId="0" fontId="133" fillId="0" borderId="13" xfId="0" applyFont="1" applyBorder="1" applyProtection="1"/>
    <xf numFmtId="0" fontId="133" fillId="0" borderId="1" xfId="0" applyFont="1" applyBorder="1" applyAlignment="1" applyProtection="1">
      <alignment horizontal="center"/>
    </xf>
    <xf numFmtId="0" fontId="149" fillId="16" borderId="55" xfId="0" applyFont="1" applyFill="1" applyBorder="1" applyAlignment="1" applyProtection="1">
      <alignment horizontal="center" vertical="center"/>
    </xf>
    <xf numFmtId="0" fontId="149" fillId="16" borderId="30" xfId="0" applyFont="1" applyFill="1" applyBorder="1" applyAlignment="1" applyProtection="1">
      <alignment horizontal="center" vertical="center"/>
    </xf>
    <xf numFmtId="0" fontId="9" fillId="16" borderId="22" xfId="0" applyFont="1" applyFill="1" applyBorder="1" applyAlignment="1" applyProtection="1">
      <alignment horizontal="center" vertical="center"/>
    </xf>
    <xf numFmtId="0" fontId="7" fillId="0" borderId="22" xfId="0" applyFont="1" applyFill="1" applyBorder="1" applyAlignment="1" applyProtection="1">
      <alignment horizontal="center" vertical="center" wrapText="1"/>
    </xf>
    <xf numFmtId="0" fontId="0" fillId="0" borderId="31" xfId="0" applyBorder="1" applyAlignment="1" applyProtection="1">
      <alignment horizontal="left" vertical="center"/>
    </xf>
    <xf numFmtId="0" fontId="18" fillId="16" borderId="26" xfId="0" applyFont="1" applyFill="1" applyBorder="1" applyAlignment="1" applyProtection="1">
      <alignment vertical="center"/>
    </xf>
    <xf numFmtId="0" fontId="18" fillId="16" borderId="58" xfId="0" applyFont="1" applyFill="1" applyBorder="1" applyAlignment="1" applyProtection="1">
      <alignment vertical="center"/>
    </xf>
    <xf numFmtId="0" fontId="18" fillId="16" borderId="93" xfId="0" applyFont="1" applyFill="1" applyBorder="1" applyAlignment="1" applyProtection="1">
      <alignment vertical="center"/>
    </xf>
    <xf numFmtId="0" fontId="18" fillId="16" borderId="30" xfId="0" applyFont="1" applyFill="1" applyBorder="1" applyAlignment="1" applyProtection="1">
      <alignment vertical="center"/>
    </xf>
    <xf numFmtId="0" fontId="10" fillId="16" borderId="0" xfId="0" applyFont="1" applyFill="1" applyAlignment="1" applyProtection="1">
      <alignment vertical="center"/>
    </xf>
    <xf numFmtId="0" fontId="31" fillId="16" borderId="151" xfId="0" applyFont="1" applyFill="1" applyBorder="1" applyAlignment="1" applyProtection="1">
      <alignment vertical="center"/>
    </xf>
    <xf numFmtId="0" fontId="31" fillId="16" borderId="152" xfId="0" applyFont="1" applyFill="1" applyBorder="1" applyAlignment="1" applyProtection="1">
      <alignment vertical="center"/>
    </xf>
    <xf numFmtId="0" fontId="31" fillId="16" borderId="142" xfId="0" applyFont="1" applyFill="1" applyBorder="1" applyAlignment="1" applyProtection="1">
      <alignment vertical="center"/>
    </xf>
    <xf numFmtId="0" fontId="0" fillId="16" borderId="29" xfId="0" applyFill="1" applyBorder="1" applyAlignment="1" applyProtection="1">
      <alignment vertical="center"/>
    </xf>
    <xf numFmtId="0" fontId="18" fillId="16" borderId="31" xfId="0" applyFont="1" applyFill="1" applyBorder="1" applyAlignment="1" applyProtection="1">
      <alignment vertical="center"/>
    </xf>
    <xf numFmtId="0" fontId="18" fillId="16" borderId="55" xfId="0" applyFont="1" applyFill="1" applyBorder="1" applyAlignment="1" applyProtection="1">
      <alignment vertical="center"/>
    </xf>
    <xf numFmtId="0" fontId="31" fillId="16" borderId="153" xfId="0" applyFont="1" applyFill="1" applyBorder="1" applyAlignment="1" applyProtection="1">
      <alignment vertical="center"/>
    </xf>
    <xf numFmtId="0" fontId="31" fillId="16" borderId="48" xfId="0" applyFont="1" applyFill="1" applyBorder="1" applyAlignment="1" applyProtection="1">
      <alignment vertical="center"/>
    </xf>
    <xf numFmtId="0" fontId="31" fillId="16" borderId="140" xfId="0" applyFont="1" applyFill="1" applyBorder="1" applyAlignment="1" applyProtection="1">
      <alignment vertical="center"/>
    </xf>
    <xf numFmtId="49" fontId="10" fillId="16" borderId="0" xfId="0" applyNumberFormat="1" applyFont="1" applyFill="1" applyBorder="1" applyAlignment="1" applyProtection="1">
      <alignment vertical="center"/>
    </xf>
    <xf numFmtId="0" fontId="31" fillId="16" borderId="153" xfId="0" applyNumberFormat="1" applyFont="1" applyFill="1" applyBorder="1" applyAlignment="1" applyProtection="1">
      <alignment vertical="center"/>
    </xf>
    <xf numFmtId="0" fontId="31" fillId="16" borderId="48" xfId="0" applyNumberFormat="1" applyFont="1" applyFill="1" applyBorder="1" applyAlignment="1" applyProtection="1">
      <alignment vertical="center"/>
    </xf>
    <xf numFmtId="0" fontId="31" fillId="16" borderId="140" xfId="0" applyNumberFormat="1" applyFont="1" applyFill="1" applyBorder="1" applyAlignment="1" applyProtection="1">
      <alignment vertical="center"/>
    </xf>
    <xf numFmtId="0" fontId="141" fillId="16" borderId="30" xfId="0" applyFont="1" applyFill="1" applyBorder="1" applyAlignment="1" applyProtection="1">
      <alignment horizontal="right" vertical="center"/>
    </xf>
    <xf numFmtId="0" fontId="0" fillId="0" borderId="0" xfId="0" applyNumberFormat="1" applyBorder="1" applyAlignment="1" applyProtection="1">
      <alignment horizontal="left"/>
    </xf>
    <xf numFmtId="0" fontId="19" fillId="0" borderId="0" xfId="0" applyFont="1" applyBorder="1" applyProtection="1"/>
    <xf numFmtId="0" fontId="0" fillId="0" borderId="154" xfId="0" applyBorder="1" applyProtection="1"/>
    <xf numFmtId="0" fontId="9" fillId="16" borderId="30" xfId="0" applyFont="1" applyFill="1" applyBorder="1" applyAlignment="1" applyProtection="1">
      <alignment horizontal="right"/>
    </xf>
    <xf numFmtId="0" fontId="19" fillId="16" borderId="30" xfId="0" applyFont="1" applyFill="1" applyBorder="1" applyProtection="1"/>
    <xf numFmtId="0" fontId="9" fillId="16" borderId="30" xfId="0" applyFont="1" applyFill="1" applyBorder="1" applyProtection="1"/>
    <xf numFmtId="0" fontId="163" fillId="0" borderId="22" xfId="0" applyFont="1" applyFill="1" applyBorder="1" applyAlignment="1" applyProtection="1">
      <alignment horizontal="center" vertical="center" wrapText="1" shrinkToFit="1"/>
      <protection locked="0"/>
    </xf>
    <xf numFmtId="0" fontId="163" fillId="0" borderId="260" xfId="0" applyFont="1" applyFill="1" applyBorder="1" applyAlignment="1" applyProtection="1">
      <alignment vertical="center"/>
    </xf>
    <xf numFmtId="0" fontId="164" fillId="0" borderId="225" xfId="0" applyFont="1" applyBorder="1" applyAlignment="1" applyProtection="1"/>
    <xf numFmtId="0" fontId="164" fillId="0" borderId="261" xfId="0" applyFont="1" applyBorder="1" applyAlignment="1" applyProtection="1"/>
    <xf numFmtId="0" fontId="163" fillId="0" borderId="261" xfId="0" applyFont="1" applyBorder="1" applyAlignment="1" applyProtection="1">
      <alignment vertical="center"/>
    </xf>
    <xf numFmtId="0" fontId="163" fillId="0" borderId="260" xfId="0" applyFont="1" applyBorder="1" applyAlignment="1" applyProtection="1">
      <alignment vertical="center"/>
    </xf>
    <xf numFmtId="0" fontId="163" fillId="0" borderId="261" xfId="0" applyFont="1" applyBorder="1" applyAlignment="1" applyProtection="1">
      <alignment vertical="center"/>
      <protection locked="0"/>
    </xf>
    <xf numFmtId="0" fontId="163" fillId="0" borderId="225" xfId="0" applyFont="1" applyBorder="1" applyAlignment="1" applyProtection="1">
      <alignment vertical="center"/>
      <protection locked="0"/>
    </xf>
    <xf numFmtId="0" fontId="163" fillId="0" borderId="260" xfId="0" applyFont="1" applyFill="1" applyBorder="1" applyAlignment="1" applyProtection="1">
      <alignment horizontal="center" vertical="center"/>
    </xf>
    <xf numFmtId="0" fontId="163" fillId="0" borderId="22" xfId="0" applyFont="1" applyBorder="1" applyAlignment="1" applyProtection="1">
      <alignment horizontal="center" vertical="center" wrapText="1" shrinkToFit="1"/>
      <protection locked="0"/>
    </xf>
    <xf numFmtId="0" fontId="165" fillId="0" borderId="47" xfId="0" applyFont="1" applyBorder="1" applyAlignment="1" applyProtection="1">
      <alignment horizontal="center" vertical="center" wrapText="1" shrinkToFit="1"/>
    </xf>
    <xf numFmtId="0" fontId="166" fillId="0" borderId="260" xfId="0" applyFont="1" applyBorder="1" applyAlignment="1" applyProtection="1">
      <alignment vertical="center"/>
      <protection locked="0"/>
    </xf>
    <xf numFmtId="0" fontId="166" fillId="0" borderId="225" xfId="0" applyFont="1" applyBorder="1" applyAlignment="1" applyProtection="1">
      <alignment vertical="center"/>
      <protection locked="0"/>
    </xf>
    <xf numFmtId="0" fontId="166" fillId="0" borderId="261" xfId="0" applyFont="1" applyBorder="1" applyAlignment="1" applyProtection="1">
      <alignment vertical="center"/>
      <protection locked="0"/>
    </xf>
    <xf numFmtId="0" fontId="167" fillId="0" borderId="22" xfId="0" applyFont="1" applyFill="1" applyBorder="1" applyAlignment="1" applyProtection="1">
      <alignment horizontal="center" vertical="center" wrapText="1" shrinkToFit="1"/>
      <protection locked="0"/>
    </xf>
    <xf numFmtId="0" fontId="168" fillId="0" borderId="260" xfId="0" applyFont="1" applyFill="1" applyBorder="1" applyAlignment="1" applyProtection="1">
      <alignment horizontal="center" vertical="center"/>
    </xf>
    <xf numFmtId="0" fontId="168" fillId="0" borderId="22" xfId="0" applyFont="1" applyBorder="1" applyAlignment="1" applyProtection="1">
      <alignment horizontal="center" vertical="center" wrapText="1" shrinkToFit="1"/>
      <protection locked="0"/>
    </xf>
    <xf numFmtId="0" fontId="169" fillId="0" borderId="47" xfId="0" applyFont="1" applyBorder="1" applyAlignment="1" applyProtection="1">
      <alignment horizontal="center" vertical="center" wrapText="1" shrinkToFit="1"/>
    </xf>
    <xf numFmtId="0" fontId="163" fillId="0" borderId="225" xfId="0" applyFont="1" applyFill="1" applyBorder="1" applyAlignment="1" applyProtection="1">
      <alignment vertical="center" wrapText="1" shrinkToFit="1"/>
      <protection locked="0"/>
    </xf>
    <xf numFmtId="0" fontId="163" fillId="0" borderId="261" xfId="0" applyFont="1" applyFill="1" applyBorder="1" applyAlignment="1" applyProtection="1">
      <alignment vertical="center" wrapText="1" shrinkToFit="1"/>
      <protection locked="0"/>
    </xf>
    <xf numFmtId="0" fontId="163" fillId="0" borderId="261" xfId="0" applyFont="1" applyFill="1" applyBorder="1" applyAlignment="1" applyProtection="1">
      <alignment vertical="center"/>
      <protection locked="0"/>
    </xf>
    <xf numFmtId="0" fontId="31" fillId="0" borderId="22" xfId="0" applyFont="1" applyBorder="1" applyAlignment="1" applyProtection="1">
      <alignment horizontal="center" vertical="center"/>
    </xf>
    <xf numFmtId="0" fontId="31" fillId="0" borderId="261" xfId="0" applyFont="1" applyBorder="1" applyAlignment="1" applyProtection="1">
      <alignment vertical="center" wrapText="1"/>
    </xf>
    <xf numFmtId="0" fontId="31" fillId="16" borderId="88" xfId="0" applyFont="1" applyFill="1" applyBorder="1" applyAlignment="1" applyProtection="1">
      <alignment vertical="center"/>
    </xf>
    <xf numFmtId="0" fontId="31" fillId="16" borderId="89" xfId="0" applyFont="1" applyFill="1" applyBorder="1" applyAlignment="1" applyProtection="1">
      <alignment vertical="center"/>
    </xf>
    <xf numFmtId="0" fontId="10" fillId="16" borderId="89" xfId="0" applyFont="1" applyFill="1" applyBorder="1" applyAlignment="1" applyProtection="1">
      <alignment horizontal="center" vertical="center"/>
    </xf>
    <xf numFmtId="0" fontId="31" fillId="16" borderId="92" xfId="0" applyFont="1" applyFill="1" applyBorder="1" applyAlignment="1" applyProtection="1">
      <alignment vertical="center"/>
    </xf>
    <xf numFmtId="0" fontId="31" fillId="0" borderId="139" xfId="0" applyFont="1" applyBorder="1" applyAlignment="1" applyProtection="1">
      <alignment vertical="center"/>
    </xf>
    <xf numFmtId="0" fontId="31" fillId="0" borderId="140" xfId="0" applyFont="1" applyBorder="1" applyAlignment="1" applyProtection="1">
      <alignment vertical="center"/>
    </xf>
    <xf numFmtId="0" fontId="31" fillId="0" borderId="16" xfId="0" applyFont="1" applyBorder="1" applyAlignment="1" applyProtection="1">
      <alignment vertical="center"/>
    </xf>
    <xf numFmtId="0" fontId="129" fillId="0" borderId="295" xfId="0" applyFont="1" applyBorder="1" applyAlignment="1" applyProtection="1"/>
    <xf numFmtId="0" fontId="129" fillId="16" borderId="296" xfId="0" applyFont="1" applyFill="1" applyBorder="1" applyAlignment="1" applyProtection="1"/>
    <xf numFmtId="0" fontId="171" fillId="0" borderId="1" xfId="0" applyFont="1" applyBorder="1" applyProtection="1"/>
    <xf numFmtId="0" fontId="171" fillId="0" borderId="5" xfId="0" applyFont="1" applyBorder="1" applyProtection="1"/>
    <xf numFmtId="0" fontId="0" fillId="0" borderId="0" xfId="0" applyFill="1" applyBorder="1" applyProtection="1"/>
    <xf numFmtId="0" fontId="25" fillId="0" borderId="0" xfId="0" applyFont="1" applyBorder="1" applyProtection="1"/>
    <xf numFmtId="0" fontId="43" fillId="0" borderId="0" xfId="0" applyFont="1" applyAlignment="1" applyProtection="1">
      <alignment shrinkToFit="1"/>
    </xf>
    <xf numFmtId="0" fontId="104" fillId="16" borderId="238" xfId="0" applyFont="1" applyFill="1" applyBorder="1" applyAlignment="1" applyProtection="1">
      <alignment vertical="center" shrinkToFit="1"/>
    </xf>
    <xf numFmtId="0" fontId="104" fillId="16" borderId="241" xfId="0" applyFont="1" applyFill="1" applyBorder="1" applyAlignment="1" applyProtection="1">
      <alignment vertical="center" shrinkToFit="1"/>
    </xf>
    <xf numFmtId="0" fontId="172" fillId="16" borderId="0" xfId="0" applyFont="1" applyFill="1" applyBorder="1" applyAlignment="1" applyProtection="1">
      <alignment horizontal="center" vertical="center"/>
      <protection locked="0"/>
    </xf>
    <xf numFmtId="0" fontId="0" fillId="16" borderId="241" xfId="0" applyFill="1" applyBorder="1" applyProtection="1"/>
    <xf numFmtId="0" fontId="0" fillId="16" borderId="1" xfId="0" applyFill="1" applyBorder="1" applyProtection="1"/>
    <xf numFmtId="0" fontId="0" fillId="16" borderId="5" xfId="0" applyFill="1" applyBorder="1" applyProtection="1"/>
    <xf numFmtId="0" fontId="37" fillId="16" borderId="1" xfId="0" applyFont="1" applyFill="1" applyBorder="1" applyProtection="1"/>
    <xf numFmtId="0" fontId="37" fillId="16" borderId="5" xfId="0" applyFont="1" applyFill="1" applyBorder="1" applyProtection="1"/>
    <xf numFmtId="49" fontId="17" fillId="16" borderId="1" xfId="0" applyNumberFormat="1" applyFont="1" applyFill="1" applyBorder="1" applyProtection="1"/>
    <xf numFmtId="0" fontId="0" fillId="16" borderId="14" xfId="0" applyFill="1" applyBorder="1" applyProtection="1"/>
    <xf numFmtId="0" fontId="0" fillId="16" borderId="1" xfId="0" applyFill="1" applyBorder="1" applyAlignment="1" applyProtection="1"/>
    <xf numFmtId="0" fontId="0" fillId="16" borderId="136" xfId="0" applyFill="1" applyBorder="1" applyAlignment="1" applyProtection="1"/>
    <xf numFmtId="0" fontId="0" fillId="16" borderId="0" xfId="0" applyFill="1" applyBorder="1" applyAlignment="1" applyProtection="1"/>
    <xf numFmtId="0" fontId="0" fillId="16" borderId="135" xfId="0" applyFill="1" applyBorder="1" applyAlignment="1" applyProtection="1"/>
    <xf numFmtId="0" fontId="14" fillId="16" borderId="231" xfId="0" applyFont="1" applyFill="1" applyBorder="1" applyProtection="1"/>
    <xf numFmtId="0" fontId="0" fillId="16" borderId="1" xfId="0" applyFill="1" applyBorder="1" applyAlignment="1" applyProtection="1">
      <alignment vertical="top" shrinkToFit="1"/>
    </xf>
    <xf numFmtId="0" fontId="6" fillId="16" borderId="5" xfId="0" applyFont="1" applyFill="1" applyBorder="1" applyProtection="1"/>
    <xf numFmtId="0" fontId="6" fillId="16" borderId="6" xfId="0" applyFont="1" applyFill="1" applyBorder="1" applyProtection="1"/>
    <xf numFmtId="0" fontId="6" fillId="16" borderId="1" xfId="0" applyFont="1" applyFill="1" applyBorder="1" applyProtection="1"/>
    <xf numFmtId="0" fontId="0" fillId="16" borderId="2" xfId="0" applyFill="1" applyBorder="1" applyProtection="1"/>
    <xf numFmtId="0" fontId="15" fillId="16" borderId="6" xfId="0" applyFont="1" applyFill="1" applyBorder="1" applyProtection="1"/>
    <xf numFmtId="0" fontId="15" fillId="16" borderId="1" xfId="0" applyFont="1" applyFill="1" applyBorder="1" applyProtection="1"/>
    <xf numFmtId="0" fontId="15" fillId="16" borderId="5" xfId="0" applyFont="1" applyFill="1" applyBorder="1" applyProtection="1"/>
    <xf numFmtId="0" fontId="6" fillId="16" borderId="3" xfId="0" applyFont="1" applyFill="1" applyBorder="1" applyAlignment="1" applyProtection="1">
      <alignment horizontal="center"/>
    </xf>
    <xf numFmtId="0" fontId="172" fillId="16" borderId="0" xfId="0" applyFont="1" applyFill="1" applyBorder="1" applyAlignment="1" applyProtection="1">
      <alignment horizontal="center" vertical="center"/>
    </xf>
    <xf numFmtId="0" fontId="173" fillId="0" borderId="231" xfId="0" applyFont="1" applyBorder="1" applyAlignment="1">
      <alignment horizontal="center"/>
    </xf>
    <xf numFmtId="0" fontId="128" fillId="0" borderId="295" xfId="0" applyFont="1" applyBorder="1" applyAlignment="1" applyProtection="1">
      <alignment horizontal="center" vertical="center"/>
    </xf>
    <xf numFmtId="0" fontId="127" fillId="16" borderId="246" xfId="0" applyFont="1" applyFill="1" applyBorder="1" applyAlignment="1" applyProtection="1">
      <alignment horizontal="left" vertical="center"/>
    </xf>
    <xf numFmtId="0" fontId="128" fillId="16" borderId="0" xfId="0" applyFont="1" applyFill="1" applyAlignment="1" applyProtection="1">
      <alignment vertical="center"/>
    </xf>
    <xf numFmtId="0" fontId="128" fillId="0" borderId="252" xfId="0" applyFont="1" applyBorder="1" applyAlignment="1" applyProtection="1">
      <alignment vertical="center"/>
    </xf>
    <xf numFmtId="0" fontId="128" fillId="0" borderId="250" xfId="0" applyFont="1" applyBorder="1" applyAlignment="1" applyProtection="1">
      <alignment vertical="center"/>
    </xf>
    <xf numFmtId="0" fontId="128" fillId="0" borderId="297" xfId="0" applyFont="1" applyBorder="1" applyAlignment="1" applyProtection="1">
      <alignment vertical="center"/>
    </xf>
    <xf numFmtId="0" fontId="128" fillId="16" borderId="0" xfId="0" applyFont="1" applyFill="1" applyAlignment="1" applyProtection="1">
      <alignment horizontal="left" vertical="center"/>
    </xf>
    <xf numFmtId="0" fontId="6" fillId="16" borderId="0" xfId="0" applyFont="1" applyFill="1" applyAlignment="1">
      <alignment horizontal="center"/>
    </xf>
    <xf numFmtId="0" fontId="136" fillId="16" borderId="0" xfId="0" applyFont="1" applyFill="1" applyAlignment="1" applyProtection="1">
      <alignment horizontal="center" vertical="center"/>
    </xf>
    <xf numFmtId="0" fontId="128" fillId="16" borderId="0" xfId="0" applyFont="1" applyFill="1" applyAlignment="1" applyProtection="1">
      <alignment horizontal="center" vertical="center"/>
    </xf>
    <xf numFmtId="0" fontId="128" fillId="16" borderId="248" xfId="0" applyFont="1" applyFill="1" applyBorder="1" applyAlignment="1" applyProtection="1">
      <alignment vertical="center"/>
    </xf>
    <xf numFmtId="0" fontId="128" fillId="16" borderId="0" xfId="0" applyFont="1" applyFill="1" applyBorder="1" applyAlignment="1" applyProtection="1">
      <alignment vertical="center"/>
    </xf>
    <xf numFmtId="0" fontId="136" fillId="16" borderId="0" xfId="0" applyFont="1" applyFill="1" applyBorder="1" applyAlignment="1" applyProtection="1">
      <alignment horizontal="center" vertical="center"/>
    </xf>
    <xf numFmtId="0" fontId="128" fillId="16" borderId="0" xfId="0" applyFont="1" applyFill="1" applyBorder="1" applyAlignment="1" applyProtection="1">
      <alignment horizontal="center" vertical="center"/>
    </xf>
    <xf numFmtId="0" fontId="136" fillId="16" borderId="0" xfId="0" applyFont="1" applyFill="1" applyBorder="1" applyAlignment="1" applyProtection="1">
      <alignment vertical="center"/>
    </xf>
    <xf numFmtId="0" fontId="128" fillId="0" borderId="295" xfId="0" applyFont="1" applyBorder="1" applyAlignment="1" applyProtection="1">
      <alignment vertical="center"/>
    </xf>
    <xf numFmtId="0" fontId="128" fillId="0" borderId="296" xfId="0" applyFont="1" applyBorder="1" applyAlignment="1" applyProtection="1">
      <alignment vertical="center"/>
    </xf>
    <xf numFmtId="0" fontId="128" fillId="16" borderId="0" xfId="0" applyFont="1" applyFill="1" applyBorder="1" applyAlignment="1" applyProtection="1">
      <alignment horizontal="left" vertical="center"/>
    </xf>
    <xf numFmtId="0" fontId="127" fillId="16" borderId="0" xfId="0" applyFont="1" applyFill="1" applyBorder="1" applyAlignment="1" applyProtection="1">
      <alignment vertical="center"/>
    </xf>
    <xf numFmtId="0" fontId="137" fillId="16" borderId="0" xfId="0" applyFont="1" applyFill="1" applyBorder="1" applyAlignment="1" applyProtection="1">
      <alignment vertical="center"/>
    </xf>
    <xf numFmtId="0" fontId="0" fillId="16" borderId="0" xfId="0" applyFill="1" applyBorder="1" applyAlignment="1" applyProtection="1">
      <alignment vertical="center"/>
    </xf>
    <xf numFmtId="0" fontId="127" fillId="0" borderId="298" xfId="0" applyFont="1" applyBorder="1" applyAlignment="1" applyProtection="1">
      <alignment horizontal="left" vertical="center"/>
    </xf>
    <xf numFmtId="0" fontId="135" fillId="16" borderId="89" xfId="0" applyFont="1" applyFill="1" applyBorder="1" applyAlignment="1" applyProtection="1">
      <alignment vertical="center"/>
    </xf>
    <xf numFmtId="0" fontId="136" fillId="16" borderId="89" xfId="0" applyFont="1" applyFill="1" applyBorder="1" applyAlignment="1" applyProtection="1">
      <alignment vertical="center"/>
    </xf>
    <xf numFmtId="0" fontId="128" fillId="16" borderId="89" xfId="0" applyFont="1" applyFill="1" applyBorder="1" applyAlignment="1" applyProtection="1">
      <alignment vertical="center"/>
    </xf>
    <xf numFmtId="0" fontId="0" fillId="16" borderId="89" xfId="0" applyFill="1" applyBorder="1" applyAlignment="1" applyProtection="1">
      <alignment vertical="center"/>
    </xf>
    <xf numFmtId="0" fontId="136" fillId="16" borderId="89" xfId="0" applyFont="1" applyFill="1" applyBorder="1" applyAlignment="1" applyProtection="1">
      <alignment horizontal="center" vertical="center"/>
    </xf>
    <xf numFmtId="0" fontId="128" fillId="16" borderId="89" xfId="0" applyFont="1" applyFill="1" applyBorder="1" applyAlignment="1" applyProtection="1">
      <alignment horizontal="center" vertical="center"/>
    </xf>
    <xf numFmtId="0" fontId="128" fillId="16" borderId="0" xfId="0" applyFont="1" applyFill="1" applyBorder="1" applyAlignment="1" applyProtection="1">
      <alignment horizontal="distributed" vertical="center" wrapText="1"/>
    </xf>
    <xf numFmtId="0" fontId="136" fillId="16" borderId="0" xfId="0" applyFont="1" applyFill="1" applyBorder="1" applyAlignment="1" applyProtection="1">
      <alignment horizontal="distributed" vertical="center" wrapText="1"/>
    </xf>
    <xf numFmtId="0" fontId="128" fillId="0" borderId="254" xfId="0" applyFont="1" applyBorder="1" applyAlignment="1" applyProtection="1">
      <alignment vertical="center"/>
    </xf>
    <xf numFmtId="0" fontId="128" fillId="0" borderId="299" xfId="0" applyFont="1" applyBorder="1" applyAlignment="1" applyProtection="1">
      <alignment vertical="center"/>
    </xf>
    <xf numFmtId="0" fontId="9" fillId="0" borderId="22" xfId="0" applyFont="1" applyBorder="1" applyAlignment="1">
      <alignment horizontal="center" vertical="center" wrapText="1"/>
    </xf>
    <xf numFmtId="0" fontId="127" fillId="0" borderId="246" xfId="0" applyFont="1" applyBorder="1" applyAlignment="1" applyProtection="1">
      <alignment vertical="center"/>
    </xf>
    <xf numFmtId="0" fontId="136" fillId="0" borderId="250" xfId="0" applyFont="1" applyBorder="1" applyAlignment="1" applyProtection="1">
      <alignment horizontal="center" vertical="center"/>
    </xf>
    <xf numFmtId="0" fontId="128" fillId="0" borderId="250" xfId="0" applyFont="1" applyBorder="1" applyAlignment="1" applyProtection="1">
      <alignment horizontal="center" vertical="center"/>
    </xf>
    <xf numFmtId="0" fontId="136" fillId="0" borderId="295" xfId="0" applyFont="1" applyBorder="1" applyAlignment="1" applyProtection="1">
      <alignment horizontal="center" vertical="center"/>
    </xf>
    <xf numFmtId="0" fontId="128" fillId="0" borderId="48" xfId="0" applyFont="1" applyBorder="1" applyAlignment="1" applyProtection="1">
      <alignment vertical="center"/>
    </xf>
    <xf numFmtId="0" fontId="6" fillId="0" borderId="0" xfId="0" applyFont="1" applyAlignment="1">
      <alignment vertical="center"/>
    </xf>
    <xf numFmtId="0" fontId="127" fillId="0" borderId="252" xfId="0" applyFont="1" applyBorder="1" applyAlignment="1" applyProtection="1">
      <alignment horizontal="left" vertical="center"/>
    </xf>
    <xf numFmtId="0" fontId="127" fillId="0" borderId="252" xfId="0" applyFont="1" applyBorder="1" applyAlignment="1" applyProtection="1">
      <alignment vertical="center"/>
    </xf>
    <xf numFmtId="0" fontId="6" fillId="0" borderId="0" xfId="0" applyFont="1" applyAlignment="1">
      <alignment horizontal="justify" vertical="center"/>
    </xf>
    <xf numFmtId="0" fontId="6" fillId="16" borderId="0" xfId="0" applyFont="1" applyFill="1" applyAlignment="1"/>
    <xf numFmtId="0" fontId="128" fillId="16" borderId="247" xfId="0" applyFont="1" applyFill="1" applyBorder="1" applyAlignment="1" applyProtection="1">
      <alignment vertical="center"/>
    </xf>
    <xf numFmtId="0" fontId="128" fillId="16" borderId="89" xfId="0" applyFont="1" applyFill="1" applyBorder="1" applyAlignment="1" applyProtection="1">
      <alignment horizontal="left" vertical="center"/>
    </xf>
    <xf numFmtId="0" fontId="128" fillId="16" borderId="250" xfId="0" applyFont="1" applyFill="1" applyBorder="1" applyAlignment="1" applyProtection="1">
      <alignment vertical="center"/>
    </xf>
    <xf numFmtId="0" fontId="128" fillId="16" borderId="297" xfId="0" applyFont="1" applyFill="1" applyBorder="1" applyAlignment="1" applyProtection="1">
      <alignment vertical="center"/>
    </xf>
    <xf numFmtId="0" fontId="128" fillId="16" borderId="246" xfId="0" applyFont="1" applyFill="1" applyBorder="1" applyAlignment="1" applyProtection="1">
      <alignment vertical="center"/>
    </xf>
    <xf numFmtId="0" fontId="136" fillId="16" borderId="297" xfId="0" applyFont="1" applyFill="1" applyBorder="1" applyAlignment="1" applyProtection="1">
      <alignment horizontal="center" vertical="center"/>
    </xf>
    <xf numFmtId="0" fontId="128" fillId="16" borderId="297" xfId="0" applyFont="1" applyFill="1" applyBorder="1" applyAlignment="1" applyProtection="1">
      <alignment horizontal="center" vertical="center"/>
    </xf>
    <xf numFmtId="0" fontId="128" fillId="16" borderId="300" xfId="0" applyFont="1" applyFill="1" applyBorder="1" applyAlignment="1" applyProtection="1">
      <alignment horizontal="center" vertical="center"/>
    </xf>
    <xf numFmtId="0" fontId="136" fillId="16" borderId="300" xfId="0" applyFont="1" applyFill="1" applyBorder="1" applyAlignment="1" applyProtection="1">
      <alignment horizontal="center" vertical="center"/>
    </xf>
    <xf numFmtId="0" fontId="6" fillId="16" borderId="0" xfId="0" applyFont="1" applyFill="1" applyBorder="1" applyAlignment="1">
      <alignment horizontal="justify"/>
    </xf>
    <xf numFmtId="0" fontId="128" fillId="16" borderId="251" xfId="0" applyFont="1" applyFill="1" applyBorder="1" applyAlignment="1" applyProtection="1">
      <alignment vertical="center"/>
    </xf>
    <xf numFmtId="0" fontId="136" fillId="16" borderId="251" xfId="0" applyFont="1" applyFill="1" applyBorder="1" applyAlignment="1" applyProtection="1">
      <alignment horizontal="center" vertical="center"/>
    </xf>
    <xf numFmtId="0" fontId="128" fillId="16" borderId="251" xfId="0" applyFont="1" applyFill="1" applyBorder="1" applyAlignment="1" applyProtection="1">
      <alignment horizontal="center" vertical="center"/>
    </xf>
    <xf numFmtId="0" fontId="128" fillId="16" borderId="255" xfId="0" applyFont="1" applyFill="1" applyBorder="1" applyAlignment="1" applyProtection="1">
      <alignment horizontal="center" vertical="center"/>
    </xf>
    <xf numFmtId="0" fontId="136" fillId="16" borderId="255" xfId="0" applyFont="1" applyFill="1" applyBorder="1" applyAlignment="1" applyProtection="1">
      <alignment horizontal="center" vertical="center"/>
    </xf>
    <xf numFmtId="0" fontId="6" fillId="16" borderId="0" xfId="0" applyFont="1" applyFill="1"/>
    <xf numFmtId="0" fontId="128" fillId="16" borderId="245" xfId="0" applyFont="1" applyFill="1" applyBorder="1" applyAlignment="1" applyProtection="1">
      <alignment vertical="center"/>
    </xf>
    <xf numFmtId="0" fontId="136" fillId="16" borderId="245" xfId="0" applyFont="1" applyFill="1" applyBorder="1" applyAlignment="1" applyProtection="1">
      <alignment horizontal="center" vertical="center"/>
    </xf>
    <xf numFmtId="0" fontId="128" fillId="16" borderId="245" xfId="0" applyFont="1" applyFill="1" applyBorder="1" applyAlignment="1" applyProtection="1">
      <alignment horizontal="center" vertical="center"/>
    </xf>
    <xf numFmtId="0" fontId="128" fillId="16" borderId="249" xfId="0" applyFont="1" applyFill="1" applyBorder="1" applyAlignment="1" applyProtection="1">
      <alignment horizontal="center" vertical="center"/>
    </xf>
    <xf numFmtId="0" fontId="136" fillId="16" borderId="249" xfId="0" applyFont="1" applyFill="1" applyBorder="1" applyAlignment="1" applyProtection="1">
      <alignment horizontal="center" vertical="center"/>
    </xf>
    <xf numFmtId="0" fontId="128" fillId="16" borderId="296" xfId="0" applyFont="1" applyFill="1" applyBorder="1" applyAlignment="1" applyProtection="1">
      <alignment vertical="center"/>
    </xf>
    <xf numFmtId="0" fontId="128" fillId="16" borderId="300" xfId="0" applyFont="1" applyFill="1" applyBorder="1" applyAlignment="1" applyProtection="1">
      <alignment vertical="center"/>
    </xf>
    <xf numFmtId="0" fontId="6" fillId="16" borderId="0" xfId="0" applyFont="1" applyFill="1" applyBorder="1"/>
    <xf numFmtId="0" fontId="128" fillId="16" borderId="255" xfId="0" applyFont="1" applyFill="1" applyBorder="1" applyAlignment="1" applyProtection="1">
      <alignment vertical="center"/>
    </xf>
    <xf numFmtId="0" fontId="128" fillId="16" borderId="249" xfId="0" applyFont="1" applyFill="1" applyBorder="1" applyAlignment="1" applyProtection="1">
      <alignment vertical="center"/>
    </xf>
    <xf numFmtId="0" fontId="127" fillId="16" borderId="0" xfId="0" applyFont="1" applyFill="1" applyBorder="1" applyAlignment="1" applyProtection="1">
      <alignment horizontal="left" vertical="center"/>
    </xf>
    <xf numFmtId="0" fontId="26" fillId="16" borderId="0" xfId="0" applyFont="1" applyFill="1"/>
    <xf numFmtId="0" fontId="6" fillId="16" borderId="0" xfId="0" applyFont="1" applyFill="1" applyAlignment="1">
      <alignment vertical="center"/>
    </xf>
    <xf numFmtId="0" fontId="26" fillId="16" borderId="0" xfId="0" applyFont="1" applyFill="1" applyAlignment="1">
      <alignment vertical="center"/>
    </xf>
    <xf numFmtId="0" fontId="46" fillId="16" borderId="68" xfId="0" applyFont="1" applyFill="1" applyBorder="1" applyAlignment="1" applyProtection="1"/>
    <xf numFmtId="0" fontId="174" fillId="0" borderId="1" xfId="0" applyFont="1" applyBorder="1" applyProtection="1"/>
    <xf numFmtId="0" fontId="107" fillId="0" borderId="1" xfId="0" applyFont="1" applyBorder="1" applyProtection="1"/>
    <xf numFmtId="0" fontId="57" fillId="16" borderId="1" xfId="0" applyFont="1" applyFill="1" applyBorder="1" applyProtection="1"/>
    <xf numFmtId="0" fontId="46" fillId="16" borderId="77" xfId="0" applyFont="1" applyFill="1" applyBorder="1" applyAlignment="1" applyProtection="1"/>
    <xf numFmtId="1" fontId="175" fillId="0" borderId="142" xfId="0" applyNumberFormat="1" applyFont="1" applyBorder="1" applyAlignment="1" applyProtection="1">
      <alignment horizontal="center"/>
    </xf>
    <xf numFmtId="0" fontId="0" fillId="0" borderId="14" xfId="0" applyBorder="1" applyProtection="1"/>
    <xf numFmtId="0" fontId="176" fillId="0" borderId="247" xfId="0" applyFont="1" applyBorder="1" applyAlignment="1" applyProtection="1">
      <alignment vertical="center"/>
    </xf>
    <xf numFmtId="0" fontId="177" fillId="16" borderId="247" xfId="0" applyFont="1" applyFill="1" applyBorder="1" applyAlignment="1" applyProtection="1">
      <alignment horizontal="center" vertical="center"/>
    </xf>
    <xf numFmtId="0" fontId="177" fillId="16" borderId="247" xfId="0" applyFont="1" applyFill="1" applyBorder="1" applyAlignment="1" applyProtection="1">
      <alignment horizontal="center" vertical="center"/>
      <protection locked="0"/>
    </xf>
    <xf numFmtId="0" fontId="128" fillId="16" borderId="247" xfId="0" applyFont="1" applyFill="1" applyBorder="1" applyAlignment="1" applyProtection="1">
      <alignment horizontal="distributed" vertical="center"/>
    </xf>
    <xf numFmtId="0" fontId="6" fillId="16" borderId="0" xfId="0" applyFont="1" applyFill="1" applyAlignment="1">
      <alignment horizontal="left" vertical="center"/>
    </xf>
    <xf numFmtId="0" fontId="128" fillId="16" borderId="247" xfId="0" applyFont="1" applyFill="1" applyBorder="1" applyAlignment="1" applyProtection="1">
      <alignment horizontal="center" vertical="center"/>
    </xf>
    <xf numFmtId="0" fontId="128" fillId="16" borderId="248" xfId="0" applyFont="1" applyFill="1" applyBorder="1" applyAlignment="1" applyProtection="1">
      <alignment horizontal="center" vertical="center"/>
    </xf>
    <xf numFmtId="0" fontId="128" fillId="16" borderId="48" xfId="0" applyFont="1" applyFill="1" applyBorder="1" applyAlignment="1" applyProtection="1">
      <alignment vertical="center"/>
    </xf>
    <xf numFmtId="0" fontId="128" fillId="16" borderId="245" xfId="0" applyFont="1" applyFill="1" applyBorder="1" applyAlignment="1" applyProtection="1">
      <alignment horizontal="left" vertical="center"/>
    </xf>
    <xf numFmtId="0" fontId="128" fillId="16" borderId="298" xfId="0" applyFont="1" applyFill="1" applyBorder="1" applyAlignment="1" applyProtection="1">
      <alignment vertical="center"/>
    </xf>
    <xf numFmtId="0" fontId="128" fillId="16" borderId="253" xfId="0" applyFont="1" applyFill="1" applyBorder="1" applyAlignment="1" applyProtection="1">
      <alignment vertical="center"/>
    </xf>
    <xf numFmtId="0" fontId="170" fillId="0" borderId="0" xfId="0" applyFont="1" applyBorder="1" applyAlignment="1" applyProtection="1">
      <alignment horizontal="center" vertical="center"/>
    </xf>
    <xf numFmtId="0" fontId="7" fillId="0" borderId="40" xfId="0" applyFont="1" applyBorder="1" applyAlignment="1" applyProtection="1"/>
    <xf numFmtId="0" fontId="7" fillId="0" borderId="75" xfId="0" applyFont="1" applyBorder="1" applyAlignment="1" applyProtection="1"/>
    <xf numFmtId="0" fontId="7" fillId="16" borderId="40" xfId="0" applyFont="1" applyFill="1" applyBorder="1" applyAlignment="1" applyProtection="1"/>
    <xf numFmtId="0" fontId="129" fillId="16" borderId="0" xfId="0" applyFont="1" applyFill="1" applyBorder="1" applyAlignment="1" applyProtection="1"/>
    <xf numFmtId="0" fontId="129" fillId="16" borderId="89" xfId="0" applyFont="1" applyFill="1" applyBorder="1" applyAlignment="1" applyProtection="1"/>
    <xf numFmtId="0" fontId="176" fillId="0" borderId="247" xfId="0" applyFont="1" applyBorder="1" applyAlignment="1" applyProtection="1"/>
    <xf numFmtId="0" fontId="176" fillId="0" borderId="247" xfId="0" applyFont="1" applyBorder="1" applyAlignment="1" applyProtection="1">
      <alignment horizontal="center"/>
    </xf>
    <xf numFmtId="0" fontId="26" fillId="16" borderId="0" xfId="0" applyFont="1" applyFill="1" applyBorder="1" applyAlignment="1">
      <alignment vertical="center" wrapText="1"/>
    </xf>
    <xf numFmtId="0" fontId="26" fillId="16" borderId="0" xfId="0" applyFont="1" applyFill="1" applyBorder="1" applyAlignment="1">
      <alignment wrapText="1"/>
    </xf>
    <xf numFmtId="0" fontId="128" fillId="16" borderId="252" xfId="0" applyFont="1" applyFill="1" applyBorder="1" applyAlignment="1" applyProtection="1">
      <alignment vertical="center"/>
    </xf>
    <xf numFmtId="0" fontId="127" fillId="16" borderId="252" xfId="0" applyFont="1" applyFill="1" applyBorder="1" applyAlignment="1" applyProtection="1">
      <alignment horizontal="left" vertical="center"/>
    </xf>
    <xf numFmtId="0" fontId="6" fillId="16" borderId="0" xfId="0" applyFont="1" applyFill="1" applyBorder="1" applyAlignment="1">
      <alignment vertical="center" wrapText="1"/>
    </xf>
    <xf numFmtId="0" fontId="178" fillId="16" borderId="0" xfId="0" applyFont="1" applyFill="1" applyBorder="1" applyAlignment="1" applyProtection="1">
      <alignment vertical="center"/>
    </xf>
    <xf numFmtId="0" fontId="6" fillId="16" borderId="0" xfId="0" applyFont="1" applyFill="1" applyBorder="1" applyAlignment="1">
      <alignment vertical="center"/>
    </xf>
    <xf numFmtId="0" fontId="6" fillId="16" borderId="0" xfId="0" applyFont="1" applyFill="1" applyBorder="1" applyAlignment="1"/>
    <xf numFmtId="0" fontId="26" fillId="16" borderId="0" xfId="0" applyFont="1" applyFill="1" applyBorder="1"/>
    <xf numFmtId="0" fontId="0" fillId="16" borderId="0" xfId="0" applyFill="1" applyBorder="1" applyAlignment="1"/>
    <xf numFmtId="0" fontId="26" fillId="16" borderId="0" xfId="0" applyFont="1" applyFill="1" applyBorder="1" applyAlignment="1">
      <alignment vertical="center"/>
    </xf>
    <xf numFmtId="0" fontId="176" fillId="16" borderId="247" xfId="0" applyFont="1" applyFill="1" applyBorder="1" applyAlignment="1" applyProtection="1"/>
    <xf numFmtId="0" fontId="176" fillId="16" borderId="247" xfId="0" applyFont="1" applyFill="1" applyBorder="1" applyAlignment="1" applyProtection="1">
      <alignment horizontal="center"/>
    </xf>
    <xf numFmtId="0" fontId="176" fillId="16" borderId="247" xfId="0" applyFont="1" applyFill="1" applyBorder="1" applyAlignment="1" applyProtection="1">
      <alignment vertical="center"/>
    </xf>
    <xf numFmtId="0" fontId="134" fillId="16" borderId="249" xfId="0" applyFont="1" applyFill="1" applyBorder="1" applyAlignment="1" applyProtection="1">
      <alignment horizontal="center" vertical="center"/>
    </xf>
    <xf numFmtId="0" fontId="128" fillId="16" borderId="247" xfId="0" applyFont="1" applyFill="1" applyBorder="1" applyAlignment="1" applyProtection="1">
      <alignment horizontal="left" vertical="center"/>
    </xf>
    <xf numFmtId="0" fontId="134" fillId="16" borderId="248" xfId="0" applyFont="1" applyFill="1" applyBorder="1" applyAlignment="1" applyProtection="1">
      <alignment horizontal="center" vertical="center"/>
    </xf>
    <xf numFmtId="0" fontId="136" fillId="16" borderId="248" xfId="0" applyFont="1" applyFill="1" applyBorder="1" applyAlignment="1" applyProtection="1">
      <alignment vertical="center"/>
    </xf>
    <xf numFmtId="0" fontId="134" fillId="16" borderId="247" xfId="0" applyFont="1" applyFill="1" applyBorder="1" applyAlignment="1" applyProtection="1">
      <alignment horizontal="center" vertical="center"/>
    </xf>
    <xf numFmtId="0" fontId="136" fillId="16" borderId="247" xfId="0" applyFont="1" applyFill="1" applyBorder="1" applyAlignment="1" applyProtection="1">
      <alignment vertical="center"/>
    </xf>
    <xf numFmtId="0" fontId="136" fillId="16" borderId="247" xfId="0" applyFont="1" applyFill="1" applyBorder="1" applyAlignment="1" applyProtection="1">
      <alignment horizontal="center" vertical="center"/>
    </xf>
    <xf numFmtId="0" fontId="127" fillId="16" borderId="256" xfId="0" applyFont="1" applyFill="1" applyBorder="1" applyAlignment="1" applyProtection="1">
      <alignment horizontal="left" vertical="center"/>
    </xf>
    <xf numFmtId="0" fontId="136" fillId="16" borderId="253" xfId="0" applyFont="1" applyFill="1" applyBorder="1" applyAlignment="1" applyProtection="1">
      <alignment horizontal="center" vertical="center"/>
    </xf>
    <xf numFmtId="0" fontId="128" fillId="16" borderId="253" xfId="0" applyFont="1" applyFill="1" applyBorder="1" applyAlignment="1" applyProtection="1">
      <alignment horizontal="center" vertical="center"/>
    </xf>
    <xf numFmtId="0" fontId="128" fillId="16" borderId="254" xfId="0" applyFont="1" applyFill="1" applyBorder="1" applyAlignment="1" applyProtection="1">
      <alignment horizontal="center" vertical="center"/>
    </xf>
    <xf numFmtId="0" fontId="136" fillId="16" borderId="254" xfId="0" applyFont="1" applyFill="1" applyBorder="1" applyAlignment="1" applyProtection="1">
      <alignment horizontal="center" vertical="center"/>
    </xf>
    <xf numFmtId="0" fontId="9" fillId="16" borderId="0" xfId="0" applyFont="1" applyFill="1" applyBorder="1" applyAlignment="1">
      <alignment vertical="top" wrapText="1"/>
    </xf>
    <xf numFmtId="0" fontId="31" fillId="16" borderId="0" xfId="0" applyFont="1" applyFill="1" applyBorder="1" applyAlignment="1">
      <alignment vertical="center" wrapText="1"/>
    </xf>
    <xf numFmtId="0" fontId="9" fillId="16" borderId="0" xfId="0" applyFont="1" applyFill="1" applyBorder="1" applyAlignment="1">
      <alignment horizontal="center" vertical="center" wrapText="1"/>
    </xf>
    <xf numFmtId="0" fontId="9" fillId="16" borderId="0" xfId="0" applyFont="1" applyFill="1" applyBorder="1" applyAlignment="1">
      <alignment vertical="center" wrapText="1"/>
    </xf>
    <xf numFmtId="0" fontId="179" fillId="16" borderId="0" xfId="0" applyFont="1" applyFill="1" applyBorder="1" applyAlignment="1" applyProtection="1">
      <alignment vertical="center"/>
    </xf>
    <xf numFmtId="0" fontId="127" fillId="16" borderId="252" xfId="0" applyFont="1" applyFill="1" applyBorder="1" applyAlignment="1" applyProtection="1">
      <alignment vertical="center"/>
    </xf>
    <xf numFmtId="0" fontId="6" fillId="16" borderId="0" xfId="0" applyFont="1" applyFill="1" applyBorder="1" applyAlignment="1">
      <alignment horizontal="center" vertical="center" wrapText="1"/>
    </xf>
    <xf numFmtId="0" fontId="106" fillId="16" borderId="0" xfId="0" applyFont="1" applyFill="1" applyBorder="1" applyAlignment="1">
      <alignment horizontal="center"/>
    </xf>
    <xf numFmtId="0" fontId="14" fillId="16" borderId="0" xfId="0" applyFont="1" applyFill="1" applyBorder="1" applyAlignment="1">
      <alignment vertical="center" wrapText="1"/>
    </xf>
    <xf numFmtId="0" fontId="56" fillId="16" borderId="0" xfId="0" applyFont="1" applyFill="1" applyBorder="1" applyAlignment="1">
      <alignment vertical="center" wrapText="1"/>
    </xf>
    <xf numFmtId="0" fontId="127" fillId="16" borderId="253" xfId="0" applyFont="1" applyFill="1" applyBorder="1" applyAlignment="1" applyProtection="1">
      <alignment horizontal="left" vertical="center"/>
    </xf>
    <xf numFmtId="0" fontId="128" fillId="16" borderId="256" xfId="0" applyFont="1" applyFill="1" applyBorder="1" applyAlignment="1" applyProtection="1">
      <alignment vertical="center"/>
    </xf>
    <xf numFmtId="0" fontId="128" fillId="16" borderId="253" xfId="0" applyFont="1" applyFill="1" applyBorder="1" applyAlignment="1" applyProtection="1">
      <alignment horizontal="left" vertical="center"/>
    </xf>
    <xf numFmtId="0" fontId="180" fillId="16" borderId="296" xfId="0" applyFont="1" applyFill="1" applyBorder="1" applyAlignment="1" applyProtection="1"/>
    <xf numFmtId="0" fontId="128" fillId="16" borderId="302" xfId="0" applyFont="1" applyFill="1" applyBorder="1" applyAlignment="1" applyProtection="1">
      <alignment vertical="center"/>
    </xf>
    <xf numFmtId="0" fontId="128" fillId="16" borderId="303" xfId="0" applyFont="1" applyFill="1" applyBorder="1" applyAlignment="1" applyProtection="1">
      <alignment vertical="center"/>
    </xf>
    <xf numFmtId="0" fontId="180" fillId="16" borderId="296" xfId="0" applyFont="1" applyFill="1" applyBorder="1" applyAlignment="1" applyProtection="1">
      <alignment horizontal="center"/>
    </xf>
    <xf numFmtId="0" fontId="181" fillId="16" borderId="295" xfId="0" applyFont="1" applyFill="1" applyBorder="1" applyAlignment="1" applyProtection="1"/>
    <xf numFmtId="0" fontId="181" fillId="16" borderId="296" xfId="0" applyFont="1" applyFill="1" applyBorder="1" applyAlignment="1" applyProtection="1"/>
    <xf numFmtId="0" fontId="132" fillId="0" borderId="0" xfId="0" applyFont="1" applyAlignment="1" applyProtection="1">
      <alignment vertical="center"/>
    </xf>
    <xf numFmtId="0" fontId="132" fillId="0" borderId="246" xfId="0" applyFont="1" applyBorder="1" applyAlignment="1" applyProtection="1">
      <alignment vertical="center"/>
    </xf>
    <xf numFmtId="0" fontId="132" fillId="0" borderId="247" xfId="0" applyFont="1" applyBorder="1" applyAlignment="1" applyProtection="1">
      <alignment horizontal="left" vertical="center"/>
    </xf>
    <xf numFmtId="0" fontId="132" fillId="16" borderId="0" xfId="0" applyFont="1" applyFill="1" applyAlignment="1" applyProtection="1">
      <alignment vertical="center"/>
    </xf>
    <xf numFmtId="0" fontId="132" fillId="16" borderId="0" xfId="0" applyFont="1" applyFill="1" applyAlignment="1" applyProtection="1">
      <alignment horizontal="left" vertical="center"/>
    </xf>
    <xf numFmtId="0" fontId="6" fillId="16" borderId="304" xfId="0" applyFont="1" applyFill="1" applyBorder="1" applyAlignment="1" applyProtection="1">
      <alignment vertical="center"/>
    </xf>
    <xf numFmtId="0" fontId="6" fillId="16" borderId="14" xfId="0" applyFont="1" applyFill="1" applyBorder="1" applyAlignment="1" applyProtection="1">
      <alignment vertical="center"/>
    </xf>
    <xf numFmtId="0" fontId="6" fillId="16" borderId="6" xfId="0" applyFont="1" applyFill="1" applyBorder="1" applyAlignment="1" applyProtection="1">
      <alignment vertical="center"/>
    </xf>
    <xf numFmtId="0" fontId="6" fillId="16" borderId="5" xfId="0" applyFont="1" applyFill="1" applyBorder="1" applyAlignment="1" applyProtection="1">
      <alignment vertical="center"/>
    </xf>
    <xf numFmtId="0" fontId="181" fillId="16" borderId="0" xfId="0" applyFont="1" applyFill="1" applyBorder="1" applyAlignment="1" applyProtection="1"/>
    <xf numFmtId="0" fontId="6" fillId="16" borderId="5" xfId="0" applyFont="1" applyFill="1" applyBorder="1" applyAlignment="1" applyProtection="1"/>
    <xf numFmtId="0" fontId="6" fillId="16" borderId="14" xfId="0" applyFont="1" applyFill="1" applyBorder="1" applyAlignment="1" applyProtection="1"/>
    <xf numFmtId="0" fontId="6" fillId="16" borderId="6" xfId="0" applyFont="1" applyFill="1" applyBorder="1" applyAlignment="1" applyProtection="1"/>
    <xf numFmtId="0" fontId="6" fillId="16" borderId="1" xfId="0" applyFont="1" applyFill="1" applyBorder="1" applyAlignment="1" applyProtection="1">
      <alignment horizontal="left"/>
    </xf>
    <xf numFmtId="0" fontId="129" fillId="16" borderId="89" xfId="0" applyFont="1" applyFill="1" applyBorder="1" applyAlignment="1" applyProtection="1">
      <alignment horizontal="left"/>
    </xf>
    <xf numFmtId="0" fontId="183" fillId="16" borderId="247" xfId="0" applyFont="1" applyFill="1" applyBorder="1" applyAlignment="1" applyProtection="1">
      <alignment vertical="center"/>
    </xf>
    <xf numFmtId="0" fontId="127" fillId="16" borderId="246" xfId="0" applyFont="1" applyFill="1" applyBorder="1" applyAlignment="1" applyProtection="1">
      <alignment horizontal="left"/>
    </xf>
    <xf numFmtId="0" fontId="128" fillId="16" borderId="248" xfId="0" applyFont="1" applyFill="1" applyBorder="1" applyAlignment="1" applyProtection="1"/>
    <xf numFmtId="0" fontId="128" fillId="16" borderId="0" xfId="0" applyFont="1" applyFill="1" applyBorder="1" applyAlignment="1" applyProtection="1"/>
    <xf numFmtId="0" fontId="129" fillId="16" borderId="48" xfId="0" applyFont="1" applyFill="1" applyBorder="1" applyAlignment="1" applyProtection="1"/>
    <xf numFmtId="0" fontId="128" fillId="16" borderId="48" xfId="0" applyFont="1" applyFill="1" applyBorder="1" applyAlignment="1" applyProtection="1"/>
    <xf numFmtId="0" fontId="127" fillId="16" borderId="0" xfId="0" applyFont="1" applyFill="1" applyBorder="1" applyAlignment="1" applyProtection="1">
      <alignment horizontal="right"/>
    </xf>
    <xf numFmtId="0" fontId="128" fillId="16" borderId="89" xfId="0" applyFont="1" applyFill="1" applyBorder="1" applyAlignment="1" applyProtection="1"/>
    <xf numFmtId="0" fontId="128" fillId="16" borderId="0" xfId="0" applyFont="1" applyFill="1" applyAlignment="1" applyProtection="1"/>
    <xf numFmtId="0" fontId="127" fillId="16" borderId="256" xfId="0" applyFont="1" applyFill="1" applyBorder="1" applyAlignment="1" applyProtection="1">
      <alignment horizontal="left"/>
    </xf>
    <xf numFmtId="0" fontId="128" fillId="16" borderId="248" xfId="0" applyFont="1" applyFill="1" applyBorder="1" applyAlignment="1" applyProtection="1">
      <alignment horizontal="left"/>
    </xf>
    <xf numFmtId="0" fontId="136" fillId="16" borderId="0" xfId="0" applyFont="1" applyFill="1" applyAlignment="1" applyProtection="1">
      <alignment horizontal="center"/>
    </xf>
    <xf numFmtId="49" fontId="129" fillId="16" borderId="48" xfId="0" applyNumberFormat="1" applyFont="1" applyFill="1" applyBorder="1" applyAlignment="1" applyProtection="1"/>
    <xf numFmtId="0" fontId="136" fillId="16" borderId="48" xfId="0" applyFont="1" applyFill="1" applyBorder="1" applyAlignment="1" applyProtection="1">
      <alignment horizontal="center"/>
    </xf>
    <xf numFmtId="0" fontId="129" fillId="16" borderId="48" xfId="0" applyFont="1" applyFill="1" applyBorder="1" applyAlignment="1" applyProtection="1">
      <alignment horizontal="left"/>
    </xf>
    <xf numFmtId="0" fontId="127" fillId="16" borderId="48" xfId="0" applyFont="1" applyFill="1" applyBorder="1" applyAlignment="1" applyProtection="1">
      <alignment horizontal="right"/>
    </xf>
    <xf numFmtId="0" fontId="128" fillId="16" borderId="89" xfId="0" applyFont="1" applyFill="1" applyBorder="1" applyAlignment="1" applyProtection="1">
      <alignment horizontal="center"/>
    </xf>
    <xf numFmtId="0" fontId="136" fillId="16" borderId="89" xfId="0" applyFont="1" applyFill="1" applyBorder="1" applyAlignment="1" applyProtection="1">
      <alignment horizontal="center"/>
    </xf>
    <xf numFmtId="0" fontId="31" fillId="0" borderId="0" xfId="0" applyFont="1" applyFill="1" applyBorder="1" applyAlignment="1">
      <alignment vertical="center"/>
    </xf>
    <xf numFmtId="0" fontId="31" fillId="0" borderId="22" xfId="0" applyFont="1" applyBorder="1" applyAlignment="1">
      <alignment horizontal="center" vertical="center"/>
    </xf>
    <xf numFmtId="0" fontId="19" fillId="0" borderId="22" xfId="0" applyFont="1" applyBorder="1" applyAlignment="1">
      <alignment horizontal="center" vertical="center"/>
    </xf>
    <xf numFmtId="0" fontId="13" fillId="0" borderId="2" xfId="0" applyFont="1" applyBorder="1" applyAlignment="1" applyProtection="1">
      <alignment horizontal="center"/>
    </xf>
    <xf numFmtId="0" fontId="14" fillId="0" borderId="2" xfId="0" applyFont="1" applyBorder="1" applyProtection="1"/>
    <xf numFmtId="0" fontId="186" fillId="0" borderId="30" xfId="0" applyFont="1" applyBorder="1" applyAlignment="1" applyProtection="1">
      <alignment horizontal="center"/>
    </xf>
    <xf numFmtId="0" fontId="186" fillId="0" borderId="30" xfId="0" applyFont="1" applyBorder="1" applyAlignment="1" applyProtection="1">
      <alignment horizontal="center" vertical="center"/>
    </xf>
    <xf numFmtId="0" fontId="187" fillId="0" borderId="30" xfId="0" applyFont="1" applyBorder="1" applyProtection="1"/>
    <xf numFmtId="0" fontId="187" fillId="0" borderId="30" xfId="0" applyFont="1" applyBorder="1" applyAlignment="1" applyProtection="1">
      <alignment horizontal="left"/>
    </xf>
    <xf numFmtId="0" fontId="187" fillId="0" borderId="26" xfId="0" applyFont="1" applyBorder="1" applyAlignment="1" applyProtection="1">
      <alignment horizontal="left"/>
    </xf>
    <xf numFmtId="0" fontId="187" fillId="0" borderId="26" xfId="0" applyFont="1" applyBorder="1" applyAlignment="1" applyProtection="1"/>
    <xf numFmtId="0" fontId="188" fillId="16" borderId="93" xfId="0" applyFont="1" applyFill="1" applyBorder="1" applyAlignment="1" applyProtection="1">
      <alignment horizontal="center" vertical="center"/>
    </xf>
    <xf numFmtId="0" fontId="188" fillId="16" borderId="0" xfId="0" applyFont="1" applyFill="1" applyBorder="1" applyAlignment="1" applyProtection="1">
      <alignment horizontal="center" vertical="center"/>
      <protection locked="0"/>
    </xf>
    <xf numFmtId="0" fontId="62" fillId="16" borderId="41" xfId="0" applyFont="1" applyFill="1" applyBorder="1" applyAlignment="1" applyProtection="1"/>
    <xf numFmtId="0" fontId="62" fillId="16" borderId="0" xfId="0" applyFont="1" applyFill="1" applyBorder="1" applyAlignment="1" applyProtection="1"/>
    <xf numFmtId="0" fontId="62" fillId="16" borderId="305" xfId="0" applyFont="1" applyFill="1" applyBorder="1" applyAlignment="1" applyProtection="1"/>
    <xf numFmtId="0" fontId="62" fillId="16" borderId="0" xfId="0" applyFont="1" applyFill="1" applyBorder="1" applyAlignment="1" applyProtection="1">
      <alignment vertical="center"/>
    </xf>
    <xf numFmtId="0" fontId="62" fillId="16" borderId="135" xfId="0" applyFont="1" applyFill="1" applyBorder="1" applyAlignment="1" applyProtection="1">
      <alignment vertical="center"/>
    </xf>
    <xf numFmtId="0" fontId="62" fillId="16" borderId="135" xfId="0" applyFont="1" applyFill="1" applyBorder="1" applyAlignment="1" applyProtection="1"/>
    <xf numFmtId="0" fontId="62" fillId="0" borderId="77" xfId="0" applyFont="1" applyBorder="1" applyAlignment="1" applyProtection="1">
      <alignment horizontal="center"/>
    </xf>
    <xf numFmtId="0" fontId="19" fillId="0" borderId="30" xfId="0" applyFont="1" applyBorder="1" applyAlignment="1" applyProtection="1">
      <alignment horizontal="left"/>
    </xf>
    <xf numFmtId="0" fontId="19" fillId="0" borderId="55" xfId="0" applyFont="1" applyBorder="1" applyAlignment="1" applyProtection="1">
      <alignment horizontal="left"/>
    </xf>
    <xf numFmtId="0" fontId="9" fillId="0" borderId="55" xfId="0" applyFont="1" applyBorder="1" applyAlignment="1" applyProtection="1">
      <alignment horizontal="left"/>
    </xf>
    <xf numFmtId="0" fontId="9" fillId="0" borderId="30" xfId="0" applyFont="1" applyBorder="1" applyAlignment="1" applyProtection="1">
      <alignment horizontal="left"/>
    </xf>
    <xf numFmtId="0" fontId="45" fillId="0" borderId="55" xfId="0" applyFont="1" applyBorder="1" applyAlignment="1" applyProtection="1">
      <alignment horizontal="left"/>
    </xf>
    <xf numFmtId="0" fontId="45" fillId="0" borderId="56" xfId="0" applyFont="1" applyBorder="1" applyAlignment="1" applyProtection="1">
      <alignment horizontal="left"/>
    </xf>
    <xf numFmtId="0" fontId="45" fillId="0" borderId="30" xfId="0" applyFont="1" applyBorder="1" applyAlignment="1" applyProtection="1">
      <alignment horizontal="left"/>
    </xf>
    <xf numFmtId="0" fontId="45" fillId="0" borderId="26" xfId="0" applyFont="1" applyBorder="1" applyAlignment="1" applyProtection="1">
      <alignment horizontal="left"/>
    </xf>
    <xf numFmtId="0" fontId="189" fillId="0" borderId="30" xfId="0" applyFont="1" applyBorder="1" applyProtection="1"/>
    <xf numFmtId="0" fontId="187" fillId="0" borderId="30" xfId="0" applyFont="1" applyBorder="1" applyAlignment="1" applyProtection="1">
      <alignment horizontal="center" vertical="center"/>
    </xf>
    <xf numFmtId="0" fontId="187" fillId="0" borderId="30" xfId="0" applyFont="1" applyBorder="1" applyAlignment="1" applyProtection="1">
      <alignment horizontal="center"/>
    </xf>
    <xf numFmtId="0" fontId="187" fillId="0" borderId="30" xfId="0" applyFont="1" applyBorder="1" applyAlignment="1" applyProtection="1"/>
    <xf numFmtId="0" fontId="190" fillId="0" borderId="55" xfId="0" applyFont="1" applyBorder="1" applyProtection="1"/>
    <xf numFmtId="0" fontId="190" fillId="0" borderId="30" xfId="0" applyFont="1" applyBorder="1" applyAlignment="1" applyProtection="1"/>
    <xf numFmtId="0" fontId="190" fillId="0" borderId="30" xfId="0" applyFont="1" applyBorder="1" applyProtection="1"/>
    <xf numFmtId="0" fontId="187" fillId="0" borderId="30" xfId="0" applyFont="1" applyBorder="1" applyAlignment="1" applyProtection="1">
      <alignment horizontal="right" vertical="center"/>
    </xf>
    <xf numFmtId="0" fontId="131" fillId="16" borderId="47" xfId="0" applyFont="1" applyFill="1" applyBorder="1" applyAlignment="1" applyProtection="1">
      <alignment horizontal="center" vertical="center" wrapText="1"/>
    </xf>
    <xf numFmtId="0" fontId="131" fillId="16" borderId="49" xfId="0" applyFont="1" applyFill="1" applyBorder="1" applyAlignment="1" applyProtection="1">
      <alignment horizontal="left" vertical="center" wrapText="1"/>
    </xf>
    <xf numFmtId="0" fontId="134" fillId="0" borderId="249" xfId="0" applyFont="1" applyBorder="1" applyAlignment="1" applyProtection="1">
      <alignment horizontal="left" vertical="center"/>
    </xf>
    <xf numFmtId="0" fontId="134" fillId="0" borderId="248" xfId="0" applyFont="1" applyBorder="1" applyAlignment="1" applyProtection="1">
      <alignment horizontal="left" vertical="center"/>
    </xf>
    <xf numFmtId="0" fontId="134" fillId="0" borderId="254" xfId="0" applyFont="1" applyBorder="1" applyAlignment="1" applyProtection="1">
      <alignment horizontal="left" vertical="center"/>
    </xf>
    <xf numFmtId="0" fontId="191" fillId="0" borderId="0" xfId="0" applyFont="1" applyBorder="1" applyAlignment="1" applyProtection="1">
      <alignment horizontal="center" vertical="center"/>
    </xf>
    <xf numFmtId="0" fontId="135" fillId="0" borderId="247" xfId="0" applyFont="1" applyBorder="1" applyAlignment="1" applyProtection="1">
      <alignment horizontal="right" vertical="center"/>
    </xf>
    <xf numFmtId="0" fontId="192" fillId="0" borderId="247" xfId="0" applyFont="1" applyBorder="1" applyAlignment="1" applyProtection="1">
      <alignment vertical="center"/>
    </xf>
    <xf numFmtId="0" fontId="192" fillId="0" borderId="248" xfId="0" applyFont="1" applyBorder="1" applyAlignment="1" applyProtection="1">
      <alignment horizontal="center" vertical="center"/>
    </xf>
    <xf numFmtId="0" fontId="134" fillId="0" borderId="255" xfId="0" applyFont="1" applyBorder="1" applyAlignment="1" applyProtection="1">
      <alignment horizontal="left" vertical="center"/>
    </xf>
    <xf numFmtId="0" fontId="177" fillId="16" borderId="0" xfId="0" applyFont="1" applyFill="1" applyBorder="1" applyAlignment="1" applyProtection="1">
      <alignment horizontal="center" vertical="center"/>
    </xf>
    <xf numFmtId="0" fontId="177" fillId="16" borderId="0" xfId="0" applyFont="1" applyFill="1" applyBorder="1" applyAlignment="1" applyProtection="1">
      <alignment horizontal="center" vertical="center"/>
      <protection locked="0"/>
    </xf>
    <xf numFmtId="0" fontId="124" fillId="0" borderId="0" xfId="0" applyFont="1"/>
    <xf numFmtId="0" fontId="154" fillId="18" borderId="22" xfId="0" applyFont="1" applyFill="1" applyBorder="1" applyAlignment="1">
      <alignment horizontal="center" vertical="center"/>
    </xf>
    <xf numFmtId="0" fontId="18" fillId="0" borderId="0" xfId="0" applyFont="1"/>
    <xf numFmtId="0" fontId="127" fillId="0" borderId="256" xfId="0" applyFont="1" applyBorder="1" applyAlignment="1" applyProtection="1">
      <alignment horizontal="left"/>
    </xf>
    <xf numFmtId="0" fontId="128" fillId="0" borderId="248" xfId="0" applyFont="1" applyBorder="1" applyAlignment="1" applyProtection="1">
      <alignment horizontal="left"/>
    </xf>
    <xf numFmtId="0" fontId="128" fillId="0" borderId="248" xfId="0" applyFont="1" applyBorder="1" applyAlignment="1" applyProtection="1"/>
    <xf numFmtId="0" fontId="210" fillId="16" borderId="89" xfId="0" applyFont="1" applyFill="1" applyBorder="1" applyAlignment="1" applyProtection="1"/>
    <xf numFmtId="0" fontId="210" fillId="0" borderId="89" xfId="0" applyFont="1" applyBorder="1" applyAlignment="1" applyProtection="1"/>
    <xf numFmtId="0" fontId="5" fillId="16" borderId="89" xfId="0" applyFont="1" applyFill="1" applyBorder="1" applyAlignment="1" applyProtection="1"/>
    <xf numFmtId="0" fontId="5" fillId="16" borderId="0" xfId="0" applyFont="1" applyFill="1" applyBorder="1" applyAlignment="1" applyProtection="1"/>
    <xf numFmtId="0" fontId="5" fillId="0" borderId="89" xfId="0" applyFont="1" applyBorder="1" applyAlignment="1" applyProtection="1"/>
    <xf numFmtId="0" fontId="211" fillId="16" borderId="89" xfId="0" applyFont="1" applyFill="1" applyBorder="1" applyAlignment="1" applyProtection="1">
      <alignment horizontal="center"/>
    </xf>
    <xf numFmtId="0" fontId="5" fillId="16" borderId="89" xfId="0" applyFont="1" applyFill="1" applyBorder="1" applyAlignment="1" applyProtection="1">
      <alignment horizontal="center"/>
    </xf>
    <xf numFmtId="0" fontId="210" fillId="16" borderId="89" xfId="0" applyFont="1" applyFill="1" applyBorder="1" applyAlignment="1" applyProtection="1">
      <alignment horizontal="left"/>
    </xf>
    <xf numFmtId="0" fontId="125" fillId="16" borderId="89" xfId="0" applyFont="1" applyFill="1" applyBorder="1" applyAlignment="1" applyProtection="1">
      <alignment horizontal="right"/>
    </xf>
    <xf numFmtId="0" fontId="211" fillId="16" borderId="0" xfId="0" applyFont="1" applyFill="1" applyBorder="1" applyAlignment="1" applyProtection="1">
      <alignment horizontal="center"/>
    </xf>
    <xf numFmtId="0" fontId="210" fillId="16" borderId="296" xfId="0" applyFont="1" applyFill="1" applyBorder="1" applyAlignment="1" applyProtection="1"/>
    <xf numFmtId="0" fontId="210" fillId="16" borderId="295" xfId="0" applyFont="1" applyFill="1" applyBorder="1" applyAlignment="1" applyProtection="1">
      <alignment horizontal="right"/>
    </xf>
    <xf numFmtId="0" fontId="210" fillId="0" borderId="250" xfId="0" applyFont="1" applyBorder="1" applyAlignment="1" applyProtection="1">
      <alignment horizontal="center"/>
    </xf>
    <xf numFmtId="0" fontId="211" fillId="0" borderId="247" xfId="0" applyFont="1" applyBorder="1" applyAlignment="1" applyProtection="1">
      <alignment horizontal="center" vertical="center"/>
    </xf>
    <xf numFmtId="0" fontId="5" fillId="0" borderId="245" xfId="0" applyFont="1" applyBorder="1" applyAlignment="1" applyProtection="1">
      <alignment vertical="center"/>
    </xf>
    <xf numFmtId="0" fontId="5" fillId="0" borderId="247" xfId="0" applyFont="1" applyBorder="1" applyAlignment="1" applyProtection="1">
      <alignment vertical="center"/>
    </xf>
    <xf numFmtId="0" fontId="5" fillId="0" borderId="0" xfId="0" applyFont="1" applyAlignment="1" applyProtection="1">
      <alignment vertical="center"/>
    </xf>
    <xf numFmtId="0" fontId="216" fillId="0" borderId="0" xfId="0" applyFont="1" applyAlignment="1">
      <alignment horizontal="center"/>
    </xf>
    <xf numFmtId="0" fontId="218" fillId="0" borderId="0" xfId="0" applyFont="1" applyAlignment="1">
      <alignment horizontal="center"/>
    </xf>
    <xf numFmtId="0" fontId="137" fillId="0" borderId="246" xfId="0" applyFont="1" applyBorder="1" applyAlignment="1" applyProtection="1">
      <alignment horizontal="left" vertical="center"/>
    </xf>
    <xf numFmtId="0" fontId="137" fillId="0" borderId="247" xfId="0" applyFont="1" applyBorder="1" applyAlignment="1" applyProtection="1">
      <alignment horizontal="left" vertical="center"/>
    </xf>
    <xf numFmtId="0" fontId="221" fillId="16" borderId="0" xfId="0" applyFont="1" applyFill="1" applyAlignment="1">
      <alignment horizontal="center"/>
    </xf>
    <xf numFmtId="0" fontId="222" fillId="0" borderId="30" xfId="0" applyFont="1" applyBorder="1" applyAlignment="1" applyProtection="1"/>
    <xf numFmtId="0" fontId="222" fillId="0" borderId="30" xfId="0" applyFont="1" applyBorder="1" applyAlignment="1" applyProtection="1">
      <alignment vertical="center"/>
    </xf>
    <xf numFmtId="0" fontId="222" fillId="0" borderId="30" xfId="0" applyFont="1" applyBorder="1" applyAlignment="1" applyProtection="1">
      <alignment horizontal="center" vertical="center"/>
    </xf>
    <xf numFmtId="0" fontId="222" fillId="0" borderId="34" xfId="0" applyFont="1" applyBorder="1" applyAlignment="1" applyProtection="1"/>
    <xf numFmtId="0" fontId="223" fillId="0" borderId="33" xfId="0" applyFont="1" applyBorder="1" applyAlignment="1" applyProtection="1">
      <alignment horizontal="center" vertical="center"/>
    </xf>
    <xf numFmtId="0" fontId="104" fillId="0" borderId="30" xfId="0" applyFont="1" applyBorder="1" applyAlignment="1" applyProtection="1">
      <alignment vertical="center"/>
    </xf>
    <xf numFmtId="0" fontId="22" fillId="0" borderId="33" xfId="0" applyFont="1" applyBorder="1" applyAlignment="1" applyProtection="1">
      <alignment horizontal="center" vertical="center"/>
    </xf>
    <xf numFmtId="0" fontId="222" fillId="16" borderId="30" xfId="0" applyFont="1" applyFill="1" applyBorder="1" applyAlignment="1" applyProtection="1">
      <alignment vertical="center"/>
    </xf>
    <xf numFmtId="0" fontId="224" fillId="16" borderId="0" xfId="0" applyFont="1" applyFill="1" applyAlignment="1" applyProtection="1">
      <alignment horizontal="right" vertical="center"/>
    </xf>
    <xf numFmtId="0" fontId="222" fillId="16" borderId="30" xfId="0" applyFont="1" applyFill="1" applyBorder="1" applyAlignment="1" applyProtection="1">
      <alignment horizontal="right" vertical="center"/>
    </xf>
    <xf numFmtId="0" fontId="222" fillId="16" borderId="30" xfId="0" applyFont="1" applyFill="1" applyBorder="1" applyAlignment="1" applyProtection="1">
      <alignment horizontal="left" vertical="center"/>
    </xf>
    <xf numFmtId="0" fontId="15" fillId="16" borderId="0" xfId="0" applyFont="1" applyFill="1" applyAlignment="1" applyProtection="1">
      <alignment vertical="center"/>
    </xf>
    <xf numFmtId="0" fontId="158" fillId="0" borderId="0" xfId="0" applyFont="1" applyBorder="1" applyAlignment="1" applyProtection="1">
      <alignment horizontal="center" vertical="center"/>
    </xf>
    <xf numFmtId="0" fontId="158" fillId="0" borderId="91" xfId="0" applyFont="1" applyBorder="1" applyAlignment="1" applyProtection="1">
      <alignment horizontal="center" vertical="center"/>
    </xf>
    <xf numFmtId="0" fontId="225" fillId="0" borderId="85" xfId="0" applyFont="1" applyBorder="1" applyAlignment="1" applyProtection="1">
      <alignment horizontal="center" vertical="center"/>
    </xf>
    <xf numFmtId="0" fontId="225" fillId="0" borderId="86" xfId="0" applyFont="1" applyBorder="1" applyAlignment="1" applyProtection="1">
      <alignment horizontal="center" vertical="center"/>
    </xf>
    <xf numFmtId="0" fontId="225" fillId="0" borderId="90" xfId="0" applyFont="1" applyBorder="1" applyAlignment="1" applyProtection="1">
      <alignment horizontal="center" vertical="center"/>
    </xf>
    <xf numFmtId="0" fontId="225" fillId="0" borderId="87" xfId="0" applyFont="1" applyBorder="1" applyAlignment="1" applyProtection="1">
      <alignment horizontal="center" vertical="center"/>
    </xf>
    <xf numFmtId="0" fontId="225" fillId="0" borderId="0" xfId="0" applyFont="1" applyBorder="1" applyAlignment="1" applyProtection="1">
      <alignment horizontal="center" vertical="center"/>
    </xf>
    <xf numFmtId="0" fontId="225" fillId="0" borderId="91" xfId="0" applyFont="1" applyBorder="1" applyAlignment="1" applyProtection="1">
      <alignment horizontal="center" vertical="center"/>
    </xf>
    <xf numFmtId="0" fontId="158" fillId="0" borderId="87" xfId="0" applyFont="1" applyBorder="1" applyAlignment="1" applyProtection="1">
      <alignment horizontal="center" vertical="center"/>
    </xf>
    <xf numFmtId="1" fontId="31" fillId="0" borderId="22" xfId="0" applyNumberFormat="1" applyFont="1" applyBorder="1" applyAlignment="1">
      <alignment vertical="center"/>
    </xf>
    <xf numFmtId="0" fontId="19" fillId="0" borderId="0" xfId="0" applyFont="1" applyAlignment="1">
      <alignment horizontal="center"/>
    </xf>
    <xf numFmtId="0" fontId="31" fillId="0" borderId="0" xfId="0" applyFont="1" applyFill="1" applyBorder="1" applyAlignment="1">
      <alignment horizontal="center" vertical="center"/>
    </xf>
    <xf numFmtId="0" fontId="43" fillId="0" borderId="22" xfId="0" applyFont="1" applyBorder="1" applyAlignment="1"/>
    <xf numFmtId="0" fontId="43" fillId="0" borderId="22" xfId="0" applyFont="1" applyBorder="1" applyAlignment="1">
      <alignment horizontal="center"/>
    </xf>
    <xf numFmtId="0" fontId="19" fillId="0" borderId="22" xfId="0" applyFont="1" applyBorder="1" applyAlignment="1">
      <alignment horizontal="center"/>
    </xf>
    <xf numFmtId="0" fontId="184" fillId="0" borderId="22" xfId="0" applyFont="1" applyFill="1" applyBorder="1" applyAlignment="1">
      <alignment horizontal="center" vertical="center"/>
    </xf>
    <xf numFmtId="0" fontId="31" fillId="0" borderId="22" xfId="0" applyFont="1" applyFill="1" applyBorder="1" applyAlignment="1">
      <alignment vertical="center"/>
    </xf>
    <xf numFmtId="0" fontId="31" fillId="0" borderId="22" xfId="0" applyFont="1" applyFill="1" applyBorder="1" applyAlignment="1">
      <alignment horizontal="center" vertical="center"/>
    </xf>
    <xf numFmtId="0" fontId="225" fillId="17" borderId="22" xfId="0" applyFont="1" applyFill="1" applyBorder="1" applyAlignment="1">
      <alignment vertical="center"/>
    </xf>
    <xf numFmtId="0" fontId="225" fillId="0" borderId="0" xfId="0" applyFont="1"/>
    <xf numFmtId="0" fontId="76" fillId="0" borderId="22" xfId="2" applyFont="1" applyFill="1" applyBorder="1" applyAlignment="1">
      <alignment vertical="center" wrapText="1"/>
    </xf>
    <xf numFmtId="167" fontId="31" fillId="0" borderId="22" xfId="0" applyNumberFormat="1" applyFont="1" applyBorder="1" applyAlignment="1">
      <alignment vertical="center"/>
    </xf>
    <xf numFmtId="0" fontId="19" fillId="0" borderId="0" xfId="0" applyFont="1" applyAlignment="1"/>
    <xf numFmtId="0" fontId="19" fillId="0" borderId="22" xfId="0" applyFont="1" applyBorder="1" applyAlignment="1"/>
    <xf numFmtId="0" fontId="184" fillId="0" borderId="22" xfId="0" applyFont="1" applyFill="1" applyBorder="1" applyAlignment="1">
      <alignment vertical="center"/>
    </xf>
    <xf numFmtId="0" fontId="76" fillId="0" borderId="22" xfId="2" applyFont="1" applyFill="1" applyBorder="1" applyAlignment="1">
      <alignment horizontal="center" vertical="center" wrapText="1"/>
    </xf>
    <xf numFmtId="0" fontId="19" fillId="0" borderId="0" xfId="0" applyFont="1" applyAlignment="1">
      <alignment horizontal="center" vertical="center"/>
    </xf>
    <xf numFmtId="0" fontId="43" fillId="0" borderId="22" xfId="0" applyFont="1" applyBorder="1" applyAlignment="1">
      <alignment horizontal="center" vertical="center"/>
    </xf>
    <xf numFmtId="0" fontId="203" fillId="16" borderId="0" xfId="0" applyFont="1" applyFill="1" applyBorder="1" applyAlignment="1" applyProtection="1">
      <alignment horizontal="center"/>
    </xf>
    <xf numFmtId="0" fontId="204" fillId="0" borderId="0" xfId="0" applyFont="1" applyAlignment="1" applyProtection="1">
      <alignment horizontal="center"/>
    </xf>
    <xf numFmtId="0" fontId="203" fillId="16" borderId="0" xfId="0" applyFont="1" applyFill="1" applyProtection="1"/>
    <xf numFmtId="0" fontId="203" fillId="16" borderId="0" xfId="0" applyFont="1" applyFill="1" applyBorder="1" applyProtection="1"/>
    <xf numFmtId="0" fontId="204" fillId="16" borderId="0" xfId="0" applyFont="1" applyFill="1" applyAlignment="1" applyProtection="1">
      <alignment horizontal="left"/>
    </xf>
    <xf numFmtId="0" fontId="207" fillId="16" borderId="0" xfId="0" applyFont="1" applyFill="1" applyBorder="1" applyAlignment="1" applyProtection="1">
      <alignment vertical="top"/>
    </xf>
    <xf numFmtId="0" fontId="204" fillId="0" borderId="0" xfId="0" applyFont="1" applyProtection="1"/>
    <xf numFmtId="0" fontId="204" fillId="16" borderId="0" xfId="0" applyFont="1" applyFill="1" applyProtection="1"/>
    <xf numFmtId="0" fontId="205" fillId="16" borderId="0" xfId="0" applyFont="1" applyFill="1" applyBorder="1" applyAlignment="1" applyProtection="1">
      <alignment vertical="center"/>
    </xf>
    <xf numFmtId="0" fontId="164" fillId="16" borderId="0" xfId="0" applyFont="1" applyFill="1" applyBorder="1" applyAlignment="1" applyProtection="1"/>
    <xf numFmtId="0" fontId="204" fillId="16" borderId="0" xfId="0" applyFont="1" applyFill="1" applyAlignment="1" applyProtection="1"/>
    <xf numFmtId="0" fontId="204" fillId="0" borderId="0" xfId="0" applyFont="1" applyAlignment="1" applyProtection="1"/>
    <xf numFmtId="0" fontId="203" fillId="16" borderId="0" xfId="0" applyFont="1" applyFill="1" applyAlignment="1" applyProtection="1">
      <alignment horizontal="center" vertical="top"/>
    </xf>
    <xf numFmtId="0" fontId="204" fillId="0" borderId="0" xfId="0" applyFont="1" applyAlignment="1" applyProtection="1">
      <alignment vertical="top"/>
    </xf>
    <xf numFmtId="0" fontId="164" fillId="16" borderId="0" xfId="0" applyFont="1" applyFill="1" applyProtection="1"/>
    <xf numFmtId="0" fontId="164" fillId="16" borderId="0" xfId="0" applyFont="1" applyFill="1" applyAlignment="1" applyProtection="1">
      <alignment horizontal="left"/>
    </xf>
    <xf numFmtId="0" fontId="204" fillId="0" borderId="0" xfId="0" applyFont="1" applyAlignment="1" applyProtection="1">
      <alignment horizontal="left"/>
    </xf>
    <xf numFmtId="0" fontId="71" fillId="0" borderId="318" xfId="0" applyFont="1" applyBorder="1" applyAlignment="1" applyProtection="1">
      <alignment vertical="center"/>
    </xf>
    <xf numFmtId="0" fontId="71" fillId="0" borderId="319" xfId="0" applyFont="1" applyBorder="1" applyAlignment="1" applyProtection="1">
      <alignment vertical="center"/>
    </xf>
    <xf numFmtId="0" fontId="227" fillId="0" borderId="29" xfId="0" applyFont="1" applyBorder="1" applyAlignment="1" applyProtection="1">
      <alignment horizontal="center" vertical="center"/>
      <protection locked="0"/>
    </xf>
    <xf numFmtId="0" fontId="228" fillId="2" borderId="0" xfId="0" applyFont="1" applyFill="1" applyAlignment="1" applyProtection="1">
      <alignment horizontal="center"/>
    </xf>
    <xf numFmtId="0" fontId="228" fillId="2" borderId="0" xfId="0" applyFont="1" applyFill="1" applyAlignment="1" applyProtection="1">
      <alignment vertical="top"/>
    </xf>
    <xf numFmtId="0" fontId="229" fillId="2" borderId="0" xfId="0" applyFont="1" applyFill="1" applyAlignment="1" applyProtection="1">
      <alignment horizontal="center" vertical="top"/>
    </xf>
    <xf numFmtId="0" fontId="228" fillId="16" borderId="0" xfId="0" applyFont="1" applyFill="1" applyAlignment="1" applyProtection="1">
      <alignment horizontal="center"/>
    </xf>
    <xf numFmtId="0" fontId="22" fillId="16" borderId="0" xfId="0" applyFont="1" applyFill="1" applyAlignment="1" applyProtection="1">
      <alignment horizontal="right"/>
    </xf>
    <xf numFmtId="0" fontId="14" fillId="2" borderId="0" xfId="0" applyFont="1" applyFill="1" applyProtection="1"/>
    <xf numFmtId="0" fontId="39" fillId="2" borderId="0" xfId="0" applyFont="1" applyFill="1" applyAlignment="1" applyProtection="1"/>
    <xf numFmtId="0" fontId="39" fillId="2" borderId="0" xfId="0" applyFont="1" applyFill="1" applyAlignment="1" applyProtection="1">
      <alignment horizontal="center"/>
    </xf>
    <xf numFmtId="0" fontId="39" fillId="16" borderId="0" xfId="0" applyFont="1" applyFill="1" applyAlignment="1" applyProtection="1">
      <alignment horizontal="center"/>
    </xf>
    <xf numFmtId="0" fontId="230" fillId="2" borderId="0" xfId="0" applyFont="1" applyFill="1" applyAlignment="1" applyProtection="1">
      <alignment vertical="center"/>
    </xf>
    <xf numFmtId="0" fontId="231" fillId="16" borderId="0" xfId="0" applyFont="1" applyFill="1" applyBorder="1" applyAlignment="1" applyProtection="1">
      <alignment horizontal="center"/>
    </xf>
    <xf numFmtId="0" fontId="22" fillId="16" borderId="0" xfId="0" applyFont="1" applyFill="1" applyBorder="1" applyAlignment="1" applyProtection="1">
      <alignment horizontal="right"/>
    </xf>
    <xf numFmtId="0" fontId="39" fillId="2" borderId="0" xfId="0" applyFont="1" applyFill="1" applyAlignment="1" applyProtection="1">
      <alignment vertical="center"/>
    </xf>
    <xf numFmtId="0" fontId="22" fillId="2" borderId="0" xfId="0" applyFont="1" applyFill="1" applyAlignment="1" applyProtection="1">
      <alignment vertical="center"/>
    </xf>
    <xf numFmtId="0" fontId="22" fillId="2" borderId="0" xfId="0" applyFont="1" applyFill="1" applyAlignment="1" applyProtection="1">
      <alignment horizontal="right" vertical="center"/>
    </xf>
    <xf numFmtId="0" fontId="232" fillId="2" borderId="0" xfId="0" applyFont="1" applyFill="1" applyBorder="1" applyAlignment="1" applyProtection="1">
      <alignment vertical="center"/>
    </xf>
    <xf numFmtId="0" fontId="43" fillId="2" borderId="0" xfId="0" applyFont="1" applyFill="1" applyBorder="1" applyAlignment="1" applyProtection="1">
      <alignment vertical="center"/>
    </xf>
    <xf numFmtId="49" fontId="22" fillId="2" borderId="0" xfId="0" applyNumberFormat="1" applyFont="1" applyFill="1" applyBorder="1" applyAlignment="1" applyProtection="1">
      <alignment horizontal="right"/>
    </xf>
    <xf numFmtId="0" fontId="14" fillId="2" borderId="0" xfId="0" applyFont="1" applyFill="1" applyBorder="1" applyAlignment="1" applyProtection="1">
      <alignment horizontal="center"/>
    </xf>
    <xf numFmtId="0" fontId="14" fillId="2" borderId="0" xfId="0" applyFont="1" applyFill="1" applyAlignment="1" applyProtection="1"/>
    <xf numFmtId="0" fontId="6" fillId="2" borderId="0" xfId="0" applyFont="1" applyFill="1" applyAlignment="1" applyProtection="1">
      <alignment horizontal="center" vertical="center"/>
    </xf>
    <xf numFmtId="0" fontId="14" fillId="2" borderId="0" xfId="0" applyFont="1" applyFill="1" applyAlignment="1" applyProtection="1">
      <alignment vertical="center"/>
    </xf>
    <xf numFmtId="0" fontId="14" fillId="2" borderId="0" xfId="0" applyFont="1" applyFill="1" applyBorder="1" applyAlignment="1" applyProtection="1">
      <alignment horizontal="center" vertical="center"/>
    </xf>
    <xf numFmtId="0" fontId="14" fillId="2" borderId="0" xfId="0" applyFont="1" applyFill="1" applyAlignment="1" applyProtection="1">
      <alignment horizontal="left" vertical="center"/>
    </xf>
    <xf numFmtId="0" fontId="47" fillId="2" borderId="0" xfId="0" applyFont="1" applyFill="1" applyBorder="1" applyAlignment="1" applyProtection="1">
      <alignment horizontal="center" vertical="center"/>
    </xf>
    <xf numFmtId="0" fontId="47" fillId="2" borderId="0" xfId="0" applyFont="1" applyFill="1" applyAlignment="1" applyProtection="1">
      <alignment vertical="center"/>
    </xf>
    <xf numFmtId="0" fontId="26" fillId="2" borderId="0" xfId="0" applyFont="1" applyFill="1" applyBorder="1" applyAlignment="1" applyProtection="1">
      <alignment horizontal="center" vertical="center"/>
    </xf>
    <xf numFmtId="0" fontId="26" fillId="2" borderId="0" xfId="0" applyFont="1" applyFill="1" applyBorder="1" applyAlignment="1" applyProtection="1">
      <alignment vertical="center"/>
    </xf>
    <xf numFmtId="1" fontId="43" fillId="2" borderId="89" xfId="0" applyNumberFormat="1" applyFont="1" applyFill="1" applyBorder="1" applyAlignment="1" applyProtection="1">
      <alignment vertical="center"/>
    </xf>
    <xf numFmtId="0" fontId="14" fillId="0" borderId="0" xfId="0" applyFont="1" applyFill="1" applyProtection="1"/>
    <xf numFmtId="0" fontId="229" fillId="2" borderId="0" xfId="0" applyFont="1" applyFill="1" applyAlignment="1" applyProtection="1">
      <alignment horizontal="center" vertical="center"/>
    </xf>
    <xf numFmtId="0" fontId="22" fillId="2" borderId="0" xfId="0" applyFont="1" applyFill="1" applyAlignment="1" applyProtection="1">
      <alignment horizontal="right"/>
    </xf>
    <xf numFmtId="0" fontId="231" fillId="2" borderId="0" xfId="0" applyFont="1" applyFill="1" applyBorder="1" applyAlignment="1" applyProtection="1">
      <alignment horizontal="center"/>
    </xf>
    <xf numFmtId="0" fontId="22" fillId="2" borderId="0" xfId="0" applyFont="1" applyFill="1" applyBorder="1" applyAlignment="1" applyProtection="1"/>
    <xf numFmtId="0" fontId="22" fillId="2" borderId="0" xfId="0" applyFont="1" applyFill="1" applyAlignment="1" applyProtection="1">
      <alignment horizontal="left" vertical="center"/>
    </xf>
    <xf numFmtId="0" fontId="232" fillId="2" borderId="86" xfId="0" applyFont="1" applyFill="1" applyBorder="1" applyAlignment="1" applyProtection="1">
      <alignment vertical="center"/>
    </xf>
    <xf numFmtId="0" fontId="43" fillId="2" borderId="86" xfId="0" applyFont="1" applyFill="1" applyBorder="1" applyAlignment="1" applyProtection="1">
      <alignment vertical="center"/>
    </xf>
    <xf numFmtId="49" fontId="22" fillId="2" borderId="0" xfId="0" applyNumberFormat="1" applyFont="1" applyFill="1" applyBorder="1" applyAlignment="1" applyProtection="1">
      <alignment horizontal="right" vertical="center"/>
    </xf>
    <xf numFmtId="0" fontId="22" fillId="0" borderId="0" xfId="0" applyFont="1" applyBorder="1" applyAlignment="1" applyProtection="1">
      <alignment vertical="center"/>
    </xf>
    <xf numFmtId="0" fontId="6" fillId="0" borderId="0" xfId="0" applyFont="1" applyAlignment="1" applyProtection="1">
      <alignment vertical="center"/>
    </xf>
    <xf numFmtId="0" fontId="14" fillId="0" borderId="0" xfId="0" applyFont="1" applyAlignment="1" applyProtection="1">
      <alignment vertical="center"/>
    </xf>
    <xf numFmtId="0" fontId="22" fillId="0" borderId="0" xfId="0" applyFont="1" applyFill="1" applyBorder="1" applyAlignment="1" applyProtection="1">
      <alignment horizontal="center" vertical="center" wrapText="1"/>
    </xf>
    <xf numFmtId="0" fontId="43" fillId="0" borderId="0" xfId="0" applyFont="1" applyProtection="1"/>
    <xf numFmtId="0" fontId="43" fillId="0" borderId="0" xfId="0" applyFont="1" applyAlignment="1" applyProtection="1">
      <alignment vertical="center"/>
    </xf>
    <xf numFmtId="0" fontId="43" fillId="2" borderId="0" xfId="0" applyFont="1" applyFill="1" applyBorder="1" applyAlignment="1" applyProtection="1">
      <alignment horizontal="left" vertical="center"/>
    </xf>
    <xf numFmtId="0" fontId="43" fillId="0" borderId="0" xfId="0" applyFont="1" applyAlignment="1" applyProtection="1">
      <alignment horizontal="center" vertical="center"/>
    </xf>
    <xf numFmtId="0" fontId="14" fillId="2" borderId="0" xfId="0" applyFont="1" applyFill="1" applyBorder="1" applyAlignment="1" applyProtection="1">
      <alignment vertical="center"/>
    </xf>
    <xf numFmtId="0" fontId="26" fillId="0" borderId="0" xfId="0" applyFont="1" applyAlignment="1" applyProtection="1">
      <alignment vertical="center"/>
    </xf>
    <xf numFmtId="0" fontId="43" fillId="0" borderId="0" xfId="0" applyFont="1" applyFill="1" applyProtection="1"/>
    <xf numFmtId="0" fontId="43" fillId="23" borderId="0" xfId="0" applyFont="1" applyFill="1" applyProtection="1"/>
    <xf numFmtId="0" fontId="43" fillId="2" borderId="48" xfId="0" applyFont="1" applyFill="1" applyBorder="1" applyAlignment="1" applyProtection="1">
      <alignment vertical="center"/>
    </xf>
    <xf numFmtId="0" fontId="43" fillId="2" borderId="49" xfId="0" applyFont="1" applyFill="1" applyBorder="1" applyAlignment="1" applyProtection="1">
      <alignment vertical="center"/>
    </xf>
    <xf numFmtId="0" fontId="43" fillId="2" borderId="0" xfId="0" applyFont="1" applyFill="1" applyBorder="1" applyAlignment="1" applyProtection="1"/>
    <xf numFmtId="0" fontId="43" fillId="2" borderId="86" xfId="0" applyFont="1" applyFill="1" applyBorder="1" applyAlignment="1" applyProtection="1"/>
    <xf numFmtId="0" fontId="22" fillId="0" borderId="305" xfId="0" applyFont="1" applyFill="1" applyBorder="1" applyAlignment="1" applyProtection="1">
      <alignment vertical="center"/>
    </xf>
    <xf numFmtId="0" fontId="22" fillId="0" borderId="263" xfId="0" applyFont="1" applyFill="1" applyBorder="1" applyAlignment="1" applyProtection="1">
      <alignment vertical="center"/>
    </xf>
    <xf numFmtId="0" fontId="22" fillId="0" borderId="313" xfId="0" applyFont="1" applyFill="1" applyBorder="1" applyAlignment="1" applyProtection="1">
      <alignment vertical="center"/>
    </xf>
    <xf numFmtId="0" fontId="43" fillId="2" borderId="0" xfId="0" applyFont="1" applyFill="1" applyAlignment="1" applyProtection="1">
      <alignment horizontal="center" vertical="center"/>
    </xf>
    <xf numFmtId="0" fontId="14" fillId="0" borderId="0" xfId="0" applyFont="1" applyAlignment="1" applyProtection="1">
      <alignment horizontal="center"/>
    </xf>
    <xf numFmtId="0" fontId="6" fillId="16" borderId="0" xfId="0" applyFont="1" applyFill="1" applyAlignment="1" applyProtection="1">
      <alignment horizontal="center" vertical="center"/>
    </xf>
    <xf numFmtId="0" fontId="14" fillId="16" borderId="0" xfId="0" applyFont="1" applyFill="1" applyAlignment="1" applyProtection="1">
      <alignment vertical="center"/>
    </xf>
    <xf numFmtId="0" fontId="14" fillId="16" borderId="0" xfId="0" applyFont="1" applyFill="1" applyBorder="1" applyAlignment="1" applyProtection="1">
      <alignment horizontal="left" vertical="center"/>
    </xf>
    <xf numFmtId="0" fontId="14" fillId="16" borderId="0" xfId="0" applyFont="1" applyFill="1" applyBorder="1" applyAlignment="1" applyProtection="1">
      <alignment horizontal="center" vertical="center"/>
    </xf>
    <xf numFmtId="0" fontId="14" fillId="16" borderId="0" xfId="0" applyFont="1" applyFill="1" applyAlignment="1" applyProtection="1">
      <alignment horizontal="left" vertical="center"/>
    </xf>
    <xf numFmtId="0" fontId="0" fillId="2" borderId="0" xfId="0" applyFill="1" applyAlignment="1" applyProtection="1">
      <alignment vertical="center"/>
    </xf>
    <xf numFmtId="0" fontId="0" fillId="0" borderId="0" xfId="0" applyAlignment="1" applyProtection="1">
      <alignment horizontal="center" vertical="center"/>
    </xf>
    <xf numFmtId="0" fontId="0" fillId="2" borderId="205" xfId="0" applyFill="1" applyBorder="1" applyAlignment="1" applyProtection="1">
      <alignment vertical="center"/>
    </xf>
    <xf numFmtId="0" fontId="0" fillId="2" borderId="206" xfId="0" applyFill="1" applyBorder="1" applyAlignment="1" applyProtection="1">
      <alignment vertical="center"/>
    </xf>
    <xf numFmtId="0" fontId="0" fillId="2" borderId="207" xfId="0" applyFill="1" applyBorder="1" applyAlignment="1" applyProtection="1">
      <alignment vertical="center"/>
    </xf>
    <xf numFmtId="0" fontId="0" fillId="2" borderId="208" xfId="0" applyFill="1" applyBorder="1" applyAlignment="1" applyProtection="1">
      <alignment vertical="center"/>
    </xf>
    <xf numFmtId="0" fontId="0" fillId="2" borderId="0" xfId="0" applyFill="1" applyBorder="1" applyAlignment="1" applyProtection="1">
      <alignment vertical="center"/>
    </xf>
    <xf numFmtId="0" fontId="0" fillId="2" borderId="131" xfId="0" applyFill="1" applyBorder="1" applyAlignment="1" applyProtection="1">
      <alignment vertical="center"/>
    </xf>
    <xf numFmtId="0" fontId="15" fillId="2" borderId="0" xfId="0" applyFont="1" applyFill="1" applyBorder="1" applyAlignment="1" applyProtection="1">
      <alignment vertical="center"/>
    </xf>
    <xf numFmtId="0" fontId="0" fillId="2" borderId="0" xfId="0" applyFill="1" applyBorder="1" applyAlignment="1" applyProtection="1">
      <alignment horizontal="left" vertical="center"/>
    </xf>
    <xf numFmtId="0" fontId="43" fillId="2" borderId="131" xfId="0" applyFont="1" applyFill="1" applyBorder="1" applyAlignment="1" applyProtection="1">
      <alignment horizontal="center" vertical="center"/>
    </xf>
    <xf numFmtId="0" fontId="22" fillId="2" borderId="163" xfId="0" applyFont="1" applyFill="1" applyBorder="1" applyAlignment="1" applyProtection="1">
      <alignment horizontal="center" vertical="center"/>
    </xf>
    <xf numFmtId="0" fontId="0" fillId="2" borderId="209" xfId="0" applyFill="1" applyBorder="1" applyAlignment="1" applyProtection="1">
      <alignment vertical="center"/>
    </xf>
    <xf numFmtId="0" fontId="0" fillId="2" borderId="210" xfId="0" applyFill="1" applyBorder="1" applyAlignment="1" applyProtection="1">
      <alignment vertical="center"/>
    </xf>
    <xf numFmtId="0" fontId="0" fillId="2" borderId="211" xfId="0" applyFill="1" applyBorder="1" applyAlignment="1" applyProtection="1">
      <alignment vertical="center"/>
    </xf>
    <xf numFmtId="0" fontId="22" fillId="2" borderId="324" xfId="0" applyFont="1" applyFill="1" applyBorder="1" applyAlignment="1" applyProtection="1">
      <alignment horizontal="center" vertical="center"/>
    </xf>
    <xf numFmtId="0" fontId="6" fillId="0" borderId="0" xfId="0" applyFont="1" applyAlignment="1" applyProtection="1">
      <alignment horizontal="center" vertical="center"/>
    </xf>
    <xf numFmtId="0" fontId="43" fillId="2" borderId="336" xfId="0" applyFont="1" applyFill="1" applyBorder="1" applyAlignment="1" applyProtection="1">
      <alignment horizontal="center" vertical="center"/>
    </xf>
    <xf numFmtId="0" fontId="43" fillId="2" borderId="146" xfId="0" applyFont="1" applyFill="1" applyBorder="1" applyAlignment="1" applyProtection="1">
      <alignment horizontal="center" vertical="center"/>
    </xf>
    <xf numFmtId="0" fontId="43" fillId="2" borderId="337" xfId="0" applyFont="1" applyFill="1" applyBorder="1" applyAlignment="1" applyProtection="1">
      <alignment horizontal="center" vertical="center"/>
    </xf>
    <xf numFmtId="0" fontId="43" fillId="2" borderId="92" xfId="0" applyFont="1" applyFill="1" applyBorder="1" applyAlignment="1" applyProtection="1">
      <alignment horizontal="center" vertical="center"/>
    </xf>
    <xf numFmtId="0" fontId="43" fillId="2" borderId="338" xfId="0" applyFont="1" applyFill="1" applyBorder="1" applyAlignment="1" applyProtection="1">
      <alignment horizontal="center" vertical="center"/>
    </xf>
    <xf numFmtId="0" fontId="27" fillId="2" borderId="336" xfId="0" applyFont="1" applyFill="1" applyBorder="1" applyAlignment="1" applyProtection="1">
      <alignment horizontal="center" vertical="center"/>
    </xf>
    <xf numFmtId="0" fontId="27" fillId="2" borderId="146" xfId="0" applyFont="1" applyFill="1" applyBorder="1" applyAlignment="1" applyProtection="1">
      <alignment horizontal="center" vertical="center"/>
    </xf>
    <xf numFmtId="0" fontId="27" fillId="2" borderId="337" xfId="0" applyFont="1" applyFill="1" applyBorder="1" applyAlignment="1" applyProtection="1">
      <alignment horizontal="center" vertical="center"/>
    </xf>
    <xf numFmtId="0" fontId="27" fillId="2" borderId="92" xfId="0" applyFont="1" applyFill="1" applyBorder="1" applyAlignment="1" applyProtection="1">
      <alignment horizontal="center" vertical="center"/>
    </xf>
    <xf numFmtId="0" fontId="27" fillId="2" borderId="338" xfId="0" applyFont="1" applyFill="1" applyBorder="1" applyAlignment="1" applyProtection="1">
      <alignment horizontal="center" vertical="center"/>
    </xf>
    <xf numFmtId="0" fontId="0" fillId="24" borderId="22" xfId="0" applyFill="1" applyBorder="1" applyAlignment="1" applyProtection="1">
      <alignment horizontal="center" vertical="center"/>
    </xf>
    <xf numFmtId="0" fontId="26" fillId="2" borderId="0" xfId="0" applyFont="1" applyFill="1" applyAlignment="1" applyProtection="1">
      <alignment vertical="center"/>
    </xf>
    <xf numFmtId="0" fontId="238" fillId="0" borderId="1" xfId="0" applyFont="1" applyBorder="1" applyProtection="1"/>
    <xf numFmtId="0" fontId="162" fillId="0" borderId="1" xfId="0" applyFont="1" applyBorder="1" applyAlignment="1" applyProtection="1">
      <alignment horizontal="right" vertical="center"/>
    </xf>
    <xf numFmtId="0" fontId="238" fillId="0" borderId="3" xfId="0" applyFont="1" applyBorder="1" applyProtection="1"/>
    <xf numFmtId="0" fontId="174" fillId="0" borderId="3" xfId="0" applyFont="1" applyBorder="1" applyProtection="1"/>
    <xf numFmtId="0" fontId="171" fillId="0" borderId="3" xfId="0" applyFont="1" applyBorder="1" applyProtection="1"/>
    <xf numFmtId="0" fontId="171" fillId="0" borderId="66" xfId="0" applyFont="1" applyBorder="1" applyAlignment="1" applyProtection="1"/>
    <xf numFmtId="0" fontId="133" fillId="0" borderId="345" xfId="0" applyFont="1" applyBorder="1" applyProtection="1"/>
    <xf numFmtId="0" fontId="238" fillId="0" borderId="345" xfId="0" applyFont="1" applyBorder="1" applyProtection="1"/>
    <xf numFmtId="0" fontId="174" fillId="0" borderId="345" xfId="0" applyFont="1" applyBorder="1" applyProtection="1"/>
    <xf numFmtId="0" fontId="171" fillId="0" borderId="345" xfId="0" applyFont="1" applyBorder="1" applyProtection="1"/>
    <xf numFmtId="0" fontId="171" fillId="0" borderId="346" xfId="0" applyFont="1" applyBorder="1" applyProtection="1"/>
    <xf numFmtId="0" fontId="234" fillId="2" borderId="0" xfId="0" applyFont="1" applyFill="1" applyBorder="1" applyAlignment="1" applyProtection="1">
      <alignment horizontal="center" vertical="center"/>
    </xf>
    <xf numFmtId="0" fontId="234" fillId="2" borderId="0" xfId="0" applyFont="1" applyFill="1" applyAlignment="1" applyProtection="1">
      <alignment horizontal="center" vertical="center"/>
    </xf>
    <xf numFmtId="0" fontId="239" fillId="2" borderId="0" xfId="0" applyFont="1" applyFill="1" applyBorder="1" applyAlignment="1" applyProtection="1">
      <alignment horizontal="center" vertical="center"/>
    </xf>
    <xf numFmtId="0" fontId="31" fillId="2" borderId="0" xfId="0" applyFont="1" applyFill="1" applyBorder="1" applyProtection="1"/>
    <xf numFmtId="0" fontId="240" fillId="2" borderId="0" xfId="0" applyFont="1" applyFill="1" applyBorder="1" applyAlignment="1" applyProtection="1">
      <alignment horizontal="left"/>
    </xf>
    <xf numFmtId="0" fontId="240" fillId="2" borderId="0" xfId="0" applyFont="1" applyFill="1" applyBorder="1" applyAlignment="1" applyProtection="1"/>
    <xf numFmtId="0" fontId="240" fillId="2" borderId="0" xfId="0" applyFont="1" applyFill="1" applyBorder="1" applyProtection="1"/>
    <xf numFmtId="49" fontId="240" fillId="2" borderId="0" xfId="0" applyNumberFormat="1" applyFont="1" applyFill="1" applyBorder="1" applyAlignment="1" applyProtection="1">
      <alignment horizontal="center"/>
    </xf>
    <xf numFmtId="0" fontId="14" fillId="0" borderId="14" xfId="0" applyFont="1" applyBorder="1" applyProtection="1"/>
    <xf numFmtId="0" fontId="240" fillId="2" borderId="0" xfId="0" applyFont="1" applyFill="1" applyBorder="1" applyAlignment="1" applyProtection="1">
      <alignment vertical="top"/>
    </xf>
    <xf numFmtId="0" fontId="31" fillId="2" borderId="0" xfId="0" applyFont="1" applyFill="1" applyBorder="1" applyAlignment="1" applyProtection="1">
      <alignment horizontal="left"/>
    </xf>
    <xf numFmtId="0" fontId="239" fillId="2" borderId="0" xfId="0" applyFont="1" applyFill="1" applyAlignment="1" applyProtection="1">
      <alignment horizontal="center" vertical="center"/>
    </xf>
    <xf numFmtId="0" fontId="14" fillId="2" borderId="379" xfId="0" applyFont="1" applyFill="1" applyBorder="1" applyAlignment="1" applyProtection="1">
      <alignment vertical="center"/>
    </xf>
    <xf numFmtId="0" fontId="14" fillId="2" borderId="380" xfId="0" applyFont="1" applyFill="1" applyBorder="1" applyAlignment="1" applyProtection="1">
      <alignment vertical="center"/>
    </xf>
    <xf numFmtId="0" fontId="14" fillId="2" borderId="381" xfId="0" applyFont="1" applyFill="1" applyBorder="1" applyAlignment="1" applyProtection="1">
      <alignment vertical="center"/>
    </xf>
    <xf numFmtId="0" fontId="14" fillId="2" borderId="382" xfId="0" applyFont="1" applyFill="1" applyBorder="1" applyAlignment="1" applyProtection="1">
      <alignment vertical="center"/>
    </xf>
    <xf numFmtId="0" fontId="14" fillId="2" borderId="385" xfId="0" applyFont="1" applyFill="1" applyBorder="1" applyAlignment="1" applyProtection="1">
      <alignment vertical="center"/>
    </xf>
    <xf numFmtId="0" fontId="14" fillId="2" borderId="386" xfId="0" applyFont="1" applyFill="1" applyBorder="1" applyAlignment="1" applyProtection="1">
      <alignment vertical="center"/>
    </xf>
    <xf numFmtId="0" fontId="14" fillId="2" borderId="387" xfId="0" applyFont="1" applyFill="1" applyBorder="1" applyAlignment="1" applyProtection="1">
      <alignment vertical="center"/>
    </xf>
    <xf numFmtId="0" fontId="14" fillId="2" borderId="388" xfId="0" applyFont="1" applyFill="1" applyBorder="1" applyAlignment="1" applyProtection="1">
      <alignment vertical="center"/>
    </xf>
    <xf numFmtId="0" fontId="241" fillId="0" borderId="0" xfId="0" applyFont="1" applyProtection="1"/>
    <xf numFmtId="0" fontId="240" fillId="2" borderId="392" xfId="0" applyFont="1" applyFill="1" applyBorder="1" applyAlignment="1" applyProtection="1">
      <alignment vertical="center"/>
    </xf>
    <xf numFmtId="0" fontId="240" fillId="2" borderId="386" xfId="0" applyFont="1" applyFill="1" applyBorder="1" applyAlignment="1" applyProtection="1">
      <alignment vertical="center"/>
    </xf>
    <xf numFmtId="0" fontId="240" fillId="2" borderId="387" xfId="0" applyFont="1" applyFill="1" applyBorder="1" applyAlignment="1" applyProtection="1">
      <alignment vertical="center"/>
    </xf>
    <xf numFmtId="0" fontId="240" fillId="2" borderId="0" xfId="0" applyFont="1" applyFill="1" applyBorder="1" applyAlignment="1" applyProtection="1">
      <alignment horizontal="center"/>
    </xf>
    <xf numFmtId="0" fontId="14" fillId="0" borderId="405" xfId="0" applyFont="1" applyFill="1" applyBorder="1" applyAlignment="1" applyProtection="1">
      <alignment vertical="center"/>
    </xf>
    <xf numFmtId="0" fontId="14" fillId="0" borderId="406" xfId="0" applyFont="1" applyFill="1" applyBorder="1" applyAlignment="1" applyProtection="1">
      <alignment vertical="center"/>
    </xf>
    <xf numFmtId="0" fontId="14" fillId="0" borderId="391" xfId="0" applyFont="1" applyFill="1" applyBorder="1" applyAlignment="1" applyProtection="1">
      <alignment vertical="center"/>
    </xf>
    <xf numFmtId="0" fontId="14" fillId="0" borderId="394" xfId="0" applyFont="1" applyFill="1" applyBorder="1" applyAlignment="1" applyProtection="1">
      <alignment vertical="center"/>
    </xf>
    <xf numFmtId="0" fontId="31" fillId="0" borderId="407" xfId="0" applyFont="1" applyFill="1" applyBorder="1" applyAlignment="1" applyProtection="1">
      <alignment horizontal="center" vertical="center"/>
    </xf>
    <xf numFmtId="0" fontId="31" fillId="0" borderId="408" xfId="0" applyFont="1" applyFill="1" applyBorder="1" applyAlignment="1" applyProtection="1">
      <alignment horizontal="center" vertical="center"/>
    </xf>
    <xf numFmtId="0" fontId="31" fillId="0" borderId="409" xfId="0" applyFont="1" applyFill="1" applyBorder="1" applyAlignment="1" applyProtection="1">
      <alignment horizontal="center" vertical="center"/>
    </xf>
    <xf numFmtId="0" fontId="31" fillId="0" borderId="410" xfId="0" applyFont="1" applyFill="1" applyBorder="1" applyAlignment="1" applyProtection="1">
      <alignment horizontal="center" vertical="center"/>
    </xf>
    <xf numFmtId="0" fontId="31" fillId="0" borderId="1" xfId="0" applyFont="1" applyFill="1" applyBorder="1" applyAlignment="1" applyProtection="1">
      <alignment horizontal="center" vertical="center"/>
    </xf>
    <xf numFmtId="0" fontId="31" fillId="0" borderId="411" xfId="0" applyFont="1" applyFill="1" applyBorder="1" applyAlignment="1" applyProtection="1">
      <alignment horizontal="center" vertical="center"/>
    </xf>
    <xf numFmtId="0" fontId="31" fillId="0" borderId="412" xfId="0" applyFont="1" applyFill="1" applyBorder="1" applyAlignment="1" applyProtection="1">
      <alignment horizontal="center" vertical="center"/>
    </xf>
    <xf numFmtId="0" fontId="31" fillId="0" borderId="413" xfId="0" applyFont="1" applyFill="1" applyBorder="1" applyAlignment="1" applyProtection="1">
      <alignment horizontal="center" vertical="center"/>
    </xf>
    <xf numFmtId="0" fontId="31" fillId="0" borderId="1" xfId="0" applyFont="1" applyFill="1" applyBorder="1" applyProtection="1"/>
    <xf numFmtId="0" fontId="31" fillId="0" borderId="411" xfId="0" applyFont="1" applyFill="1" applyBorder="1" applyProtection="1"/>
    <xf numFmtId="0" fontId="31" fillId="0" borderId="412" xfId="0" applyFont="1" applyFill="1" applyBorder="1" applyProtection="1"/>
    <xf numFmtId="0" fontId="31" fillId="0" borderId="412" xfId="0" applyFont="1" applyFill="1" applyBorder="1" applyAlignment="1" applyProtection="1">
      <alignment horizontal="left"/>
    </xf>
    <xf numFmtId="0" fontId="31" fillId="0" borderId="413" xfId="0" applyFont="1" applyFill="1" applyBorder="1" applyProtection="1"/>
    <xf numFmtId="0" fontId="240" fillId="0" borderId="411" xfId="0" applyFont="1" applyFill="1" applyBorder="1" applyAlignment="1" applyProtection="1"/>
    <xf numFmtId="0" fontId="240" fillId="0" borderId="412" xfId="0" applyFont="1" applyFill="1" applyBorder="1" applyProtection="1"/>
    <xf numFmtId="0" fontId="240" fillId="0" borderId="413" xfId="0" applyFont="1" applyFill="1" applyBorder="1" applyAlignment="1" applyProtection="1">
      <alignment horizontal="center"/>
    </xf>
    <xf numFmtId="0" fontId="240" fillId="0" borderId="413" xfId="0" applyFont="1" applyFill="1" applyBorder="1" applyProtection="1"/>
    <xf numFmtId="0" fontId="240" fillId="0" borderId="412" xfId="0" applyFont="1" applyFill="1" applyBorder="1" applyAlignment="1" applyProtection="1">
      <alignment horizontal="left"/>
    </xf>
    <xf numFmtId="0" fontId="14" fillId="0" borderId="405" xfId="0" applyFont="1" applyFill="1" applyBorder="1" applyAlignment="1" applyProtection="1">
      <alignment horizontal="center" vertical="center"/>
    </xf>
    <xf numFmtId="0" fontId="14" fillId="0" borderId="406" xfId="0" applyFont="1" applyFill="1" applyBorder="1" applyAlignment="1" applyProtection="1">
      <alignment horizontal="center" vertical="center"/>
    </xf>
    <xf numFmtId="0" fontId="14" fillId="0" borderId="391" xfId="0" applyFont="1" applyFill="1" applyBorder="1" applyAlignment="1" applyProtection="1">
      <alignment horizontal="center" vertical="center"/>
    </xf>
    <xf numFmtId="0" fontId="14" fillId="0" borderId="394" xfId="0" applyFont="1" applyFill="1" applyBorder="1" applyAlignment="1" applyProtection="1">
      <alignment horizontal="center" vertical="center"/>
    </xf>
    <xf numFmtId="0" fontId="14" fillId="0" borderId="394" xfId="0" applyFont="1" applyFill="1" applyBorder="1" applyProtection="1"/>
    <xf numFmtId="0" fontId="31" fillId="0" borderId="394" xfId="0" applyFont="1" applyFill="1" applyBorder="1" applyAlignment="1" applyProtection="1">
      <alignment vertical="center"/>
    </xf>
    <xf numFmtId="0" fontId="31" fillId="0" borderId="406" xfId="0" applyFont="1" applyFill="1" applyBorder="1" applyAlignment="1" applyProtection="1">
      <alignment horizontal="center" vertical="center"/>
    </xf>
    <xf numFmtId="0" fontId="31" fillId="0" borderId="394" xfId="0" applyFont="1" applyFill="1" applyBorder="1" applyProtection="1"/>
    <xf numFmtId="0" fontId="31" fillId="0" borderId="394" xfId="0" applyFont="1" applyFill="1" applyBorder="1" applyAlignment="1" applyProtection="1">
      <alignment horizontal="left"/>
    </xf>
    <xf numFmtId="0" fontId="240" fillId="0" borderId="415" xfId="0" applyFont="1" applyFill="1" applyBorder="1" applyAlignment="1" applyProtection="1"/>
    <xf numFmtId="0" fontId="240" fillId="0" borderId="394" xfId="0" applyFont="1" applyFill="1" applyBorder="1" applyProtection="1"/>
    <xf numFmtId="0" fontId="240" fillId="0" borderId="394" xfId="0" applyFont="1" applyFill="1" applyBorder="1" applyAlignment="1" applyProtection="1">
      <alignment horizontal="left"/>
    </xf>
    <xf numFmtId="0" fontId="240" fillId="0" borderId="394" xfId="0" applyFont="1" applyFill="1" applyBorder="1" applyAlignment="1" applyProtection="1">
      <alignment vertical="center"/>
    </xf>
    <xf numFmtId="0" fontId="31" fillId="0" borderId="1" xfId="0" applyFont="1" applyFill="1" applyBorder="1" applyAlignment="1" applyProtection="1">
      <alignment horizontal="left"/>
    </xf>
    <xf numFmtId="0" fontId="240" fillId="0" borderId="6" xfId="0" applyFont="1" applyFill="1" applyBorder="1" applyAlignment="1" applyProtection="1"/>
    <xf numFmtId="0" fontId="240" fillId="0" borderId="1" xfId="0" applyFont="1" applyFill="1" applyBorder="1" applyProtection="1"/>
    <xf numFmtId="0" fontId="240" fillId="0" borderId="1" xfId="0" applyFont="1" applyFill="1" applyBorder="1" applyAlignment="1" applyProtection="1">
      <alignment horizontal="center"/>
    </xf>
    <xf numFmtId="0" fontId="240" fillId="0" borderId="14" xfId="0" applyFont="1" applyFill="1" applyBorder="1" applyAlignment="1" applyProtection="1"/>
    <xf numFmtId="0" fontId="240" fillId="0" borderId="1" xfId="0" applyFont="1" applyFill="1" applyBorder="1" applyAlignment="1" applyProtection="1">
      <alignment horizontal="left"/>
    </xf>
    <xf numFmtId="0" fontId="243" fillId="0" borderId="1" xfId="0" applyFont="1" applyFill="1" applyBorder="1" applyAlignment="1" applyProtection="1">
      <alignment horizontal="center" vertical="center"/>
    </xf>
    <xf numFmtId="0" fontId="14" fillId="2" borderId="405" xfId="0" applyFont="1" applyFill="1" applyBorder="1" applyAlignment="1" applyProtection="1">
      <alignment horizontal="center" vertical="center"/>
    </xf>
    <xf numFmtId="0" fontId="14" fillId="2" borderId="406" xfId="0" applyFont="1" applyFill="1" applyBorder="1" applyAlignment="1" applyProtection="1">
      <alignment horizontal="center" vertical="center"/>
    </xf>
    <xf numFmtId="0" fontId="14" fillId="2" borderId="391" xfId="0" applyFont="1" applyFill="1" applyBorder="1" applyAlignment="1" applyProtection="1">
      <alignment horizontal="center" vertical="center"/>
    </xf>
    <xf numFmtId="0" fontId="14" fillId="2" borderId="394" xfId="0" applyFont="1" applyFill="1" applyBorder="1" applyAlignment="1" applyProtection="1">
      <alignment horizontal="center" vertical="center"/>
    </xf>
    <xf numFmtId="0" fontId="244" fillId="0" borderId="6" xfId="0" applyFont="1" applyBorder="1" applyAlignment="1" applyProtection="1">
      <alignment horizontal="center" vertical="center"/>
    </xf>
    <xf numFmtId="0" fontId="14" fillId="0" borderId="5" xfId="0" applyFont="1" applyBorder="1" applyProtection="1"/>
    <xf numFmtId="0" fontId="244" fillId="0" borderId="14" xfId="0" applyFont="1" applyBorder="1" applyAlignment="1" applyProtection="1">
      <alignment horizontal="center" vertical="center"/>
    </xf>
    <xf numFmtId="0" fontId="6" fillId="0" borderId="14" xfId="0" applyFont="1" applyBorder="1" applyProtection="1"/>
    <xf numFmtId="0" fontId="246" fillId="0" borderId="62" xfId="0" applyFont="1" applyBorder="1" applyAlignment="1" applyProtection="1">
      <alignment horizontal="center" vertical="center"/>
    </xf>
    <xf numFmtId="0" fontId="174" fillId="0" borderId="37" xfId="0" applyFont="1" applyBorder="1" applyAlignment="1" applyProtection="1">
      <alignment horizontal="center" vertical="center"/>
    </xf>
    <xf numFmtId="0" fontId="14" fillId="0" borderId="37" xfId="0" applyFont="1" applyBorder="1" applyAlignment="1" applyProtection="1">
      <alignment horizontal="center" vertical="center"/>
    </xf>
    <xf numFmtId="0" fontId="14" fillId="0" borderId="436" xfId="0" applyFont="1" applyBorder="1" applyAlignment="1" applyProtection="1">
      <alignment horizontal="center" vertical="center"/>
    </xf>
    <xf numFmtId="0" fontId="246" fillId="0" borderId="128" xfId="0" applyFont="1" applyBorder="1" applyAlignment="1" applyProtection="1">
      <alignment horizontal="center" vertical="center"/>
    </xf>
    <xf numFmtId="0" fontId="248" fillId="0" borderId="62" xfId="0" applyFont="1" applyBorder="1" applyAlignment="1" applyProtection="1">
      <alignment horizontal="center" vertical="center"/>
    </xf>
    <xf numFmtId="0" fontId="247" fillId="0" borderId="436" xfId="0" applyFont="1" applyBorder="1" applyAlignment="1" applyProtection="1">
      <alignment horizontal="center" vertical="center"/>
    </xf>
    <xf numFmtId="0" fontId="248" fillId="0" borderId="128" xfId="0" applyFont="1" applyBorder="1" applyAlignment="1" applyProtection="1">
      <alignment horizontal="center" vertical="center"/>
    </xf>
    <xf numFmtId="0" fontId="249" fillId="0" borderId="436" xfId="0" applyFont="1" applyBorder="1" applyAlignment="1" applyProtection="1">
      <alignment horizontal="center" vertical="center"/>
    </xf>
    <xf numFmtId="0" fontId="241" fillId="0" borderId="14" xfId="0" applyFont="1" applyBorder="1" applyAlignment="1" applyProtection="1">
      <alignment horizontal="center" vertical="center"/>
    </xf>
    <xf numFmtId="0" fontId="241" fillId="0" borderId="0" xfId="0" applyFont="1" applyAlignment="1" applyProtection="1">
      <alignment horizontal="center" vertical="center"/>
    </xf>
    <xf numFmtId="0" fontId="26" fillId="22" borderId="453" xfId="0" applyFont="1" applyFill="1" applyBorder="1" applyAlignment="1" applyProtection="1">
      <alignment horizontal="center" wrapText="1"/>
    </xf>
    <xf numFmtId="0" fontId="26" fillId="22" borderId="454" xfId="0" applyFont="1" applyFill="1" applyBorder="1" applyAlignment="1" applyProtection="1">
      <alignment horizontal="center" vertical="top" wrapText="1"/>
    </xf>
    <xf numFmtId="0" fontId="234" fillId="2" borderId="0" xfId="0" applyFont="1" applyFill="1" applyBorder="1" applyAlignment="1" applyProtection="1">
      <alignment horizontal="left" vertical="center"/>
    </xf>
    <xf numFmtId="0" fontId="131" fillId="16" borderId="0" xfId="0" applyFont="1" applyFill="1" applyBorder="1" applyAlignment="1" applyProtection="1">
      <alignment vertical="top"/>
    </xf>
    <xf numFmtId="49" fontId="131" fillId="2" borderId="0" xfId="0" applyNumberFormat="1" applyFont="1" applyFill="1" applyBorder="1" applyAlignment="1" applyProtection="1">
      <alignment horizontal="left"/>
    </xf>
    <xf numFmtId="0" fontId="0" fillId="2" borderId="208" xfId="0" applyFill="1" applyBorder="1" applyAlignment="1" applyProtection="1"/>
    <xf numFmtId="0" fontId="0" fillId="2" borderId="0" xfId="0" applyFill="1" applyBorder="1" applyAlignment="1" applyProtection="1"/>
    <xf numFmtId="0" fontId="0" fillId="2" borderId="131" xfId="0" applyFill="1" applyBorder="1" applyAlignment="1" applyProtection="1"/>
    <xf numFmtId="0" fontId="15" fillId="2" borderId="0" xfId="0" applyFont="1" applyFill="1" applyBorder="1" applyAlignment="1" applyProtection="1"/>
    <xf numFmtId="0" fontId="0" fillId="2" borderId="0" xfId="0" applyFill="1" applyBorder="1" applyAlignment="1" applyProtection="1">
      <alignment horizontal="left"/>
    </xf>
    <xf numFmtId="0" fontId="14" fillId="2" borderId="208" xfId="0" applyFont="1" applyFill="1" applyBorder="1" applyAlignment="1" applyProtection="1"/>
    <xf numFmtId="0" fontId="14" fillId="2" borderId="208" xfId="0" applyFont="1" applyFill="1" applyBorder="1" applyAlignment="1" applyProtection="1">
      <alignment vertical="center"/>
    </xf>
    <xf numFmtId="1" fontId="43" fillId="2" borderId="0" xfId="0" applyNumberFormat="1" applyFont="1" applyFill="1" applyBorder="1" applyAlignment="1" applyProtection="1">
      <alignment vertical="center"/>
    </xf>
    <xf numFmtId="0" fontId="234" fillId="2" borderId="0" xfId="0" applyFont="1" applyFill="1" applyAlignment="1" applyProtection="1">
      <alignment vertical="center"/>
    </xf>
    <xf numFmtId="0" fontId="234" fillId="2" borderId="0" xfId="0" applyFont="1" applyFill="1" applyBorder="1" applyAlignment="1" applyProtection="1">
      <alignment vertical="center"/>
    </xf>
    <xf numFmtId="0" fontId="254" fillId="0" borderId="0" xfId="0" applyFont="1" applyAlignment="1" applyProtection="1">
      <alignment horizontal="center" vertical="center"/>
    </xf>
    <xf numFmtId="0" fontId="255" fillId="0" borderId="0" xfId="0" applyFont="1" applyAlignment="1" applyProtection="1">
      <alignment horizontal="center" vertical="center"/>
    </xf>
    <xf numFmtId="0" fontId="256" fillId="16" borderId="0" xfId="0" applyFont="1" applyFill="1" applyAlignment="1" applyProtection="1">
      <alignment horizontal="center" vertical="center"/>
    </xf>
    <xf numFmtId="0" fontId="257" fillId="16" borderId="0" xfId="0" applyFont="1" applyFill="1" applyAlignment="1" applyProtection="1">
      <alignment horizontal="center" vertical="center"/>
    </xf>
    <xf numFmtId="0" fontId="19" fillId="0" borderId="0" xfId="0" applyFont="1" applyAlignment="1" applyProtection="1">
      <alignment horizontal="left"/>
    </xf>
    <xf numFmtId="0" fontId="165" fillId="0" borderId="22" xfId="0" applyFont="1" applyBorder="1" applyAlignment="1" applyProtection="1">
      <alignment horizontal="center" vertical="center"/>
    </xf>
    <xf numFmtId="0" fontId="165" fillId="0" borderId="91" xfId="0" applyFont="1" applyBorder="1" applyAlignment="1" applyProtection="1">
      <alignment horizontal="center" vertical="center"/>
    </xf>
    <xf numFmtId="0" fontId="165" fillId="0" borderId="92" xfId="0" applyFont="1" applyBorder="1" applyAlignment="1" applyProtection="1">
      <alignment horizontal="center" vertical="center"/>
    </xf>
    <xf numFmtId="0" fontId="261" fillId="0" borderId="0" xfId="0" applyFont="1" applyAlignment="1" applyProtection="1">
      <alignment horizontal="center" vertical="center"/>
    </xf>
    <xf numFmtId="0" fontId="263" fillId="0" borderId="47" xfId="0" applyFont="1" applyBorder="1" applyAlignment="1" applyProtection="1">
      <alignment horizontal="center" vertical="center"/>
    </xf>
    <xf numFmtId="0" fontId="168" fillId="0" borderId="47" xfId="0" applyFont="1" applyBorder="1" applyAlignment="1" applyProtection="1">
      <alignment horizontal="center" vertical="center"/>
    </xf>
    <xf numFmtId="0" fontId="263" fillId="0" borderId="87" xfId="0" applyFont="1" applyBorder="1" applyAlignment="1" applyProtection="1">
      <alignment horizontal="center" vertical="center"/>
    </xf>
    <xf numFmtId="0" fontId="263" fillId="0" borderId="0" xfId="0" applyFont="1" applyBorder="1" applyAlignment="1" applyProtection="1">
      <alignment horizontal="center" vertical="center"/>
    </xf>
    <xf numFmtId="0" fontId="168" fillId="0" borderId="0" xfId="0" applyFont="1" applyBorder="1" applyAlignment="1" applyProtection="1">
      <alignment horizontal="center" vertical="center"/>
    </xf>
    <xf numFmtId="0" fontId="263" fillId="0" borderId="88" xfId="0" applyFont="1" applyBorder="1" applyAlignment="1" applyProtection="1">
      <alignment horizontal="center" vertical="center"/>
    </xf>
    <xf numFmtId="0" fontId="263" fillId="0" borderId="89" xfId="0" applyFont="1" applyBorder="1" applyAlignment="1" applyProtection="1">
      <alignment horizontal="center" vertical="center"/>
    </xf>
    <xf numFmtId="0" fontId="168" fillId="0" borderId="89" xfId="0" applyFont="1" applyBorder="1" applyAlignment="1" applyProtection="1">
      <alignment horizontal="center" vertical="center"/>
    </xf>
    <xf numFmtId="0" fontId="264" fillId="0" borderId="47" xfId="0" applyFont="1" applyBorder="1" applyAlignment="1" applyProtection="1">
      <alignment horizontal="center" vertical="center"/>
    </xf>
    <xf numFmtId="0" fontId="264" fillId="0" borderId="87" xfId="0" applyFont="1" applyBorder="1" applyAlignment="1" applyProtection="1">
      <alignment horizontal="center" vertical="center"/>
    </xf>
    <xf numFmtId="0" fontId="264" fillId="0" borderId="88" xfId="0" applyFont="1" applyBorder="1" applyAlignment="1" applyProtection="1">
      <alignment horizontal="center" vertical="center"/>
    </xf>
    <xf numFmtId="0" fontId="168" fillId="0" borderId="87" xfId="0" applyFont="1" applyBorder="1" applyAlignment="1" applyProtection="1">
      <alignment horizontal="center" vertical="center"/>
    </xf>
    <xf numFmtId="0" fontId="168" fillId="0" borderId="88" xfId="0" applyFont="1" applyBorder="1" applyAlignment="1" applyProtection="1">
      <alignment horizontal="center" vertical="center"/>
    </xf>
    <xf numFmtId="0" fontId="262" fillId="0" borderId="0" xfId="0" applyFont="1" applyAlignment="1" applyProtection="1">
      <alignment horizontal="center" vertical="center"/>
    </xf>
    <xf numFmtId="0" fontId="163" fillId="0" borderId="0" xfId="0" applyFont="1" applyBorder="1" applyAlignment="1" applyProtection="1">
      <alignment horizontal="center" vertical="center"/>
    </xf>
    <xf numFmtId="0" fontId="168" fillId="0" borderId="49" xfId="0" applyFont="1" applyBorder="1" applyAlignment="1" applyProtection="1">
      <alignment horizontal="center" vertical="center"/>
    </xf>
    <xf numFmtId="0" fontId="265" fillId="0" borderId="0" xfId="0" applyFont="1" applyBorder="1" applyAlignment="1" applyProtection="1">
      <alignment horizontal="center" vertical="center"/>
    </xf>
    <xf numFmtId="0" fontId="163" fillId="0" borderId="0" xfId="0" applyFont="1" applyAlignment="1" applyProtection="1">
      <alignment horizontal="center" vertical="center"/>
    </xf>
    <xf numFmtId="0" fontId="168" fillId="0" borderId="91" xfId="0" applyFont="1" applyBorder="1" applyAlignment="1" applyProtection="1">
      <alignment horizontal="center" vertical="center"/>
    </xf>
    <xf numFmtId="0" fontId="263" fillId="0" borderId="85" xfId="0" applyFont="1" applyBorder="1" applyAlignment="1" applyProtection="1">
      <alignment horizontal="center" vertical="center"/>
    </xf>
    <xf numFmtId="0" fontId="168" fillId="0" borderId="90" xfId="0" applyFont="1" applyBorder="1" applyAlignment="1" applyProtection="1">
      <alignment horizontal="center" vertical="center"/>
    </xf>
    <xf numFmtId="0" fontId="168" fillId="0" borderId="92" xfId="0" applyFont="1" applyBorder="1" applyAlignment="1" applyProtection="1">
      <alignment horizontal="center" vertical="center"/>
    </xf>
    <xf numFmtId="0" fontId="263" fillId="0" borderId="0" xfId="0" applyFont="1" applyAlignment="1" applyProtection="1">
      <alignment horizontal="center" vertical="center"/>
    </xf>
    <xf numFmtId="0" fontId="168" fillId="0" borderId="0" xfId="0" applyFont="1" applyAlignment="1" applyProtection="1">
      <alignment horizontal="center" vertical="center"/>
    </xf>
    <xf numFmtId="0" fontId="265" fillId="0" borderId="0" xfId="0" applyFont="1" applyAlignment="1" applyProtection="1">
      <alignment horizontal="center" vertical="center"/>
    </xf>
    <xf numFmtId="0" fontId="168" fillId="0" borderId="0" xfId="0" applyFont="1" applyProtection="1"/>
    <xf numFmtId="0" fontId="266" fillId="3" borderId="83" xfId="0" applyFont="1" applyFill="1" applyBorder="1" applyAlignment="1" applyProtection="1">
      <alignment horizontal="center" vertical="center" wrapText="1"/>
    </xf>
    <xf numFmtId="0" fontId="266" fillId="3" borderId="196" xfId="0" applyFont="1" applyFill="1" applyBorder="1" applyAlignment="1" applyProtection="1">
      <alignment vertical="center"/>
    </xf>
    <xf numFmtId="0" fontId="267" fillId="3" borderId="84" xfId="0" applyFont="1" applyFill="1" applyBorder="1" applyAlignment="1" applyProtection="1">
      <alignment horizontal="center" vertical="center" wrapText="1"/>
    </xf>
    <xf numFmtId="49" fontId="43" fillId="2" borderId="0" xfId="0" applyNumberFormat="1" applyFont="1" applyFill="1" applyBorder="1" applyAlignment="1" applyProtection="1"/>
    <xf numFmtId="0" fontId="14" fillId="0" borderId="0" xfId="0" applyFont="1" applyAlignment="1" applyProtection="1"/>
    <xf numFmtId="0" fontId="43" fillId="2" borderId="47" xfId="0" applyFont="1" applyFill="1" applyBorder="1" applyAlignment="1" applyProtection="1">
      <alignment vertical="center"/>
    </xf>
    <xf numFmtId="0" fontId="31" fillId="0" borderId="260" xfId="0" applyFont="1" applyBorder="1" applyAlignment="1">
      <alignment horizontal="center" vertical="center"/>
    </xf>
    <xf numFmtId="0" fontId="241" fillId="0" borderId="51" xfId="0" applyFont="1" applyBorder="1" applyAlignment="1" applyProtection="1">
      <alignment horizontal="center" vertical="center"/>
    </xf>
    <xf numFmtId="0" fontId="14" fillId="0" borderId="67" xfId="0" applyFont="1" applyBorder="1" applyProtection="1"/>
    <xf numFmtId="0" fontId="14" fillId="0" borderId="53" xfId="0" applyFont="1" applyBorder="1" applyProtection="1"/>
    <xf numFmtId="0" fontId="241" fillId="16" borderId="0" xfId="0" applyFont="1" applyFill="1" applyBorder="1" applyAlignment="1" applyProtection="1">
      <alignment horizontal="center" vertical="center"/>
    </xf>
    <xf numFmtId="0" fontId="14" fillId="16" borderId="0" xfId="0" applyFont="1" applyFill="1" applyBorder="1" applyProtection="1"/>
    <xf numFmtId="0" fontId="240" fillId="16" borderId="0" xfId="0" applyFont="1" applyFill="1" applyBorder="1" applyAlignment="1" applyProtection="1">
      <alignment vertical="center"/>
    </xf>
    <xf numFmtId="0" fontId="260" fillId="16" borderId="0" xfId="0" applyFont="1" applyFill="1" applyBorder="1" applyAlignment="1" applyProtection="1">
      <alignment horizontal="center" vertical="center"/>
    </xf>
    <xf numFmtId="0" fontId="204" fillId="0" borderId="0" xfId="0" applyFont="1" applyAlignment="1" applyProtection="1">
      <alignment horizontal="center" vertical="center"/>
    </xf>
    <xf numFmtId="0" fontId="204" fillId="0" borderId="0" xfId="0" applyFont="1" applyAlignment="1" applyProtection="1">
      <alignment horizontal="right"/>
    </xf>
    <xf numFmtId="0" fontId="204" fillId="0" borderId="0" xfId="0" applyFont="1" applyAlignment="1" applyProtection="1">
      <alignment horizontal="right" vertical="top"/>
    </xf>
    <xf numFmtId="0" fontId="144" fillId="0" borderId="0" xfId="0" applyNumberFormat="1" applyFont="1" applyBorder="1" applyAlignment="1" applyProtection="1">
      <alignment horizontal="center" vertical="center"/>
    </xf>
    <xf numFmtId="0" fontId="140" fillId="0" borderId="0" xfId="0" applyNumberFormat="1" applyFont="1" applyBorder="1" applyAlignment="1" applyProtection="1">
      <alignment horizontal="center" vertical="center"/>
    </xf>
    <xf numFmtId="0" fontId="18" fillId="0" borderId="0" xfId="0" applyNumberFormat="1" applyFont="1" applyBorder="1" applyAlignment="1" applyProtection="1">
      <alignment horizontal="center" vertical="center"/>
    </xf>
    <xf numFmtId="0" fontId="133" fillId="2" borderId="0" xfId="0" applyFont="1" applyFill="1" applyAlignment="1" applyProtection="1">
      <alignment horizontal="center" vertical="center"/>
    </xf>
    <xf numFmtId="0" fontId="164" fillId="16" borderId="0" xfId="0" applyFont="1" applyFill="1" applyAlignment="1" applyProtection="1"/>
    <xf numFmtId="0" fontId="14" fillId="2" borderId="0" xfId="0" applyFont="1" applyFill="1" applyAlignment="1" applyProtection="1">
      <alignment horizontal="center" vertical="center"/>
    </xf>
    <xf numFmtId="0" fontId="232" fillId="16" borderId="0" xfId="0" applyFont="1" applyFill="1" applyBorder="1" applyAlignment="1" applyProtection="1">
      <alignment horizontal="center" vertical="center"/>
    </xf>
    <xf numFmtId="0" fontId="232" fillId="0" borderId="0" xfId="0" applyFont="1" applyAlignment="1" applyProtection="1">
      <alignment horizontal="center" vertical="center"/>
    </xf>
    <xf numFmtId="0" fontId="256" fillId="16" borderId="0" xfId="0" applyFont="1" applyFill="1" applyAlignment="1" applyProtection="1">
      <alignment horizontal="right" vertical="center"/>
    </xf>
    <xf numFmtId="0" fontId="204" fillId="16" borderId="0" xfId="0" applyFont="1" applyFill="1" applyBorder="1" applyAlignment="1" applyProtection="1">
      <alignment vertical="top"/>
    </xf>
    <xf numFmtId="0" fontId="133" fillId="2" borderId="0" xfId="0" applyFont="1" applyFill="1" applyAlignment="1" applyProtection="1">
      <alignment vertical="center"/>
    </xf>
    <xf numFmtId="0" fontId="133" fillId="2" borderId="0" xfId="0" applyFont="1" applyFill="1" applyBorder="1" applyAlignment="1" applyProtection="1">
      <alignment vertical="center"/>
    </xf>
    <xf numFmtId="0" fontId="228" fillId="2" borderId="0" xfId="0" applyFont="1" applyFill="1" applyAlignment="1" applyProtection="1">
      <alignment horizontal="center" vertical="center"/>
    </xf>
    <xf numFmtId="0" fontId="210" fillId="16" borderId="296" xfId="0" applyFont="1" applyFill="1" applyBorder="1" applyAlignment="1" applyProtection="1">
      <alignment horizontal="right"/>
    </xf>
    <xf numFmtId="0" fontId="128" fillId="0" borderId="253" xfId="0" applyFont="1" applyBorder="1" applyAlignment="1" applyProtection="1">
      <alignment horizontal="right" vertical="center"/>
    </xf>
    <xf numFmtId="0" fontId="128" fillId="0" borderId="0" xfId="0" applyFont="1" applyAlignment="1" applyProtection="1">
      <alignment horizontal="right" vertical="center"/>
    </xf>
    <xf numFmtId="0" fontId="191" fillId="16" borderId="0" xfId="0" applyFont="1" applyFill="1" applyBorder="1" applyAlignment="1" applyProtection="1">
      <alignment horizontal="center" vertical="center"/>
    </xf>
    <xf numFmtId="0" fontId="210" fillId="16" borderId="0" xfId="0" applyFont="1" applyFill="1" applyBorder="1" applyAlignment="1" applyProtection="1"/>
    <xf numFmtId="0" fontId="210" fillId="16" borderId="0" xfId="0" applyFont="1" applyFill="1" applyBorder="1" applyAlignment="1" applyProtection="1">
      <alignment horizontal="right"/>
    </xf>
    <xf numFmtId="166" fontId="210" fillId="16" borderId="0" xfId="0" applyNumberFormat="1" applyFont="1" applyFill="1" applyBorder="1" applyAlignment="1" applyProtection="1">
      <alignment horizontal="left"/>
    </xf>
    <xf numFmtId="0" fontId="128" fillId="16" borderId="247" xfId="0" applyFont="1" applyFill="1" applyBorder="1" applyAlignment="1" applyProtection="1">
      <alignment horizontal="right" vertical="center"/>
    </xf>
    <xf numFmtId="0" fontId="128" fillId="16" borderId="312" xfId="0" applyFont="1" applyFill="1" applyBorder="1" applyAlignment="1" applyProtection="1">
      <alignment vertical="center"/>
    </xf>
    <xf numFmtId="0" fontId="3" fillId="16" borderId="247" xfId="0" applyFont="1" applyFill="1" applyBorder="1" applyAlignment="1" applyProtection="1">
      <alignment vertical="center"/>
    </xf>
    <xf numFmtId="0" fontId="210" fillId="16" borderId="295" xfId="0" applyFont="1" applyFill="1" applyBorder="1" applyAlignment="1" applyProtection="1"/>
    <xf numFmtId="0" fontId="125" fillId="16" borderId="247" xfId="0" applyFont="1" applyFill="1" applyBorder="1" applyAlignment="1" applyProtection="1">
      <alignment horizontal="right" vertical="center"/>
    </xf>
    <xf numFmtId="0" fontId="3" fillId="16" borderId="245" xfId="0" applyFont="1" applyFill="1" applyBorder="1" applyAlignment="1" applyProtection="1">
      <alignment vertical="center"/>
    </xf>
    <xf numFmtId="0" fontId="125" fillId="16" borderId="245" xfId="0" applyFont="1" applyFill="1" applyBorder="1" applyAlignment="1" applyProtection="1">
      <alignment horizontal="right" vertical="center"/>
    </xf>
    <xf numFmtId="0" fontId="211" fillId="16" borderId="245" xfId="0" applyFont="1" applyFill="1" applyBorder="1" applyAlignment="1" applyProtection="1">
      <alignment vertical="center"/>
    </xf>
    <xf numFmtId="0" fontId="3" fillId="16" borderId="249" xfId="0" applyFont="1" applyFill="1" applyBorder="1" applyAlignment="1" applyProtection="1">
      <alignment vertical="center"/>
    </xf>
    <xf numFmtId="0" fontId="211" fillId="16" borderId="249" xfId="0" applyFont="1" applyFill="1" applyBorder="1" applyAlignment="1" applyProtection="1">
      <alignment vertical="center"/>
    </xf>
    <xf numFmtId="0" fontId="128" fillId="16" borderId="245" xfId="0" applyFont="1" applyFill="1" applyBorder="1" applyAlignment="1" applyProtection="1">
      <alignment horizontal="right" vertical="center"/>
    </xf>
    <xf numFmtId="0" fontId="5" fillId="16" borderId="0" xfId="0" applyFont="1" applyFill="1" applyBorder="1" applyAlignment="1" applyProtection="1">
      <alignment vertical="center"/>
    </xf>
    <xf numFmtId="0" fontId="128" fillId="16" borderId="0" xfId="0" applyFont="1" applyFill="1" applyBorder="1" applyAlignment="1" applyProtection="1">
      <alignment horizontal="right" vertical="center"/>
    </xf>
    <xf numFmtId="0" fontId="139" fillId="16" borderId="0" xfId="0" applyFont="1" applyFill="1" applyBorder="1" applyAlignment="1" applyProtection="1">
      <alignment horizontal="center" vertical="center"/>
    </xf>
    <xf numFmtId="0" fontId="128" fillId="16" borderId="0" xfId="0" applyFont="1" applyFill="1" applyAlignment="1" applyProtection="1">
      <alignment horizontal="right" vertical="center"/>
    </xf>
    <xf numFmtId="0" fontId="139" fillId="16" borderId="0" xfId="0" applyFont="1" applyFill="1" applyBorder="1" applyAlignment="1" applyProtection="1">
      <alignment horizontal="right" vertical="center"/>
    </xf>
    <xf numFmtId="0" fontId="139" fillId="16" borderId="0" xfId="0" applyFont="1" applyFill="1" applyBorder="1" applyAlignment="1" applyProtection="1">
      <alignment vertical="center"/>
    </xf>
    <xf numFmtId="0" fontId="128" fillId="16" borderId="0" xfId="0" applyFont="1" applyFill="1" applyBorder="1" applyAlignment="1" applyProtection="1">
      <alignment vertical="center" wrapText="1"/>
    </xf>
    <xf numFmtId="0" fontId="128" fillId="16" borderId="0" xfId="0" applyFont="1" applyFill="1" applyAlignment="1" applyProtection="1">
      <alignment horizontal="right" vertical="center" wrapText="1"/>
    </xf>
    <xf numFmtId="0" fontId="128" fillId="16" borderId="0" xfId="0" applyFont="1" applyFill="1" applyAlignment="1" applyProtection="1">
      <alignment vertical="center" wrapText="1"/>
    </xf>
    <xf numFmtId="0" fontId="128" fillId="16" borderId="0" xfId="0" applyFont="1" applyFill="1" applyBorder="1" applyAlignment="1" applyProtection="1">
      <alignment horizontal="right" vertical="center" wrapText="1"/>
    </xf>
    <xf numFmtId="0" fontId="136" fillId="16" borderId="0" xfId="0" applyFont="1" applyFill="1" applyBorder="1" applyAlignment="1" applyProtection="1">
      <alignment horizontal="center" vertical="center" wrapText="1"/>
    </xf>
    <xf numFmtId="0" fontId="128" fillId="16" borderId="0" xfId="0" applyFont="1" applyFill="1" applyBorder="1" applyAlignment="1" applyProtection="1">
      <alignment horizontal="center" vertical="center" wrapText="1"/>
    </xf>
    <xf numFmtId="0" fontId="6" fillId="0" borderId="1" xfId="0" applyFont="1" applyBorder="1" applyAlignment="1" applyProtection="1">
      <alignment vertical="center"/>
    </xf>
    <xf numFmtId="0" fontId="3" fillId="16" borderId="0" xfId="0" applyFont="1" applyFill="1" applyBorder="1" applyAlignment="1" applyProtection="1">
      <alignment vertical="center"/>
    </xf>
    <xf numFmtId="0" fontId="138" fillId="16" borderId="247" xfId="0" applyFont="1" applyFill="1" applyBorder="1" applyAlignment="1" applyProtection="1">
      <alignment horizontal="right" vertical="center"/>
    </xf>
    <xf numFmtId="0" fontId="138" fillId="16" borderId="246" xfId="0" applyFont="1" applyFill="1" applyBorder="1" applyAlignment="1" applyProtection="1">
      <alignment horizontal="right" vertical="center"/>
    </xf>
    <xf numFmtId="0" fontId="176" fillId="16" borderId="0" xfId="0" applyFont="1" applyFill="1" applyBorder="1" applyAlignment="1" applyProtection="1">
      <alignment horizontal="center" vertical="center"/>
    </xf>
    <xf numFmtId="0" fontId="260" fillId="16" borderId="248" xfId="0" applyFont="1" applyFill="1" applyBorder="1" applyAlignment="1" applyProtection="1">
      <alignment vertical="center"/>
    </xf>
    <xf numFmtId="0" fontId="252" fillId="16" borderId="248" xfId="0" applyFont="1" applyFill="1" applyBorder="1" applyAlignment="1" applyProtection="1">
      <alignment horizontal="right" vertical="center"/>
    </xf>
    <xf numFmtId="0" fontId="271" fillId="16" borderId="0" xfId="0" applyFont="1" applyFill="1" applyBorder="1" applyAlignment="1" applyProtection="1">
      <alignment horizontal="center"/>
    </xf>
    <xf numFmtId="0" fontId="133" fillId="0" borderId="52" xfId="0" applyFont="1" applyBorder="1" applyProtection="1"/>
    <xf numFmtId="0" fontId="133" fillId="0" borderId="241" xfId="0" applyFont="1" applyBorder="1" applyProtection="1"/>
    <xf numFmtId="0" fontId="159" fillId="0" borderId="1" xfId="0" applyFont="1" applyBorder="1" applyAlignment="1" applyProtection="1">
      <alignment horizontal="left" vertical="center"/>
    </xf>
    <xf numFmtId="0" fontId="159" fillId="0" borderId="1" xfId="0" applyFont="1" applyBorder="1" applyAlignment="1" applyProtection="1">
      <alignment vertical="center"/>
    </xf>
    <xf numFmtId="0" fontId="198" fillId="16" borderId="296" xfId="0" applyFont="1" applyFill="1" applyBorder="1" applyAlignment="1" applyProtection="1"/>
    <xf numFmtId="0" fontId="198" fillId="16" borderId="295" xfId="0" applyFont="1" applyFill="1" applyBorder="1" applyAlignment="1" applyProtection="1">
      <alignment horizontal="right"/>
    </xf>
    <xf numFmtId="0" fontId="198" fillId="16" borderId="295" xfId="0" applyFont="1" applyFill="1" applyBorder="1" applyAlignment="1" applyProtection="1"/>
    <xf numFmtId="0" fontId="128" fillId="16" borderId="296" xfId="0" applyFont="1" applyFill="1" applyBorder="1" applyAlignment="1" applyProtection="1"/>
    <xf numFmtId="0" fontId="139" fillId="16" borderId="0" xfId="0" applyFont="1" applyFill="1" applyAlignment="1" applyProtection="1">
      <alignment vertical="center"/>
    </xf>
    <xf numFmtId="169" fontId="256" fillId="16" borderId="0" xfId="0" applyNumberFormat="1" applyFont="1" applyFill="1" applyAlignment="1" applyProtection="1">
      <alignment horizontal="center" vertical="center"/>
    </xf>
    <xf numFmtId="0" fontId="127" fillId="16" borderId="0" xfId="0" applyFont="1" applyFill="1" applyAlignment="1" applyProtection="1">
      <alignment vertical="center"/>
    </xf>
    <xf numFmtId="0" fontId="137" fillId="16" borderId="0" xfId="0" applyFont="1" applyFill="1" applyAlignment="1" applyProtection="1">
      <alignment horizontal="center" vertical="center"/>
    </xf>
    <xf numFmtId="169" fontId="281" fillId="16" borderId="0" xfId="0" applyNumberFormat="1" applyFont="1" applyFill="1" applyAlignment="1" applyProtection="1">
      <alignment horizontal="center" vertical="center"/>
    </xf>
    <xf numFmtId="0" fontId="128" fillId="16" borderId="244" xfId="0" applyFont="1" applyFill="1" applyBorder="1" applyAlignment="1" applyProtection="1">
      <alignment horizontal="center" vertical="center"/>
    </xf>
    <xf numFmtId="0" fontId="128" fillId="16" borderId="246" xfId="0" applyFont="1" applyFill="1" applyBorder="1" applyAlignment="1" applyProtection="1">
      <alignment horizontal="center" vertical="center"/>
    </xf>
    <xf numFmtId="0" fontId="282" fillId="16" borderId="246" xfId="0" applyFont="1" applyFill="1" applyBorder="1" applyAlignment="1" applyProtection="1">
      <alignment horizontal="left" vertical="center"/>
    </xf>
    <xf numFmtId="0" fontId="127" fillId="16" borderId="246" xfId="0" applyFont="1" applyFill="1" applyBorder="1" applyAlignment="1" applyProtection="1">
      <alignment horizontal="center" vertical="center"/>
    </xf>
    <xf numFmtId="0" fontId="283" fillId="16" borderId="246" xfId="0" applyFont="1" applyFill="1" applyBorder="1" applyAlignment="1" applyProtection="1">
      <alignment horizontal="left"/>
    </xf>
    <xf numFmtId="0" fontId="128" fillId="16" borderId="246" xfId="0" applyFont="1" applyFill="1" applyBorder="1" applyAlignment="1" applyProtection="1">
      <alignment horizontal="left" vertical="center"/>
    </xf>
    <xf numFmtId="0" fontId="128" fillId="16" borderId="252" xfId="0" applyFont="1" applyFill="1" applyBorder="1" applyAlignment="1" applyProtection="1">
      <alignment horizontal="left" vertical="center"/>
    </xf>
    <xf numFmtId="0" fontId="137" fillId="16" borderId="252" xfId="0" applyFont="1" applyFill="1" applyBorder="1" applyAlignment="1" applyProtection="1">
      <alignment horizontal="left" vertical="center"/>
    </xf>
    <xf numFmtId="0" fontId="283" fillId="16" borderId="252" xfId="0" applyFont="1" applyFill="1" applyBorder="1" applyAlignment="1" applyProtection="1">
      <alignment horizontal="left" vertical="center"/>
    </xf>
    <xf numFmtId="0" fontId="128" fillId="16" borderId="252" xfId="0" applyFont="1" applyFill="1" applyBorder="1" applyAlignment="1" applyProtection="1">
      <alignment horizontal="center" vertical="center"/>
    </xf>
    <xf numFmtId="0" fontId="127" fillId="16" borderId="298" xfId="0" applyFont="1" applyFill="1" applyBorder="1" applyAlignment="1" applyProtection="1">
      <alignment horizontal="center" vertical="center"/>
    </xf>
    <xf numFmtId="0" fontId="128" fillId="0" borderId="246" xfId="0" applyFont="1" applyBorder="1" applyAlignment="1" applyProtection="1">
      <alignment horizontal="center" vertical="center"/>
    </xf>
    <xf numFmtId="0" fontId="128" fillId="0" borderId="256" xfId="0" applyFont="1" applyBorder="1" applyAlignment="1" applyProtection="1">
      <alignment horizontal="center" vertical="center"/>
    </xf>
    <xf numFmtId="0" fontId="284" fillId="19" borderId="22" xfId="0" applyFont="1" applyFill="1" applyBorder="1" applyAlignment="1" applyProtection="1">
      <alignment horizontal="center" vertical="center"/>
    </xf>
    <xf numFmtId="0" fontId="213" fillId="0" borderId="1" xfId="0" applyFont="1" applyBorder="1" applyAlignment="1" applyProtection="1">
      <alignment horizontal="left" vertical="center"/>
    </xf>
    <xf numFmtId="0" fontId="128" fillId="16" borderId="0" xfId="0" applyFont="1" applyFill="1" applyBorder="1" applyAlignment="1" applyProtection="1">
      <alignment horizontal="left" vertical="center"/>
    </xf>
    <xf numFmtId="0" fontId="128" fillId="16" borderId="0" xfId="0" applyFont="1" applyFill="1" applyAlignment="1" applyProtection="1">
      <alignment horizontal="left" vertical="center"/>
    </xf>
    <xf numFmtId="0" fontId="265" fillId="16" borderId="0" xfId="0" applyFont="1" applyFill="1" applyBorder="1" applyAlignment="1" applyProtection="1">
      <alignment horizontal="center" vertical="center"/>
    </xf>
    <xf numFmtId="0" fontId="256" fillId="16" borderId="0" xfId="0" applyFont="1" applyFill="1" applyBorder="1" applyAlignment="1" applyProtection="1">
      <alignment horizontal="center" vertical="center"/>
    </xf>
    <xf numFmtId="0" fontId="256" fillId="0" borderId="0" xfId="0" applyFont="1" applyAlignment="1" applyProtection="1">
      <alignment horizontal="center" vertical="center"/>
    </xf>
    <xf numFmtId="0" fontId="232" fillId="16" borderId="0" xfId="0" applyFont="1" applyFill="1" applyBorder="1" applyAlignment="1" applyProtection="1">
      <alignment horizontal="center"/>
    </xf>
    <xf numFmtId="0" fontId="260" fillId="16" borderId="22" xfId="0" applyFont="1" applyFill="1" applyBorder="1" applyAlignment="1" applyProtection="1">
      <alignment horizontal="center" vertical="center"/>
      <protection locked="0"/>
    </xf>
    <xf numFmtId="0" fontId="132" fillId="16" borderId="0" xfId="0" applyFont="1" applyFill="1" applyBorder="1" applyAlignment="1" applyProtection="1">
      <alignment horizontal="center" vertical="center"/>
    </xf>
    <xf numFmtId="0" fontId="273" fillId="16" borderId="0" xfId="0" applyFont="1" applyFill="1" applyBorder="1" applyAlignment="1" applyProtection="1">
      <alignment horizontal="center" vertical="top" wrapText="1"/>
    </xf>
    <xf numFmtId="0" fontId="278" fillId="16" borderId="0" xfId="0" applyFont="1" applyFill="1" applyAlignment="1" applyProtection="1">
      <alignment vertical="center"/>
    </xf>
    <xf numFmtId="0" fontId="278" fillId="16" borderId="0" xfId="0" applyFont="1" applyFill="1" applyBorder="1" applyAlignment="1" applyProtection="1">
      <alignment horizontal="center" vertical="center" wrapText="1"/>
    </xf>
    <xf numFmtId="0" fontId="274" fillId="16" borderId="0" xfId="0" applyFont="1" applyFill="1" applyBorder="1" applyAlignment="1" applyProtection="1">
      <alignment horizontal="left" vertical="top" wrapText="1"/>
    </xf>
    <xf numFmtId="0" fontId="278" fillId="16" borderId="0" xfId="0" applyFont="1" applyFill="1" applyBorder="1" applyAlignment="1" applyProtection="1">
      <alignment horizontal="left" vertical="top" wrapText="1"/>
    </xf>
    <xf numFmtId="0" fontId="274" fillId="16" borderId="0" xfId="0" applyFont="1" applyFill="1" applyBorder="1" applyAlignment="1" applyProtection="1">
      <alignment horizontal="left" vertical="center" wrapText="1"/>
    </xf>
    <xf numFmtId="0" fontId="274" fillId="16" borderId="0" xfId="0" applyFont="1" applyFill="1" applyBorder="1" applyAlignment="1" applyProtection="1">
      <alignment vertical="top" wrapText="1"/>
    </xf>
    <xf numFmtId="0" fontId="265" fillId="0" borderId="87" xfId="0" applyFont="1" applyBorder="1" applyAlignment="1" applyProtection="1">
      <alignment horizontal="center" vertical="center"/>
    </xf>
    <xf numFmtId="0" fontId="265" fillId="0" borderId="88" xfId="0" applyFont="1" applyBorder="1" applyAlignment="1" applyProtection="1">
      <alignment horizontal="center" vertical="center"/>
    </xf>
    <xf numFmtId="169" fontId="139" fillId="16" borderId="0" xfId="0" applyNumberFormat="1" applyFont="1" applyFill="1" applyAlignment="1" applyProtection="1">
      <alignment vertical="center"/>
    </xf>
    <xf numFmtId="0" fontId="203" fillId="16" borderId="0" xfId="0" applyFont="1" applyFill="1" applyAlignment="1" applyProtection="1">
      <alignment horizontal="center"/>
    </xf>
    <xf numFmtId="0" fontId="204" fillId="16" borderId="0" xfId="0" applyFont="1" applyFill="1" applyBorder="1" applyProtection="1"/>
    <xf numFmtId="0" fontId="204" fillId="16" borderId="0" xfId="0" applyFont="1" applyFill="1" applyBorder="1" applyAlignment="1" applyProtection="1">
      <alignment shrinkToFit="1"/>
    </xf>
    <xf numFmtId="0" fontId="256" fillId="0" borderId="0" xfId="0" applyFont="1" applyAlignment="1" applyProtection="1">
      <alignment horizontal="left" vertical="center"/>
    </xf>
    <xf numFmtId="0" fontId="204" fillId="16" borderId="0" xfId="0" applyFont="1" applyFill="1" applyAlignment="1" applyProtection="1">
      <alignment horizontal="left" vertical="top"/>
    </xf>
    <xf numFmtId="0" fontId="204" fillId="16" borderId="0" xfId="0" applyFont="1" applyFill="1" applyAlignment="1" applyProtection="1">
      <alignment vertical="top"/>
    </xf>
    <xf numFmtId="0" fontId="207" fillId="16" borderId="0" xfId="0" applyFont="1" applyFill="1" applyBorder="1" applyAlignment="1" applyProtection="1">
      <alignment horizontal="left" vertical="top"/>
    </xf>
    <xf numFmtId="0" fontId="192" fillId="16" borderId="0" xfId="0" applyFont="1" applyFill="1" applyBorder="1" applyAlignment="1" applyProtection="1">
      <alignment horizontal="center" vertical="top"/>
    </xf>
    <xf numFmtId="0" fontId="255" fillId="0" borderId="0" xfId="0" applyFont="1" applyAlignment="1" applyProtection="1">
      <alignment horizontal="center" vertical="top"/>
    </xf>
    <xf numFmtId="0" fontId="265" fillId="0" borderId="87" xfId="0" applyFont="1" applyBorder="1" applyAlignment="1" applyProtection="1">
      <alignment horizontal="center" vertical="top"/>
    </xf>
    <xf numFmtId="0" fontId="263" fillId="0" borderId="0" xfId="0" applyFont="1" applyBorder="1" applyAlignment="1" applyProtection="1">
      <alignment horizontal="center" vertical="top"/>
    </xf>
    <xf numFmtId="0" fontId="168" fillId="0" borderId="0" xfId="0" applyFont="1" applyBorder="1" applyAlignment="1" applyProtection="1">
      <alignment horizontal="center" vertical="top"/>
    </xf>
    <xf numFmtId="0" fontId="165" fillId="0" borderId="91" xfId="0" applyFont="1" applyBorder="1" applyAlignment="1" applyProtection="1">
      <alignment horizontal="center" vertical="top"/>
    </xf>
    <xf numFmtId="0" fontId="163" fillId="0" borderId="0" xfId="0" applyFont="1" applyAlignment="1" applyProtection="1">
      <alignment horizontal="center" vertical="top"/>
    </xf>
    <xf numFmtId="0" fontId="263" fillId="0" borderId="87" xfId="0" applyFont="1" applyBorder="1" applyAlignment="1" applyProtection="1">
      <alignment horizontal="center" vertical="top"/>
    </xf>
    <xf numFmtId="0" fontId="168" fillId="0" borderId="91" xfId="0" applyFont="1" applyBorder="1" applyAlignment="1" applyProtection="1">
      <alignment horizontal="center" vertical="top"/>
    </xf>
    <xf numFmtId="0" fontId="265" fillId="0" borderId="0" xfId="0" applyFont="1" applyBorder="1" applyAlignment="1" applyProtection="1">
      <alignment horizontal="center" vertical="top"/>
    </xf>
    <xf numFmtId="0" fontId="163" fillId="0" borderId="0" xfId="0" applyFont="1" applyBorder="1" applyAlignment="1" applyProtection="1">
      <alignment horizontal="center" vertical="top"/>
    </xf>
    <xf numFmtId="0" fontId="144" fillId="0" borderId="0" xfId="0" applyNumberFormat="1" applyFont="1" applyBorder="1" applyAlignment="1" applyProtection="1">
      <alignment horizontal="center" vertical="top"/>
    </xf>
    <xf numFmtId="166" fontId="255" fillId="16" borderId="0" xfId="0" applyNumberFormat="1" applyFont="1" applyFill="1" applyBorder="1" applyAlignment="1" applyProtection="1">
      <alignment vertical="center"/>
    </xf>
    <xf numFmtId="0" fontId="291" fillId="16" borderId="0" xfId="0" applyFont="1" applyFill="1" applyBorder="1" applyAlignment="1" applyProtection="1">
      <alignment vertical="center"/>
    </xf>
    <xf numFmtId="0" fontId="291" fillId="16" borderId="0" xfId="0" applyFont="1" applyFill="1" applyBorder="1" applyAlignment="1" applyProtection="1">
      <alignment horizontal="center" vertical="center"/>
    </xf>
    <xf numFmtId="0" fontId="291" fillId="16" borderId="0" xfId="0" applyFont="1" applyFill="1" applyAlignment="1" applyProtection="1">
      <alignment vertical="center"/>
    </xf>
    <xf numFmtId="0" fontId="204" fillId="16" borderId="0" xfId="0" applyFont="1" applyFill="1" applyAlignment="1" applyProtection="1">
      <alignment vertical="center"/>
    </xf>
    <xf numFmtId="0" fontId="164" fillId="16" borderId="0" xfId="0" applyFont="1" applyFill="1" applyBorder="1" applyAlignment="1" applyProtection="1">
      <alignment vertical="center"/>
    </xf>
    <xf numFmtId="0" fontId="204" fillId="16" borderId="0" xfId="0" applyFont="1" applyFill="1" applyBorder="1" applyAlignment="1" applyProtection="1">
      <alignment horizontal="center" vertical="center"/>
    </xf>
    <xf numFmtId="0" fontId="164" fillId="16" borderId="0" xfId="0" applyFont="1" applyFill="1" applyBorder="1" applyProtection="1"/>
    <xf numFmtId="0" fontId="192" fillId="16" borderId="0" xfId="0" applyFont="1" applyFill="1" applyBorder="1" applyAlignment="1" applyProtection="1">
      <alignment horizontal="center" vertical="center"/>
    </xf>
    <xf numFmtId="0" fontId="14" fillId="0" borderId="444" xfId="0" applyFont="1" applyBorder="1" applyAlignment="1" applyProtection="1">
      <alignment horizontal="center" vertical="center"/>
    </xf>
    <xf numFmtId="0" fontId="131" fillId="0" borderId="140" xfId="0" applyFont="1" applyBorder="1" applyAlignment="1" applyProtection="1">
      <alignment vertical="center"/>
    </xf>
    <xf numFmtId="0" fontId="131" fillId="0" borderId="225" xfId="0" applyFont="1" applyBorder="1" applyAlignment="1" applyProtection="1">
      <alignment vertical="center" wrapText="1"/>
    </xf>
    <xf numFmtId="0" fontId="133" fillId="0" borderId="34" xfId="0" applyFont="1" applyBorder="1" applyProtection="1"/>
    <xf numFmtId="0" fontId="149" fillId="16" borderId="86" xfId="0" applyFont="1" applyFill="1" applyBorder="1" applyAlignment="1" applyProtection="1">
      <alignment horizontal="center" wrapText="1"/>
      <protection locked="0"/>
    </xf>
    <xf numFmtId="0" fontId="0" fillId="16" borderId="0" xfId="0" applyFill="1" applyAlignment="1"/>
    <xf numFmtId="0" fontId="18" fillId="16" borderId="0" xfId="0" applyFont="1" applyFill="1" applyBorder="1" applyAlignment="1" applyProtection="1">
      <alignment horizontal="center"/>
    </xf>
    <xf numFmtId="0" fontId="149" fillId="16" borderId="0" xfId="0" applyFont="1" applyFill="1" applyBorder="1" applyAlignment="1" applyProtection="1">
      <alignment horizontal="center" wrapText="1"/>
      <protection locked="0"/>
    </xf>
    <xf numFmtId="0" fontId="6" fillId="16" borderId="0" xfId="0" applyFont="1" applyFill="1" applyBorder="1" applyAlignment="1" applyProtection="1">
      <alignment vertical="center"/>
    </xf>
    <xf numFmtId="0" fontId="14" fillId="16" borderId="30" xfId="0" applyFont="1" applyFill="1" applyBorder="1" applyProtection="1"/>
    <xf numFmtId="0" fontId="14" fillId="16" borderId="30" xfId="0" applyFont="1" applyFill="1" applyBorder="1" applyAlignment="1" applyProtection="1">
      <alignment vertical="center"/>
    </xf>
    <xf numFmtId="0" fontId="10" fillId="16" borderId="0" xfId="0" applyFont="1" applyFill="1" applyBorder="1" applyAlignment="1" applyProtection="1">
      <alignment vertical="center" wrapText="1"/>
    </xf>
    <xf numFmtId="0" fontId="18" fillId="16" borderId="40" xfId="0" applyFont="1" applyFill="1" applyBorder="1" applyProtection="1"/>
    <xf numFmtId="0" fontId="0" fillId="16" borderId="34" xfId="0" applyFill="1" applyBorder="1" applyAlignment="1" applyProtection="1">
      <alignment vertical="center"/>
    </xf>
    <xf numFmtId="0" fontId="21" fillId="33" borderId="47" xfId="0" applyFont="1" applyFill="1" applyBorder="1" applyProtection="1"/>
    <xf numFmtId="0" fontId="0" fillId="33" borderId="48" xfId="0" applyFill="1" applyBorder="1" applyProtection="1"/>
    <xf numFmtId="0" fontId="15" fillId="33" borderId="48" xfId="0" applyFont="1" applyFill="1" applyBorder="1" applyAlignment="1" applyProtection="1">
      <alignment vertical="center" wrapText="1"/>
    </xf>
    <xf numFmtId="0" fontId="21" fillId="33" borderId="48" xfId="0" applyFont="1" applyFill="1" applyBorder="1" applyProtection="1"/>
    <xf numFmtId="0" fontId="21" fillId="33" borderId="48" xfId="0" applyFont="1" applyFill="1" applyBorder="1" applyAlignment="1" applyProtection="1">
      <alignment horizontal="center"/>
    </xf>
    <xf numFmtId="0" fontId="21" fillId="33" borderId="48" xfId="0" applyFont="1" applyFill="1" applyBorder="1" applyAlignment="1" applyProtection="1">
      <alignment horizontal="right"/>
    </xf>
    <xf numFmtId="0" fontId="18" fillId="33" borderId="48" xfId="0" applyFont="1" applyFill="1" applyBorder="1" applyAlignment="1" applyProtection="1"/>
    <xf numFmtId="0" fontId="18" fillId="33" borderId="49" xfId="0" applyFont="1" applyFill="1" applyBorder="1" applyAlignment="1" applyProtection="1"/>
    <xf numFmtId="0" fontId="31" fillId="0" borderId="0" xfId="0" applyFont="1" applyFill="1" applyBorder="1" applyAlignment="1">
      <alignment horizontal="left" vertical="center"/>
    </xf>
    <xf numFmtId="0" fontId="18" fillId="16" borderId="461" xfId="0" applyFont="1" applyFill="1" applyBorder="1" applyProtection="1"/>
    <xf numFmtId="0" fontId="0" fillId="0" borderId="26" xfId="0" applyBorder="1" applyAlignment="1" applyProtection="1">
      <alignment vertical="center"/>
    </xf>
    <xf numFmtId="0" fontId="18" fillId="16" borderId="133" xfId="0" applyFont="1" applyFill="1" applyBorder="1" applyAlignment="1" applyProtection="1">
      <alignment vertical="center"/>
    </xf>
    <xf numFmtId="0" fontId="18" fillId="16" borderId="134" xfId="0" applyFont="1" applyFill="1" applyBorder="1" applyAlignment="1" applyProtection="1">
      <alignment vertical="center"/>
    </xf>
    <xf numFmtId="0" fontId="6" fillId="33" borderId="47" xfId="0" applyFont="1" applyFill="1" applyBorder="1" applyAlignment="1" applyProtection="1">
      <alignment vertical="center" wrapText="1"/>
    </xf>
    <xf numFmtId="0" fontId="6" fillId="33" borderId="48" xfId="0" applyFont="1" applyFill="1" applyBorder="1" applyAlignment="1" applyProtection="1">
      <alignment vertical="center" wrapText="1"/>
    </xf>
    <xf numFmtId="0" fontId="6" fillId="33" borderId="49" xfId="0" applyFont="1" applyFill="1" applyBorder="1" applyAlignment="1" applyProtection="1">
      <alignment vertical="center" wrapText="1"/>
    </xf>
    <xf numFmtId="0" fontId="15" fillId="16" borderId="0" xfId="0" applyFont="1" applyFill="1" applyProtection="1"/>
    <xf numFmtId="0" fontId="18" fillId="16" borderId="462" xfId="0" applyFont="1" applyFill="1" applyBorder="1" applyProtection="1"/>
    <xf numFmtId="0" fontId="10" fillId="16" borderId="86" xfId="0" applyFont="1" applyFill="1" applyBorder="1" applyAlignment="1" applyProtection="1">
      <alignment horizontal="center" vertical="center" wrapText="1"/>
    </xf>
    <xf numFmtId="0" fontId="19" fillId="16" borderId="86" xfId="0" applyFont="1" applyFill="1" applyBorder="1" applyAlignment="1" applyProtection="1">
      <alignment vertical="center" wrapText="1"/>
    </xf>
    <xf numFmtId="0" fontId="0" fillId="16" borderId="86" xfId="0" applyFill="1" applyBorder="1" applyAlignment="1" applyProtection="1">
      <alignment vertical="center" wrapText="1"/>
    </xf>
    <xf numFmtId="0" fontId="18" fillId="16" borderId="91" xfId="0" applyFont="1" applyFill="1" applyBorder="1" applyAlignment="1" applyProtection="1">
      <alignment vertical="center"/>
    </xf>
    <xf numFmtId="0" fontId="0" fillId="16" borderId="91" xfId="0" applyFill="1" applyBorder="1" applyAlignment="1" applyProtection="1">
      <alignment vertical="center"/>
    </xf>
    <xf numFmtId="0" fontId="0" fillId="16" borderId="91" xfId="0" applyFill="1" applyBorder="1" applyProtection="1"/>
    <xf numFmtId="0" fontId="18" fillId="16" borderId="39" xfId="0" applyFont="1" applyFill="1" applyBorder="1" applyProtection="1"/>
    <xf numFmtId="0" fontId="0" fillId="16" borderId="40" xfId="0" applyFill="1" applyBorder="1" applyAlignment="1" applyProtection="1">
      <alignment vertical="center"/>
    </xf>
    <xf numFmtId="0" fontId="9" fillId="16" borderId="34" xfId="0" applyFont="1" applyFill="1" applyBorder="1" applyProtection="1"/>
    <xf numFmtId="0" fontId="7" fillId="16" borderId="34" xfId="0" applyFont="1" applyFill="1" applyBorder="1" applyProtection="1"/>
    <xf numFmtId="0" fontId="19" fillId="16" borderId="41" xfId="0" applyFont="1" applyFill="1" applyBorder="1" applyAlignment="1" applyProtection="1">
      <alignment horizontal="left"/>
    </xf>
    <xf numFmtId="0" fontId="19" fillId="16" borderId="0" xfId="0" applyFont="1" applyFill="1" applyBorder="1" applyAlignment="1" applyProtection="1">
      <alignment horizontal="left"/>
    </xf>
    <xf numFmtId="0" fontId="19" fillId="16" borderId="39" xfId="0" applyFont="1" applyFill="1" applyBorder="1" applyAlignment="1" applyProtection="1">
      <alignment horizontal="left"/>
    </xf>
    <xf numFmtId="0" fontId="9" fillId="16" borderId="34" xfId="0" applyFont="1" applyFill="1" applyBorder="1" applyAlignment="1" applyProtection="1">
      <alignment horizontal="right"/>
    </xf>
    <xf numFmtId="0" fontId="18" fillId="16" borderId="34" xfId="0" applyFont="1" applyFill="1" applyBorder="1" applyAlignment="1" applyProtection="1">
      <alignment horizontal="center"/>
    </xf>
    <xf numFmtId="0" fontId="18" fillId="16" borderId="33" xfId="0" applyFont="1" applyFill="1" applyBorder="1" applyProtection="1"/>
    <xf numFmtId="0" fontId="18" fillId="16" borderId="41" xfId="0" applyFont="1" applyFill="1" applyBorder="1" applyProtection="1"/>
    <xf numFmtId="0" fontId="0" fillId="16" borderId="58" xfId="0" applyFill="1" applyBorder="1" applyProtection="1"/>
    <xf numFmtId="0" fontId="0" fillId="16" borderId="41" xfId="0" applyFill="1" applyBorder="1" applyAlignment="1" applyProtection="1">
      <alignment vertical="center"/>
    </xf>
    <xf numFmtId="0" fontId="18" fillId="16" borderId="31" xfId="0" applyFont="1" applyFill="1" applyBorder="1" applyAlignment="1" applyProtection="1">
      <alignment horizontal="center"/>
    </xf>
    <xf numFmtId="0" fontId="18" fillId="16" borderId="93" xfId="0" applyFont="1" applyFill="1" applyBorder="1" applyAlignment="1" applyProtection="1">
      <alignment horizontal="center"/>
    </xf>
    <xf numFmtId="0" fontId="21" fillId="16" borderId="0" xfId="0" applyFont="1" applyFill="1" applyBorder="1" applyProtection="1"/>
    <xf numFmtId="0" fontId="21" fillId="16" borderId="91" xfId="0" applyFont="1" applyFill="1" applyBorder="1" applyProtection="1"/>
    <xf numFmtId="0" fontId="10" fillId="16" borderId="30" xfId="0" applyFont="1" applyFill="1" applyBorder="1" applyAlignment="1" applyProtection="1">
      <alignment horizontal="right"/>
    </xf>
    <xf numFmtId="0" fontId="159" fillId="0" borderId="1" xfId="0" applyFont="1" applyBorder="1" applyAlignment="1" applyProtection="1"/>
    <xf numFmtId="0" fontId="31" fillId="16" borderId="0" xfId="0" applyFont="1" applyFill="1" applyBorder="1" applyAlignment="1" applyProtection="1">
      <alignment horizontal="right"/>
    </xf>
    <xf numFmtId="0" fontId="31" fillId="16" borderId="0" xfId="0" applyFont="1" applyFill="1" applyBorder="1" applyProtection="1"/>
    <xf numFmtId="0" fontId="21" fillId="16" borderId="47" xfId="0" applyFont="1" applyFill="1" applyBorder="1" applyAlignment="1" applyProtection="1">
      <alignment vertical="center"/>
    </xf>
    <xf numFmtId="0" fontId="21" fillId="16" borderId="48" xfId="0" applyFont="1" applyFill="1" applyBorder="1" applyAlignment="1" applyProtection="1">
      <alignment vertical="center"/>
    </xf>
    <xf numFmtId="0" fontId="21" fillId="16" borderId="48" xfId="0" applyFont="1" applyFill="1" applyBorder="1" applyProtection="1"/>
    <xf numFmtId="0" fontId="21" fillId="16" borderId="49" xfId="0" applyFont="1" applyFill="1" applyBorder="1" applyAlignment="1" applyProtection="1">
      <alignment vertical="center"/>
    </xf>
    <xf numFmtId="0" fontId="7" fillId="16" borderId="86" xfId="0" applyFont="1" applyFill="1" applyBorder="1" applyAlignment="1" applyProtection="1">
      <alignment vertical="center" wrapText="1"/>
    </xf>
    <xf numFmtId="0" fontId="0" fillId="16" borderId="86" xfId="0" applyFill="1" applyBorder="1" applyAlignment="1"/>
    <xf numFmtId="0" fontId="18" fillId="33" borderId="47" xfId="0" applyFont="1" applyFill="1" applyBorder="1" applyAlignment="1" applyProtection="1"/>
    <xf numFmtId="0" fontId="6" fillId="33" borderId="48" xfId="0" applyFont="1" applyFill="1" applyBorder="1" applyAlignment="1" applyProtection="1">
      <alignment horizontal="right"/>
    </xf>
    <xf numFmtId="0" fontId="6" fillId="33" borderId="90" xfId="0" applyFont="1" applyFill="1" applyBorder="1" applyAlignment="1" applyProtection="1">
      <alignment horizontal="right" vertical="center"/>
    </xf>
    <xf numFmtId="0" fontId="6" fillId="33" borderId="92" xfId="0" applyFont="1" applyFill="1" applyBorder="1" applyAlignment="1" applyProtection="1">
      <alignment horizontal="right" vertical="center"/>
    </xf>
    <xf numFmtId="0" fontId="31" fillId="0" borderId="38" xfId="0" applyFont="1" applyBorder="1" applyAlignment="1" applyProtection="1">
      <alignment horizontal="center" vertical="center" wrapText="1"/>
    </xf>
    <xf numFmtId="1" fontId="31" fillId="0" borderId="464" xfId="0" applyNumberFormat="1" applyFont="1" applyBorder="1" applyAlignment="1" applyProtection="1">
      <alignment horizontal="center" vertical="center" wrapText="1"/>
    </xf>
    <xf numFmtId="0" fontId="19" fillId="0" borderId="465" xfId="0" applyFont="1" applyBorder="1" applyAlignment="1" applyProtection="1">
      <alignment vertical="center"/>
    </xf>
    <xf numFmtId="0" fontId="31" fillId="0" borderId="466" xfId="0" applyFont="1" applyBorder="1" applyAlignment="1" applyProtection="1">
      <alignment vertical="center" wrapText="1"/>
    </xf>
    <xf numFmtId="0" fontId="19" fillId="0" borderId="467" xfId="0" applyFont="1" applyBorder="1" applyAlignment="1" applyProtection="1">
      <alignment vertical="center"/>
    </xf>
    <xf numFmtId="0" fontId="31" fillId="0" borderId="468" xfId="0" applyFont="1" applyBorder="1" applyAlignment="1" applyProtection="1">
      <alignment vertical="center" wrapText="1"/>
    </xf>
    <xf numFmtId="0" fontId="19" fillId="0" borderId="469" xfId="0" applyFont="1" applyBorder="1" applyAlignment="1" applyProtection="1">
      <alignment vertical="center"/>
    </xf>
    <xf numFmtId="0" fontId="31" fillId="0" borderId="470" xfId="0" applyFont="1" applyBorder="1" applyAlignment="1" applyProtection="1">
      <alignment vertical="center" wrapText="1"/>
    </xf>
    <xf numFmtId="0" fontId="31" fillId="0" borderId="471" xfId="0" applyFont="1" applyBorder="1" applyAlignment="1" applyProtection="1">
      <alignment vertical="center" wrapText="1"/>
    </xf>
    <xf numFmtId="0" fontId="31" fillId="0" borderId="36" xfId="0" applyFont="1" applyBorder="1" applyAlignment="1" applyProtection="1">
      <alignment horizontal="center" vertical="center" wrapText="1"/>
    </xf>
    <xf numFmtId="0" fontId="31" fillId="0" borderId="464" xfId="0" applyFont="1" applyBorder="1" applyAlignment="1" applyProtection="1">
      <alignment horizontal="center" vertical="center" wrapText="1"/>
    </xf>
    <xf numFmtId="0" fontId="131" fillId="0" borderId="89" xfId="0" applyFont="1" applyBorder="1" applyAlignment="1" applyProtection="1">
      <alignment horizontal="center" vertical="center"/>
    </xf>
    <xf numFmtId="0" fontId="131" fillId="0" borderId="48" xfId="0" applyFont="1" applyBorder="1" applyAlignment="1" applyProtection="1">
      <alignment horizontal="center" vertical="center"/>
    </xf>
    <xf numFmtId="0" fontId="31" fillId="0" borderId="89" xfId="0" applyFont="1" applyBorder="1" applyAlignment="1" applyProtection="1">
      <alignment horizontal="center" vertical="center"/>
    </xf>
    <xf numFmtId="0" fontId="31" fillId="0" borderId="48" xfId="0" applyFont="1" applyBorder="1" applyAlignment="1" applyProtection="1">
      <alignment horizontal="center" vertical="center"/>
    </xf>
    <xf numFmtId="0" fontId="131" fillId="0" borderId="38" xfId="0" applyFont="1" applyBorder="1" applyAlignment="1" applyProtection="1">
      <alignment horizontal="center" vertical="center"/>
    </xf>
    <xf numFmtId="0" fontId="131" fillId="0" borderId="36" xfId="0" applyFont="1" applyBorder="1" applyAlignment="1" applyProtection="1">
      <alignment horizontal="center" vertical="center"/>
    </xf>
    <xf numFmtId="0" fontId="131" fillId="0" borderId="464" xfId="0" applyFont="1" applyBorder="1" applyAlignment="1" applyProtection="1">
      <alignment horizontal="center" vertical="center"/>
    </xf>
    <xf numFmtId="0" fontId="18" fillId="16" borderId="34" xfId="0" applyFont="1" applyFill="1" applyBorder="1" applyAlignment="1" applyProtection="1">
      <alignment horizontal="right"/>
    </xf>
    <xf numFmtId="0" fontId="25" fillId="0" borderId="75" xfId="0" applyFont="1" applyBorder="1" applyAlignment="1" applyProtection="1">
      <alignment horizontal="center" vertical="center" wrapText="1" shrinkToFit="1"/>
    </xf>
    <xf numFmtId="0" fontId="169" fillId="0" borderId="22" xfId="0" applyFont="1" applyBorder="1" applyAlignment="1" applyProtection="1">
      <alignment horizontal="center" vertical="center" wrapText="1" shrinkToFit="1"/>
    </xf>
    <xf numFmtId="0" fontId="23" fillId="16" borderId="143" xfId="0" applyFont="1" applyFill="1" applyBorder="1" applyAlignment="1" applyProtection="1">
      <alignment horizontal="center" vertical="center" wrapText="1" shrinkToFit="1"/>
    </xf>
    <xf numFmtId="0" fontId="23" fillId="16" borderId="82" xfId="0" applyFont="1" applyFill="1" applyBorder="1" applyAlignment="1" applyProtection="1">
      <alignment horizontal="center" vertical="center" wrapText="1" shrinkToFit="1"/>
    </xf>
    <xf numFmtId="0" fontId="295" fillId="16" borderId="85" xfId="0" applyFont="1" applyFill="1" applyBorder="1" applyAlignment="1" applyProtection="1">
      <alignment horizontal="center" vertical="center" wrapText="1" shrinkToFit="1"/>
    </xf>
    <xf numFmtId="0" fontId="22" fillId="16" borderId="55" xfId="0" applyFont="1" applyFill="1" applyBorder="1" applyAlignment="1" applyProtection="1">
      <alignment horizontal="left"/>
    </xf>
    <xf numFmtId="0" fontId="26" fillId="16" borderId="30" xfId="0" applyFont="1" applyFill="1" applyBorder="1" applyAlignment="1" applyProtection="1">
      <alignment horizontal="left"/>
    </xf>
    <xf numFmtId="0" fontId="26" fillId="16" borderId="26" xfId="0" applyFont="1" applyFill="1" applyBorder="1" applyAlignment="1" applyProtection="1">
      <alignment horizontal="left"/>
    </xf>
    <xf numFmtId="0" fontId="31" fillId="0" borderId="102" xfId="0" applyFont="1" applyBorder="1" applyAlignment="1" applyProtection="1">
      <alignment horizontal="center" vertical="center" wrapText="1"/>
    </xf>
    <xf numFmtId="0" fontId="32" fillId="0" borderId="102" xfId="0" applyFont="1" applyBorder="1" applyAlignment="1" applyProtection="1">
      <alignment horizontal="center" vertical="center" wrapText="1"/>
    </xf>
    <xf numFmtId="0" fontId="31" fillId="0" borderId="102" xfId="0" applyNumberFormat="1" applyFont="1" applyBorder="1" applyAlignment="1" applyProtection="1">
      <alignment horizontal="center" vertical="center" wrapText="1"/>
    </xf>
    <xf numFmtId="1" fontId="31" fillId="0" borderId="102" xfId="0" applyNumberFormat="1" applyFont="1" applyBorder="1" applyAlignment="1" applyProtection="1">
      <alignment horizontal="center" vertical="center" wrapText="1"/>
    </xf>
    <xf numFmtId="0" fontId="160" fillId="0" borderId="479" xfId="0" applyNumberFormat="1" applyFont="1" applyBorder="1" applyAlignment="1" applyProtection="1">
      <alignment horizontal="center" vertical="center" wrapText="1"/>
    </xf>
    <xf numFmtId="0" fontId="161" fillId="0" borderId="479" xfId="0" applyNumberFormat="1" applyFont="1" applyBorder="1" applyAlignment="1" applyProtection="1">
      <alignment horizontal="center" vertical="center" wrapText="1"/>
    </xf>
    <xf numFmtId="0" fontId="161" fillId="0" borderId="480" xfId="0" applyNumberFormat="1" applyFont="1" applyBorder="1" applyAlignment="1" applyProtection="1">
      <alignment horizontal="center" vertical="center" wrapText="1"/>
    </xf>
    <xf numFmtId="0" fontId="7" fillId="0" borderId="476" xfId="0" applyFont="1" applyFill="1" applyBorder="1" applyAlignment="1" applyProtection="1">
      <alignment horizontal="center" vertical="center" wrapText="1"/>
    </xf>
    <xf numFmtId="0" fontId="7" fillId="0" borderId="477" xfId="0" applyFont="1" applyFill="1" applyBorder="1" applyAlignment="1" applyProtection="1">
      <alignment horizontal="center" vertical="center" wrapText="1"/>
    </xf>
    <xf numFmtId="0" fontId="0" fillId="0" borderId="93" xfId="0" applyBorder="1" applyProtection="1"/>
    <xf numFmtId="0" fontId="0" fillId="0" borderId="41" xfId="0" applyBorder="1" applyProtection="1"/>
    <xf numFmtId="0" fontId="6" fillId="0" borderId="22" xfId="0" applyFont="1" applyBorder="1" applyAlignment="1" applyProtection="1">
      <alignment horizontal="center" vertical="center"/>
    </xf>
    <xf numFmtId="0" fontId="19" fillId="16" borderId="0" xfId="0" applyFont="1" applyFill="1" applyProtection="1"/>
    <xf numFmtId="0" fontId="149" fillId="16" borderId="0" xfId="0" applyFont="1" applyFill="1" applyProtection="1"/>
    <xf numFmtId="0" fontId="19" fillId="16" borderId="30" xfId="0" applyFont="1" applyFill="1" applyBorder="1" applyAlignment="1" applyProtection="1">
      <alignment horizontal="right"/>
    </xf>
    <xf numFmtId="0" fontId="9" fillId="16" borderId="0" xfId="0" applyFont="1" applyFill="1" applyBorder="1" applyAlignment="1" applyProtection="1"/>
    <xf numFmtId="0" fontId="9" fillId="16" borderId="0" xfId="0" applyNumberFormat="1" applyFont="1" applyFill="1" applyBorder="1" applyAlignment="1" applyProtection="1"/>
    <xf numFmtId="0" fontId="9" fillId="16" borderId="0" xfId="0" applyFont="1" applyFill="1" applyProtection="1"/>
    <xf numFmtId="0" fontId="19" fillId="16" borderId="26" xfId="0" applyFont="1" applyFill="1" applyBorder="1" applyAlignment="1" applyProtection="1"/>
    <xf numFmtId="0" fontId="19" fillId="16" borderId="58" xfId="0" applyFont="1" applyFill="1" applyBorder="1" applyAlignment="1" applyProtection="1"/>
    <xf numFmtId="0" fontId="19" fillId="16" borderId="31" xfId="0" applyFont="1" applyFill="1" applyBorder="1" applyAlignment="1" applyProtection="1"/>
    <xf numFmtId="0" fontId="6" fillId="16" borderId="22" xfId="0" applyFont="1" applyFill="1" applyBorder="1" applyAlignment="1" applyProtection="1">
      <alignment horizontal="center" vertical="center"/>
    </xf>
    <xf numFmtId="0" fontId="6" fillId="33" borderId="86" xfId="0" applyFont="1" applyFill="1" applyBorder="1" applyAlignment="1" applyProtection="1">
      <alignment horizontal="right" vertical="center"/>
    </xf>
    <xf numFmtId="0" fontId="6" fillId="33" borderId="89" xfId="0" applyFont="1" applyFill="1" applyBorder="1" applyAlignment="1" applyProtection="1">
      <alignment horizontal="right" vertical="center"/>
    </xf>
    <xf numFmtId="0" fontId="19" fillId="0" borderId="0" xfId="0" applyFont="1" applyAlignment="1" applyProtection="1">
      <alignment vertical="center"/>
    </xf>
    <xf numFmtId="0" fontId="19" fillId="29" borderId="22" xfId="0" applyFont="1" applyFill="1" applyBorder="1" applyAlignment="1" applyProtection="1">
      <alignment vertical="center"/>
    </xf>
    <xf numFmtId="0" fontId="130" fillId="28" borderId="22" xfId="0" applyFont="1" applyFill="1" applyBorder="1" applyAlignment="1" applyProtection="1">
      <alignment horizontal="center" vertical="center"/>
    </xf>
    <xf numFmtId="0" fontId="130" fillId="28" borderId="47" xfId="0" applyFont="1" applyFill="1" applyBorder="1" applyAlignment="1" applyProtection="1">
      <alignment horizontal="center" vertical="center"/>
    </xf>
    <xf numFmtId="0" fontId="225" fillId="0" borderId="85" xfId="0" applyNumberFormat="1" applyFont="1" applyBorder="1" applyAlignment="1" applyProtection="1">
      <alignment horizontal="center" vertical="center"/>
    </xf>
    <xf numFmtId="0" fontId="225" fillId="4" borderId="86" xfId="0" applyNumberFormat="1" applyFont="1" applyFill="1" applyBorder="1" applyAlignment="1" applyProtection="1">
      <alignment horizontal="left" vertical="center"/>
    </xf>
    <xf numFmtId="0" fontId="225" fillId="0" borderId="86" xfId="0" applyNumberFormat="1" applyFont="1" applyBorder="1" applyAlignment="1" applyProtection="1">
      <alignment horizontal="left" vertical="center"/>
    </xf>
    <xf numFmtId="1" fontId="225" fillId="0" borderId="86" xfId="0" applyNumberFormat="1" applyFont="1" applyBorder="1" applyAlignment="1" applyProtection="1">
      <alignment horizontal="left" vertical="center"/>
    </xf>
    <xf numFmtId="0" fontId="225" fillId="4" borderId="86" xfId="0" applyFont="1" applyFill="1" applyBorder="1" applyAlignment="1" applyProtection="1">
      <alignment horizontal="left" vertical="center"/>
    </xf>
    <xf numFmtId="0" fontId="225" fillId="4" borderId="90" xfId="0" applyFont="1" applyFill="1" applyBorder="1" applyAlignment="1" applyProtection="1">
      <alignment horizontal="left" vertical="center"/>
    </xf>
    <xf numFmtId="0" fontId="225" fillId="4" borderId="86" xfId="0" applyFont="1" applyFill="1" applyBorder="1" applyAlignment="1" applyProtection="1">
      <alignment horizontal="center" vertical="center"/>
    </xf>
    <xf numFmtId="0" fontId="225" fillId="4" borderId="90" xfId="0" applyFont="1" applyFill="1" applyBorder="1" applyAlignment="1" applyProtection="1">
      <alignment horizontal="center" vertical="center"/>
    </xf>
    <xf numFmtId="0" fontId="225" fillId="4" borderId="86" xfId="0" applyNumberFormat="1" applyFont="1" applyFill="1" applyBorder="1" applyAlignment="1" applyProtection="1">
      <alignment horizontal="center" vertical="center"/>
    </xf>
    <xf numFmtId="0" fontId="225" fillId="4" borderId="90" xfId="0" applyNumberFormat="1" applyFont="1" applyFill="1" applyBorder="1" applyAlignment="1" applyProtection="1">
      <alignment horizontal="center" vertical="center"/>
    </xf>
    <xf numFmtId="0" fontId="19" fillId="30" borderId="102" xfId="0" applyFont="1" applyFill="1" applyBorder="1" applyAlignment="1" applyProtection="1">
      <alignment horizontal="center" vertical="center"/>
    </xf>
    <xf numFmtId="0" fontId="19" fillId="30" borderId="85" xfId="0" applyFont="1" applyFill="1" applyBorder="1" applyAlignment="1" applyProtection="1">
      <alignment horizontal="center" vertical="center"/>
    </xf>
    <xf numFmtId="0" fontId="19" fillId="30" borderId="86" xfId="0" applyFont="1" applyFill="1" applyBorder="1" applyAlignment="1" applyProtection="1">
      <alignment horizontal="center" vertical="center"/>
    </xf>
    <xf numFmtId="0" fontId="19" fillId="30" borderId="90" xfId="0" applyFont="1" applyFill="1" applyBorder="1" applyAlignment="1" applyProtection="1">
      <alignment horizontal="center" vertical="center"/>
    </xf>
    <xf numFmtId="0" fontId="19" fillId="30" borderId="47" xfId="0" applyFont="1" applyFill="1" applyBorder="1" applyAlignment="1" applyProtection="1">
      <alignment horizontal="center" vertical="center"/>
    </xf>
    <xf numFmtId="0" fontId="19" fillId="30" borderId="48" xfId="0" applyFont="1" applyFill="1" applyBorder="1" applyAlignment="1" applyProtection="1">
      <alignment horizontal="center" vertical="center"/>
    </xf>
    <xf numFmtId="0" fontId="19" fillId="30" borderId="49" xfId="0" applyFont="1" applyFill="1" applyBorder="1" applyAlignment="1" applyProtection="1">
      <alignment horizontal="center" vertical="center"/>
    </xf>
    <xf numFmtId="0" fontId="19" fillId="30" borderId="22" xfId="0" applyFont="1" applyFill="1" applyBorder="1" applyAlignment="1" applyProtection="1">
      <alignment horizontal="center" vertical="center"/>
    </xf>
    <xf numFmtId="0" fontId="225" fillId="0" borderId="87" xfId="0" applyNumberFormat="1" applyFont="1" applyBorder="1" applyAlignment="1" applyProtection="1">
      <alignment horizontal="center" vertical="center"/>
    </xf>
    <xf numFmtId="0" fontId="225" fillId="4" borderId="0" xfId="0" applyNumberFormat="1" applyFont="1" applyFill="1" applyBorder="1" applyAlignment="1" applyProtection="1">
      <alignment horizontal="left" vertical="center"/>
    </xf>
    <xf numFmtId="0" fontId="225" fillId="0" borderId="0" xfId="0" applyNumberFormat="1" applyFont="1" applyBorder="1" applyAlignment="1" applyProtection="1">
      <alignment horizontal="left" vertical="center"/>
    </xf>
    <xf numFmtId="1" fontId="225" fillId="0" borderId="0" xfId="0" applyNumberFormat="1" applyFont="1" applyBorder="1" applyAlignment="1" applyProtection="1">
      <alignment horizontal="left" vertical="center"/>
    </xf>
    <xf numFmtId="0" fontId="225" fillId="4" borderId="0" xfId="0" applyFont="1" applyFill="1" applyBorder="1" applyAlignment="1" applyProtection="1">
      <alignment horizontal="left" vertical="center"/>
    </xf>
    <xf numFmtId="0" fontId="225" fillId="4" borderId="91" xfId="0" applyFont="1" applyFill="1" applyBorder="1" applyAlignment="1" applyProtection="1">
      <alignment horizontal="left" vertical="center"/>
    </xf>
    <xf numFmtId="0" fontId="225" fillId="4" borderId="0" xfId="0" applyFont="1" applyFill="1" applyBorder="1" applyAlignment="1" applyProtection="1">
      <alignment horizontal="center" vertical="center"/>
    </xf>
    <xf numFmtId="0" fontId="225" fillId="4" borderId="91" xfId="0" applyFont="1" applyFill="1" applyBorder="1" applyAlignment="1" applyProtection="1">
      <alignment horizontal="center" vertical="center"/>
    </xf>
    <xf numFmtId="0" fontId="225" fillId="4" borderId="0" xfId="0" applyNumberFormat="1" applyFont="1" applyFill="1" applyBorder="1" applyAlignment="1" applyProtection="1">
      <alignment horizontal="center" vertical="center"/>
    </xf>
    <xf numFmtId="0" fontId="225" fillId="4" borderId="91" xfId="0" applyNumberFormat="1" applyFont="1" applyFill="1" applyBorder="1" applyAlignment="1" applyProtection="1">
      <alignment horizontal="center" vertical="center"/>
    </xf>
    <xf numFmtId="0" fontId="19" fillId="0" borderId="102" xfId="0" applyFont="1" applyBorder="1" applyAlignment="1" applyProtection="1">
      <alignment vertical="center"/>
    </xf>
    <xf numFmtId="0" fontId="19" fillId="0" borderId="85" xfId="0" applyFont="1" applyBorder="1" applyAlignment="1" applyProtection="1">
      <alignment vertical="center"/>
    </xf>
    <xf numFmtId="0" fontId="19" fillId="0" borderId="86" xfId="0" applyFont="1" applyBorder="1" applyAlignment="1" applyProtection="1">
      <alignment vertical="center"/>
    </xf>
    <xf numFmtId="0" fontId="19" fillId="0" borderId="86" xfId="0" applyFont="1" applyBorder="1" applyAlignment="1" applyProtection="1">
      <alignment horizontal="center" vertical="center"/>
    </xf>
    <xf numFmtId="0" fontId="19" fillId="0" borderId="85" xfId="0" applyFont="1" applyBorder="1" applyAlignment="1" applyProtection="1">
      <alignment horizontal="center" vertical="center"/>
    </xf>
    <xf numFmtId="0" fontId="19" fillId="0" borderId="102" xfId="0" applyFont="1" applyBorder="1" applyAlignment="1" applyProtection="1">
      <alignment horizontal="left" vertical="center"/>
    </xf>
    <xf numFmtId="0" fontId="19" fillId="0" borderId="85" xfId="0" applyFont="1" applyBorder="1" applyAlignment="1" applyProtection="1">
      <alignment horizontal="left" vertical="center"/>
    </xf>
    <xf numFmtId="0" fontId="19" fillId="0" borderId="172" xfId="0" applyFont="1" applyBorder="1" applyAlignment="1" applyProtection="1">
      <alignment vertical="center"/>
    </xf>
    <xf numFmtId="0" fontId="19" fillId="0" borderId="87" xfId="0" applyFont="1" applyBorder="1" applyAlignment="1" applyProtection="1">
      <alignment vertical="center"/>
    </xf>
    <xf numFmtId="0" fontId="19" fillId="0" borderId="172" xfId="0" applyFont="1" applyBorder="1" applyAlignment="1" applyProtection="1">
      <alignment horizontal="left" vertical="center"/>
    </xf>
    <xf numFmtId="0" fontId="19" fillId="0" borderId="87" xfId="0" applyFont="1" applyBorder="1" applyAlignment="1" applyProtection="1">
      <alignment horizontal="left" vertical="center"/>
    </xf>
    <xf numFmtId="1" fontId="225" fillId="4" borderId="0" xfId="0" applyNumberFormat="1" applyFont="1" applyFill="1" applyBorder="1" applyAlignment="1" applyProtection="1">
      <alignment horizontal="left" vertical="center"/>
    </xf>
    <xf numFmtId="1" fontId="225" fillId="4" borderId="91" xfId="0" applyNumberFormat="1" applyFont="1" applyFill="1" applyBorder="1" applyAlignment="1" applyProtection="1">
      <alignment horizontal="left" vertical="center"/>
    </xf>
    <xf numFmtId="1" fontId="225" fillId="4" borderId="0" xfId="0" applyNumberFormat="1" applyFont="1" applyFill="1" applyBorder="1" applyAlignment="1" applyProtection="1">
      <alignment horizontal="center" vertical="center"/>
    </xf>
    <xf numFmtId="1" fontId="225" fillId="4" borderId="91" xfId="0" applyNumberFormat="1" applyFont="1" applyFill="1" applyBorder="1" applyAlignment="1" applyProtection="1">
      <alignment horizontal="center" vertical="center"/>
    </xf>
    <xf numFmtId="0" fontId="158" fillId="0" borderId="87" xfId="0" applyNumberFormat="1" applyFont="1" applyBorder="1" applyAlignment="1" applyProtection="1">
      <alignment horizontal="center" vertical="center"/>
    </xf>
    <xf numFmtId="0" fontId="158" fillId="4" borderId="0" xfId="0" applyNumberFormat="1" applyFont="1" applyFill="1" applyBorder="1" applyAlignment="1" applyProtection="1">
      <alignment horizontal="left" vertical="center"/>
    </xf>
    <xf numFmtId="0" fontId="158" fillId="0" borderId="0" xfId="0" applyNumberFormat="1" applyFont="1" applyBorder="1" applyAlignment="1" applyProtection="1">
      <alignment horizontal="left" vertical="center"/>
    </xf>
    <xf numFmtId="1" fontId="158" fillId="0" borderId="0" xfId="0" applyNumberFormat="1" applyFont="1" applyBorder="1" applyAlignment="1" applyProtection="1">
      <alignment horizontal="left" vertical="center"/>
    </xf>
    <xf numFmtId="0" fontId="158" fillId="4" borderId="0" xfId="0" applyFont="1" applyFill="1" applyBorder="1" applyAlignment="1" applyProtection="1">
      <alignment horizontal="left" vertical="center"/>
    </xf>
    <xf numFmtId="0" fontId="158" fillId="4" borderId="91" xfId="0" applyFont="1" applyFill="1" applyBorder="1" applyAlignment="1" applyProtection="1">
      <alignment horizontal="left" vertical="center"/>
    </xf>
    <xf numFmtId="0" fontId="158" fillId="4" borderId="0" xfId="0" applyFont="1" applyFill="1" applyBorder="1" applyAlignment="1" applyProtection="1">
      <alignment horizontal="center" vertical="center"/>
    </xf>
    <xf numFmtId="0" fontId="158" fillId="4" borderId="91" xfId="0" applyFont="1" applyFill="1" applyBorder="1" applyAlignment="1" applyProtection="1">
      <alignment horizontal="center" vertical="center"/>
    </xf>
    <xf numFmtId="0" fontId="19" fillId="0" borderId="87" xfId="0" applyNumberFormat="1" applyFont="1" applyBorder="1" applyAlignment="1" applyProtection="1">
      <alignment horizontal="center" vertical="center"/>
    </xf>
    <xf numFmtId="49" fontId="19" fillId="4" borderId="0" xfId="0" applyNumberFormat="1" applyFont="1" applyFill="1" applyBorder="1" applyAlignment="1" applyProtection="1">
      <alignment horizontal="left" vertical="center"/>
    </xf>
    <xf numFmtId="0" fontId="19" fillId="4" borderId="0" xfId="0" applyNumberFormat="1" applyFont="1" applyFill="1" applyBorder="1" applyAlignment="1" applyProtection="1">
      <alignment horizontal="left" vertical="center"/>
    </xf>
    <xf numFmtId="49" fontId="19" fillId="0" borderId="0" xfId="0" applyNumberFormat="1" applyFont="1" applyBorder="1" applyAlignment="1" applyProtection="1">
      <alignment horizontal="left" vertical="center"/>
    </xf>
    <xf numFmtId="1" fontId="19" fillId="0" borderId="0" xfId="0" applyNumberFormat="1" applyFont="1" applyBorder="1" applyAlignment="1" applyProtection="1">
      <alignment horizontal="left" vertical="center"/>
    </xf>
    <xf numFmtId="0" fontId="19" fillId="0" borderId="0" xfId="0" applyNumberFormat="1" applyFont="1" applyBorder="1" applyAlignment="1" applyProtection="1">
      <alignment horizontal="left" vertical="center"/>
    </xf>
    <xf numFmtId="0" fontId="19" fillId="4" borderId="0" xfId="0" applyFont="1" applyFill="1" applyBorder="1" applyAlignment="1" applyProtection="1">
      <alignment horizontal="left" vertical="center"/>
    </xf>
    <xf numFmtId="0" fontId="19" fillId="4" borderId="91" xfId="0" applyFont="1" applyFill="1" applyBorder="1" applyAlignment="1" applyProtection="1">
      <alignment horizontal="left" vertical="center"/>
    </xf>
    <xf numFmtId="0" fontId="19" fillId="4" borderId="0" xfId="0" applyFont="1" applyFill="1" applyBorder="1" applyAlignment="1" applyProtection="1">
      <alignment horizontal="center" vertical="center"/>
    </xf>
    <xf numFmtId="0" fontId="19" fillId="4" borderId="91" xfId="0" applyFont="1" applyFill="1" applyBorder="1" applyAlignment="1" applyProtection="1">
      <alignment horizontal="center" vertical="center"/>
    </xf>
    <xf numFmtId="0" fontId="19" fillId="4" borderId="0" xfId="0" applyNumberFormat="1" applyFont="1" applyFill="1" applyBorder="1" applyAlignment="1" applyProtection="1">
      <alignment horizontal="center" vertical="center"/>
    </xf>
    <xf numFmtId="0" fontId="19" fillId="4" borderId="91" xfId="0" applyNumberFormat="1" applyFont="1" applyFill="1" applyBorder="1" applyAlignment="1" applyProtection="1">
      <alignment horizontal="center" vertical="center"/>
    </xf>
    <xf numFmtId="0" fontId="19" fillId="0" borderId="91" xfId="0" applyFont="1" applyBorder="1" applyAlignment="1" applyProtection="1">
      <alignment vertical="center"/>
    </xf>
    <xf numFmtId="0" fontId="19" fillId="0" borderId="88" xfId="0" applyNumberFormat="1" applyFont="1" applyBorder="1" applyAlignment="1" applyProtection="1">
      <alignment horizontal="center" vertical="center"/>
    </xf>
    <xf numFmtId="0" fontId="19" fillId="4" borderId="89" xfId="0" applyNumberFormat="1" applyFont="1" applyFill="1" applyBorder="1" applyAlignment="1" applyProtection="1">
      <alignment horizontal="left" vertical="center"/>
    </xf>
    <xf numFmtId="49" fontId="19" fillId="4" borderId="89" xfId="0" applyNumberFormat="1" applyFont="1" applyFill="1" applyBorder="1" applyAlignment="1" applyProtection="1">
      <alignment horizontal="left" vertical="center"/>
    </xf>
    <xf numFmtId="0" fontId="19" fillId="0" borderId="89" xfId="0" applyNumberFormat="1" applyFont="1" applyBorder="1" applyAlignment="1" applyProtection="1">
      <alignment horizontal="left" vertical="center"/>
    </xf>
    <xf numFmtId="0" fontId="19" fillId="4" borderId="89" xfId="0" applyFont="1" applyFill="1" applyBorder="1" applyAlignment="1" applyProtection="1">
      <alignment horizontal="left" vertical="center"/>
    </xf>
    <xf numFmtId="0" fontId="19" fillId="4" borderId="89" xfId="0" applyFont="1" applyFill="1" applyBorder="1" applyAlignment="1" applyProtection="1">
      <alignment horizontal="center" vertical="center"/>
    </xf>
    <xf numFmtId="0" fontId="19" fillId="4" borderId="92" xfId="0" applyFont="1" applyFill="1" applyBorder="1" applyAlignment="1" applyProtection="1">
      <alignment horizontal="center" vertical="center"/>
    </xf>
    <xf numFmtId="0" fontId="19" fillId="4" borderId="89" xfId="0" applyNumberFormat="1" applyFont="1" applyFill="1" applyBorder="1" applyAlignment="1" applyProtection="1">
      <alignment horizontal="center" vertical="center"/>
    </xf>
    <xf numFmtId="0" fontId="19" fillId="4" borderId="92" xfId="0" applyNumberFormat="1" applyFont="1" applyFill="1" applyBorder="1" applyAlignment="1" applyProtection="1">
      <alignment horizontal="center" vertical="center"/>
    </xf>
    <xf numFmtId="0" fontId="19" fillId="0" borderId="146" xfId="0" applyFont="1" applyBorder="1" applyAlignment="1" applyProtection="1">
      <alignment vertical="center"/>
    </xf>
    <xf numFmtId="0" fontId="19" fillId="0" borderId="88" xfId="0" applyFont="1" applyBorder="1" applyAlignment="1" applyProtection="1">
      <alignment vertical="center"/>
    </xf>
    <xf numFmtId="0" fontId="19" fillId="0" borderId="89" xfId="0" applyFont="1" applyBorder="1" applyAlignment="1" applyProtection="1">
      <alignment vertical="center"/>
    </xf>
    <xf numFmtId="0" fontId="19" fillId="0" borderId="92" xfId="0" applyFont="1" applyBorder="1" applyAlignment="1" applyProtection="1">
      <alignment vertical="center"/>
    </xf>
    <xf numFmtId="0" fontId="19" fillId="0" borderId="146" xfId="0" applyFont="1" applyBorder="1" applyAlignment="1" applyProtection="1">
      <alignment horizontal="left" vertical="center"/>
    </xf>
    <xf numFmtId="0" fontId="19" fillId="0" borderId="88" xfId="0" applyFont="1" applyBorder="1" applyAlignment="1" applyProtection="1">
      <alignment horizontal="left" vertical="center"/>
    </xf>
    <xf numFmtId="0" fontId="87" fillId="0" borderId="86" xfId="0" applyFont="1" applyBorder="1" applyAlignment="1" applyProtection="1">
      <alignment horizontal="center" vertical="center"/>
    </xf>
    <xf numFmtId="0" fontId="87" fillId="0" borderId="86" xfId="0" applyFont="1" applyBorder="1" applyAlignment="1" applyProtection="1">
      <alignment horizontal="left" vertical="center"/>
    </xf>
    <xf numFmtId="0" fontId="296" fillId="0" borderId="86" xfId="0" applyFont="1" applyBorder="1" applyAlignment="1" applyProtection="1">
      <alignment horizontal="left" vertical="center"/>
    </xf>
    <xf numFmtId="0" fontId="9" fillId="13" borderId="86" xfId="0" applyFont="1" applyFill="1" applyBorder="1" applyAlignment="1" applyProtection="1">
      <alignment horizontal="left" vertical="center"/>
    </xf>
    <xf numFmtId="0" fontId="9" fillId="13" borderId="90" xfId="0" applyFont="1" applyFill="1" applyBorder="1" applyAlignment="1" applyProtection="1">
      <alignment horizontal="left" vertical="center"/>
    </xf>
    <xf numFmtId="0" fontId="158" fillId="0" borderId="0" xfId="0" applyFont="1" applyAlignment="1" applyProtection="1">
      <alignment horizontal="center" vertical="center"/>
    </xf>
    <xf numFmtId="0" fontId="158" fillId="0" borderId="47" xfId="0" applyFont="1" applyBorder="1" applyAlignment="1" applyProtection="1">
      <alignment horizontal="center" vertical="center"/>
    </xf>
    <xf numFmtId="0" fontId="158" fillId="0" borderId="48" xfId="0" applyFont="1" applyBorder="1" applyAlignment="1" applyProtection="1">
      <alignment horizontal="center" vertical="center"/>
    </xf>
    <xf numFmtId="0" fontId="158" fillId="0" borderId="49" xfId="0" applyFont="1" applyBorder="1" applyAlignment="1" applyProtection="1">
      <alignment horizontal="center" vertical="center"/>
    </xf>
    <xf numFmtId="0" fontId="148" fillId="0" borderId="86" xfId="0" applyFont="1" applyBorder="1" applyAlignment="1" applyProtection="1">
      <alignment horizontal="center" vertical="center"/>
    </xf>
    <xf numFmtId="0" fontId="296" fillId="4" borderId="86" xfId="0" applyFont="1" applyFill="1" applyBorder="1" applyAlignment="1" applyProtection="1">
      <alignment horizontal="center" vertical="center"/>
    </xf>
    <xf numFmtId="1" fontId="9" fillId="13" borderId="86" xfId="0" applyNumberFormat="1" applyFont="1" applyFill="1" applyBorder="1" applyAlignment="1" applyProtection="1">
      <alignment horizontal="center" vertical="center"/>
    </xf>
    <xf numFmtId="1" fontId="9" fillId="4" borderId="86" xfId="0" applyNumberFormat="1" applyFont="1" applyFill="1" applyBorder="1" applyAlignment="1" applyProtection="1">
      <alignment horizontal="center" vertical="center"/>
    </xf>
    <xf numFmtId="0" fontId="19" fillId="0" borderId="86" xfId="0" applyFont="1" applyBorder="1" applyAlignment="1" applyProtection="1">
      <alignment horizontal="left" vertical="center"/>
    </xf>
    <xf numFmtId="0" fontId="297" fillId="0" borderId="86" xfId="0" applyFont="1" applyBorder="1" applyAlignment="1" applyProtection="1">
      <alignment horizontal="left" vertical="center"/>
    </xf>
    <xf numFmtId="0" fontId="158" fillId="0" borderId="86" xfId="0" applyFont="1" applyBorder="1" applyAlignment="1" applyProtection="1">
      <alignment horizontal="left" vertical="center"/>
    </xf>
    <xf numFmtId="0" fontId="298" fillId="0" borderId="86" xfId="0" applyFont="1" applyBorder="1" applyAlignment="1" applyProtection="1">
      <alignment horizontal="left" vertical="center"/>
    </xf>
    <xf numFmtId="0" fontId="299" fillId="0" borderId="86" xfId="0" applyFont="1" applyBorder="1" applyAlignment="1" applyProtection="1">
      <alignment horizontal="left" vertical="center"/>
    </xf>
    <xf numFmtId="0" fontId="300" fillId="0" borderId="86" xfId="0" applyFont="1" applyBorder="1" applyAlignment="1" applyProtection="1">
      <alignment horizontal="left" vertical="center"/>
    </xf>
    <xf numFmtId="0" fontId="299" fillId="0" borderId="85" xfId="0" applyFont="1" applyBorder="1" applyAlignment="1" applyProtection="1">
      <alignment horizontal="center" vertical="center"/>
    </xf>
    <xf numFmtId="0" fontId="299" fillId="4" borderId="86" xfId="0" applyFont="1" applyFill="1" applyBorder="1" applyAlignment="1" applyProtection="1">
      <alignment horizontal="left" vertical="center"/>
    </xf>
    <xf numFmtId="0" fontId="299" fillId="4" borderId="90" xfId="0" applyFont="1" applyFill="1" applyBorder="1" applyAlignment="1" applyProtection="1">
      <alignment horizontal="left" vertical="center"/>
    </xf>
    <xf numFmtId="1" fontId="19" fillId="4" borderId="86" xfId="0" applyNumberFormat="1" applyFont="1" applyFill="1" applyBorder="1" applyAlignment="1" applyProtection="1">
      <alignment horizontal="center" vertical="center"/>
    </xf>
    <xf numFmtId="0" fontId="19" fillId="4" borderId="86" xfId="0" applyFont="1" applyFill="1" applyBorder="1" applyAlignment="1" applyProtection="1">
      <alignment horizontal="center" vertical="center"/>
    </xf>
    <xf numFmtId="0" fontId="19" fillId="4" borderId="90" xfId="0" applyFont="1" applyFill="1" applyBorder="1" applyAlignment="1" applyProtection="1">
      <alignment horizontal="center" vertical="center"/>
    </xf>
    <xf numFmtId="49" fontId="19" fillId="4" borderId="86" xfId="0" applyNumberFormat="1" applyFont="1" applyFill="1" applyBorder="1" applyAlignment="1" applyProtection="1">
      <alignment horizontal="left" vertical="center"/>
    </xf>
    <xf numFmtId="49" fontId="19" fillId="4" borderId="90" xfId="0" applyNumberFormat="1" applyFont="1" applyFill="1" applyBorder="1" applyAlignment="1" applyProtection="1">
      <alignment horizontal="left" vertical="center"/>
    </xf>
    <xf numFmtId="0" fontId="148" fillId="0" borderId="0" xfId="0" applyFont="1" applyBorder="1" applyAlignment="1" applyProtection="1">
      <alignment horizontal="center" vertical="center"/>
    </xf>
    <xf numFmtId="0" fontId="296" fillId="4" borderId="0" xfId="0" applyFont="1" applyFill="1" applyBorder="1" applyAlignment="1" applyProtection="1">
      <alignment horizontal="center" vertical="center"/>
    </xf>
    <xf numFmtId="1" fontId="9" fillId="13" borderId="0" xfId="0" applyNumberFormat="1" applyFont="1" applyFill="1" applyBorder="1" applyAlignment="1" applyProtection="1">
      <alignment horizontal="center" vertical="center"/>
    </xf>
    <xf numFmtId="1" fontId="9" fillId="4" borderId="0" xfId="0" applyNumberFormat="1" applyFont="1" applyFill="1" applyBorder="1" applyAlignment="1" applyProtection="1">
      <alignment horizontal="center" vertical="center"/>
    </xf>
    <xf numFmtId="1" fontId="19" fillId="4" borderId="91" xfId="0" applyNumberFormat="1" applyFont="1" applyFill="1" applyBorder="1" applyAlignment="1" applyProtection="1">
      <alignment horizontal="center" vertical="center"/>
    </xf>
    <xf numFmtId="0" fontId="297" fillId="0" borderId="0" xfId="0" applyFont="1" applyBorder="1" applyAlignment="1" applyProtection="1">
      <alignment horizontal="left" vertical="center"/>
    </xf>
    <xf numFmtId="0" fontId="158" fillId="0" borderId="0" xfId="0" applyFont="1" applyBorder="1" applyAlignment="1" applyProtection="1">
      <alignment horizontal="left" vertical="center"/>
    </xf>
    <xf numFmtId="0" fontId="298" fillId="0" borderId="0" xfId="0" applyFont="1" applyBorder="1" applyAlignment="1" applyProtection="1">
      <alignment horizontal="left" vertical="center"/>
    </xf>
    <xf numFmtId="0" fontId="299" fillId="0" borderId="0" xfId="0" applyFont="1" applyBorder="1" applyAlignment="1" applyProtection="1">
      <alignment horizontal="left" vertical="center"/>
    </xf>
    <xf numFmtId="0" fontId="300" fillId="0" borderId="0" xfId="0" applyFont="1" applyBorder="1" applyAlignment="1" applyProtection="1">
      <alignment horizontal="left" vertical="center"/>
    </xf>
    <xf numFmtId="0" fontId="299" fillId="0" borderId="87" xfId="0" applyFont="1" applyBorder="1" applyAlignment="1" applyProtection="1">
      <alignment horizontal="center" vertical="center"/>
    </xf>
    <xf numFmtId="0" fontId="299" fillId="4" borderId="0" xfId="0" applyFont="1" applyFill="1" applyBorder="1" applyAlignment="1" applyProtection="1">
      <alignment horizontal="left" vertical="center"/>
    </xf>
    <xf numFmtId="49" fontId="19" fillId="4" borderId="91" xfId="0" applyNumberFormat="1" applyFont="1" applyFill="1" applyBorder="1" applyAlignment="1" applyProtection="1">
      <alignment horizontal="left" vertical="center"/>
    </xf>
    <xf numFmtId="1" fontId="19" fillId="4" borderId="0" xfId="0" applyNumberFormat="1" applyFont="1" applyFill="1" applyBorder="1" applyAlignment="1" applyProtection="1">
      <alignment horizontal="center" vertical="center"/>
    </xf>
    <xf numFmtId="0" fontId="158" fillId="0" borderId="86" xfId="0" applyFont="1" applyBorder="1" applyAlignment="1" applyProtection="1">
      <alignment horizontal="center" vertical="center"/>
    </xf>
    <xf numFmtId="0" fontId="158" fillId="0" borderId="90" xfId="0" applyFont="1" applyBorder="1" applyAlignment="1" applyProtection="1">
      <alignment horizontal="center" vertical="center"/>
    </xf>
    <xf numFmtId="1" fontId="296" fillId="4" borderId="0" xfId="0" applyNumberFormat="1" applyFont="1" applyFill="1" applyBorder="1" applyAlignment="1" applyProtection="1">
      <alignment horizontal="center" vertical="center"/>
    </xf>
    <xf numFmtId="1" fontId="299" fillId="4" borderId="0" xfId="0" applyNumberFormat="1" applyFont="1" applyFill="1" applyBorder="1" applyAlignment="1" applyProtection="1">
      <alignment horizontal="left" vertical="center"/>
    </xf>
    <xf numFmtId="0" fontId="19" fillId="4" borderId="91" xfId="0" applyNumberFormat="1" applyFont="1" applyFill="1" applyBorder="1" applyAlignment="1" applyProtection="1">
      <alignment horizontal="left" vertical="center"/>
    </xf>
    <xf numFmtId="0" fontId="148" fillId="0" borderId="89" xfId="0" applyFont="1" applyBorder="1" applyAlignment="1" applyProtection="1">
      <alignment horizontal="center" vertical="center"/>
    </xf>
    <xf numFmtId="0" fontId="296" fillId="4" borderId="89" xfId="0" applyFont="1" applyFill="1" applyBorder="1" applyAlignment="1" applyProtection="1">
      <alignment horizontal="center" vertical="center"/>
    </xf>
    <xf numFmtId="1" fontId="9" fillId="13" borderId="89" xfId="0" applyNumberFormat="1" applyFont="1" applyFill="1" applyBorder="1" applyAlignment="1" applyProtection="1">
      <alignment horizontal="center" vertical="center"/>
    </xf>
    <xf numFmtId="1" fontId="9" fillId="4" borderId="89" xfId="0" applyNumberFormat="1" applyFont="1" applyFill="1" applyBorder="1" applyAlignment="1" applyProtection="1">
      <alignment horizontal="center" vertical="center"/>
    </xf>
    <xf numFmtId="0" fontId="19" fillId="0" borderId="89" xfId="0" applyFont="1" applyBorder="1" applyAlignment="1" applyProtection="1">
      <alignment horizontal="left" vertical="center"/>
    </xf>
    <xf numFmtId="0" fontId="297" fillId="0" borderId="89" xfId="0" applyFont="1" applyBorder="1" applyAlignment="1" applyProtection="1">
      <alignment horizontal="left" vertical="center"/>
    </xf>
    <xf numFmtId="0" fontId="158" fillId="0" borderId="89" xfId="0" applyFont="1" applyBorder="1" applyAlignment="1" applyProtection="1">
      <alignment horizontal="left" vertical="center"/>
    </xf>
    <xf numFmtId="0" fontId="298" fillId="0" borderId="89" xfId="0" applyFont="1" applyBorder="1" applyAlignment="1" applyProtection="1">
      <alignment horizontal="left" vertical="center"/>
    </xf>
    <xf numFmtId="0" fontId="299" fillId="0" borderId="89" xfId="0" applyFont="1" applyBorder="1" applyAlignment="1" applyProtection="1">
      <alignment horizontal="left" vertical="center"/>
    </xf>
    <xf numFmtId="0" fontId="300" fillId="0" borderId="89" xfId="0" applyFont="1" applyBorder="1" applyAlignment="1" applyProtection="1">
      <alignment horizontal="left" vertical="center"/>
    </xf>
    <xf numFmtId="0" fontId="299" fillId="0" borderId="88" xfId="0" applyFont="1" applyBorder="1" applyAlignment="1" applyProtection="1">
      <alignment horizontal="center" vertical="center"/>
    </xf>
    <xf numFmtId="0" fontId="299" fillId="4" borderId="89" xfId="0" applyFont="1" applyFill="1" applyBorder="1" applyAlignment="1" applyProtection="1">
      <alignment horizontal="left" vertical="center"/>
    </xf>
    <xf numFmtId="0" fontId="19" fillId="4" borderId="92" xfId="0" applyNumberFormat="1" applyFont="1" applyFill="1" applyBorder="1" applyAlignment="1" applyProtection="1">
      <alignment horizontal="left" vertical="center"/>
    </xf>
    <xf numFmtId="0" fontId="225" fillId="0" borderId="88" xfId="0" applyFont="1" applyBorder="1" applyAlignment="1" applyProtection="1">
      <alignment horizontal="center" vertical="center"/>
    </xf>
    <xf numFmtId="0" fontId="158" fillId="0" borderId="89" xfId="0" applyFont="1" applyBorder="1" applyAlignment="1" applyProtection="1">
      <alignment horizontal="center" vertical="center"/>
    </xf>
    <xf numFmtId="0" fontId="225" fillId="0" borderId="89" xfId="0" applyFont="1" applyBorder="1" applyAlignment="1" applyProtection="1">
      <alignment horizontal="center" vertical="center"/>
    </xf>
    <xf numFmtId="0" fontId="158" fillId="0" borderId="92" xfId="0" applyFont="1" applyBorder="1" applyAlignment="1" applyProtection="1">
      <alignment horizontal="center" vertical="center"/>
    </xf>
    <xf numFmtId="0" fontId="225" fillId="0" borderId="47" xfId="0" applyFont="1" applyBorder="1" applyAlignment="1" applyProtection="1">
      <alignment horizontal="center" vertical="center"/>
    </xf>
    <xf numFmtId="0" fontId="225" fillId="0" borderId="48" xfId="0" applyFont="1" applyBorder="1" applyAlignment="1" applyProtection="1">
      <alignment horizontal="center" vertical="center"/>
    </xf>
    <xf numFmtId="0" fontId="9" fillId="33" borderId="48" xfId="0" applyFont="1" applyFill="1" applyBorder="1" applyAlignment="1" applyProtection="1">
      <alignment horizontal="right"/>
    </xf>
    <xf numFmtId="0" fontId="9" fillId="33" borderId="48" xfId="0" applyFont="1" applyFill="1" applyBorder="1" applyAlignment="1" applyProtection="1">
      <alignment horizontal="center"/>
    </xf>
    <xf numFmtId="0" fontId="9" fillId="33" borderId="48" xfId="0" applyFont="1" applyFill="1" applyBorder="1" applyProtection="1"/>
    <xf numFmtId="0" fontId="9" fillId="16" borderId="48" xfId="0" applyFont="1" applyFill="1" applyBorder="1" applyAlignment="1" applyProtection="1">
      <alignment vertical="center"/>
    </xf>
    <xf numFmtId="0" fontId="9" fillId="16" borderId="48" xfId="0" applyFont="1" applyFill="1" applyBorder="1" applyAlignment="1" applyProtection="1">
      <alignment horizontal="right" vertical="center"/>
    </xf>
    <xf numFmtId="0" fontId="9" fillId="16" borderId="0" xfId="0" applyFont="1" applyFill="1" applyBorder="1" applyProtection="1"/>
    <xf numFmtId="0" fontId="9" fillId="33" borderId="48" xfId="0" applyFont="1" applyFill="1" applyBorder="1" applyAlignment="1" applyProtection="1">
      <alignment vertical="center" wrapText="1"/>
    </xf>
    <xf numFmtId="0" fontId="9" fillId="33" borderId="48" xfId="0" applyFont="1" applyFill="1" applyBorder="1" applyAlignment="1" applyProtection="1">
      <alignment horizontal="right" vertical="center"/>
    </xf>
    <xf numFmtId="0" fontId="31" fillId="16" borderId="91" xfId="0" applyFont="1" applyFill="1" applyBorder="1" applyAlignment="1" applyProtection="1"/>
    <xf numFmtId="0" fontId="10" fillId="16" borderId="89" xfId="0" applyFont="1" applyFill="1" applyBorder="1" applyAlignment="1" applyProtection="1">
      <alignment vertical="top"/>
    </xf>
    <xf numFmtId="0" fontId="10" fillId="16" borderId="92" xfId="0" applyFont="1" applyFill="1" applyBorder="1" applyAlignment="1" applyProtection="1">
      <alignment vertical="top"/>
    </xf>
    <xf numFmtId="0" fontId="131" fillId="16" borderId="87" xfId="0" applyFont="1" applyFill="1" applyBorder="1" applyAlignment="1" applyProtection="1"/>
    <xf numFmtId="0" fontId="131" fillId="16" borderId="0" xfId="0" applyFont="1" applyFill="1" applyBorder="1" applyAlignment="1" applyProtection="1"/>
    <xf numFmtId="0" fontId="149" fillId="16" borderId="88" xfId="0" applyFont="1" applyFill="1" applyBorder="1" applyAlignment="1" applyProtection="1">
      <alignment vertical="top"/>
    </xf>
    <xf numFmtId="0" fontId="149" fillId="16" borderId="89" xfId="0" applyFont="1" applyFill="1" applyBorder="1" applyAlignment="1" applyProtection="1">
      <alignment vertical="top"/>
    </xf>
    <xf numFmtId="0" fontId="10" fillId="16" borderId="85" xfId="0" applyFont="1" applyFill="1" applyBorder="1" applyAlignment="1" applyProtection="1">
      <alignment vertical="center"/>
    </xf>
    <xf numFmtId="0" fontId="10" fillId="16" borderId="0" xfId="0" applyFont="1" applyFill="1" applyBorder="1" applyAlignment="1" applyProtection="1">
      <alignment vertical="top"/>
    </xf>
    <xf numFmtId="0" fontId="9" fillId="33" borderId="86" xfId="0" applyFont="1" applyFill="1" applyBorder="1" applyAlignment="1" applyProtection="1">
      <alignment vertical="center"/>
    </xf>
    <xf numFmtId="0" fontId="6" fillId="33" borderId="86" xfId="0" applyFont="1" applyFill="1" applyBorder="1" applyAlignment="1" applyProtection="1">
      <alignment vertical="center"/>
    </xf>
    <xf numFmtId="0" fontId="6" fillId="33" borderId="90" xfId="0" applyFont="1" applyFill="1" applyBorder="1" applyAlignment="1" applyProtection="1">
      <alignment vertical="center"/>
    </xf>
    <xf numFmtId="0" fontId="9" fillId="33" borderId="89" xfId="0" applyFont="1" applyFill="1" applyBorder="1" applyAlignment="1" applyProtection="1">
      <alignment vertical="center"/>
    </xf>
    <xf numFmtId="0" fontId="6" fillId="33" borderId="89" xfId="0" applyFont="1" applyFill="1" applyBorder="1" applyAlignment="1" applyProtection="1">
      <alignment vertical="center"/>
    </xf>
    <xf numFmtId="0" fontId="6" fillId="33" borderId="92" xfId="0" applyFont="1" applyFill="1" applyBorder="1" applyAlignment="1" applyProtection="1">
      <alignment vertical="center"/>
    </xf>
    <xf numFmtId="0" fontId="9" fillId="16" borderId="47" xfId="0" applyFont="1" applyFill="1" applyBorder="1" applyAlignment="1" applyProtection="1">
      <alignment horizontal="right" vertical="center"/>
      <protection locked="0"/>
    </xf>
    <xf numFmtId="0" fontId="9" fillId="16" borderId="48" xfId="0" applyFont="1" applyFill="1" applyBorder="1" applyAlignment="1" applyProtection="1">
      <alignment vertical="center"/>
      <protection locked="0"/>
    </xf>
    <xf numFmtId="0" fontId="9" fillId="16" borderId="48" xfId="0" applyFont="1" applyFill="1" applyBorder="1" applyAlignment="1" applyProtection="1">
      <alignment horizontal="right" vertical="center"/>
      <protection locked="0"/>
    </xf>
    <xf numFmtId="0" fontId="9" fillId="16" borderId="49" xfId="0" applyFont="1" applyFill="1" applyBorder="1" applyAlignment="1" applyProtection="1">
      <alignment vertical="center"/>
      <protection locked="0"/>
    </xf>
    <xf numFmtId="0" fontId="130" fillId="16" borderId="30" xfId="0" applyFont="1" applyFill="1" applyBorder="1" applyAlignment="1" applyProtection="1">
      <alignment vertical="center"/>
    </xf>
    <xf numFmtId="0" fontId="133" fillId="16" borderId="30" xfId="0" applyFont="1" applyFill="1" applyBorder="1" applyAlignment="1" applyProtection="1">
      <alignment vertical="center"/>
    </xf>
    <xf numFmtId="0" fontId="131" fillId="16" borderId="0" xfId="0" applyFont="1" applyFill="1" applyBorder="1" applyAlignment="1" applyProtection="1">
      <alignment horizontal="right"/>
    </xf>
    <xf numFmtId="0" fontId="31" fillId="16" borderId="26" xfId="0" applyFont="1" applyFill="1" applyBorder="1" applyProtection="1"/>
    <xf numFmtId="0" fontId="31" fillId="0" borderId="0" xfId="0" applyFont="1" applyAlignment="1" applyProtection="1">
      <alignment horizontal="right"/>
    </xf>
    <xf numFmtId="0" fontId="14" fillId="16" borderId="39" xfId="0" applyFont="1" applyFill="1" applyBorder="1" applyAlignment="1" applyProtection="1">
      <alignment vertical="center"/>
    </xf>
    <xf numFmtId="0" fontId="14" fillId="16" borderId="40" xfId="0" applyFont="1" applyFill="1" applyBorder="1" applyAlignment="1" applyProtection="1">
      <alignment vertical="center"/>
    </xf>
    <xf numFmtId="0" fontId="9" fillId="33" borderId="489" xfId="0" applyFont="1" applyFill="1" applyBorder="1" applyProtection="1"/>
    <xf numFmtId="0" fontId="9" fillId="33" borderId="490" xfId="0" applyFont="1" applyFill="1" applyBorder="1" applyProtection="1"/>
    <xf numFmtId="0" fontId="9" fillId="33" borderId="490" xfId="0" applyFont="1" applyFill="1" applyBorder="1" applyAlignment="1" applyProtection="1">
      <alignment horizontal="center"/>
    </xf>
    <xf numFmtId="0" fontId="9" fillId="33" borderId="490" xfId="0" applyFont="1" applyFill="1" applyBorder="1" applyAlignment="1" applyProtection="1">
      <alignment horizontal="right"/>
    </xf>
    <xf numFmtId="0" fontId="21" fillId="33" borderId="491" xfId="0" applyFont="1" applyFill="1" applyBorder="1" applyProtection="1"/>
    <xf numFmtId="1" fontId="19" fillId="4" borderId="90" xfId="0" applyNumberFormat="1" applyFont="1" applyFill="1" applyBorder="1" applyAlignment="1" applyProtection="1">
      <alignment horizontal="left" vertical="center"/>
    </xf>
    <xf numFmtId="1" fontId="19" fillId="4" borderId="91" xfId="0" applyNumberFormat="1" applyFont="1" applyFill="1" applyBorder="1" applyAlignment="1" applyProtection="1">
      <alignment horizontal="left" vertical="center"/>
    </xf>
    <xf numFmtId="1" fontId="19" fillId="4" borderId="92" xfId="0" applyNumberFormat="1" applyFont="1" applyFill="1" applyBorder="1" applyAlignment="1" applyProtection="1">
      <alignment horizontal="left" vertical="center"/>
    </xf>
    <xf numFmtId="1" fontId="31" fillId="0" borderId="496" xfId="0" applyNumberFormat="1" applyFont="1" applyBorder="1" applyAlignment="1" applyProtection="1">
      <alignment horizontal="center" vertical="center" wrapText="1"/>
    </xf>
    <xf numFmtId="1" fontId="31" fillId="0" borderId="497" xfId="0" applyNumberFormat="1" applyFont="1" applyBorder="1" applyAlignment="1" applyProtection="1">
      <alignment horizontal="center" vertical="center" wrapText="1"/>
    </xf>
    <xf numFmtId="1" fontId="31" fillId="0" borderId="498" xfId="0" applyNumberFormat="1" applyFont="1" applyBorder="1" applyAlignment="1" applyProtection="1">
      <alignment horizontal="center" vertical="center" wrapText="1"/>
    </xf>
    <xf numFmtId="1" fontId="31" fillId="0" borderId="499" xfId="0" applyNumberFormat="1" applyFont="1" applyBorder="1" applyAlignment="1" applyProtection="1">
      <alignment horizontal="center" vertical="center" wrapText="1"/>
    </xf>
    <xf numFmtId="49" fontId="163" fillId="0" borderId="260" xfId="0" applyNumberFormat="1" applyFont="1" applyBorder="1" applyAlignment="1" applyProtection="1">
      <alignment vertical="center"/>
    </xf>
    <xf numFmtId="0" fontId="167" fillId="0" borderId="260" xfId="0" applyFont="1" applyFill="1" applyBorder="1" applyAlignment="1" applyProtection="1">
      <alignment vertical="center"/>
    </xf>
    <xf numFmtId="0" fontId="167" fillId="0" borderId="225" xfId="0" applyFont="1" applyFill="1" applyBorder="1" applyAlignment="1" applyProtection="1">
      <alignment vertical="center" wrapText="1" shrinkToFit="1"/>
      <protection locked="0"/>
    </xf>
    <xf numFmtId="0" fontId="167" fillId="0" borderId="261" xfId="0" applyFont="1" applyFill="1" applyBorder="1" applyAlignment="1" applyProtection="1">
      <alignment vertical="center" wrapText="1" shrinkToFit="1"/>
      <protection locked="0"/>
    </xf>
    <xf numFmtId="0" fontId="167" fillId="0" borderId="261" xfId="0" applyFont="1" applyFill="1" applyBorder="1" applyAlignment="1" applyProtection="1">
      <alignment vertical="center"/>
      <protection locked="0"/>
    </xf>
    <xf numFmtId="0" fontId="167" fillId="0" borderId="260" xfId="0" applyFont="1" applyBorder="1" applyAlignment="1" applyProtection="1">
      <alignment vertical="center"/>
    </xf>
    <xf numFmtId="0" fontId="167" fillId="0" borderId="261" xfId="0" applyFont="1" applyBorder="1" applyAlignment="1" applyProtection="1">
      <alignment vertical="center"/>
      <protection locked="0"/>
    </xf>
    <xf numFmtId="0" fontId="167" fillId="0" borderId="225" xfId="0" applyFont="1" applyBorder="1" applyAlignment="1" applyProtection="1">
      <alignment vertical="center"/>
      <protection locked="0"/>
    </xf>
    <xf numFmtId="0" fontId="26" fillId="16" borderId="30" xfId="0" applyFont="1" applyFill="1" applyBorder="1" applyAlignment="1" applyProtection="1">
      <protection locked="0"/>
    </xf>
    <xf numFmtId="0" fontId="9" fillId="16" borderId="0" xfId="1" applyFont="1" applyFill="1" applyAlignment="1" applyProtection="1">
      <alignment vertical="center"/>
    </xf>
    <xf numFmtId="0" fontId="6" fillId="0" borderId="31" xfId="0" applyFont="1" applyBorder="1" applyAlignment="1" applyProtection="1">
      <alignment vertical="center"/>
    </xf>
    <xf numFmtId="1" fontId="15" fillId="0" borderId="494" xfId="0" applyNumberFormat="1" applyFont="1" applyBorder="1" applyAlignment="1" applyProtection="1">
      <alignment horizontal="center" vertical="center" wrapText="1"/>
    </xf>
    <xf numFmtId="1" fontId="15" fillId="0" borderId="495" xfId="0" applyNumberFormat="1" applyFont="1" applyBorder="1" applyAlignment="1" applyProtection="1">
      <alignment horizontal="center" vertical="center" wrapText="1"/>
    </xf>
    <xf numFmtId="1" fontId="170" fillId="0" borderId="494" xfId="0" applyNumberFormat="1" applyFont="1" applyBorder="1" applyAlignment="1" applyProtection="1">
      <alignment horizontal="center" vertical="center" wrapText="1"/>
    </xf>
    <xf numFmtId="1" fontId="170" fillId="0" borderId="495" xfId="0" applyNumberFormat="1" applyFont="1" applyBorder="1" applyAlignment="1" applyProtection="1">
      <alignment horizontal="center" vertical="center" wrapText="1"/>
    </xf>
    <xf numFmtId="0" fontId="0" fillId="0" borderId="509" xfId="0" applyBorder="1" applyProtection="1"/>
    <xf numFmtId="1" fontId="31" fillId="0" borderId="141" xfId="0" applyNumberFormat="1" applyFont="1" applyBorder="1" applyAlignment="1" applyProtection="1">
      <alignment horizontal="center" vertical="center" wrapText="1"/>
    </xf>
    <xf numFmtId="0" fontId="19" fillId="0" borderId="510" xfId="0" applyFont="1" applyBorder="1" applyAlignment="1" applyProtection="1">
      <alignment vertical="center"/>
    </xf>
    <xf numFmtId="0" fontId="31" fillId="0" borderId="307" xfId="0" applyFont="1" applyBorder="1" applyAlignment="1" applyProtection="1">
      <alignment vertical="center" wrapText="1"/>
    </xf>
    <xf numFmtId="0" fontId="31" fillId="0" borderId="511" xfId="0" applyFont="1" applyBorder="1" applyAlignment="1" applyProtection="1">
      <alignment vertical="center" wrapText="1"/>
    </xf>
    <xf numFmtId="0" fontId="131" fillId="0" borderId="86" xfId="0" applyFont="1" applyBorder="1" applyAlignment="1" applyProtection="1">
      <alignment horizontal="center" vertical="center"/>
    </xf>
    <xf numFmtId="0" fontId="131" fillId="0" borderId="141" xfId="0" applyFont="1" applyBorder="1" applyAlignment="1" applyProtection="1">
      <alignment horizontal="center" vertical="center"/>
    </xf>
    <xf numFmtId="0" fontId="31" fillId="0" borderId="86" xfId="0" applyFont="1" applyBorder="1" applyAlignment="1" applyProtection="1">
      <alignment horizontal="center" vertical="center"/>
    </xf>
    <xf numFmtId="1" fontId="170" fillId="0" borderId="512" xfId="0" applyNumberFormat="1" applyFont="1" applyBorder="1" applyAlignment="1" applyProtection="1">
      <alignment horizontal="center" vertical="center" wrapText="1"/>
    </xf>
    <xf numFmtId="1" fontId="170" fillId="0" borderId="513" xfId="0" applyNumberFormat="1" applyFont="1" applyBorder="1" applyAlignment="1" applyProtection="1">
      <alignment horizontal="center" vertical="center" wrapText="1"/>
    </xf>
    <xf numFmtId="0" fontId="0" fillId="0" borderId="516" xfId="0" applyBorder="1" applyProtection="1"/>
    <xf numFmtId="1" fontId="131" fillId="0" borderId="517" xfId="0" applyNumberFormat="1" applyFont="1" applyBorder="1" applyAlignment="1" applyProtection="1">
      <alignment horizontal="center" vertical="center" wrapText="1"/>
    </xf>
    <xf numFmtId="1" fontId="131" fillId="0" borderId="518" xfId="0" applyNumberFormat="1" applyFont="1" applyBorder="1" applyAlignment="1" applyProtection="1">
      <alignment horizontal="center" vertical="center" wrapText="1"/>
    </xf>
    <xf numFmtId="0" fontId="0" fillId="0" borderId="519" xfId="0" applyBorder="1" applyProtection="1"/>
    <xf numFmtId="1" fontId="170" fillId="0" borderId="520" xfId="0" applyNumberFormat="1" applyFont="1" applyBorder="1" applyAlignment="1" applyProtection="1">
      <alignment horizontal="center" vertical="center" wrapText="1"/>
    </xf>
    <xf numFmtId="1" fontId="170" fillId="0" borderId="521" xfId="0" applyNumberFormat="1" applyFont="1" applyBorder="1" applyAlignment="1" applyProtection="1">
      <alignment horizontal="center" vertical="center" wrapText="1"/>
    </xf>
    <xf numFmtId="0" fontId="0" fillId="0" borderId="522" xfId="0" applyBorder="1" applyProtection="1"/>
    <xf numFmtId="0" fontId="131" fillId="0" borderId="324" xfId="0" applyFont="1" applyBorder="1" applyAlignment="1" applyProtection="1">
      <alignment horizontal="center" vertical="center"/>
    </xf>
    <xf numFmtId="0" fontId="31" fillId="0" borderId="324" xfId="0" applyFont="1" applyBorder="1" applyAlignment="1" applyProtection="1">
      <alignment horizontal="center" vertical="center"/>
    </xf>
    <xf numFmtId="1" fontId="170" fillId="0" borderId="492" xfId="0" applyNumberFormat="1" applyFont="1" applyBorder="1" applyAlignment="1" applyProtection="1">
      <alignment horizontal="center" vertical="center" wrapText="1"/>
    </xf>
    <xf numFmtId="1" fontId="170" fillId="0" borderId="493" xfId="0" applyNumberFormat="1" applyFont="1" applyBorder="1" applyAlignment="1" applyProtection="1">
      <alignment horizontal="center" vertical="center" wrapText="1"/>
    </xf>
    <xf numFmtId="1" fontId="170" fillId="0" borderId="496" xfId="0" applyNumberFormat="1" applyFont="1" applyBorder="1" applyAlignment="1" applyProtection="1">
      <alignment horizontal="center" vertical="center" wrapText="1"/>
    </xf>
    <xf numFmtId="1" fontId="170" fillId="0" borderId="497" xfId="0" applyNumberFormat="1" applyFont="1" applyBorder="1" applyAlignment="1" applyProtection="1">
      <alignment horizontal="center" vertical="center" wrapText="1"/>
    </xf>
    <xf numFmtId="1" fontId="22" fillId="2" borderId="0" xfId="0" applyNumberFormat="1" applyFont="1" applyFill="1" applyBorder="1" applyAlignment="1" applyProtection="1">
      <alignment horizontal="center" vertical="center"/>
    </xf>
    <xf numFmtId="0" fontId="19" fillId="0" borderId="22" xfId="0" applyFont="1" applyBorder="1"/>
    <xf numFmtId="1" fontId="31" fillId="0" borderId="22" xfId="0" applyNumberFormat="1" applyFont="1" applyFill="1" applyBorder="1" applyAlignment="1">
      <alignment vertical="center"/>
    </xf>
    <xf numFmtId="0" fontId="19" fillId="0" borderId="22" xfId="0" applyFont="1" applyBorder="1" applyAlignment="1">
      <alignment horizontal="right"/>
    </xf>
    <xf numFmtId="0" fontId="19" fillId="0" borderId="0" xfId="0" applyFont="1" applyBorder="1" applyAlignment="1">
      <alignment horizontal="center" vertical="center"/>
    </xf>
    <xf numFmtId="0" fontId="19" fillId="0" borderId="0" xfId="0" applyFont="1" applyBorder="1"/>
    <xf numFmtId="0" fontId="31" fillId="0" borderId="47" xfId="0" applyFont="1" applyFill="1" applyBorder="1" applyAlignment="1">
      <alignment vertical="center"/>
    </xf>
    <xf numFmtId="0" fontId="19" fillId="0" borderId="47" xfId="0" applyFont="1" applyBorder="1" applyAlignment="1">
      <alignment horizontal="right"/>
    </xf>
    <xf numFmtId="0" fontId="19" fillId="0" borderId="47" xfId="0" applyFont="1" applyBorder="1"/>
    <xf numFmtId="0" fontId="130" fillId="2" borderId="0" xfId="0" applyFont="1" applyFill="1" applyBorder="1" applyAlignment="1" applyProtection="1">
      <alignment horizontal="center" vertical="center"/>
    </xf>
    <xf numFmtId="0" fontId="305" fillId="0" borderId="22" xfId="0" applyFont="1" applyFill="1" applyBorder="1" applyAlignment="1" applyProtection="1">
      <alignment horizontal="left" vertical="center"/>
    </xf>
    <xf numFmtId="0" fontId="305" fillId="0" borderId="47" xfId="3" applyFont="1" applyFill="1" applyBorder="1" applyAlignment="1" applyProtection="1">
      <alignment vertical="center"/>
    </xf>
    <xf numFmtId="0" fontId="305" fillId="2" borderId="48" xfId="0" applyFont="1" applyFill="1" applyBorder="1" applyAlignment="1" applyProtection="1">
      <alignment vertical="center"/>
    </xf>
    <xf numFmtId="0" fontId="305" fillId="0" borderId="22" xfId="3" applyFont="1" applyFill="1" applyBorder="1" applyAlignment="1" applyProtection="1">
      <alignment horizontal="center" vertical="center" wrapText="1"/>
    </xf>
    <xf numFmtId="0" fontId="305" fillId="2" borderId="49" xfId="0" applyFont="1" applyFill="1" applyBorder="1" applyAlignment="1" applyProtection="1">
      <alignment vertical="center"/>
    </xf>
    <xf numFmtId="0" fontId="305" fillId="2" borderId="89" xfId="0" applyFont="1" applyFill="1" applyBorder="1" applyAlignment="1" applyProtection="1">
      <alignment vertical="center"/>
    </xf>
    <xf numFmtId="0" fontId="305" fillId="2" borderId="47" xfId="0" applyFont="1" applyFill="1" applyBorder="1" applyAlignment="1" applyProtection="1">
      <alignment vertical="center"/>
    </xf>
    <xf numFmtId="0" fontId="305" fillId="16" borderId="48" xfId="0" applyFont="1" applyFill="1" applyBorder="1" applyAlignment="1" applyProtection="1">
      <alignment vertical="center"/>
    </xf>
    <xf numFmtId="0" fontId="305" fillId="16" borderId="49" xfId="0" applyFont="1" applyFill="1" applyBorder="1" applyAlignment="1" applyProtection="1">
      <alignment vertical="center"/>
    </xf>
    <xf numFmtId="0" fontId="305" fillId="16" borderId="22" xfId="0" applyFont="1" applyFill="1" applyBorder="1" applyAlignment="1" applyProtection="1">
      <alignment horizontal="left" vertical="center"/>
    </xf>
    <xf numFmtId="1" fontId="305" fillId="2" borderId="22" xfId="0" applyNumberFormat="1" applyFont="1" applyFill="1" applyBorder="1" applyAlignment="1" applyProtection="1">
      <alignment horizontal="center" vertical="center"/>
    </xf>
    <xf numFmtId="1" fontId="305" fillId="2" borderId="47" xfId="0" applyNumberFormat="1" applyFont="1" applyFill="1" applyBorder="1" applyAlignment="1" applyProtection="1">
      <alignment vertical="center"/>
    </xf>
    <xf numFmtId="0" fontId="305" fillId="0" borderId="48" xfId="0" applyFont="1" applyFill="1" applyBorder="1" applyAlignment="1" applyProtection="1">
      <alignment vertical="center"/>
    </xf>
    <xf numFmtId="0" fontId="305" fillId="0" borderId="47" xfId="0" applyFont="1" applyFill="1" applyBorder="1" applyAlignment="1" applyProtection="1">
      <alignment horizontal="left" vertical="center"/>
    </xf>
    <xf numFmtId="0" fontId="43" fillId="0" borderId="0" xfId="0" applyFont="1" applyBorder="1" applyProtection="1"/>
    <xf numFmtId="0" fontId="14" fillId="0" borderId="0" xfId="0" applyFont="1" applyAlignment="1" applyProtection="1">
      <alignment horizontal="left" vertical="center"/>
    </xf>
    <xf numFmtId="0" fontId="14" fillId="0" borderId="0" xfId="0" applyNumberFormat="1" applyFont="1" applyAlignment="1" applyProtection="1">
      <alignment horizontal="center" vertical="center"/>
    </xf>
    <xf numFmtId="2" fontId="14" fillId="0" borderId="0" xfId="0" applyNumberFormat="1" applyFont="1" applyAlignment="1" applyProtection="1">
      <alignment horizontal="center" vertical="center"/>
    </xf>
    <xf numFmtId="0" fontId="43" fillId="0" borderId="0" xfId="0" applyFont="1" applyAlignment="1" applyProtection="1"/>
    <xf numFmtId="0" fontId="14" fillId="0" borderId="0" xfId="0" applyFont="1" applyAlignment="1" applyProtection="1">
      <alignment horizontal="left"/>
    </xf>
    <xf numFmtId="0" fontId="43" fillId="0" borderId="0" xfId="0" applyFont="1" applyBorder="1" applyAlignment="1" applyProtection="1">
      <alignment vertical="center"/>
    </xf>
    <xf numFmtId="0" fontId="22" fillId="0" borderId="0" xfId="0" applyFont="1" applyBorder="1" applyAlignment="1" applyProtection="1">
      <alignment horizontal="center" vertical="center"/>
    </xf>
    <xf numFmtId="0" fontId="235" fillId="2" borderId="0" xfId="0" applyFont="1" applyFill="1" applyAlignment="1" applyProtection="1">
      <alignment vertical="center"/>
    </xf>
    <xf numFmtId="0" fontId="14" fillId="2" borderId="205" xfId="0" applyFont="1" applyFill="1" applyBorder="1" applyAlignment="1" applyProtection="1">
      <alignment vertical="center"/>
    </xf>
    <xf numFmtId="0" fontId="14" fillId="2" borderId="206" xfId="0" applyFont="1" applyFill="1" applyBorder="1" applyAlignment="1" applyProtection="1">
      <alignment vertical="center"/>
    </xf>
    <xf numFmtId="0" fontId="14" fillId="2" borderId="207" xfId="0" applyFont="1" applyFill="1" applyBorder="1" applyAlignment="1" applyProtection="1">
      <alignment vertical="center"/>
    </xf>
    <xf numFmtId="0" fontId="15" fillId="2" borderId="0" xfId="0" applyFont="1" applyFill="1" applyBorder="1" applyAlignment="1" applyProtection="1">
      <alignment horizontal="center" vertical="center"/>
    </xf>
    <xf numFmtId="0" fontId="21" fillId="2" borderId="0" xfId="0" applyFont="1" applyFill="1" applyBorder="1" applyAlignment="1" applyProtection="1">
      <alignment horizontal="center" vertical="center"/>
    </xf>
    <xf numFmtId="0" fontId="14" fillId="2" borderId="0" xfId="0" applyFont="1" applyFill="1" applyBorder="1" applyAlignment="1" applyProtection="1">
      <alignment horizontal="right" vertical="center"/>
    </xf>
    <xf numFmtId="0" fontId="14" fillId="2" borderId="131" xfId="0" applyFont="1" applyFill="1" applyBorder="1" applyAlignment="1" applyProtection="1">
      <alignment vertical="center"/>
    </xf>
    <xf numFmtId="0" fontId="43" fillId="2" borderId="0" xfId="0" applyFont="1" applyFill="1" applyBorder="1" applyAlignment="1" applyProtection="1">
      <alignment horizontal="center"/>
    </xf>
    <xf numFmtId="0" fontId="19" fillId="2" borderId="0" xfId="0" applyFont="1" applyFill="1" applyBorder="1" applyAlignment="1" applyProtection="1">
      <alignment horizontal="left" vertical="center"/>
    </xf>
    <xf numFmtId="0" fontId="14" fillId="2" borderId="131" xfId="0" applyFont="1" applyFill="1" applyBorder="1" applyAlignment="1" applyProtection="1">
      <alignment horizontal="center" vertical="center"/>
    </xf>
    <xf numFmtId="0" fontId="19" fillId="2" borderId="0" xfId="0" applyFont="1" applyFill="1" applyBorder="1" applyAlignment="1" applyProtection="1">
      <alignment horizontal="center" vertical="center"/>
    </xf>
    <xf numFmtId="0" fontId="6" fillId="2" borderId="0" xfId="0" applyFont="1" applyFill="1" applyBorder="1" applyAlignment="1" applyProtection="1">
      <alignment horizontal="left" vertical="center"/>
    </xf>
    <xf numFmtId="0" fontId="14" fillId="2" borderId="208" xfId="0" applyFont="1" applyFill="1" applyBorder="1" applyAlignment="1" applyProtection="1">
      <alignment horizontal="center" vertical="center"/>
    </xf>
    <xf numFmtId="0" fontId="14" fillId="2" borderId="209" xfId="0" applyFont="1" applyFill="1" applyBorder="1" applyAlignment="1" applyProtection="1">
      <alignment vertical="center"/>
    </xf>
    <xf numFmtId="0" fontId="14" fillId="2" borderId="210" xfId="0" applyFont="1" applyFill="1" applyBorder="1" applyAlignment="1" applyProtection="1">
      <alignment vertical="center"/>
    </xf>
    <xf numFmtId="0" fontId="14" fillId="2" borderId="210" xfId="0" applyFont="1" applyFill="1" applyBorder="1" applyAlignment="1" applyProtection="1">
      <alignment horizontal="center" vertical="center"/>
    </xf>
    <xf numFmtId="0" fontId="14" fillId="2" borderId="211" xfId="0" applyFont="1" applyFill="1" applyBorder="1" applyAlignment="1" applyProtection="1">
      <alignment vertical="center"/>
    </xf>
    <xf numFmtId="0" fontId="14" fillId="34" borderId="206" xfId="0" applyFont="1" applyFill="1" applyBorder="1" applyAlignment="1" applyProtection="1">
      <alignment vertical="center"/>
    </xf>
    <xf numFmtId="0" fontId="19" fillId="2" borderId="206" xfId="0" applyFont="1" applyFill="1" applyBorder="1" applyAlignment="1" applyProtection="1">
      <alignment horizontal="center" vertical="top"/>
    </xf>
    <xf numFmtId="0" fontId="6" fillId="36" borderId="476" xfId="0" applyFont="1" applyFill="1" applyBorder="1" applyAlignment="1" applyProtection="1">
      <alignment horizontal="center" vertical="center"/>
    </xf>
    <xf numFmtId="0" fontId="6" fillId="36" borderId="23" xfId="0" applyFont="1" applyFill="1" applyBorder="1" applyAlignment="1" applyProtection="1">
      <alignment horizontal="center" vertical="center"/>
    </xf>
    <xf numFmtId="0" fontId="6" fillId="36" borderId="477" xfId="0" applyFont="1" applyFill="1" applyBorder="1" applyAlignment="1" applyProtection="1">
      <alignment horizontal="center" vertical="center"/>
    </xf>
    <xf numFmtId="0" fontId="6" fillId="36" borderId="149" xfId="0" applyFont="1" applyFill="1" applyBorder="1" applyAlignment="1" applyProtection="1">
      <alignment horizontal="center" vertical="center"/>
    </xf>
    <xf numFmtId="0" fontId="6" fillId="36" borderId="147" xfId="0" applyFont="1" applyFill="1" applyBorder="1" applyAlignment="1" applyProtection="1">
      <alignment horizontal="center" vertical="center"/>
    </xf>
    <xf numFmtId="0" fontId="6" fillId="36" borderId="535" xfId="0" applyFont="1" applyFill="1" applyBorder="1" applyAlignment="1" applyProtection="1">
      <alignment horizontal="center" vertical="center"/>
    </xf>
    <xf numFmtId="0" fontId="232" fillId="2" borderId="536" xfId="0" applyFont="1" applyFill="1" applyBorder="1" applyAlignment="1" applyProtection="1">
      <alignment horizontal="center" vertical="center"/>
    </xf>
    <xf numFmtId="0" fontId="232" fillId="2" borderId="104" xfId="0" applyFont="1" applyFill="1" applyBorder="1" applyAlignment="1" applyProtection="1">
      <alignment horizontal="center" vertical="center"/>
    </xf>
    <xf numFmtId="0" fontId="232" fillId="2" borderId="537" xfId="0" applyFont="1" applyFill="1" applyBorder="1" applyAlignment="1" applyProtection="1">
      <alignment horizontal="center" vertical="center"/>
    </xf>
    <xf numFmtId="0" fontId="232" fillId="2" borderId="538" xfId="0" applyFont="1" applyFill="1" applyBorder="1" applyAlignment="1" applyProtection="1">
      <alignment horizontal="center" vertical="center"/>
    </xf>
    <xf numFmtId="0" fontId="232" fillId="2" borderId="118" xfId="0" applyFont="1" applyFill="1" applyBorder="1" applyAlignment="1" applyProtection="1">
      <alignment horizontal="center" vertical="center"/>
    </xf>
    <xf numFmtId="0" fontId="17" fillId="2" borderId="0" xfId="0" applyFont="1" applyFill="1" applyAlignment="1" applyProtection="1">
      <alignment vertical="center"/>
    </xf>
    <xf numFmtId="0" fontId="17" fillId="0" borderId="0" xfId="0" applyFont="1" applyAlignment="1" applyProtection="1">
      <alignment vertical="center"/>
    </xf>
    <xf numFmtId="0" fontId="310" fillId="2" borderId="0" xfId="0" applyFont="1" applyFill="1" applyAlignment="1" applyProtection="1">
      <alignment vertical="center"/>
    </xf>
    <xf numFmtId="0" fontId="6" fillId="2" borderId="0" xfId="0" applyFont="1" applyFill="1" applyBorder="1" applyAlignment="1" applyProtection="1">
      <alignment horizontal="right" vertical="center"/>
    </xf>
    <xf numFmtId="0" fontId="133" fillId="2" borderId="0" xfId="0" applyFont="1" applyFill="1" applyBorder="1" applyAlignment="1" applyProtection="1">
      <alignment horizontal="center" vertical="center"/>
    </xf>
    <xf numFmtId="0" fontId="14" fillId="24" borderId="22" xfId="0" applyFont="1" applyFill="1" applyBorder="1" applyAlignment="1" applyProtection="1">
      <alignment horizontal="center" vertical="center"/>
    </xf>
    <xf numFmtId="0" fontId="27" fillId="2" borderId="536" xfId="0" applyFont="1" applyFill="1" applyBorder="1" applyAlignment="1" applyProtection="1">
      <alignment horizontal="center" vertical="center"/>
    </xf>
    <xf numFmtId="0" fontId="27" fillId="2" borderId="104" xfId="0" applyFont="1" applyFill="1" applyBorder="1" applyAlignment="1" applyProtection="1">
      <alignment horizontal="center" vertical="center"/>
    </xf>
    <xf numFmtId="0" fontId="27" fillId="2" borderId="537" xfId="0" applyFont="1" applyFill="1" applyBorder="1" applyAlignment="1" applyProtection="1">
      <alignment horizontal="center" vertical="center"/>
    </xf>
    <xf numFmtId="0" fontId="27" fillId="2" borderId="538" xfId="0" applyFont="1" applyFill="1" applyBorder="1" applyAlignment="1" applyProtection="1">
      <alignment horizontal="center" vertical="center"/>
    </xf>
    <xf numFmtId="0" fontId="27" fillId="2" borderId="118" xfId="0" applyFont="1" applyFill="1" applyBorder="1" applyAlignment="1" applyProtection="1">
      <alignment horizontal="center" vertical="center"/>
    </xf>
    <xf numFmtId="49" fontId="22" fillId="0" borderId="22" xfId="0" applyNumberFormat="1" applyFont="1" applyFill="1" applyBorder="1" applyAlignment="1" applyProtection="1">
      <alignment horizontal="center" vertical="center"/>
    </xf>
    <xf numFmtId="0" fontId="22" fillId="0" borderId="22" xfId="0" applyNumberFormat="1" applyFont="1" applyFill="1" applyBorder="1" applyAlignment="1" applyProtection="1">
      <alignment horizontal="center" vertical="center"/>
    </xf>
    <xf numFmtId="0" fontId="43" fillId="2" borderId="324" xfId="0" applyFont="1" applyFill="1" applyBorder="1" applyAlignment="1" applyProtection="1">
      <alignment horizontal="center" vertical="center"/>
    </xf>
    <xf numFmtId="0" fontId="43" fillId="2" borderId="324" xfId="0" applyFont="1" applyFill="1" applyBorder="1" applyAlignment="1" applyProtection="1">
      <alignment horizontal="center"/>
    </xf>
    <xf numFmtId="0" fontId="225" fillId="4" borderId="89" xfId="0" applyNumberFormat="1" applyFont="1" applyFill="1" applyBorder="1" applyAlignment="1" applyProtection="1">
      <alignment horizontal="center" vertical="center"/>
    </xf>
    <xf numFmtId="0" fontId="225" fillId="4" borderId="92" xfId="0" applyNumberFormat="1" applyFont="1" applyFill="1" applyBorder="1" applyAlignment="1" applyProtection="1">
      <alignment horizontal="center" vertical="center"/>
    </xf>
    <xf numFmtId="1" fontId="14" fillId="0" borderId="0" xfId="0" applyNumberFormat="1" applyFont="1" applyAlignment="1" applyProtection="1">
      <alignment horizontal="left" vertical="center"/>
    </xf>
    <xf numFmtId="0" fontId="313" fillId="0" borderId="0" xfId="0" applyFont="1" applyAlignment="1" applyProtection="1">
      <alignment horizontal="center" vertical="center"/>
    </xf>
    <xf numFmtId="0" fontId="14" fillId="0" borderId="0" xfId="0" applyFont="1" applyAlignment="1" applyProtection="1">
      <alignment horizontal="right" vertical="center"/>
    </xf>
    <xf numFmtId="0" fontId="14" fillId="0" borderId="0" xfId="0" applyFont="1" applyAlignment="1" applyProtection="1">
      <alignment horizontal="right"/>
    </xf>
    <xf numFmtId="167" fontId="14" fillId="0" borderId="0" xfId="0" applyNumberFormat="1" applyFont="1" applyAlignment="1" applyProtection="1">
      <alignment horizontal="right" vertical="center"/>
    </xf>
    <xf numFmtId="167" fontId="14" fillId="0" borderId="0" xfId="0" applyNumberFormat="1" applyFont="1" applyAlignment="1" applyProtection="1">
      <alignment horizontal="right"/>
    </xf>
    <xf numFmtId="167" fontId="174" fillId="0" borderId="0" xfId="0" applyNumberFormat="1" applyFont="1" applyAlignment="1" applyProtection="1">
      <alignment horizontal="right"/>
    </xf>
    <xf numFmtId="0" fontId="43" fillId="2" borderId="539" xfId="0" applyFont="1" applyFill="1" applyBorder="1" applyAlignment="1" applyProtection="1">
      <alignment horizontal="center" vertical="center"/>
    </xf>
    <xf numFmtId="0" fontId="43" fillId="2" borderId="21" xfId="0" applyFont="1" applyFill="1" applyBorder="1" applyAlignment="1" applyProtection="1">
      <alignment horizontal="center" vertical="center"/>
    </xf>
    <xf numFmtId="0" fontId="131" fillId="2" borderId="0" xfId="0" applyFont="1" applyFill="1" applyBorder="1" applyAlignment="1" applyProtection="1">
      <alignment horizontal="left"/>
    </xf>
    <xf numFmtId="0" fontId="0" fillId="40" borderId="0" xfId="0" applyFill="1" applyAlignment="1" applyProtection="1">
      <alignment vertical="center"/>
    </xf>
    <xf numFmtId="0" fontId="6" fillId="40" borderId="0" xfId="0" applyFont="1" applyFill="1" applyAlignment="1" applyProtection="1">
      <alignment horizontal="center" vertical="center"/>
    </xf>
    <xf numFmtId="0" fontId="6" fillId="19" borderId="332" xfId="0" applyFont="1" applyFill="1" applyBorder="1" applyAlignment="1" applyProtection="1">
      <alignment horizontal="center" vertical="center"/>
    </xf>
    <xf numFmtId="0" fontId="6" fillId="19" borderId="173" xfId="0" applyFont="1" applyFill="1" applyBorder="1" applyAlignment="1" applyProtection="1">
      <alignment horizontal="center" vertical="center"/>
    </xf>
    <xf numFmtId="0" fontId="6" fillId="19" borderId="333" xfId="0" applyFont="1" applyFill="1" applyBorder="1" applyAlignment="1" applyProtection="1">
      <alignment horizontal="center" vertical="center"/>
    </xf>
    <xf numFmtId="0" fontId="6" fillId="19" borderId="161" xfId="0" applyFont="1" applyFill="1" applyBorder="1" applyAlignment="1" applyProtection="1">
      <alignment horizontal="center" vertical="center"/>
    </xf>
    <xf numFmtId="0" fontId="6" fillId="19" borderId="160" xfId="0" applyFont="1" applyFill="1" applyBorder="1" applyAlignment="1" applyProtection="1">
      <alignment horizontal="center" vertical="center"/>
    </xf>
    <xf numFmtId="0" fontId="6" fillId="19" borderId="334" xfId="0" applyFont="1" applyFill="1" applyBorder="1" applyAlignment="1" applyProtection="1">
      <alignment horizontal="center" vertical="center"/>
    </xf>
    <xf numFmtId="0" fontId="0" fillId="19" borderId="22" xfId="0" applyFill="1" applyBorder="1" applyAlignment="1" applyProtection="1">
      <alignment horizontal="center" vertical="center"/>
    </xf>
    <xf numFmtId="0" fontId="0" fillId="0" borderId="0" xfId="0" applyFill="1" applyBorder="1" applyAlignment="1" applyProtection="1">
      <alignment vertical="center"/>
    </xf>
    <xf numFmtId="0" fontId="306" fillId="0" borderId="146" xfId="0" applyFont="1" applyFill="1" applyBorder="1" applyAlignment="1" applyProtection="1">
      <alignment horizontal="center" vertical="center"/>
    </xf>
    <xf numFmtId="0" fontId="19" fillId="0" borderId="47" xfId="0" applyFont="1" applyBorder="1" applyAlignment="1" applyProtection="1">
      <alignment horizontal="center" vertical="center"/>
    </xf>
    <xf numFmtId="0" fontId="19" fillId="0" borderId="48" xfId="0" applyFont="1" applyBorder="1" applyAlignment="1" applyProtection="1">
      <alignment horizontal="center" vertical="center"/>
    </xf>
    <xf numFmtId="0" fontId="19" fillId="0" borderId="49" xfId="0" applyFont="1" applyBorder="1" applyAlignment="1" applyProtection="1">
      <alignment horizontal="center" vertical="center"/>
    </xf>
    <xf numFmtId="0" fontId="43" fillId="2" borderId="0" xfId="0" applyFont="1" applyFill="1" applyBorder="1" applyAlignment="1" applyProtection="1">
      <alignment horizontal="center" vertical="center"/>
    </xf>
    <xf numFmtId="0" fontId="43" fillId="2" borderId="89" xfId="0" applyFont="1" applyFill="1" applyBorder="1" applyAlignment="1" applyProtection="1">
      <alignment horizontal="center"/>
    </xf>
    <xf numFmtId="0" fontId="161" fillId="2" borderId="0" xfId="0" applyFont="1" applyFill="1" applyBorder="1" applyAlignment="1" applyProtection="1">
      <alignment horizontal="left"/>
    </xf>
    <xf numFmtId="0" fontId="31" fillId="2" borderId="394" xfId="0" applyFont="1" applyFill="1" applyBorder="1" applyAlignment="1" applyProtection="1">
      <alignment horizontal="center" vertical="center"/>
    </xf>
    <xf numFmtId="0" fontId="31" fillId="2" borderId="395" xfId="0" applyFont="1" applyFill="1" applyBorder="1" applyAlignment="1" applyProtection="1">
      <alignment horizontal="center" vertical="center"/>
    </xf>
    <xf numFmtId="0" fontId="31" fillId="2" borderId="391" xfId="0" applyFont="1" applyFill="1" applyBorder="1" applyAlignment="1" applyProtection="1">
      <alignment horizontal="center" vertical="center"/>
    </xf>
    <xf numFmtId="0" fontId="31" fillId="2" borderId="402" xfId="0" applyFont="1" applyFill="1" applyBorder="1" applyAlignment="1" applyProtection="1">
      <alignment horizontal="center" vertical="center"/>
    </xf>
    <xf numFmtId="0" fontId="31" fillId="2" borderId="403" xfId="0" applyFont="1" applyFill="1" applyBorder="1" applyAlignment="1" applyProtection="1">
      <alignment horizontal="center" vertical="center"/>
    </xf>
    <xf numFmtId="0" fontId="31" fillId="2" borderId="404" xfId="0" applyFont="1" applyFill="1" applyBorder="1" applyAlignment="1" applyProtection="1">
      <alignment horizontal="center" vertical="center"/>
    </xf>
    <xf numFmtId="0" fontId="240" fillId="0" borderId="394" xfId="0" applyFont="1" applyFill="1" applyBorder="1" applyAlignment="1" applyProtection="1">
      <alignment horizontal="center"/>
    </xf>
    <xf numFmtId="0" fontId="31" fillId="0" borderId="394" xfId="0" applyFont="1" applyFill="1" applyBorder="1" applyAlignment="1" applyProtection="1">
      <alignment horizontal="center" vertical="center"/>
    </xf>
    <xf numFmtId="0" fontId="39" fillId="2" borderId="0" xfId="0" applyFont="1" applyFill="1" applyAlignment="1" applyProtection="1">
      <alignment horizontal="center" vertical="center"/>
    </xf>
    <xf numFmtId="0" fontId="43" fillId="2" borderId="89" xfId="0" applyFont="1" applyFill="1" applyBorder="1" applyAlignment="1" applyProtection="1">
      <alignment horizontal="center" vertical="center"/>
    </xf>
    <xf numFmtId="0" fontId="6" fillId="2" borderId="0" xfId="0" applyFont="1" applyFill="1" applyAlignment="1" applyProtection="1">
      <alignment horizontal="right" vertical="center"/>
    </xf>
    <xf numFmtId="0" fontId="14" fillId="2" borderId="0" xfId="0" applyFont="1" applyFill="1" applyBorder="1" applyAlignment="1" applyProtection="1">
      <alignment horizontal="left" vertical="center"/>
    </xf>
    <xf numFmtId="0" fontId="6" fillId="2" borderId="0"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14" fillId="0" borderId="190" xfId="0" applyFont="1" applyBorder="1" applyProtection="1"/>
    <xf numFmtId="0" fontId="6" fillId="0" borderId="5" xfId="0" applyFont="1" applyBorder="1" applyAlignment="1" applyProtection="1">
      <alignment horizontal="center"/>
    </xf>
    <xf numFmtId="0" fontId="6" fillId="0" borderId="1" xfId="0" applyFont="1" applyBorder="1" applyAlignment="1" applyProtection="1">
      <alignment horizontal="center"/>
    </xf>
    <xf numFmtId="0" fontId="43" fillId="2" borderId="0" xfId="0" applyFont="1" applyFill="1" applyAlignment="1" applyProtection="1">
      <alignment vertical="center"/>
    </xf>
    <xf numFmtId="0" fontId="26" fillId="2" borderId="0" xfId="0" applyFont="1" applyFill="1" applyAlignment="1" applyProtection="1">
      <alignment horizontal="right" vertical="center"/>
    </xf>
    <xf numFmtId="0" fontId="0" fillId="2" borderId="0" xfId="0" applyFill="1" applyBorder="1" applyAlignment="1" applyProtection="1">
      <alignment horizontal="center" vertical="center"/>
    </xf>
    <xf numFmtId="0" fontId="6" fillId="2" borderId="0" xfId="0" applyFont="1" applyFill="1" applyBorder="1" applyAlignment="1" applyProtection="1">
      <alignment vertical="center"/>
    </xf>
    <xf numFmtId="0" fontId="31" fillId="2" borderId="0" xfId="0" applyFont="1" applyFill="1" applyBorder="1" applyAlignment="1" applyProtection="1">
      <alignment horizontal="center" vertical="center"/>
    </xf>
    <xf numFmtId="0" fontId="0" fillId="2" borderId="0" xfId="0" applyFill="1" applyBorder="1" applyAlignment="1" applyProtection="1">
      <alignment horizontal="right" vertical="center"/>
    </xf>
    <xf numFmtId="0" fontId="43" fillId="16" borderId="0" xfId="0" applyFont="1" applyFill="1" applyProtection="1"/>
    <xf numFmtId="0" fontId="43" fillId="16" borderId="0" xfId="0" applyFont="1" applyFill="1" applyAlignment="1" applyProtection="1">
      <alignment vertical="center"/>
    </xf>
    <xf numFmtId="0" fontId="22" fillId="16" borderId="0" xfId="0" applyFont="1" applyFill="1" applyAlignment="1" applyProtection="1">
      <alignment vertical="center"/>
    </xf>
    <xf numFmtId="0" fontId="43" fillId="16" borderId="0" xfId="0" applyFont="1" applyFill="1" applyAlignment="1" applyProtection="1"/>
    <xf numFmtId="0" fontId="22" fillId="16" borderId="0" xfId="0" applyFont="1" applyFill="1" applyAlignment="1" applyProtection="1"/>
    <xf numFmtId="49" fontId="43" fillId="16" borderId="0" xfId="0" applyNumberFormat="1" applyFont="1" applyFill="1" applyBorder="1" applyAlignment="1" applyProtection="1">
      <alignment horizontal="center"/>
    </xf>
    <xf numFmtId="0" fontId="22" fillId="16" borderId="89" xfId="0" applyFont="1" applyFill="1" applyBorder="1" applyAlignment="1" applyProtection="1">
      <alignment horizontal="center"/>
    </xf>
    <xf numFmtId="0" fontId="43" fillId="16" borderId="0" xfId="0" applyFont="1" applyFill="1" applyBorder="1" applyAlignment="1" applyProtection="1">
      <alignment horizontal="right"/>
    </xf>
    <xf numFmtId="0" fontId="22" fillId="16" borderId="0" xfId="0" applyFont="1" applyFill="1" applyBorder="1" applyAlignment="1" applyProtection="1">
      <alignment horizontal="center"/>
    </xf>
    <xf numFmtId="0" fontId="43" fillId="16" borderId="0" xfId="0" applyFont="1" applyFill="1" applyBorder="1" applyAlignment="1" applyProtection="1"/>
    <xf numFmtId="2" fontId="43" fillId="16" borderId="0" xfId="0" applyNumberFormat="1" applyFont="1" applyFill="1" applyAlignment="1" applyProtection="1"/>
    <xf numFmtId="2" fontId="43" fillId="16" borderId="0" xfId="0" applyNumberFormat="1" applyFont="1" applyFill="1" applyAlignment="1" applyProtection="1">
      <alignment horizontal="right"/>
    </xf>
    <xf numFmtId="2" fontId="43" fillId="16" borderId="0" xfId="0" applyNumberFormat="1" applyFont="1" applyFill="1" applyBorder="1" applyAlignment="1" applyProtection="1">
      <alignment horizontal="left"/>
    </xf>
    <xf numFmtId="167" fontId="43" fillId="16" borderId="0" xfId="0" applyNumberFormat="1" applyFont="1" applyFill="1" applyBorder="1" applyAlignment="1" applyProtection="1"/>
    <xf numFmtId="43" fontId="43" fillId="16" borderId="0" xfId="4" applyFont="1" applyFill="1" applyAlignment="1" applyProtection="1"/>
    <xf numFmtId="2" fontId="22" fillId="16" borderId="0" xfId="0" applyNumberFormat="1" applyFont="1" applyFill="1" applyAlignment="1" applyProtection="1"/>
    <xf numFmtId="167" fontId="22" fillId="16" borderId="0" xfId="0" applyNumberFormat="1" applyFont="1" applyFill="1" applyBorder="1" applyAlignment="1" applyProtection="1">
      <alignment horizontal="center"/>
    </xf>
    <xf numFmtId="0" fontId="43" fillId="16" borderId="0" xfId="0" applyFont="1" applyFill="1" applyAlignment="1" applyProtection="1">
      <alignment horizontal="center" vertical="center"/>
    </xf>
    <xf numFmtId="49" fontId="22" fillId="16" borderId="89" xfId="0" applyNumberFormat="1" applyFont="1" applyFill="1" applyBorder="1" applyAlignment="1" applyProtection="1">
      <alignment horizontal="center"/>
    </xf>
    <xf numFmtId="0" fontId="43" fillId="16" borderId="0" xfId="0" applyFont="1" applyFill="1" applyAlignment="1" applyProtection="1">
      <alignment horizontal="left"/>
    </xf>
    <xf numFmtId="49" fontId="22" fillId="16" borderId="0" xfId="0" applyNumberFormat="1" applyFont="1" applyFill="1" applyBorder="1" applyAlignment="1" applyProtection="1">
      <alignment horizontal="center"/>
    </xf>
    <xf numFmtId="0" fontId="22" fillId="16" borderId="0" xfId="0" applyFont="1" applyFill="1" applyBorder="1" applyAlignment="1" applyProtection="1">
      <alignment horizontal="left"/>
    </xf>
    <xf numFmtId="0" fontId="43" fillId="16" borderId="0" xfId="0" applyFont="1" applyFill="1" applyAlignment="1" applyProtection="1">
      <alignment horizontal="center"/>
    </xf>
    <xf numFmtId="167" fontId="43" fillId="16" borderId="0" xfId="0" applyNumberFormat="1" applyFont="1" applyFill="1" applyBorder="1" applyAlignment="1" applyProtection="1">
      <alignment horizontal="center"/>
    </xf>
    <xf numFmtId="0" fontId="22" fillId="16" borderId="0" xfId="0" applyFont="1" applyFill="1" applyAlignment="1" applyProtection="1">
      <alignment horizontal="center"/>
    </xf>
    <xf numFmtId="0" fontId="43" fillId="16" borderId="89" xfId="0" applyFont="1" applyFill="1" applyBorder="1" applyAlignment="1" applyProtection="1"/>
    <xf numFmtId="0" fontId="314" fillId="16" borderId="0" xfId="0" applyFont="1" applyFill="1" applyBorder="1" applyAlignment="1" applyProtection="1">
      <alignment horizontal="center" vertical="center"/>
      <protection locked="0"/>
    </xf>
    <xf numFmtId="0" fontId="316" fillId="0" borderId="47" xfId="5" applyFont="1" applyFill="1" applyBorder="1" applyAlignment="1">
      <alignment horizontal="left" vertical="center"/>
    </xf>
    <xf numFmtId="0" fontId="316" fillId="2" borderId="48" xfId="0" applyFont="1" applyFill="1" applyBorder="1" applyAlignment="1" applyProtection="1">
      <alignment vertical="center"/>
    </xf>
    <xf numFmtId="0" fontId="316" fillId="2" borderId="49" xfId="0" applyFont="1" applyFill="1" applyBorder="1" applyAlignment="1" applyProtection="1">
      <alignment vertical="center"/>
    </xf>
    <xf numFmtId="0" fontId="316" fillId="0" borderId="22" xfId="5" applyFont="1" applyFill="1" applyBorder="1" applyAlignment="1">
      <alignment horizontal="center" vertical="center"/>
    </xf>
    <xf numFmtId="0" fontId="15" fillId="0" borderId="0" xfId="0" applyFont="1" applyAlignment="1" applyProtection="1">
      <alignment horizontal="center" vertical="center"/>
    </xf>
    <xf numFmtId="0" fontId="232" fillId="2" borderId="336" xfId="0" applyFont="1" applyFill="1" applyBorder="1" applyAlignment="1" applyProtection="1">
      <alignment horizontal="center" vertical="center"/>
    </xf>
    <xf numFmtId="0" fontId="232" fillId="2" borderId="146" xfId="0" applyFont="1" applyFill="1" applyBorder="1" applyAlignment="1" applyProtection="1">
      <alignment horizontal="center" vertical="center"/>
    </xf>
    <xf numFmtId="0" fontId="232" fillId="2" borderId="337" xfId="0" applyFont="1" applyFill="1" applyBorder="1" applyAlignment="1" applyProtection="1">
      <alignment horizontal="center" vertical="center"/>
    </xf>
    <xf numFmtId="0" fontId="232" fillId="2" borderId="92" xfId="0" applyFont="1" applyFill="1" applyBorder="1" applyAlignment="1" applyProtection="1">
      <alignment horizontal="center" vertical="center"/>
    </xf>
    <xf numFmtId="0" fontId="232" fillId="2" borderId="338" xfId="0" applyFont="1" applyFill="1" applyBorder="1" applyAlignment="1" applyProtection="1">
      <alignment horizontal="center" vertical="center"/>
    </xf>
    <xf numFmtId="0" fontId="14" fillId="16" borderId="22" xfId="0" applyFont="1" applyFill="1" applyBorder="1" applyAlignment="1" applyProtection="1">
      <alignment horizontal="center" vertical="center"/>
    </xf>
    <xf numFmtId="0" fontId="14" fillId="16" borderId="47" xfId="0" applyFont="1" applyFill="1" applyBorder="1" applyAlignment="1" applyProtection="1">
      <alignment horizontal="center" vertical="center"/>
    </xf>
    <xf numFmtId="0" fontId="14" fillId="16" borderId="49" xfId="0" applyFont="1" applyFill="1" applyBorder="1" applyAlignment="1" applyProtection="1">
      <alignment horizontal="center" vertical="center"/>
    </xf>
    <xf numFmtId="0" fontId="130" fillId="34" borderId="206" xfId="0" applyFont="1" applyFill="1" applyBorder="1" applyAlignment="1" applyProtection="1">
      <alignment horizontal="center" vertical="center"/>
    </xf>
    <xf numFmtId="0" fontId="130" fillId="2" borderId="206" xfId="0" applyFont="1" applyFill="1" applyBorder="1" applyAlignment="1" applyProtection="1">
      <alignment horizontal="center" vertical="center"/>
    </xf>
    <xf numFmtId="0" fontId="0" fillId="0" borderId="85" xfId="0" applyBorder="1" applyAlignment="1" applyProtection="1">
      <alignment horizontal="center" vertical="center"/>
    </xf>
    <xf numFmtId="0" fontId="0" fillId="0" borderId="86" xfId="0" applyBorder="1" applyAlignment="1" applyProtection="1">
      <alignment horizontal="center" vertical="center"/>
    </xf>
    <xf numFmtId="0" fontId="0" fillId="0" borderId="90" xfId="0" applyBorder="1" applyAlignment="1" applyProtection="1">
      <alignment horizontal="center" vertical="center"/>
    </xf>
    <xf numFmtId="0" fontId="0" fillId="0" borderId="87" xfId="0" applyBorder="1" applyAlignment="1" applyProtection="1">
      <alignment horizontal="center" vertical="center"/>
    </xf>
    <xf numFmtId="0" fontId="0" fillId="0" borderId="91" xfId="0" applyBorder="1" applyAlignment="1" applyProtection="1">
      <alignment horizontal="center" vertical="center"/>
    </xf>
    <xf numFmtId="0" fontId="9" fillId="0" borderId="0" xfId="0" applyFont="1" applyAlignment="1" applyProtection="1">
      <alignment horizontal="center" vertical="center"/>
    </xf>
    <xf numFmtId="0" fontId="184" fillId="0" borderId="87" xfId="0" applyFont="1" applyBorder="1" applyAlignment="1" applyProtection="1">
      <alignment horizontal="center" vertical="center"/>
    </xf>
    <xf numFmtId="0" fontId="296" fillId="0" borderId="0" xfId="0" applyFont="1" applyBorder="1" applyAlignment="1" applyProtection="1">
      <alignment horizontal="center" vertical="center"/>
    </xf>
    <xf numFmtId="0" fontId="184" fillId="0" borderId="0" xfId="0" applyFont="1" applyBorder="1" applyAlignment="1" applyProtection="1">
      <alignment horizontal="center" vertical="center"/>
    </xf>
    <xf numFmtId="0" fontId="296" fillId="0" borderId="91" xfId="0" applyFont="1" applyBorder="1" applyAlignment="1" applyProtection="1">
      <alignment horizontal="center" vertical="center"/>
    </xf>
    <xf numFmtId="0" fontId="6" fillId="0" borderId="0" xfId="0" applyFont="1" applyBorder="1" applyAlignment="1" applyProtection="1">
      <alignment horizontal="center" vertical="center"/>
    </xf>
    <xf numFmtId="0" fontId="6" fillId="0" borderId="87" xfId="0" applyFont="1" applyBorder="1" applyAlignment="1" applyProtection="1">
      <alignment horizontal="center" vertical="center"/>
    </xf>
    <xf numFmtId="0" fontId="6" fillId="0" borderId="91" xfId="0" applyFont="1" applyBorder="1" applyAlignment="1" applyProtection="1">
      <alignment horizontal="center" vertical="center"/>
    </xf>
    <xf numFmtId="0" fontId="296" fillId="0" borderId="0" xfId="0" applyFont="1" applyAlignment="1" applyProtection="1">
      <alignment horizontal="center" vertical="center"/>
    </xf>
    <xf numFmtId="0" fontId="184" fillId="0" borderId="0" xfId="0" applyFont="1" applyAlignment="1" applyProtection="1">
      <alignment horizontal="center" vertical="center"/>
    </xf>
    <xf numFmtId="0" fontId="19" fillId="0" borderId="86" xfId="0" applyFont="1" applyBorder="1" applyAlignment="1" applyProtection="1">
      <alignment horizontal="center" vertical="center"/>
    </xf>
    <xf numFmtId="0" fontId="19" fillId="0" borderId="90" xfId="0" applyFont="1" applyBorder="1" applyAlignment="1" applyProtection="1">
      <alignment horizontal="center" vertical="center"/>
    </xf>
    <xf numFmtId="0" fontId="19" fillId="0" borderId="85" xfId="0" applyFont="1" applyBorder="1" applyAlignment="1" applyProtection="1">
      <alignment horizontal="center" vertical="center"/>
    </xf>
    <xf numFmtId="0" fontId="14" fillId="16" borderId="22" xfId="0" applyFont="1" applyFill="1" applyBorder="1" applyAlignment="1" applyProtection="1">
      <alignment horizontal="center" vertical="center"/>
    </xf>
    <xf numFmtId="0" fontId="14" fillId="16" borderId="47" xfId="0" applyFont="1" applyFill="1" applyBorder="1" applyAlignment="1" applyProtection="1">
      <alignment horizontal="center" vertical="center"/>
    </xf>
    <xf numFmtId="0" fontId="14" fillId="16" borderId="49" xfId="0" applyFont="1" applyFill="1" applyBorder="1" applyAlignment="1" applyProtection="1">
      <alignment horizontal="center" vertical="center"/>
    </xf>
    <xf numFmtId="0" fontId="135" fillId="16" borderId="0" xfId="0" applyFont="1" applyFill="1" applyBorder="1" applyAlignment="1" applyProtection="1">
      <alignment horizontal="center" vertical="center"/>
    </xf>
    <xf numFmtId="0" fontId="317" fillId="16" borderId="0" xfId="0" applyFont="1" applyFill="1" applyBorder="1" applyAlignment="1" applyProtection="1">
      <alignment horizontal="center" vertical="center"/>
    </xf>
    <xf numFmtId="0" fontId="14" fillId="16" borderId="0" xfId="0" applyFont="1" applyFill="1" applyBorder="1" applyAlignment="1" applyProtection="1">
      <alignment vertical="center"/>
    </xf>
    <xf numFmtId="0" fontId="0" fillId="16" borderId="0" xfId="0" applyFill="1" applyAlignment="1" applyProtection="1">
      <alignment horizontal="center" vertical="center"/>
    </xf>
    <xf numFmtId="0" fontId="6" fillId="16" borderId="0" xfId="0" applyFont="1" applyFill="1" applyAlignment="1" applyProtection="1">
      <alignment vertical="center"/>
    </xf>
    <xf numFmtId="0" fontId="174" fillId="16" borderId="0" xfId="0" applyFont="1" applyFill="1" applyBorder="1" applyAlignment="1" applyProtection="1">
      <alignment horizontal="center" vertical="center"/>
    </xf>
    <xf numFmtId="0" fontId="318" fillId="16" borderId="0" xfId="0" applyFont="1" applyFill="1" applyBorder="1" applyAlignment="1" applyProtection="1">
      <alignment horizontal="center" vertical="center"/>
    </xf>
    <xf numFmtId="0" fontId="226" fillId="16" borderId="0" xfId="0" applyFont="1" applyFill="1" applyBorder="1" applyAlignment="1" applyProtection="1">
      <alignment horizontal="center" vertical="center"/>
    </xf>
    <xf numFmtId="0" fontId="319" fillId="16" borderId="0" xfId="0" applyFont="1" applyFill="1" applyBorder="1" applyAlignment="1" applyProtection="1">
      <alignment horizontal="center" vertical="center"/>
    </xf>
    <xf numFmtId="0" fontId="296" fillId="16" borderId="0" xfId="0" applyFont="1" applyFill="1" applyBorder="1" applyAlignment="1" applyProtection="1">
      <alignment horizontal="center" vertical="center"/>
    </xf>
    <xf numFmtId="0" fontId="184" fillId="16" borderId="0" xfId="0" applyFont="1" applyFill="1" applyBorder="1" applyAlignment="1" applyProtection="1">
      <alignment horizontal="center" vertical="center"/>
    </xf>
    <xf numFmtId="0" fontId="9" fillId="16" borderId="0" xfId="0" applyFont="1" applyFill="1" applyBorder="1" applyAlignment="1" applyProtection="1">
      <alignment horizontal="center" vertical="center"/>
    </xf>
    <xf numFmtId="0" fontId="14" fillId="16" borderId="0" xfId="0" applyFont="1" applyFill="1" applyBorder="1" applyAlignment="1" applyProtection="1">
      <alignment horizontal="center" vertical="center"/>
    </xf>
    <xf numFmtId="0" fontId="14" fillId="16" borderId="22" xfId="0" applyFont="1" applyFill="1" applyBorder="1" applyAlignment="1" applyProtection="1">
      <alignment vertical="center"/>
    </xf>
    <xf numFmtId="0" fontId="14" fillId="16" borderId="86" xfId="0" applyFont="1" applyFill="1" applyBorder="1" applyAlignment="1" applyProtection="1">
      <alignment vertical="center"/>
    </xf>
    <xf numFmtId="0" fontId="14" fillId="16" borderId="86" xfId="0" applyFont="1" applyFill="1" applyBorder="1" applyAlignment="1" applyProtection="1">
      <alignment horizontal="center" vertical="center"/>
    </xf>
    <xf numFmtId="0" fontId="135" fillId="16" borderId="87" xfId="0" applyFont="1" applyFill="1" applyBorder="1" applyAlignment="1" applyProtection="1">
      <alignment horizontal="center" vertical="center"/>
    </xf>
    <xf numFmtId="0" fontId="174" fillId="16" borderId="91" xfId="0" applyFont="1" applyFill="1" applyBorder="1" applyAlignment="1" applyProtection="1">
      <alignment horizontal="center" vertical="center"/>
    </xf>
    <xf numFmtId="0" fontId="14" fillId="16" borderId="91" xfId="0" applyFont="1" applyFill="1" applyBorder="1" applyAlignment="1" applyProtection="1">
      <alignment horizontal="center" vertical="center"/>
    </xf>
    <xf numFmtId="0" fontId="14" fillId="16" borderId="89" xfId="0" applyFont="1" applyFill="1" applyBorder="1" applyAlignment="1" applyProtection="1">
      <alignment horizontal="center" vertical="center"/>
    </xf>
    <xf numFmtId="0" fontId="14" fillId="16" borderId="92" xfId="0" applyFont="1" applyFill="1" applyBorder="1" applyAlignment="1" applyProtection="1">
      <alignment horizontal="center" vertical="center"/>
    </xf>
    <xf numFmtId="0" fontId="174" fillId="16" borderId="22" xfId="0" applyFont="1" applyFill="1" applyBorder="1" applyAlignment="1" applyProtection="1">
      <alignment horizontal="center" vertical="center"/>
    </xf>
    <xf numFmtId="0" fontId="135" fillId="16" borderId="22" xfId="0" applyFont="1" applyFill="1" applyBorder="1" applyAlignment="1" applyProtection="1">
      <alignment horizontal="center" vertical="center"/>
    </xf>
    <xf numFmtId="0" fontId="14" fillId="16" borderId="85" xfId="0" applyFont="1" applyFill="1" applyBorder="1" applyAlignment="1" applyProtection="1">
      <alignment horizontal="center" vertical="center"/>
    </xf>
    <xf numFmtId="0" fontId="14" fillId="16" borderId="90" xfId="0" applyFont="1" applyFill="1" applyBorder="1" applyAlignment="1" applyProtection="1">
      <alignment horizontal="center" vertical="center"/>
    </xf>
    <xf numFmtId="0" fontId="14" fillId="16" borderId="87" xfId="0" applyFont="1" applyFill="1" applyBorder="1" applyAlignment="1" applyProtection="1">
      <alignment horizontal="center" vertical="center"/>
    </xf>
    <xf numFmtId="0" fontId="14" fillId="16" borderId="88" xfId="0" applyFont="1" applyFill="1" applyBorder="1" applyAlignment="1" applyProtection="1">
      <alignment horizontal="center" vertical="center"/>
    </xf>
    <xf numFmtId="0" fontId="14" fillId="16" borderId="48" xfId="0" applyFont="1" applyFill="1" applyBorder="1" applyAlignment="1" applyProtection="1">
      <alignment vertical="center"/>
    </xf>
    <xf numFmtId="0" fontId="14" fillId="16" borderId="172" xfId="0" applyFont="1" applyFill="1" applyBorder="1" applyAlignment="1" applyProtection="1">
      <alignment horizontal="center" vertical="center"/>
    </xf>
    <xf numFmtId="0" fontId="318" fillId="16" borderId="89" xfId="0" applyFont="1" applyFill="1" applyBorder="1" applyAlignment="1" applyProtection="1">
      <alignment horizontal="center" vertical="center"/>
    </xf>
    <xf numFmtId="0" fontId="317" fillId="16" borderId="89" xfId="0" applyFont="1" applyFill="1" applyBorder="1" applyAlignment="1" applyProtection="1">
      <alignment horizontal="center" vertical="center"/>
    </xf>
    <xf numFmtId="0" fontId="318" fillId="16" borderId="86" xfId="0" applyFont="1" applyFill="1" applyBorder="1" applyAlignment="1" applyProtection="1">
      <alignment horizontal="center" vertical="center"/>
    </xf>
    <xf numFmtId="0" fontId="317" fillId="16" borderId="86" xfId="0" applyFont="1" applyFill="1" applyBorder="1" applyAlignment="1" applyProtection="1">
      <alignment horizontal="center" vertical="center"/>
    </xf>
    <xf numFmtId="0" fontId="319" fillId="16" borderId="22" xfId="0" applyFont="1" applyFill="1" applyBorder="1" applyAlignment="1" applyProtection="1">
      <alignment horizontal="center" vertical="center"/>
    </xf>
    <xf numFmtId="0" fontId="184" fillId="0" borderId="22" xfId="0" applyFont="1" applyBorder="1" applyAlignment="1" applyProtection="1">
      <alignment horizontal="center" vertical="center"/>
    </xf>
    <xf numFmtId="0" fontId="226" fillId="16" borderId="86" xfId="0" applyFont="1" applyFill="1" applyBorder="1" applyAlignment="1" applyProtection="1">
      <alignment horizontal="center" vertical="center"/>
    </xf>
    <xf numFmtId="0" fontId="319" fillId="16" borderId="86" xfId="0" applyFont="1" applyFill="1" applyBorder="1" applyAlignment="1" applyProtection="1">
      <alignment horizontal="center" vertical="center"/>
    </xf>
    <xf numFmtId="0" fontId="226" fillId="16" borderId="89" xfId="0" applyFont="1" applyFill="1" applyBorder="1" applyAlignment="1" applyProtection="1">
      <alignment horizontal="center" vertical="center"/>
    </xf>
    <xf numFmtId="0" fontId="319" fillId="16" borderId="89" xfId="0" applyFont="1" applyFill="1" applyBorder="1" applyAlignment="1" applyProtection="1">
      <alignment horizontal="center" vertical="center"/>
    </xf>
    <xf numFmtId="0" fontId="21" fillId="16" borderId="89" xfId="0" applyFont="1" applyFill="1" applyBorder="1" applyAlignment="1" applyProtection="1">
      <alignment horizontal="center" vertical="center"/>
    </xf>
    <xf numFmtId="0" fontId="225" fillId="0" borderId="540" xfId="0" applyFont="1" applyBorder="1" applyAlignment="1" applyProtection="1">
      <alignment horizontal="center" vertical="center"/>
    </xf>
    <xf numFmtId="0" fontId="158" fillId="0" borderId="541" xfId="0" applyFont="1" applyBorder="1" applyAlignment="1" applyProtection="1">
      <alignment horizontal="center" vertical="center"/>
    </xf>
    <xf numFmtId="0" fontId="225" fillId="0" borderId="541" xfId="0" applyFont="1" applyBorder="1" applyAlignment="1" applyProtection="1">
      <alignment horizontal="center" vertical="center"/>
    </xf>
    <xf numFmtId="0" fontId="158" fillId="0" borderId="542" xfId="0" applyFont="1" applyBorder="1" applyAlignment="1" applyProtection="1">
      <alignment horizontal="center" vertical="center"/>
    </xf>
    <xf numFmtId="0" fontId="19" fillId="0" borderId="540" xfId="0" applyFont="1" applyBorder="1" applyAlignment="1" applyProtection="1">
      <alignment horizontal="center" vertical="center"/>
    </xf>
    <xf numFmtId="0" fontId="19" fillId="0" borderId="541" xfId="0" applyFont="1" applyBorder="1" applyAlignment="1" applyProtection="1">
      <alignment horizontal="center" vertical="center"/>
    </xf>
    <xf numFmtId="0" fontId="19" fillId="0" borderId="542" xfId="0" applyFont="1" applyBorder="1" applyAlignment="1" applyProtection="1">
      <alignment horizontal="center" vertical="center"/>
    </xf>
    <xf numFmtId="0" fontId="19" fillId="0" borderId="540" xfId="0" applyFont="1" applyBorder="1" applyAlignment="1" applyProtection="1">
      <alignment vertical="center"/>
    </xf>
    <xf numFmtId="0" fontId="19" fillId="0" borderId="541" xfId="0" applyFont="1" applyBorder="1" applyAlignment="1" applyProtection="1">
      <alignment vertical="center"/>
    </xf>
    <xf numFmtId="0" fontId="296" fillId="0" borderId="49" xfId="0" applyFont="1" applyBorder="1" applyAlignment="1" applyProtection="1">
      <alignment horizontal="center" vertical="center"/>
    </xf>
    <xf numFmtId="0" fontId="184" fillId="0" borderId="47" xfId="0" applyFont="1" applyBorder="1" applyAlignment="1" applyProtection="1">
      <alignment horizontal="center" vertical="center"/>
    </xf>
    <xf numFmtId="0" fontId="296" fillId="0" borderId="48" xfId="0" applyFont="1" applyBorder="1" applyAlignment="1" applyProtection="1">
      <alignment vertical="center"/>
    </xf>
    <xf numFmtId="0" fontId="31" fillId="0" borderId="0" xfId="0" applyFont="1" applyProtection="1"/>
    <xf numFmtId="0" fontId="144" fillId="0" borderId="92" xfId="0" applyFont="1" applyBorder="1" applyAlignment="1" applyProtection="1">
      <alignment horizontal="center" vertical="center"/>
    </xf>
    <xf numFmtId="0" fontId="296" fillId="0" borderId="146" xfId="0" applyFont="1" applyBorder="1" applyAlignment="1" applyProtection="1">
      <alignment horizontal="center" vertical="center"/>
    </xf>
    <xf numFmtId="0" fontId="225" fillId="0" borderId="22" xfId="0" applyFont="1" applyBorder="1" applyAlignment="1" applyProtection="1">
      <alignment horizontal="center" vertical="center"/>
    </xf>
    <xf numFmtId="0" fontId="158" fillId="0" borderId="88" xfId="0" applyFont="1" applyBorder="1" applyAlignment="1" applyProtection="1">
      <alignment horizontal="center" vertical="center"/>
    </xf>
    <xf numFmtId="0" fontId="158" fillId="0" borderId="146" xfId="0" applyFont="1" applyBorder="1" applyAlignment="1" applyProtection="1">
      <alignment horizontal="center" vertical="center"/>
    </xf>
    <xf numFmtId="0" fontId="158" fillId="0" borderId="22" xfId="0" applyFont="1" applyBorder="1" applyAlignment="1" applyProtection="1">
      <alignment horizontal="center" vertical="center"/>
    </xf>
    <xf numFmtId="0" fontId="296" fillId="0" borderId="22" xfId="0" applyFont="1" applyBorder="1" applyAlignment="1" applyProtection="1">
      <alignment vertical="center"/>
    </xf>
    <xf numFmtId="0" fontId="158" fillId="4" borderId="0" xfId="0" applyNumberFormat="1" applyFont="1" applyFill="1" applyBorder="1" applyAlignment="1" applyProtection="1">
      <alignment horizontal="center" vertical="center"/>
    </xf>
    <xf numFmtId="0" fontId="158" fillId="4" borderId="91" xfId="0" applyNumberFormat="1" applyFont="1" applyFill="1" applyBorder="1" applyAlignment="1" applyProtection="1">
      <alignment horizontal="center" vertical="center"/>
    </xf>
    <xf numFmtId="0" fontId="146" fillId="0" borderId="22" xfId="0" applyFont="1" applyBorder="1" applyAlignment="1" applyProtection="1">
      <alignment horizontal="center" vertical="center"/>
    </xf>
    <xf numFmtId="0" fontId="323" fillId="0" borderId="22" xfId="0" applyFont="1" applyBorder="1" applyAlignment="1" applyProtection="1">
      <alignment horizontal="center" vertical="center"/>
    </xf>
    <xf numFmtId="0" fontId="10" fillId="0" borderId="0" xfId="0" applyFont="1" applyAlignment="1" applyProtection="1">
      <alignment horizontal="center" vertical="center"/>
    </xf>
    <xf numFmtId="0" fontId="7" fillId="0" borderId="0" xfId="0" applyFont="1" applyFill="1" applyBorder="1" applyAlignment="1">
      <alignment horizontal="left" vertical="center"/>
    </xf>
    <xf numFmtId="0" fontId="324" fillId="0" borderId="0" xfId="0" applyFont="1" applyBorder="1" applyAlignment="1" applyProtection="1">
      <alignment vertical="center"/>
    </xf>
    <xf numFmtId="0" fontId="313" fillId="0" borderId="0" xfId="0" applyFont="1" applyBorder="1" applyProtection="1"/>
    <xf numFmtId="0" fontId="324" fillId="0" borderId="0" xfId="0" applyNumberFormat="1" applyFont="1" applyBorder="1" applyAlignment="1">
      <alignment horizontal="center" vertical="top"/>
    </xf>
    <xf numFmtId="0" fontId="324" fillId="0" borderId="0" xfId="0" applyFont="1" applyFill="1" applyBorder="1" applyAlignment="1">
      <alignment horizontal="left" vertical="top" wrapText="1"/>
    </xf>
    <xf numFmtId="0" fontId="324" fillId="0" borderId="0" xfId="0" applyFont="1" applyBorder="1" applyAlignment="1">
      <alignment horizontal="left" vertical="top" wrapText="1"/>
    </xf>
    <xf numFmtId="0" fontId="324" fillId="0" borderId="0" xfId="0" applyFont="1" applyBorder="1" applyProtection="1"/>
    <xf numFmtId="0" fontId="324" fillId="0" borderId="0" xfId="0" applyFont="1" applyFill="1" applyBorder="1" applyAlignment="1" applyProtection="1">
      <alignment vertical="center"/>
    </xf>
    <xf numFmtId="0" fontId="19" fillId="0" borderId="86" xfId="0" applyFont="1" applyBorder="1" applyAlignment="1" applyProtection="1">
      <alignment horizontal="center" vertical="center"/>
    </xf>
    <xf numFmtId="0" fontId="19" fillId="0" borderId="90" xfId="0" applyFont="1" applyBorder="1" applyAlignment="1" applyProtection="1">
      <alignment horizontal="center" vertical="center"/>
    </xf>
    <xf numFmtId="0" fontId="19" fillId="0" borderId="85" xfId="0" applyFont="1" applyBorder="1" applyAlignment="1" applyProtection="1">
      <alignment horizontal="center" vertical="center"/>
    </xf>
    <xf numFmtId="0" fontId="296" fillId="0" borderId="49" xfId="0" applyFont="1" applyBorder="1" applyAlignment="1" applyProtection="1">
      <alignment horizontal="center" vertical="center"/>
    </xf>
    <xf numFmtId="0" fontId="9" fillId="0" borderId="89" xfId="0" applyFont="1" applyBorder="1" applyAlignment="1" applyProtection="1">
      <alignment horizontal="center" vertical="center"/>
    </xf>
    <xf numFmtId="0" fontId="9" fillId="0" borderId="87" xfId="0" applyFont="1" applyBorder="1" applyAlignment="1" applyProtection="1">
      <alignment horizontal="center" vertical="center"/>
    </xf>
    <xf numFmtId="0" fontId="9" fillId="0" borderId="0" xfId="0" applyFont="1" applyBorder="1" applyAlignment="1" applyProtection="1">
      <alignment horizontal="center" vertical="center"/>
    </xf>
    <xf numFmtId="0" fontId="9" fillId="0" borderId="91" xfId="0" applyFont="1" applyBorder="1" applyAlignment="1" applyProtection="1">
      <alignment horizontal="center" vertical="center"/>
    </xf>
    <xf numFmtId="0" fontId="296" fillId="0" borderId="48" xfId="0" applyFont="1" applyBorder="1" applyAlignment="1" applyProtection="1">
      <alignment horizontal="center" vertical="center"/>
    </xf>
    <xf numFmtId="0" fontId="9" fillId="0" borderId="88" xfId="0" applyFont="1" applyBorder="1" applyAlignment="1" applyProtection="1">
      <alignment horizontal="center" vertical="center"/>
    </xf>
    <xf numFmtId="0" fontId="9" fillId="0" borderId="92" xfId="0" applyFont="1" applyBorder="1" applyAlignment="1" applyProtection="1">
      <alignment horizontal="center" vertical="center"/>
    </xf>
    <xf numFmtId="0" fontId="43" fillId="2" borderId="89" xfId="0" applyFont="1" applyFill="1" applyBorder="1" applyAlignment="1" applyProtection="1">
      <alignment horizontal="center" vertical="center"/>
    </xf>
    <xf numFmtId="0" fontId="315" fillId="16" borderId="136" xfId="0" applyFont="1" applyFill="1" applyBorder="1" applyAlignment="1" applyProtection="1">
      <alignment vertical="top"/>
    </xf>
    <xf numFmtId="0" fontId="315" fillId="16" borderId="0" xfId="0" applyFont="1" applyFill="1" applyBorder="1" applyAlignment="1" applyProtection="1">
      <alignment vertical="top"/>
    </xf>
    <xf numFmtId="0" fontId="315" fillId="16" borderId="135" xfId="0" applyFont="1" applyFill="1" applyBorder="1" applyAlignment="1" applyProtection="1">
      <alignment vertical="top"/>
    </xf>
    <xf numFmtId="0" fontId="327" fillId="0" borderId="0" xfId="0" applyFont="1" applyBorder="1" applyAlignment="1" applyProtection="1">
      <alignment vertical="center"/>
    </xf>
    <xf numFmtId="0" fontId="31" fillId="16" borderId="313" xfId="0" applyFont="1" applyFill="1" applyBorder="1" applyAlignment="1" applyProtection="1">
      <alignment vertical="top" wrapText="1" shrinkToFit="1"/>
    </xf>
    <xf numFmtId="0" fontId="31" fillId="16" borderId="0" xfId="0" applyFont="1" applyFill="1" applyBorder="1" applyAlignment="1" applyProtection="1">
      <alignment vertical="top" wrapText="1" shrinkToFit="1"/>
    </xf>
    <xf numFmtId="0" fontId="31" fillId="16" borderId="135" xfId="0" applyFont="1" applyFill="1" applyBorder="1" applyAlignment="1" applyProtection="1">
      <alignment vertical="top" wrapText="1" shrinkToFit="1"/>
    </xf>
    <xf numFmtId="0" fontId="31" fillId="16" borderId="545" xfId="0" applyFont="1" applyFill="1" applyBorder="1" applyAlignment="1" applyProtection="1">
      <alignment vertical="top" wrapText="1" shrinkToFit="1"/>
    </xf>
    <xf numFmtId="0" fontId="31" fillId="16" borderId="66" xfId="0" applyFont="1" applyFill="1" applyBorder="1" applyAlignment="1" applyProtection="1">
      <alignment vertical="top" wrapText="1" shrinkToFit="1"/>
    </xf>
    <xf numFmtId="0" fontId="31" fillId="16" borderId="50" xfId="0" applyFont="1" applyFill="1" applyBorder="1" applyAlignment="1" applyProtection="1">
      <alignment vertical="top" wrapText="1" shrinkToFit="1"/>
    </xf>
    <xf numFmtId="0" fontId="31" fillId="16" borderId="136" xfId="0" applyFont="1" applyFill="1" applyBorder="1" applyAlignment="1" applyProtection="1">
      <alignment vertical="top" wrapText="1" shrinkToFit="1"/>
    </xf>
    <xf numFmtId="0" fontId="31" fillId="16" borderId="61" xfId="0" applyFont="1" applyFill="1" applyBorder="1" applyAlignment="1" applyProtection="1">
      <alignment vertical="top" wrapText="1" shrinkToFit="1"/>
    </xf>
    <xf numFmtId="0" fontId="31" fillId="16" borderId="136" xfId="0" applyFont="1" applyFill="1" applyBorder="1" applyAlignment="1" applyProtection="1">
      <alignment vertical="top" wrapText="1"/>
    </xf>
    <xf numFmtId="0" fontId="31" fillId="16" borderId="135" xfId="0" applyFont="1" applyFill="1" applyBorder="1" applyAlignment="1" applyProtection="1">
      <alignment vertical="top" wrapText="1"/>
    </xf>
    <xf numFmtId="0" fontId="31" fillId="16" borderId="305" xfId="0" applyFont="1" applyFill="1" applyBorder="1" applyAlignment="1" applyProtection="1">
      <alignment vertical="top" wrapText="1" shrinkToFit="1"/>
    </xf>
    <xf numFmtId="0" fontId="31" fillId="16" borderId="547" xfId="0" applyFont="1" applyFill="1" applyBorder="1" applyAlignment="1" applyProtection="1">
      <alignment vertical="top" wrapText="1" shrinkToFit="1"/>
    </xf>
    <xf numFmtId="0" fontId="15" fillId="16" borderId="86" xfId="0" applyFont="1" applyFill="1" applyBorder="1" applyAlignment="1" applyProtection="1">
      <alignment horizontal="center" vertical="center"/>
    </xf>
    <xf numFmtId="0" fontId="184" fillId="0" borderId="48" xfId="0" applyFont="1" applyBorder="1" applyAlignment="1" applyProtection="1">
      <alignment horizontal="center" vertical="center"/>
    </xf>
    <xf numFmtId="0" fontId="9" fillId="0" borderId="85" xfId="0" applyFont="1" applyBorder="1" applyAlignment="1" applyProtection="1">
      <alignment horizontal="left" vertical="center"/>
    </xf>
    <xf numFmtId="0" fontId="9" fillId="0" borderId="85" xfId="0" applyFont="1" applyBorder="1" applyAlignment="1" applyProtection="1">
      <alignment vertical="center"/>
    </xf>
    <xf numFmtId="0" fontId="9" fillId="0" borderId="86" xfId="0" applyFont="1" applyBorder="1" applyAlignment="1" applyProtection="1">
      <alignment vertical="center"/>
    </xf>
    <xf numFmtId="0" fontId="14" fillId="16" borderId="548" xfId="0" applyFont="1" applyFill="1" applyBorder="1" applyProtection="1"/>
    <xf numFmtId="0" fontId="10" fillId="0" borderId="85" xfId="0" applyFont="1" applyBorder="1" applyAlignment="1" applyProtection="1">
      <alignment horizontal="center" vertical="center"/>
    </xf>
    <xf numFmtId="0" fontId="10" fillId="0" borderId="86" xfId="0" applyFont="1" applyBorder="1" applyAlignment="1" applyProtection="1">
      <alignment horizontal="center" vertical="center"/>
    </xf>
    <xf numFmtId="0" fontId="331" fillId="0" borderId="86" xfId="0" applyFont="1" applyBorder="1" applyAlignment="1" applyProtection="1">
      <alignment horizontal="center" vertical="center"/>
    </xf>
    <xf numFmtId="0" fontId="332" fillId="0" borderId="86" xfId="0" applyFont="1" applyBorder="1" applyAlignment="1" applyProtection="1">
      <alignment horizontal="center" vertical="center"/>
    </xf>
    <xf numFmtId="0" fontId="10" fillId="0" borderId="90" xfId="0" applyFont="1" applyBorder="1" applyAlignment="1" applyProtection="1">
      <alignment horizontal="center" vertical="center"/>
    </xf>
    <xf numFmtId="0" fontId="10" fillId="0" borderId="87" xfId="0" applyFont="1" applyBorder="1" applyAlignment="1" applyProtection="1">
      <alignment horizontal="center" vertical="center"/>
    </xf>
    <xf numFmtId="0" fontId="10" fillId="0" borderId="0" xfId="0" applyFont="1" applyBorder="1" applyAlignment="1" applyProtection="1">
      <alignment horizontal="center" vertical="center"/>
    </xf>
    <xf numFmtId="0" fontId="10" fillId="0" borderId="91" xfId="0" applyFont="1" applyBorder="1" applyAlignment="1" applyProtection="1">
      <alignment horizontal="center" vertical="center"/>
    </xf>
    <xf numFmtId="0" fontId="331" fillId="0" borderId="0" xfId="0" applyFont="1" applyBorder="1" applyAlignment="1" applyProtection="1">
      <alignment horizontal="center" vertical="center"/>
    </xf>
    <xf numFmtId="0" fontId="332" fillId="0" borderId="0" xfId="0" applyFont="1" applyBorder="1" applyAlignment="1" applyProtection="1">
      <alignment horizontal="center" vertical="center"/>
    </xf>
    <xf numFmtId="0" fontId="10" fillId="0" borderId="0" xfId="0" applyFont="1" applyProtection="1"/>
    <xf numFmtId="0" fontId="10" fillId="0" borderId="88" xfId="0" applyFont="1" applyBorder="1" applyProtection="1"/>
    <xf numFmtId="0" fontId="10" fillId="0" borderId="89" xfId="0" applyFont="1" applyBorder="1" applyProtection="1"/>
    <xf numFmtId="0" fontId="331" fillId="0" borderId="89" xfId="0" applyFont="1" applyBorder="1" applyAlignment="1" applyProtection="1">
      <alignment horizontal="center" vertical="center"/>
    </xf>
    <xf numFmtId="0" fontId="332" fillId="0" borderId="89" xfId="0" applyFont="1" applyBorder="1" applyAlignment="1" applyProtection="1">
      <alignment horizontal="center" vertical="center"/>
    </xf>
    <xf numFmtId="0" fontId="10" fillId="0" borderId="92" xfId="0" applyFont="1" applyBorder="1" applyAlignment="1" applyProtection="1">
      <alignment horizontal="center" vertical="center"/>
    </xf>
    <xf numFmtId="0" fontId="10" fillId="0" borderId="92" xfId="0" applyFont="1" applyBorder="1" applyProtection="1"/>
    <xf numFmtId="0" fontId="184" fillId="16" borderId="372" xfId="0" applyFont="1" applyFill="1" applyBorder="1" applyAlignment="1" applyProtection="1">
      <alignment horizontal="center" vertical="center"/>
    </xf>
    <xf numFmtId="0" fontId="296" fillId="16" borderId="373" xfId="0" applyFont="1" applyFill="1" applyBorder="1" applyAlignment="1" applyProtection="1">
      <alignment horizontal="center" vertical="center"/>
    </xf>
    <xf numFmtId="0" fontId="135" fillId="16" borderId="102" xfId="0" applyFont="1" applyFill="1" applyBorder="1" applyAlignment="1" applyProtection="1">
      <alignment horizontal="center" vertical="center"/>
    </xf>
    <xf numFmtId="0" fontId="174" fillId="16" borderId="102" xfId="0" applyFont="1" applyFill="1" applyBorder="1" applyAlignment="1" applyProtection="1">
      <alignment horizontal="center" vertical="center"/>
    </xf>
    <xf numFmtId="0" fontId="317" fillId="16" borderId="472" xfId="0" applyFont="1" applyFill="1" applyBorder="1" applyAlignment="1" applyProtection="1">
      <alignment horizontal="center" vertical="center"/>
    </xf>
    <xf numFmtId="0" fontId="318" fillId="16" borderId="21" xfId="0" applyFont="1" applyFill="1" applyBorder="1" applyAlignment="1" applyProtection="1">
      <alignment horizontal="center" vertical="center"/>
    </xf>
    <xf numFmtId="0" fontId="317" fillId="16" borderId="21" xfId="0" applyFont="1" applyFill="1" applyBorder="1" applyAlignment="1" applyProtection="1">
      <alignment horizontal="center" vertical="center"/>
    </xf>
    <xf numFmtId="0" fontId="318" fillId="16" borderId="473" xfId="0" applyFont="1" applyFill="1" applyBorder="1" applyAlignment="1" applyProtection="1">
      <alignment horizontal="center" vertical="center"/>
    </xf>
    <xf numFmtId="0" fontId="317" fillId="16" borderId="523" xfId="0" applyFont="1" applyFill="1" applyBorder="1" applyAlignment="1" applyProtection="1">
      <alignment horizontal="center" vertical="center"/>
    </xf>
    <xf numFmtId="0" fontId="318" fillId="16" borderId="184" xfId="0" applyFont="1" applyFill="1" applyBorder="1" applyAlignment="1" applyProtection="1">
      <alignment horizontal="center" vertical="center"/>
    </xf>
    <xf numFmtId="0" fontId="317" fillId="16" borderId="129" xfId="0" applyFont="1" applyFill="1" applyBorder="1" applyAlignment="1" applyProtection="1">
      <alignment horizontal="center" vertical="center"/>
    </xf>
    <xf numFmtId="0" fontId="318" fillId="16" borderId="165" xfId="0" applyFont="1" applyFill="1" applyBorder="1" applyAlignment="1" applyProtection="1">
      <alignment horizontal="center" vertical="center"/>
    </xf>
    <xf numFmtId="0" fontId="15" fillId="16" borderId="129" xfId="0" applyFont="1" applyFill="1" applyBorder="1" applyAlignment="1" applyProtection="1">
      <alignment horizontal="center" vertical="center"/>
    </xf>
    <xf numFmtId="0" fontId="15" fillId="16" borderId="165" xfId="0" applyFont="1" applyFill="1" applyBorder="1" applyAlignment="1" applyProtection="1">
      <alignment horizontal="center" vertical="center"/>
    </xf>
    <xf numFmtId="0" fontId="15" fillId="16" borderId="170" xfId="0" applyFont="1" applyFill="1" applyBorder="1" applyAlignment="1" applyProtection="1">
      <alignment horizontal="center" vertical="center"/>
    </xf>
    <xf numFmtId="0" fontId="15" fillId="16" borderId="163" xfId="0" applyFont="1" applyFill="1" applyBorder="1" applyAlignment="1" applyProtection="1">
      <alignment horizontal="center" vertical="center"/>
    </xf>
    <xf numFmtId="0" fontId="317" fillId="16" borderId="163" xfId="0" applyFont="1" applyFill="1" applyBorder="1" applyAlignment="1" applyProtection="1">
      <alignment horizontal="center" vertical="center"/>
    </xf>
    <xf numFmtId="0" fontId="15" fillId="16" borderId="166" xfId="0" applyFont="1" applyFill="1" applyBorder="1" applyAlignment="1" applyProtection="1">
      <alignment horizontal="center" vertical="center"/>
    </xf>
    <xf numFmtId="0" fontId="318" fillId="16" borderId="129" xfId="0" applyFont="1" applyFill="1" applyBorder="1" applyAlignment="1" applyProtection="1">
      <alignment horizontal="center" vertical="center"/>
    </xf>
    <xf numFmtId="0" fontId="318" fillId="16" borderId="170" xfId="0" applyFont="1" applyFill="1" applyBorder="1" applyAlignment="1" applyProtection="1">
      <alignment horizontal="center" vertical="center"/>
    </xf>
    <xf numFmtId="0" fontId="317" fillId="16" borderId="539" xfId="0" applyFont="1" applyFill="1" applyBorder="1" applyAlignment="1" applyProtection="1">
      <alignment horizontal="center" vertical="center"/>
    </xf>
    <xf numFmtId="0" fontId="318" fillId="16" borderId="182" xfId="0" applyFont="1" applyFill="1" applyBorder="1" applyAlignment="1" applyProtection="1">
      <alignment horizontal="center" vertical="center"/>
    </xf>
    <xf numFmtId="0" fontId="317" fillId="16" borderId="165" xfId="0" applyFont="1" applyFill="1" applyBorder="1" applyAlignment="1" applyProtection="1">
      <alignment horizontal="center" vertical="center"/>
    </xf>
    <xf numFmtId="0" fontId="317" fillId="16" borderId="166" xfId="0" applyFont="1" applyFill="1" applyBorder="1" applyAlignment="1" applyProtection="1">
      <alignment horizontal="center" vertical="center"/>
    </xf>
    <xf numFmtId="0" fontId="226" fillId="16" borderId="523" xfId="0" applyFont="1" applyFill="1" applyBorder="1" applyAlignment="1" applyProtection="1">
      <alignment horizontal="center" vertical="center"/>
    </xf>
    <xf numFmtId="0" fontId="319" fillId="16" borderId="184" xfId="0" applyFont="1" applyFill="1" applyBorder="1" applyAlignment="1" applyProtection="1">
      <alignment horizontal="center" vertical="center"/>
    </xf>
    <xf numFmtId="0" fontId="226" fillId="16" borderId="539" xfId="0" applyFont="1" applyFill="1" applyBorder="1" applyAlignment="1" applyProtection="1">
      <alignment horizontal="center" vertical="center"/>
    </xf>
    <xf numFmtId="0" fontId="319" fillId="16" borderId="182" xfId="0" applyFont="1" applyFill="1" applyBorder="1" applyAlignment="1" applyProtection="1">
      <alignment horizontal="center" vertical="center"/>
    </xf>
    <xf numFmtId="0" fontId="317" fillId="16" borderId="170" xfId="0" applyFont="1" applyFill="1" applyBorder="1" applyAlignment="1" applyProtection="1">
      <alignment horizontal="center" vertical="center"/>
    </xf>
    <xf numFmtId="0" fontId="135" fillId="16" borderId="90" xfId="0" applyFont="1" applyFill="1" applyBorder="1" applyAlignment="1" applyProtection="1">
      <alignment horizontal="center" vertical="center"/>
    </xf>
    <xf numFmtId="0" fontId="174" fillId="16" borderId="85" xfId="0" applyFont="1" applyFill="1" applyBorder="1" applyAlignment="1" applyProtection="1">
      <alignment horizontal="center" vertical="center"/>
    </xf>
    <xf numFmtId="0" fontId="319" fillId="16" borderId="129" xfId="0" applyFont="1" applyFill="1" applyBorder="1" applyAlignment="1" applyProtection="1">
      <alignment horizontal="center" vertical="center"/>
    </xf>
    <xf numFmtId="0" fontId="21" fillId="16" borderId="165" xfId="0" applyFont="1" applyFill="1" applyBorder="1" applyAlignment="1" applyProtection="1">
      <alignment horizontal="center" vertical="center"/>
    </xf>
    <xf numFmtId="0" fontId="319" fillId="16" borderId="170" xfId="0" applyFont="1" applyFill="1" applyBorder="1" applyAlignment="1" applyProtection="1">
      <alignment horizontal="center" vertical="center"/>
    </xf>
    <xf numFmtId="0" fontId="21" fillId="16" borderId="166" xfId="0" applyFont="1" applyFill="1" applyBorder="1" applyAlignment="1" applyProtection="1">
      <alignment horizontal="center" vertical="center"/>
    </xf>
    <xf numFmtId="0" fontId="318" fillId="16" borderId="472" xfId="0" applyFont="1" applyFill="1" applyBorder="1" applyAlignment="1" applyProtection="1">
      <alignment horizontal="center" vertical="center"/>
    </xf>
    <xf numFmtId="0" fontId="319" fillId="16" borderId="523" xfId="0" applyFont="1" applyFill="1" applyBorder="1" applyAlignment="1" applyProtection="1">
      <alignment horizontal="center" vertical="center"/>
    </xf>
    <xf numFmtId="0" fontId="319" fillId="16" borderId="539" xfId="0" applyFont="1" applyFill="1" applyBorder="1" applyAlignment="1" applyProtection="1">
      <alignment horizontal="center" vertical="center"/>
    </xf>
    <xf numFmtId="0" fontId="226" fillId="16" borderId="165" xfId="0" applyFont="1" applyFill="1" applyBorder="1" applyAlignment="1" applyProtection="1">
      <alignment horizontal="center" vertical="center"/>
    </xf>
    <xf numFmtId="0" fontId="226" fillId="16" borderId="166" xfId="0" applyFont="1" applyFill="1" applyBorder="1" applyAlignment="1" applyProtection="1">
      <alignment horizontal="center" vertical="center"/>
    </xf>
    <xf numFmtId="0" fontId="317" fillId="16" borderId="473" xfId="0" applyFont="1" applyFill="1" applyBorder="1" applyAlignment="1" applyProtection="1">
      <alignment horizontal="center" vertical="center"/>
    </xf>
    <xf numFmtId="0" fontId="226" fillId="16" borderId="184" xfId="0" applyFont="1" applyFill="1" applyBorder="1" applyAlignment="1" applyProtection="1">
      <alignment horizontal="center" vertical="center"/>
    </xf>
    <xf numFmtId="0" fontId="226" fillId="16" borderId="182" xfId="0" applyFont="1" applyFill="1" applyBorder="1" applyAlignment="1" applyProtection="1">
      <alignment horizontal="center" vertical="center"/>
    </xf>
    <xf numFmtId="0" fontId="174" fillId="16" borderId="90" xfId="0" applyFont="1" applyFill="1" applyBorder="1" applyAlignment="1" applyProtection="1">
      <alignment horizontal="center" vertical="center"/>
    </xf>
    <xf numFmtId="0" fontId="319" fillId="16" borderId="474" xfId="0" applyFont="1" applyFill="1" applyBorder="1" applyAlignment="1" applyProtection="1">
      <alignment horizontal="center" vertical="center"/>
    </xf>
    <xf numFmtId="0" fontId="318" fillId="16" borderId="163" xfId="0" applyFont="1" applyFill="1" applyBorder="1" applyAlignment="1" applyProtection="1">
      <alignment horizontal="center" vertical="center"/>
    </xf>
    <xf numFmtId="0" fontId="135" fillId="16" borderId="102" xfId="0" applyFont="1" applyFill="1" applyBorder="1" applyAlignment="1" applyProtection="1">
      <alignment vertical="center"/>
    </xf>
    <xf numFmtId="0" fontId="317" fillId="0" borderId="472" xfId="0" applyFont="1" applyFill="1" applyBorder="1" applyAlignment="1" applyProtection="1">
      <alignment horizontal="center" vertical="center"/>
    </xf>
    <xf numFmtId="0" fontId="317" fillId="0" borderId="129" xfId="0" applyFont="1" applyFill="1" applyBorder="1" applyAlignment="1" applyProtection="1">
      <alignment horizontal="center" vertical="center"/>
    </xf>
    <xf numFmtId="0" fontId="226" fillId="16" borderId="475" xfId="0" applyFont="1" applyFill="1" applyBorder="1" applyAlignment="1" applyProtection="1">
      <alignment horizontal="center" vertical="center"/>
    </xf>
    <xf numFmtId="0" fontId="330" fillId="0" borderId="170" xfId="0" applyFont="1" applyFill="1" applyBorder="1" applyAlignment="1" applyProtection="1">
      <alignment horizontal="center" vertical="center"/>
    </xf>
    <xf numFmtId="0" fontId="14" fillId="16" borderId="102" xfId="0" applyFont="1" applyFill="1" applyBorder="1" applyAlignment="1" applyProtection="1">
      <alignment horizontal="center" vertical="center"/>
    </xf>
    <xf numFmtId="0" fontId="15" fillId="16" borderId="21" xfId="0" applyFont="1" applyFill="1" applyBorder="1" applyAlignment="1" applyProtection="1">
      <alignment horizontal="center" vertical="center"/>
    </xf>
    <xf numFmtId="0" fontId="15" fillId="16" borderId="473" xfId="0" applyFont="1" applyFill="1" applyBorder="1" applyAlignment="1" applyProtection="1">
      <alignment horizontal="center" vertical="center"/>
    </xf>
    <xf numFmtId="0" fontId="15" fillId="16" borderId="184" xfId="0" applyFont="1" applyFill="1" applyBorder="1" applyAlignment="1" applyProtection="1">
      <alignment horizontal="center" vertical="center"/>
    </xf>
    <xf numFmtId="0" fontId="184" fillId="0" borderId="169" xfId="0" applyFont="1" applyFill="1" applyBorder="1" applyAlignment="1" applyProtection="1">
      <alignment horizontal="center" vertical="center"/>
    </xf>
    <xf numFmtId="0" fontId="296" fillId="16" borderId="162" xfId="0" applyFont="1" applyFill="1" applyBorder="1" applyAlignment="1" applyProtection="1">
      <alignment horizontal="center" vertical="center"/>
    </xf>
    <xf numFmtId="0" fontId="184" fillId="16" borderId="162" xfId="0" applyFont="1" applyFill="1" applyBorder="1" applyAlignment="1" applyProtection="1">
      <alignment horizontal="center" vertical="center"/>
    </xf>
    <xf numFmtId="0" fontId="296" fillId="16" borderId="164" xfId="0" applyFont="1" applyFill="1" applyBorder="1" applyAlignment="1" applyProtection="1">
      <alignment horizontal="center" vertical="center"/>
    </xf>
    <xf numFmtId="0" fontId="184" fillId="0" borderId="129" xfId="0" applyFont="1" applyFill="1" applyBorder="1" applyAlignment="1" applyProtection="1">
      <alignment horizontal="center" vertical="center"/>
    </xf>
    <xf numFmtId="0" fontId="296" fillId="16" borderId="165" xfId="0" applyFont="1" applyFill="1" applyBorder="1" applyAlignment="1" applyProtection="1">
      <alignment horizontal="center" vertical="center"/>
    </xf>
    <xf numFmtId="0" fontId="184" fillId="0" borderId="20" xfId="0" applyFont="1" applyFill="1" applyBorder="1" applyAlignment="1" applyProtection="1">
      <alignment horizontal="center" vertical="center"/>
    </xf>
    <xf numFmtId="0" fontId="296" fillId="16" borderId="324" xfId="0" applyFont="1" applyFill="1" applyBorder="1" applyAlignment="1" applyProtection="1">
      <alignment horizontal="center" vertical="center"/>
    </xf>
    <xf numFmtId="0" fontId="184" fillId="16" borderId="324" xfId="0" applyFont="1" applyFill="1" applyBorder="1" applyAlignment="1" applyProtection="1">
      <alignment horizontal="center" vertical="center"/>
    </xf>
    <xf numFmtId="0" fontId="296" fillId="16" borderId="488" xfId="0" applyFont="1" applyFill="1" applyBorder="1" applyAlignment="1" applyProtection="1">
      <alignment horizontal="center" vertical="center"/>
    </xf>
    <xf numFmtId="0" fontId="184" fillId="16" borderId="169" xfId="0" applyFont="1" applyFill="1" applyBorder="1" applyAlignment="1" applyProtection="1">
      <alignment horizontal="center" vertical="center"/>
    </xf>
    <xf numFmtId="0" fontId="184" fillId="16" borderId="129" xfId="0" applyFont="1" applyFill="1" applyBorder="1" applyAlignment="1" applyProtection="1">
      <alignment horizontal="center" vertical="center"/>
    </xf>
    <xf numFmtId="0" fontId="184" fillId="16" borderId="20" xfId="0" applyFont="1" applyFill="1" applyBorder="1" applyAlignment="1" applyProtection="1">
      <alignment horizontal="center" vertical="center"/>
    </xf>
    <xf numFmtId="0" fontId="9" fillId="16" borderId="162" xfId="0" applyFont="1" applyFill="1" applyBorder="1" applyAlignment="1" applyProtection="1">
      <alignment horizontal="center" vertical="center"/>
    </xf>
    <xf numFmtId="0" fontId="9" fillId="16" borderId="164" xfId="0" applyFont="1" applyFill="1" applyBorder="1" applyAlignment="1" applyProtection="1">
      <alignment horizontal="center" vertical="center"/>
    </xf>
    <xf numFmtId="0" fontId="9" fillId="16" borderId="165" xfId="0" applyFont="1" applyFill="1" applyBorder="1" applyAlignment="1" applyProtection="1">
      <alignment horizontal="center" vertical="center"/>
    </xf>
    <xf numFmtId="0" fontId="9" fillId="16" borderId="20" xfId="0" applyFont="1" applyFill="1" applyBorder="1" applyAlignment="1" applyProtection="1">
      <alignment horizontal="center" vertical="center"/>
    </xf>
    <xf numFmtId="0" fontId="9" fillId="16" borderId="324" xfId="0" applyFont="1" applyFill="1" applyBorder="1" applyAlignment="1" applyProtection="1">
      <alignment horizontal="center" vertical="center"/>
    </xf>
    <xf numFmtId="0" fontId="9" fillId="16" borderId="488" xfId="0" applyFont="1" applyFill="1" applyBorder="1" applyAlignment="1" applyProtection="1">
      <alignment horizontal="center" vertical="center"/>
    </xf>
    <xf numFmtId="0" fontId="184" fillId="16" borderId="549" xfId="0" applyFont="1" applyFill="1" applyBorder="1" applyAlignment="1" applyProtection="1">
      <alignment horizontal="center" vertical="center"/>
    </xf>
    <xf numFmtId="0" fontId="296" fillId="16" borderId="550" xfId="0" applyFont="1" applyFill="1" applyBorder="1" applyAlignment="1" applyProtection="1">
      <alignment horizontal="center" vertical="center"/>
    </xf>
    <xf numFmtId="0" fontId="9" fillId="16" borderId="129" xfId="0" applyFont="1" applyFill="1" applyBorder="1" applyAlignment="1" applyProtection="1">
      <alignment horizontal="center" vertical="center"/>
    </xf>
    <xf numFmtId="0" fontId="9" fillId="16" borderId="169" xfId="0" applyFont="1" applyFill="1" applyBorder="1" applyAlignment="1" applyProtection="1">
      <alignment horizontal="center" vertical="center"/>
    </xf>
    <xf numFmtId="0" fontId="19" fillId="16" borderId="20" xfId="0" applyFont="1" applyFill="1" applyBorder="1" applyAlignment="1" applyProtection="1">
      <alignment horizontal="center" vertical="center"/>
    </xf>
    <xf numFmtId="0" fontId="19" fillId="16" borderId="324" xfId="0" applyFont="1" applyFill="1" applyBorder="1" applyAlignment="1" applyProtection="1">
      <alignment horizontal="center" vertical="center"/>
    </xf>
    <xf numFmtId="0" fontId="19" fillId="16" borderId="488" xfId="0" applyFont="1" applyFill="1" applyBorder="1" applyAlignment="1" applyProtection="1">
      <alignment horizontal="center" vertical="center"/>
    </xf>
    <xf numFmtId="0" fontId="9" fillId="0" borderId="169" xfId="0" applyFont="1" applyFill="1" applyBorder="1" applyAlignment="1" applyProtection="1">
      <alignment horizontal="center" vertical="center"/>
    </xf>
    <xf numFmtId="0" fontId="9" fillId="0" borderId="129" xfId="0" applyFont="1" applyFill="1" applyBorder="1" applyAlignment="1" applyProtection="1">
      <alignment horizontal="center" vertical="center"/>
    </xf>
    <xf numFmtId="0" fontId="19" fillId="0" borderId="20" xfId="0" applyFont="1" applyFill="1" applyBorder="1" applyAlignment="1" applyProtection="1">
      <alignment horizontal="center" vertical="center"/>
    </xf>
    <xf numFmtId="0" fontId="15" fillId="0" borderId="87" xfId="0" applyFont="1" applyBorder="1" applyAlignment="1" applyProtection="1">
      <alignment horizontal="center" vertical="center"/>
    </xf>
    <xf numFmtId="0" fontId="226" fillId="0" borderId="463" xfId="0" applyFont="1" applyBorder="1" applyAlignment="1" applyProtection="1">
      <alignment horizontal="center" vertical="center"/>
    </xf>
    <xf numFmtId="0" fontId="319" fillId="0" borderId="483" xfId="0" applyFont="1" applyBorder="1" applyAlignment="1" applyProtection="1">
      <alignment horizontal="center" vertical="center"/>
    </xf>
    <xf numFmtId="0" fontId="21" fillId="0" borderId="483" xfId="0" applyFont="1" applyBorder="1" applyAlignment="1" applyProtection="1">
      <alignment horizontal="center" vertical="center"/>
    </xf>
    <xf numFmtId="0" fontId="21" fillId="0" borderId="38" xfId="0" applyFont="1" applyBorder="1" applyAlignment="1" applyProtection="1">
      <alignment horizontal="center" vertical="center"/>
    </xf>
    <xf numFmtId="0" fontId="184" fillId="0" borderId="141" xfId="0" applyFont="1" applyBorder="1" applyAlignment="1" applyProtection="1">
      <alignment horizontal="center" vertical="center"/>
    </xf>
    <xf numFmtId="0" fontId="296" fillId="0" borderId="483" xfId="0" applyFont="1" applyBorder="1" applyAlignment="1" applyProtection="1">
      <alignment horizontal="center" vertical="center"/>
    </xf>
    <xf numFmtId="0" fontId="9" fillId="0" borderId="36" xfId="0" applyFont="1" applyBorder="1" applyAlignment="1" applyProtection="1">
      <alignment horizontal="center" vertical="center"/>
    </xf>
    <xf numFmtId="0" fontId="9" fillId="0" borderId="464" xfId="0" applyFont="1" applyBorder="1" applyAlignment="1" applyProtection="1">
      <alignment horizontal="center" vertical="center"/>
    </xf>
    <xf numFmtId="0" fontId="9" fillId="0" borderId="0" xfId="0" applyFont="1" applyAlignment="1" applyProtection="1">
      <alignment horizontal="right" vertical="center"/>
    </xf>
    <xf numFmtId="0" fontId="184" fillId="0" borderId="0" xfId="0" applyFont="1" applyAlignment="1" applyProtection="1">
      <alignment horizontal="right" vertical="center"/>
    </xf>
    <xf numFmtId="0" fontId="296" fillId="0" borderId="0" xfId="0" applyFont="1" applyAlignment="1" applyProtection="1">
      <alignment horizontal="right" vertical="center"/>
    </xf>
    <xf numFmtId="49" fontId="22" fillId="39" borderId="22" xfId="0" applyNumberFormat="1" applyFont="1" applyFill="1" applyBorder="1" applyAlignment="1" applyProtection="1">
      <alignment horizontal="center" vertical="center"/>
    </xf>
    <xf numFmtId="0" fontId="22" fillId="39" borderId="22" xfId="0" applyFont="1" applyFill="1" applyBorder="1" applyAlignment="1" applyProtection="1">
      <alignment horizontal="center" vertical="center"/>
    </xf>
    <xf numFmtId="0" fontId="6" fillId="38" borderId="22" xfId="0" applyFont="1" applyFill="1" applyBorder="1" applyAlignment="1" applyProtection="1">
      <alignment horizontal="center" vertical="center"/>
    </xf>
    <xf numFmtId="0" fontId="23" fillId="16" borderId="551" xfId="0" applyFont="1" applyFill="1" applyBorder="1" applyProtection="1"/>
    <xf numFmtId="0" fontId="23" fillId="16" borderId="552" xfId="0" applyFont="1" applyFill="1" applyBorder="1" applyProtection="1"/>
    <xf numFmtId="0" fontId="315" fillId="16" borderId="553" xfId="0" applyFont="1" applyFill="1" applyBorder="1" applyAlignment="1" applyProtection="1"/>
    <xf numFmtId="0" fontId="315" fillId="16" borderId="554" xfId="0" applyFont="1" applyFill="1" applyBorder="1" applyAlignment="1" applyProtection="1"/>
    <xf numFmtId="0" fontId="315" fillId="16" borderId="555" xfId="0" applyFont="1" applyFill="1" applyBorder="1" applyAlignment="1" applyProtection="1"/>
    <xf numFmtId="0" fontId="23" fillId="16" borderId="556" xfId="0" applyFont="1" applyFill="1" applyBorder="1" applyProtection="1"/>
    <xf numFmtId="0" fontId="0" fillId="16" borderId="557" xfId="0" applyFill="1" applyBorder="1" applyProtection="1"/>
    <xf numFmtId="0" fontId="0" fillId="16" borderId="558" xfId="0" applyFill="1" applyBorder="1" applyProtection="1"/>
    <xf numFmtId="0" fontId="14" fillId="16" borderId="557" xfId="0" applyFont="1" applyFill="1" applyBorder="1" applyProtection="1"/>
    <xf numFmtId="0" fontId="14" fillId="16" borderId="558" xfId="0" applyFont="1" applyFill="1" applyBorder="1" applyProtection="1"/>
    <xf numFmtId="0" fontId="15" fillId="16" borderId="559" xfId="0" applyFont="1" applyFill="1" applyBorder="1" applyProtection="1"/>
    <xf numFmtId="0" fontId="15" fillId="16" borderId="558" xfId="0" applyFont="1" applyFill="1" applyBorder="1" applyProtection="1"/>
    <xf numFmtId="0" fontId="0" fillId="16" borderId="560" xfId="0" applyFill="1" applyBorder="1" applyProtection="1"/>
    <xf numFmtId="0" fontId="0" fillId="16" borderId="561" xfId="0" applyFill="1" applyBorder="1" applyProtection="1"/>
    <xf numFmtId="0" fontId="0" fillId="16" borderId="562" xfId="0" applyFill="1" applyBorder="1" applyProtection="1"/>
    <xf numFmtId="0" fontId="0" fillId="16" borderId="563" xfId="0" applyFill="1" applyBorder="1" applyProtection="1"/>
    <xf numFmtId="0" fontId="0" fillId="16" borderId="564" xfId="0" applyFill="1" applyBorder="1" applyProtection="1"/>
    <xf numFmtId="0" fontId="131" fillId="0" borderId="22" xfId="0" applyFont="1" applyBorder="1" applyAlignment="1" applyProtection="1">
      <alignment horizontal="center" vertical="center" wrapText="1"/>
    </xf>
    <xf numFmtId="0" fontId="31" fillId="0" borderId="565" xfId="0" applyFont="1" applyBorder="1" applyAlignment="1" applyProtection="1">
      <alignment horizontal="center" vertical="center" wrapText="1"/>
    </xf>
    <xf numFmtId="0" fontId="333" fillId="16" borderId="30" xfId="0" applyFont="1" applyFill="1" applyBorder="1" applyAlignment="1" applyProtection="1">
      <alignment horizontal="right" vertical="center"/>
    </xf>
    <xf numFmtId="0" fontId="19" fillId="16" borderId="26" xfId="0" applyFont="1" applyFill="1" applyBorder="1" applyAlignment="1" applyProtection="1">
      <alignment vertical="center"/>
    </xf>
    <xf numFmtId="0" fontId="19" fillId="16" borderId="460" xfId="0" applyFont="1" applyFill="1" applyBorder="1" applyAlignment="1" applyProtection="1">
      <alignment vertical="center"/>
    </xf>
    <xf numFmtId="0" fontId="333" fillId="0" borderId="0" xfId="0" applyFont="1" applyAlignment="1" applyProtection="1">
      <alignment horizontal="right"/>
    </xf>
    <xf numFmtId="0" fontId="174" fillId="16" borderId="30" xfId="0" applyFont="1" applyFill="1" applyBorder="1" applyProtection="1"/>
    <xf numFmtId="0" fontId="212" fillId="16" borderId="30" xfId="0" applyFont="1" applyFill="1" applyBorder="1" applyAlignment="1" applyProtection="1"/>
    <xf numFmtId="0" fontId="333" fillId="16" borderId="40" xfId="0" applyFont="1" applyFill="1" applyBorder="1" applyAlignment="1" applyProtection="1">
      <alignment horizontal="right" vertical="center"/>
    </xf>
    <xf numFmtId="0" fontId="149" fillId="16" borderId="30" xfId="0" applyFont="1" applyFill="1" applyBorder="1" applyAlignment="1" applyProtection="1">
      <alignment horizontal="right" vertical="center"/>
    </xf>
    <xf numFmtId="0" fontId="6" fillId="0" borderId="26" xfId="0" applyFont="1" applyBorder="1" applyAlignment="1" applyProtection="1">
      <alignment horizontal="right" vertical="center"/>
    </xf>
    <xf numFmtId="0" fontId="18" fillId="16" borderId="30" xfId="0" applyFont="1" applyFill="1" applyBorder="1" applyAlignment="1" applyProtection="1">
      <alignment horizontal="right" vertical="center"/>
    </xf>
    <xf numFmtId="0" fontId="18" fillId="16" borderId="0" xfId="0" applyFont="1" applyFill="1" applyProtection="1"/>
    <xf numFmtId="49" fontId="7" fillId="16" borderId="0" xfId="0" applyNumberFormat="1" applyFont="1" applyFill="1" applyBorder="1" applyAlignment="1" applyProtection="1">
      <alignment vertical="center"/>
    </xf>
    <xf numFmtId="0" fontId="18" fillId="16" borderId="0" xfId="0" applyFont="1" applyFill="1" applyAlignment="1" applyProtection="1">
      <alignment vertical="center"/>
    </xf>
    <xf numFmtId="0" fontId="7" fillId="16" borderId="0" xfId="0" applyFont="1" applyFill="1" applyAlignment="1" applyProtection="1">
      <alignment vertical="center"/>
    </xf>
    <xf numFmtId="0" fontId="0" fillId="42" borderId="0" xfId="0" applyFill="1" applyAlignment="1">
      <alignment horizontal="center" vertical="center" wrapText="1"/>
    </xf>
    <xf numFmtId="0" fontId="334" fillId="43" borderId="22" xfId="0" applyFont="1" applyFill="1" applyBorder="1" applyAlignment="1">
      <alignment horizontal="center" vertical="center" wrapText="1"/>
    </xf>
    <xf numFmtId="0" fontId="0" fillId="42" borderId="22" xfId="0" applyFill="1" applyBorder="1" applyAlignment="1">
      <alignment horizontal="center" vertical="center" wrapText="1"/>
    </xf>
    <xf numFmtId="0" fontId="0" fillId="30" borderId="22" xfId="0" applyFill="1" applyBorder="1" applyAlignment="1">
      <alignment horizontal="center" vertical="center" wrapText="1"/>
    </xf>
    <xf numFmtId="0" fontId="0" fillId="45" borderId="22" xfId="0" applyFill="1" applyBorder="1" applyAlignment="1">
      <alignment horizontal="center" vertical="center" wrapText="1"/>
    </xf>
    <xf numFmtId="0" fontId="260" fillId="17" borderId="22" xfId="0" applyFont="1" applyFill="1" applyBorder="1" applyAlignment="1">
      <alignment horizontal="center" vertical="center" wrapText="1"/>
    </xf>
    <xf numFmtId="0" fontId="279" fillId="42" borderId="22" xfId="0" applyFont="1" applyFill="1" applyBorder="1" applyAlignment="1">
      <alignment horizontal="left" vertical="center" wrapText="1"/>
    </xf>
    <xf numFmtId="0" fontId="336" fillId="42" borderId="22" xfId="0" applyFont="1" applyFill="1" applyBorder="1" applyAlignment="1">
      <alignment horizontal="center" vertical="center" wrapText="1"/>
    </xf>
    <xf numFmtId="0" fontId="336" fillId="42" borderId="22" xfId="0" applyFont="1" applyFill="1" applyBorder="1" applyAlignment="1">
      <alignment horizontal="center" wrapText="1"/>
    </xf>
    <xf numFmtId="0" fontId="337" fillId="30" borderId="22" xfId="0" applyFont="1" applyFill="1" applyBorder="1" applyAlignment="1">
      <alignment horizontal="center" wrapText="1"/>
    </xf>
    <xf numFmtId="0" fontId="338" fillId="45" borderId="22" xfId="0" applyFont="1" applyFill="1" applyBorder="1" applyAlignment="1">
      <alignment horizontal="center" wrapText="1"/>
    </xf>
    <xf numFmtId="0" fontId="339" fillId="17" borderId="22" xfId="0" applyFont="1" applyFill="1" applyBorder="1" applyAlignment="1">
      <alignment horizontal="center" wrapText="1"/>
    </xf>
    <xf numFmtId="0" fontId="340" fillId="42" borderId="22" xfId="0" applyFont="1" applyFill="1" applyBorder="1" applyAlignment="1">
      <alignment horizontal="center" wrapText="1"/>
    </xf>
    <xf numFmtId="0" fontId="256" fillId="16" borderId="89" xfId="0" applyFont="1" applyFill="1" applyBorder="1" applyAlignment="1" applyProtection="1">
      <alignment horizontal="center" vertical="center"/>
    </xf>
    <xf numFmtId="0" fontId="204" fillId="16" borderId="89" xfId="0" applyFont="1" applyFill="1" applyBorder="1" applyAlignment="1" applyProtection="1">
      <alignment horizontal="left"/>
    </xf>
    <xf numFmtId="0" fontId="204" fillId="16" borderId="89" xfId="0" applyFont="1" applyFill="1" applyBorder="1" applyProtection="1"/>
    <xf numFmtId="0" fontId="139" fillId="16" borderId="89" xfId="0" applyFont="1" applyFill="1" applyBorder="1" applyProtection="1"/>
    <xf numFmtId="0" fontId="22" fillId="0" borderId="22" xfId="0" applyFont="1" applyFill="1" applyBorder="1" applyAlignment="1" applyProtection="1">
      <alignment horizontal="center" vertical="center"/>
    </xf>
    <xf numFmtId="0" fontId="256" fillId="16" borderId="0" xfId="0" applyFont="1" applyFill="1" applyAlignment="1" applyProtection="1">
      <alignment horizontal="center" vertical="center"/>
      <protection locked="0"/>
    </xf>
    <xf numFmtId="0" fontId="343" fillId="16" borderId="0" xfId="0" applyFont="1" applyFill="1" applyBorder="1" applyAlignment="1" applyProtection="1"/>
    <xf numFmtId="0" fontId="257" fillId="0" borderId="0" xfId="0" applyFont="1" applyAlignment="1" applyProtection="1">
      <alignment horizontal="center" vertical="center"/>
    </xf>
    <xf numFmtId="0" fontId="167" fillId="0" borderId="47" xfId="0" applyFont="1" applyBorder="1" applyAlignment="1" applyProtection="1">
      <alignment horizontal="center" vertical="center"/>
    </xf>
    <xf numFmtId="0" fontId="335" fillId="0" borderId="22" xfId="0" applyFont="1" applyBorder="1" applyAlignment="1" applyProtection="1">
      <alignment horizontal="center" vertical="center"/>
    </xf>
    <xf numFmtId="0" fontId="167" fillId="0" borderId="0" xfId="0" applyFont="1" applyBorder="1" applyAlignment="1" applyProtection="1">
      <alignment horizontal="center" vertical="center"/>
    </xf>
    <xf numFmtId="0" fontId="167" fillId="0" borderId="49" xfId="0" applyFont="1" applyBorder="1" applyAlignment="1" applyProtection="1">
      <alignment horizontal="center" vertical="center"/>
    </xf>
    <xf numFmtId="0" fontId="203" fillId="0" borderId="0" xfId="0" applyFont="1" applyBorder="1" applyAlignment="1" applyProtection="1">
      <alignment horizontal="center" vertical="center"/>
    </xf>
    <xf numFmtId="0" fontId="203" fillId="0" borderId="0" xfId="0" applyFont="1" applyBorder="1" applyAlignment="1" applyProtection="1">
      <alignment horizontal="right" vertical="center"/>
    </xf>
    <xf numFmtId="0" fontId="42" fillId="0" borderId="1" xfId="0" applyFont="1" applyBorder="1" applyAlignment="1" applyProtection="1">
      <alignment horizontal="right"/>
    </xf>
    <xf numFmtId="0" fontId="31" fillId="16" borderId="0" xfId="0" applyFont="1" applyFill="1" applyBorder="1" applyAlignment="1" applyProtection="1">
      <alignment horizontal="center" vertical="center"/>
    </xf>
    <xf numFmtId="0" fontId="174" fillId="0" borderId="444" xfId="0" applyFont="1" applyBorder="1" applyAlignment="1" applyProtection="1">
      <alignment horizontal="center" vertical="center"/>
    </xf>
    <xf numFmtId="0" fontId="14" fillId="0" borderId="62" xfId="0" applyFont="1" applyBorder="1" applyAlignment="1" applyProtection="1">
      <alignment horizontal="center" vertical="center"/>
    </xf>
    <xf numFmtId="0" fontId="345" fillId="0" borderId="445" xfId="0" applyFont="1" applyBorder="1" applyAlignment="1" applyProtection="1">
      <alignment horizontal="center" vertical="center"/>
    </xf>
    <xf numFmtId="0" fontId="346" fillId="0" borderId="446" xfId="0" applyFont="1" applyBorder="1" applyAlignment="1" applyProtection="1">
      <alignment horizontal="center" vertical="center"/>
    </xf>
    <xf numFmtId="0" fontId="19" fillId="0" borderId="51" xfId="0" applyFont="1" applyBorder="1" applyAlignment="1" applyProtection="1">
      <alignment wrapText="1" shrinkToFit="1"/>
    </xf>
    <xf numFmtId="0" fontId="347" fillId="0" borderId="0" xfId="0" applyFont="1" applyAlignment="1" applyProtection="1">
      <alignment horizontal="center" vertical="center"/>
    </xf>
    <xf numFmtId="0" fontId="259" fillId="0" borderId="0" xfId="0" applyFont="1" applyAlignment="1" applyProtection="1">
      <alignment horizontal="center" vertical="center"/>
    </xf>
    <xf numFmtId="0" fontId="347" fillId="0" borderId="0" xfId="0" applyFont="1" applyBorder="1" applyAlignment="1" applyProtection="1">
      <alignment horizontal="center" vertical="center"/>
    </xf>
    <xf numFmtId="0" fontId="259" fillId="0" borderId="0" xfId="0" applyFont="1" applyBorder="1" applyAlignment="1" applyProtection="1">
      <alignment horizontal="center" vertical="center"/>
    </xf>
    <xf numFmtId="0" fontId="347" fillId="0" borderId="0" xfId="0" applyFont="1" applyFill="1" applyBorder="1" applyAlignment="1" applyProtection="1">
      <alignment horizontal="center" vertical="center" wrapText="1"/>
    </xf>
    <xf numFmtId="0" fontId="259" fillId="0" borderId="0" xfId="0" applyFont="1" applyFill="1" applyBorder="1" applyAlignment="1" applyProtection="1">
      <alignment horizontal="center" vertical="center" wrapText="1"/>
    </xf>
    <xf numFmtId="0" fontId="22" fillId="0" borderId="0" xfId="0" applyFont="1" applyAlignment="1" applyProtection="1">
      <alignment vertical="center"/>
    </xf>
    <xf numFmtId="0" fontId="22" fillId="0" borderId="102" xfId="0" applyFont="1" applyFill="1" applyBorder="1" applyAlignment="1" applyProtection="1">
      <alignment horizontal="center" vertical="center" wrapText="1"/>
    </xf>
    <xf numFmtId="0" fontId="349" fillId="0" borderId="22" xfId="0" applyFont="1" applyFill="1" applyBorder="1" applyAlignment="1" applyProtection="1">
      <alignment horizontal="center" vertical="center" wrapText="1"/>
    </xf>
    <xf numFmtId="0" fontId="22" fillId="0" borderId="146" xfId="0" applyFont="1" applyFill="1" applyBorder="1" applyAlignment="1" applyProtection="1">
      <alignment horizontal="center" vertical="center" wrapText="1"/>
    </xf>
    <xf numFmtId="0" fontId="347" fillId="0" borderId="87" xfId="0" applyFont="1" applyBorder="1" applyAlignment="1" applyProtection="1">
      <alignment horizontal="center" vertical="center"/>
    </xf>
    <xf numFmtId="0" fontId="259" fillId="0" borderId="91" xfId="0" applyFont="1" applyBorder="1" applyAlignment="1" applyProtection="1">
      <alignment horizontal="center" vertical="center"/>
    </xf>
    <xf numFmtId="0" fontId="350" fillId="0" borderId="47" xfId="0" applyFont="1" applyBorder="1" applyAlignment="1" applyProtection="1">
      <alignment horizontal="center" vertical="center"/>
    </xf>
    <xf numFmtId="0" fontId="350" fillId="0" borderId="49" xfId="0" applyFont="1" applyBorder="1" applyAlignment="1" applyProtection="1">
      <alignment horizontal="center" vertical="center"/>
    </xf>
    <xf numFmtId="0" fontId="351" fillId="0" borderId="47" xfId="0" applyFont="1" applyBorder="1" applyAlignment="1" applyProtection="1">
      <alignment horizontal="center" vertical="center"/>
    </xf>
    <xf numFmtId="0" fontId="351" fillId="0" borderId="49" xfId="0" applyFont="1" applyBorder="1" applyAlignment="1" applyProtection="1">
      <alignment horizontal="center" vertical="center"/>
    </xf>
    <xf numFmtId="0" fontId="352" fillId="0" borderId="47" xfId="0" applyFont="1" applyBorder="1" applyAlignment="1" applyProtection="1">
      <alignment horizontal="center" vertical="center"/>
    </xf>
    <xf numFmtId="0" fontId="352" fillId="0" borderId="49" xfId="0" applyFont="1" applyBorder="1" applyAlignment="1" applyProtection="1">
      <alignment horizontal="center" vertical="center"/>
    </xf>
    <xf numFmtId="0" fontId="22" fillId="0" borderId="0" xfId="0" applyFont="1" applyAlignment="1" applyProtection="1">
      <alignment horizontal="center" vertical="center"/>
    </xf>
    <xf numFmtId="0" fontId="347" fillId="0" borderId="0" xfId="0" applyFont="1" applyFill="1" applyBorder="1" applyAlignment="1" applyProtection="1">
      <alignment horizontal="center" vertical="center"/>
    </xf>
    <xf numFmtId="0" fontId="259" fillId="0" borderId="0" xfId="0" applyFont="1" applyFill="1" applyBorder="1" applyAlignment="1" applyProtection="1">
      <alignment horizontal="center" vertical="center"/>
    </xf>
    <xf numFmtId="0" fontId="347" fillId="0" borderId="89" xfId="0" applyFont="1" applyBorder="1" applyAlignment="1" applyProtection="1">
      <alignment horizontal="center" vertical="center"/>
    </xf>
    <xf numFmtId="0" fontId="259" fillId="0" borderId="89" xfId="0" applyFont="1" applyBorder="1" applyAlignment="1" applyProtection="1">
      <alignment horizontal="center" vertical="center"/>
    </xf>
    <xf numFmtId="0" fontId="259" fillId="0" borderId="0" xfId="0" applyFont="1" applyProtection="1"/>
    <xf numFmtId="0" fontId="347" fillId="0" borderId="0" xfId="0" applyFont="1" applyProtection="1"/>
    <xf numFmtId="0" fontId="62" fillId="16" borderId="68" xfId="0" applyFont="1" applyFill="1" applyBorder="1" applyAlignment="1" applyProtection="1">
      <alignment horizontal="center"/>
    </xf>
    <xf numFmtId="0" fontId="225" fillId="0" borderId="571" xfId="0" applyFont="1" applyBorder="1" applyAlignment="1" applyProtection="1">
      <alignment horizontal="center" vertical="center"/>
    </xf>
    <xf numFmtId="0" fontId="158" fillId="0" borderId="572" xfId="0" applyFont="1" applyBorder="1" applyAlignment="1" applyProtection="1">
      <alignment horizontal="center" vertical="center"/>
    </xf>
    <xf numFmtId="0" fontId="225" fillId="0" borderId="573" xfId="0" applyFont="1" applyBorder="1" applyAlignment="1" applyProtection="1">
      <alignment horizontal="center" vertical="center"/>
    </xf>
    <xf numFmtId="0" fontId="158" fillId="0" borderId="574" xfId="0" applyFont="1" applyBorder="1" applyAlignment="1" applyProtection="1">
      <alignment horizontal="center" vertical="center"/>
    </xf>
    <xf numFmtId="0" fontId="225" fillId="0" borderId="575" xfId="0" applyFont="1" applyBorder="1" applyAlignment="1" applyProtection="1">
      <alignment horizontal="center" vertical="center"/>
    </xf>
    <xf numFmtId="0" fontId="158" fillId="0" borderId="576" xfId="0" applyFont="1" applyBorder="1" applyAlignment="1" applyProtection="1">
      <alignment horizontal="center" vertical="center"/>
    </xf>
    <xf numFmtId="0" fontId="225" fillId="0" borderId="577" xfId="0" applyFont="1" applyBorder="1" applyAlignment="1" applyProtection="1">
      <alignment horizontal="center" vertical="center"/>
    </xf>
    <xf numFmtId="0" fontId="158" fillId="0" borderId="578" xfId="0" applyFont="1" applyBorder="1" applyAlignment="1" applyProtection="1">
      <alignment horizontal="center" vertical="center"/>
    </xf>
    <xf numFmtId="0" fontId="43" fillId="2" borderId="89" xfId="0" applyFont="1" applyFill="1" applyBorder="1" applyAlignment="1" applyProtection="1">
      <alignment horizontal="center" vertical="center"/>
    </xf>
    <xf numFmtId="0" fontId="341" fillId="16" borderId="0" xfId="0" applyFont="1" applyFill="1" applyProtection="1"/>
    <xf numFmtId="0" fontId="341" fillId="16" borderId="0" xfId="0" applyFont="1" applyFill="1" applyAlignment="1" applyProtection="1">
      <alignment horizontal="left"/>
    </xf>
    <xf numFmtId="0" fontId="0" fillId="16" borderId="0" xfId="0" applyFill="1"/>
    <xf numFmtId="0" fontId="0" fillId="16" borderId="0" xfId="0" applyFill="1" applyAlignment="1">
      <alignment vertical="center"/>
    </xf>
    <xf numFmtId="0" fontId="0" fillId="0" borderId="0" xfId="0" applyAlignment="1">
      <alignment vertical="center"/>
    </xf>
    <xf numFmtId="0" fontId="192" fillId="0" borderId="0" xfId="0" applyFont="1"/>
    <xf numFmtId="0" fontId="0" fillId="0" borderId="0" xfId="0" applyFill="1"/>
    <xf numFmtId="0" fontId="212" fillId="0" borderId="0" xfId="0" applyFont="1" applyBorder="1" applyProtection="1"/>
    <xf numFmtId="0" fontId="158" fillId="0" borderId="172" xfId="0" applyFont="1" applyBorder="1" applyAlignment="1" applyProtection="1">
      <alignment vertical="center"/>
    </xf>
    <xf numFmtId="0" fontId="158" fillId="0" borderId="87" xfId="0" applyFont="1" applyBorder="1" applyAlignment="1" applyProtection="1">
      <alignment vertical="center"/>
    </xf>
    <xf numFmtId="0" fontId="158" fillId="0" borderId="0" xfId="0" applyFont="1" applyBorder="1" applyAlignment="1" applyProtection="1">
      <alignment vertical="center"/>
    </xf>
    <xf numFmtId="0" fontId="158" fillId="0" borderId="172" xfId="0" applyFont="1" applyBorder="1" applyAlignment="1" applyProtection="1">
      <alignment horizontal="left" vertical="center"/>
    </xf>
    <xf numFmtId="0" fontId="158" fillId="0" borderId="87" xfId="0" applyFont="1" applyBorder="1" applyAlignment="1" applyProtection="1">
      <alignment horizontal="left" vertical="center"/>
    </xf>
    <xf numFmtId="0" fontId="212" fillId="0" borderId="0" xfId="0" applyFont="1" applyProtection="1"/>
    <xf numFmtId="0" fontId="256" fillId="16" borderId="162" xfId="0" applyNumberFormat="1" applyFont="1" applyFill="1" applyBorder="1" applyAlignment="1">
      <alignment vertical="center"/>
    </xf>
    <xf numFmtId="0" fontId="178" fillId="16" borderId="162" xfId="0" applyNumberFormat="1" applyFont="1" applyFill="1" applyBorder="1" applyAlignment="1">
      <alignment vertical="center"/>
    </xf>
    <xf numFmtId="0" fontId="256" fillId="16" borderId="162" xfId="0" applyNumberFormat="1" applyFont="1" applyFill="1" applyBorder="1" applyAlignment="1">
      <alignment horizontal="center" vertical="center"/>
    </xf>
    <xf numFmtId="0" fontId="22" fillId="0" borderId="102" xfId="0" applyFont="1" applyBorder="1" applyAlignment="1" applyProtection="1">
      <alignment horizontal="center" vertical="center"/>
    </xf>
    <xf numFmtId="0" fontId="22" fillId="0" borderId="172" xfId="0" applyFont="1" applyBorder="1" applyAlignment="1" applyProtection="1">
      <alignment horizontal="center" vertical="center"/>
    </xf>
    <xf numFmtId="0" fontId="22" fillId="0" borderId="146" xfId="0" applyFont="1" applyBorder="1" applyAlignment="1" applyProtection="1">
      <alignment horizontal="center" vertical="center"/>
    </xf>
    <xf numFmtId="0" fontId="209" fillId="0" borderId="579" xfId="0" applyFont="1" applyBorder="1" applyAlignment="1">
      <alignment horizontal="center" vertical="center"/>
    </xf>
    <xf numFmtId="0" fontId="355" fillId="0" borderId="47" xfId="3" applyFont="1" applyFill="1" applyBorder="1" applyAlignment="1" applyProtection="1">
      <alignment vertical="center"/>
    </xf>
    <xf numFmtId="0" fontId="355" fillId="2" borderId="48" xfId="0" applyFont="1" applyFill="1" applyBorder="1" applyAlignment="1" applyProtection="1">
      <alignment vertical="center"/>
    </xf>
    <xf numFmtId="0" fontId="355" fillId="2" borderId="294" xfId="0" applyFont="1" applyFill="1" applyBorder="1" applyAlignment="1" applyProtection="1">
      <alignment vertical="center"/>
    </xf>
    <xf numFmtId="0" fontId="355" fillId="2" borderId="225" xfId="0" applyFont="1" applyFill="1" applyBorder="1" applyAlignment="1" applyProtection="1">
      <alignment vertical="center"/>
    </xf>
    <xf numFmtId="0" fontId="355" fillId="2" borderId="261" xfId="0" applyFont="1" applyFill="1" applyBorder="1" applyAlignment="1" applyProtection="1">
      <alignment vertical="center"/>
    </xf>
    <xf numFmtId="0" fontId="355" fillId="0" borderId="22" xfId="3" applyFont="1" applyFill="1" applyBorder="1" applyAlignment="1" applyProtection="1">
      <alignment horizontal="center" vertical="center" wrapText="1"/>
    </xf>
    <xf numFmtId="0" fontId="355" fillId="2" borderId="22" xfId="0" applyFont="1" applyFill="1" applyBorder="1" applyAlignment="1" applyProtection="1">
      <alignment horizontal="left" vertical="center"/>
    </xf>
    <xf numFmtId="0" fontId="234" fillId="0" borderId="22" xfId="0" applyFont="1" applyFill="1" applyBorder="1" applyAlignment="1" applyProtection="1">
      <alignment horizontal="center" vertical="center" wrapText="1"/>
    </xf>
    <xf numFmtId="0" fontId="347" fillId="16" borderId="0" xfId="0" applyFont="1" applyFill="1" applyAlignment="1" applyProtection="1">
      <alignment horizontal="center" vertical="center"/>
    </xf>
    <xf numFmtId="0" fontId="347" fillId="16" borderId="0" xfId="0" applyFont="1" applyFill="1" applyBorder="1" applyAlignment="1" applyProtection="1">
      <alignment horizontal="center" vertical="center"/>
    </xf>
    <xf numFmtId="0" fontId="347" fillId="16" borderId="0" xfId="0" applyFont="1" applyFill="1" applyBorder="1" applyAlignment="1" applyProtection="1">
      <alignment horizontal="center" vertical="center" wrapText="1"/>
    </xf>
    <xf numFmtId="0" fontId="259" fillId="16" borderId="0" xfId="0" applyFont="1" applyFill="1" applyBorder="1" applyAlignment="1" applyProtection="1">
      <alignment horizontal="center" vertical="center" wrapText="1"/>
    </xf>
    <xf numFmtId="0" fontId="351" fillId="16" borderId="22" xfId="0" applyFont="1" applyFill="1" applyBorder="1" applyAlignment="1" applyProtection="1">
      <alignment horizontal="center" vertical="center" wrapText="1"/>
    </xf>
    <xf numFmtId="0" fontId="349" fillId="16" borderId="47" xfId="0" applyFont="1" applyFill="1" applyBorder="1" applyAlignment="1" applyProtection="1">
      <alignment horizontal="center" vertical="center"/>
    </xf>
    <xf numFmtId="0" fontId="349" fillId="16" borderId="48" xfId="0" applyFont="1" applyFill="1" applyBorder="1" applyAlignment="1" applyProtection="1">
      <alignment horizontal="center" vertical="center"/>
    </xf>
    <xf numFmtId="0" fontId="347" fillId="16" borderId="89" xfId="0" applyFont="1" applyFill="1" applyBorder="1" applyAlignment="1" applyProtection="1">
      <alignment horizontal="center" vertical="center"/>
    </xf>
    <xf numFmtId="0" fontId="259" fillId="16" borderId="89" xfId="0" applyFont="1" applyFill="1" applyBorder="1" applyAlignment="1" applyProtection="1">
      <alignment horizontal="center" vertical="center"/>
    </xf>
    <xf numFmtId="0" fontId="349" fillId="16" borderId="49" xfId="0" applyFont="1" applyFill="1" applyBorder="1" applyAlignment="1" applyProtection="1">
      <alignment horizontal="center" vertical="center"/>
    </xf>
    <xf numFmtId="0" fontId="306" fillId="2" borderId="102" xfId="0" applyFont="1" applyFill="1" applyBorder="1" applyAlignment="1" applyProtection="1">
      <alignment horizontal="center" vertical="center"/>
    </xf>
    <xf numFmtId="0" fontId="306" fillId="0" borderId="22" xfId="0" applyFont="1" applyBorder="1" applyAlignment="1" applyProtection="1">
      <alignment horizontal="center" vertical="center"/>
    </xf>
    <xf numFmtId="0" fontId="348" fillId="2" borderId="22" xfId="0" applyFont="1" applyFill="1" applyBorder="1" applyAlignment="1" applyProtection="1">
      <alignment horizontal="center" vertical="center"/>
    </xf>
    <xf numFmtId="0" fontId="225" fillId="30" borderId="85" xfId="0" applyFont="1" applyFill="1" applyBorder="1" applyAlignment="1" applyProtection="1">
      <alignment horizontal="center" vertical="center"/>
    </xf>
    <xf numFmtId="0" fontId="225" fillId="0" borderId="87" xfId="0" applyFont="1" applyBorder="1" applyAlignment="1" applyProtection="1">
      <alignment vertical="center"/>
    </xf>
    <xf numFmtId="0" fontId="225" fillId="0" borderId="88" xfId="0" applyFont="1" applyBorder="1" applyAlignment="1" applyProtection="1">
      <alignment vertical="center"/>
    </xf>
    <xf numFmtId="0" fontId="158" fillId="30" borderId="90" xfId="0" applyFont="1" applyFill="1" applyBorder="1" applyAlignment="1" applyProtection="1">
      <alignment horizontal="center" vertical="center"/>
    </xf>
    <xf numFmtId="0" fontId="158" fillId="0" borderId="91" xfId="0" applyFont="1" applyBorder="1" applyAlignment="1" applyProtection="1">
      <alignment vertical="center"/>
    </xf>
    <xf numFmtId="0" fontId="158" fillId="0" borderId="92" xfId="0" applyFont="1" applyBorder="1" applyAlignment="1" applyProtection="1">
      <alignment vertical="center"/>
    </xf>
    <xf numFmtId="0" fontId="184" fillId="30" borderId="47" xfId="0" applyFont="1" applyFill="1" applyBorder="1" applyAlignment="1" applyProtection="1">
      <alignment horizontal="center" vertical="center"/>
    </xf>
    <xf numFmtId="0" fontId="296" fillId="30" borderId="49" xfId="0" applyFont="1" applyFill="1" applyBorder="1" applyAlignment="1" applyProtection="1">
      <alignment horizontal="center" vertical="center"/>
    </xf>
    <xf numFmtId="0" fontId="296" fillId="30" borderId="48" xfId="0" applyFont="1" applyFill="1" applyBorder="1" applyAlignment="1" applyProtection="1">
      <alignment horizontal="center" vertical="center"/>
    </xf>
    <xf numFmtId="0" fontId="184" fillId="30" borderId="86" xfId="0" applyFont="1" applyFill="1" applyBorder="1" applyAlignment="1" applyProtection="1">
      <alignment horizontal="center" vertical="center"/>
    </xf>
    <xf numFmtId="0" fontId="296" fillId="30" borderId="86" xfId="0" applyFont="1" applyFill="1" applyBorder="1" applyAlignment="1" applyProtection="1">
      <alignment horizontal="center" vertical="center"/>
    </xf>
    <xf numFmtId="0" fontId="296" fillId="30" borderId="90" xfId="0" applyFont="1" applyFill="1" applyBorder="1" applyAlignment="1" applyProtection="1">
      <alignment horizontal="center" vertical="center"/>
    </xf>
    <xf numFmtId="0" fontId="184" fillId="30" borderId="87" xfId="0" applyFont="1" applyFill="1" applyBorder="1" applyAlignment="1" applyProtection="1">
      <alignment horizontal="center" vertical="center"/>
    </xf>
    <xf numFmtId="0" fontId="296" fillId="30" borderId="0" xfId="0" applyFont="1" applyFill="1" applyBorder="1" applyAlignment="1" applyProtection="1">
      <alignment horizontal="center" vertical="center"/>
    </xf>
    <xf numFmtId="0" fontId="184" fillId="30" borderId="0" xfId="0" applyFont="1" applyFill="1" applyBorder="1" applyAlignment="1" applyProtection="1">
      <alignment horizontal="center" vertical="center"/>
    </xf>
    <xf numFmtId="0" fontId="9" fillId="30" borderId="47" xfId="0" applyFont="1" applyFill="1" applyBorder="1" applyAlignment="1" applyProtection="1">
      <alignment horizontal="center" vertical="center"/>
    </xf>
    <xf numFmtId="0" fontId="9" fillId="30" borderId="86" xfId="0" applyFont="1" applyFill="1" applyBorder="1" applyAlignment="1" applyProtection="1">
      <alignment horizontal="center" vertical="center"/>
    </xf>
    <xf numFmtId="0" fontId="9" fillId="30" borderId="85" xfId="0" applyFont="1" applyFill="1" applyBorder="1" applyAlignment="1" applyProtection="1">
      <alignment horizontal="center" vertical="center"/>
    </xf>
    <xf numFmtId="0" fontId="296" fillId="30" borderId="102" xfId="0" applyFont="1" applyFill="1" applyBorder="1" applyAlignment="1" applyProtection="1">
      <alignment horizontal="center" vertical="center"/>
    </xf>
    <xf numFmtId="0" fontId="9" fillId="30" borderId="102" xfId="0" applyFont="1" applyFill="1" applyBorder="1" applyAlignment="1" applyProtection="1">
      <alignment horizontal="center" vertical="center"/>
    </xf>
    <xf numFmtId="0" fontId="158" fillId="0" borderId="540" xfId="0" applyFont="1" applyBorder="1" applyAlignment="1" applyProtection="1">
      <alignment horizontal="center" vertical="center"/>
    </xf>
    <xf numFmtId="0" fontId="158" fillId="0" borderId="543" xfId="0" applyFont="1" applyBorder="1" applyAlignment="1" applyProtection="1">
      <alignment horizontal="left" vertical="center"/>
    </xf>
    <xf numFmtId="0" fontId="158" fillId="0" borderId="540" xfId="0" applyFont="1" applyBorder="1" applyAlignment="1" applyProtection="1">
      <alignment horizontal="left" vertical="center"/>
    </xf>
    <xf numFmtId="0" fontId="43" fillId="0" borderId="0" xfId="0" applyFont="1" applyAlignment="1" applyProtection="1">
      <alignment horizontal="center"/>
    </xf>
    <xf numFmtId="0" fontId="31" fillId="0" borderId="47" xfId="0" applyFont="1" applyBorder="1" applyAlignment="1">
      <alignment horizontal="center" vertical="center"/>
    </xf>
    <xf numFmtId="0" fontId="15" fillId="0" borderId="47" xfId="0" applyFont="1" applyBorder="1" applyAlignment="1">
      <alignment horizontal="center" vertical="center"/>
    </xf>
    <xf numFmtId="0" fontId="130" fillId="0" borderId="22" xfId="0" applyFont="1" applyBorder="1" applyAlignment="1">
      <alignment horizontal="center" vertical="center"/>
    </xf>
    <xf numFmtId="167" fontId="185" fillId="0" borderId="0" xfId="0" applyNumberFormat="1" applyFont="1" applyBorder="1" applyAlignment="1">
      <alignment vertical="center"/>
    </xf>
    <xf numFmtId="0" fontId="31" fillId="0" borderId="89" xfId="0" applyFont="1" applyFill="1" applyBorder="1" applyAlignment="1">
      <alignment horizontal="center" vertical="center"/>
    </xf>
    <xf numFmtId="0" fontId="31" fillId="0" borderId="89" xfId="0" applyFont="1" applyFill="1" applyBorder="1" applyAlignment="1">
      <alignment vertical="center"/>
    </xf>
    <xf numFmtId="0" fontId="10" fillId="0" borderId="0" xfId="0" applyFont="1" applyFill="1" applyBorder="1" applyAlignment="1">
      <alignment horizontal="right" vertical="center"/>
    </xf>
    <xf numFmtId="0" fontId="226" fillId="18" borderId="85" xfId="0" applyFont="1" applyFill="1" applyBorder="1" applyAlignment="1">
      <alignment vertical="center"/>
    </xf>
    <xf numFmtId="0" fontId="305" fillId="2" borderId="92" xfId="0" applyFont="1" applyFill="1" applyBorder="1" applyAlignment="1" applyProtection="1">
      <alignment vertical="center"/>
    </xf>
    <xf numFmtId="0" fontId="305" fillId="16" borderId="47" xfId="0" applyFont="1" applyFill="1" applyBorder="1" applyAlignment="1" applyProtection="1">
      <alignment horizontal="left" vertical="center"/>
    </xf>
    <xf numFmtId="0" fontId="0" fillId="42" borderId="47" xfId="0" applyFill="1" applyBorder="1" applyAlignment="1">
      <alignment horizontal="center" vertical="center" wrapText="1"/>
    </xf>
    <xf numFmtId="0" fontId="279" fillId="42" borderId="47" xfId="0" applyFont="1" applyFill="1" applyBorder="1" applyAlignment="1">
      <alignment vertical="center" wrapText="1"/>
    </xf>
    <xf numFmtId="0" fontId="279" fillId="42" borderId="48" xfId="0" applyFont="1" applyFill="1" applyBorder="1" applyAlignment="1">
      <alignment vertical="center" wrapText="1"/>
    </xf>
    <xf numFmtId="0" fontId="279" fillId="42" borderId="49" xfId="0" applyFont="1" applyFill="1" applyBorder="1" applyAlignment="1">
      <alignment vertical="center" wrapText="1"/>
    </xf>
    <xf numFmtId="0" fontId="225" fillId="0" borderId="22" xfId="0" applyFont="1" applyBorder="1" applyAlignment="1">
      <alignment horizontal="center" vertical="center"/>
    </xf>
    <xf numFmtId="0" fontId="146" fillId="0" borderId="22" xfId="0" applyFont="1" applyBorder="1" applyAlignment="1">
      <alignment vertical="center"/>
    </xf>
    <xf numFmtId="0" fontId="146" fillId="0" borderId="260" xfId="0" applyFont="1" applyBorder="1" applyAlignment="1">
      <alignment horizontal="center" vertical="center"/>
    </xf>
    <xf numFmtId="0" fontId="146" fillId="0" borderId="47" xfId="0" applyFont="1" applyBorder="1" applyAlignment="1">
      <alignment horizontal="center" vertical="center"/>
    </xf>
    <xf numFmtId="0" fontId="146" fillId="0" borderId="22" xfId="0" applyFont="1" applyBorder="1" applyAlignment="1">
      <alignment horizontal="center" vertical="center"/>
    </xf>
    <xf numFmtId="1" fontId="146" fillId="0" borderId="22" xfId="0" applyNumberFormat="1" applyFont="1" applyBorder="1" applyAlignment="1">
      <alignment vertical="center"/>
    </xf>
    <xf numFmtId="0" fontId="146" fillId="0" borderId="22" xfId="2" applyFont="1" applyFill="1" applyBorder="1" applyAlignment="1">
      <alignment vertical="center" wrapText="1"/>
    </xf>
    <xf numFmtId="0" fontId="146" fillId="0" borderId="22" xfId="2" applyFont="1" applyFill="1" applyBorder="1" applyAlignment="1">
      <alignment horizontal="center" vertical="center" wrapText="1"/>
    </xf>
    <xf numFmtId="167" fontId="146" fillId="0" borderId="22" xfId="0" applyNumberFormat="1" applyFont="1" applyBorder="1" applyAlignment="1">
      <alignment vertical="center"/>
    </xf>
    <xf numFmtId="167" fontId="225" fillId="0" borderId="22" xfId="0" applyNumberFormat="1" applyFont="1" applyBorder="1" applyAlignment="1">
      <alignment vertical="center"/>
    </xf>
    <xf numFmtId="0" fontId="15" fillId="0" borderId="22" xfId="0" applyFont="1" applyBorder="1" applyAlignment="1">
      <alignment horizontal="center"/>
    </xf>
    <xf numFmtId="0" fontId="356" fillId="0" borderId="22" xfId="2" applyFont="1" applyFill="1" applyBorder="1" applyAlignment="1">
      <alignment horizontal="center" vertical="center" wrapText="1"/>
    </xf>
    <xf numFmtId="0" fontId="357" fillId="0" borderId="22" xfId="2" applyFont="1" applyFill="1" applyBorder="1" applyAlignment="1">
      <alignment horizontal="center" vertical="center" wrapText="1"/>
    </xf>
    <xf numFmtId="0" fontId="133" fillId="0" borderId="0" xfId="0" applyFont="1" applyAlignment="1">
      <alignment horizontal="center" vertical="center"/>
    </xf>
    <xf numFmtId="0" fontId="305" fillId="2" borderId="22" xfId="0" applyFont="1" applyFill="1" applyBorder="1" applyAlignment="1" applyProtection="1">
      <alignment horizontal="right" vertical="center"/>
    </xf>
    <xf numFmtId="0" fontId="43" fillId="2" borderId="89"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0" fillId="0" borderId="0" xfId="0" applyBorder="1" applyAlignment="1" applyProtection="1">
      <alignment horizontal="center"/>
    </xf>
    <xf numFmtId="0" fontId="0" fillId="16" borderId="0" xfId="0" applyFill="1" applyBorder="1" applyAlignment="1" applyProtection="1">
      <alignment horizontal="center" vertical="center"/>
    </xf>
    <xf numFmtId="0" fontId="14" fillId="0" borderId="0" xfId="0" applyFont="1" applyBorder="1" applyAlignment="1" applyProtection="1">
      <alignment horizontal="center"/>
    </xf>
    <xf numFmtId="0" fontId="130" fillId="16" borderId="0" xfId="0" applyFont="1" applyFill="1" applyBorder="1" applyProtection="1"/>
    <xf numFmtId="0" fontId="19" fillId="16" borderId="0" xfId="0" applyFont="1" applyFill="1" applyBorder="1" applyProtection="1"/>
    <xf numFmtId="0" fontId="19" fillId="16" borderId="0" xfId="0" applyFont="1" applyFill="1" applyBorder="1" applyAlignment="1" applyProtection="1">
      <alignment horizontal="center" vertical="center"/>
    </xf>
    <xf numFmtId="0" fontId="9" fillId="16" borderId="582" xfId="0" applyFont="1" applyFill="1" applyBorder="1" applyAlignment="1" applyProtection="1">
      <alignment horizontal="center" vertical="center" shrinkToFit="1"/>
    </xf>
    <xf numFmtId="1" fontId="9" fillId="16" borderId="582" xfId="0" applyNumberFormat="1" applyFont="1" applyFill="1" applyBorder="1" applyAlignment="1" applyProtection="1">
      <alignment horizontal="center" vertical="center" shrinkToFit="1"/>
    </xf>
    <xf numFmtId="1" fontId="131" fillId="16" borderId="0" xfId="0" applyNumberFormat="1" applyFont="1" applyFill="1" applyBorder="1" applyAlignment="1" applyProtection="1">
      <alignment horizontal="center" vertical="center" wrapText="1"/>
    </xf>
    <xf numFmtId="0" fontId="206" fillId="16" borderId="0" xfId="0" applyFont="1" applyFill="1" applyBorder="1" applyProtection="1"/>
    <xf numFmtId="0" fontId="366" fillId="16" borderId="0" xfId="0" applyFont="1" applyFill="1" applyBorder="1" applyAlignment="1" applyProtection="1"/>
    <xf numFmtId="0" fontId="206" fillId="16" borderId="0" xfId="0" applyFont="1" applyFill="1" applyBorder="1" applyAlignment="1" applyProtection="1">
      <alignment horizontal="center" vertical="center"/>
    </xf>
    <xf numFmtId="0" fontId="366" fillId="16" borderId="0" xfId="0" applyFont="1" applyFill="1" applyBorder="1" applyAlignment="1" applyProtection="1">
      <alignment vertical="top"/>
    </xf>
    <xf numFmtId="0" fontId="202" fillId="16" borderId="0" xfId="0" applyFont="1" applyFill="1" applyBorder="1" applyAlignment="1" applyProtection="1"/>
    <xf numFmtId="0" fontId="39" fillId="16" borderId="0" xfId="0" applyFont="1" applyFill="1" applyBorder="1" applyAlignment="1" applyProtection="1">
      <alignment vertical="center" wrapText="1"/>
    </xf>
    <xf numFmtId="0" fontId="24" fillId="16" borderId="0" xfId="0" applyFont="1" applyFill="1" applyBorder="1" applyAlignment="1" applyProtection="1"/>
    <xf numFmtId="0" fontId="22" fillId="16" borderId="0" xfId="0" applyFont="1" applyFill="1" applyBorder="1" applyAlignment="1" applyProtection="1">
      <alignment horizontal="center" vertical="center"/>
    </xf>
    <xf numFmtId="0" fontId="25" fillId="16" borderId="0" xfId="0" applyFont="1" applyFill="1" applyBorder="1" applyAlignment="1" applyProtection="1"/>
    <xf numFmtId="0" fontId="6" fillId="16" borderId="0" xfId="0" applyFont="1" applyFill="1" applyBorder="1" applyAlignment="1" applyProtection="1">
      <alignment horizontal="center" vertical="center"/>
    </xf>
    <xf numFmtId="0" fontId="40" fillId="16" borderId="0" xfId="0" applyFont="1" applyFill="1" applyBorder="1"/>
    <xf numFmtId="0" fontId="40" fillId="16" borderId="0" xfId="0" applyFont="1" applyFill="1" applyBorder="1" applyAlignment="1" applyProtection="1"/>
    <xf numFmtId="0" fontId="40" fillId="16" borderId="0" xfId="0" applyFont="1" applyFill="1" applyBorder="1" applyProtection="1"/>
    <xf numFmtId="0" fontId="367" fillId="16" borderId="0" xfId="0" applyFont="1" applyFill="1" applyBorder="1" applyAlignment="1" applyProtection="1"/>
    <xf numFmtId="0" fontId="40" fillId="16" borderId="0" xfId="0" applyFont="1" applyFill="1" applyBorder="1" applyAlignment="1" applyProtection="1">
      <alignment horizontal="right"/>
    </xf>
    <xf numFmtId="0" fontId="40" fillId="16" borderId="0" xfId="0" applyFont="1" applyFill="1" applyBorder="1" applyAlignment="1" applyProtection="1">
      <alignment horizontal="center" vertical="center"/>
    </xf>
    <xf numFmtId="0" fontId="278" fillId="16" borderId="0" xfId="0" applyFont="1" applyFill="1" applyBorder="1" applyProtection="1"/>
    <xf numFmtId="0" fontId="278" fillId="16" borderId="0" xfId="0" applyFont="1" applyFill="1" applyBorder="1" applyAlignment="1" applyProtection="1">
      <alignment horizontal="center"/>
    </xf>
    <xf numFmtId="0" fontId="40" fillId="16" borderId="0" xfId="0" applyFont="1" applyFill="1"/>
    <xf numFmtId="0" fontId="367" fillId="16" borderId="89" xfId="0" applyFont="1" applyFill="1" applyBorder="1" applyAlignment="1" applyProtection="1"/>
    <xf numFmtId="0" fontId="9" fillId="47" borderId="22" xfId="0" applyFont="1" applyFill="1" applyBorder="1" applyAlignment="1" applyProtection="1">
      <alignment horizontal="center"/>
    </xf>
    <xf numFmtId="0" fontId="9" fillId="47" borderId="22" xfId="0" applyFont="1" applyFill="1" applyBorder="1" applyAlignment="1" applyProtection="1">
      <alignment horizontal="center" vertical="center" wrapText="1"/>
    </xf>
    <xf numFmtId="1" fontId="19" fillId="4" borderId="89" xfId="0" applyNumberFormat="1" applyFont="1" applyFill="1" applyBorder="1" applyAlignment="1" applyProtection="1">
      <alignment horizontal="center" vertical="center"/>
    </xf>
    <xf numFmtId="0" fontId="6" fillId="0" borderId="0" xfId="0" applyFont="1" applyBorder="1" applyAlignment="1" applyProtection="1">
      <alignment horizontal="right"/>
    </xf>
    <xf numFmtId="0" fontId="212" fillId="0" borderId="0" xfId="0" applyFont="1" applyBorder="1" applyAlignment="1" applyProtection="1">
      <alignment horizontal="right"/>
    </xf>
    <xf numFmtId="0" fontId="0" fillId="0" borderId="0" xfId="0" applyAlignment="1" applyProtection="1">
      <alignment horizontal="right"/>
    </xf>
    <xf numFmtId="0" fontId="0" fillId="0" borderId="0" xfId="0" applyAlignment="1" applyProtection="1">
      <alignment horizontal="right" vertical="center"/>
    </xf>
    <xf numFmtId="0" fontId="6" fillId="0" borderId="0" xfId="0" applyFont="1" applyAlignment="1" applyProtection="1">
      <alignment horizontal="right" vertical="center"/>
    </xf>
    <xf numFmtId="0" fontId="10" fillId="0" borderId="0" xfId="0" applyFont="1" applyAlignment="1" applyProtection="1">
      <alignment horizontal="right" vertical="center"/>
    </xf>
    <xf numFmtId="0" fontId="10" fillId="0" borderId="0" xfId="0" applyFont="1" applyAlignment="1" applyProtection="1">
      <alignment horizontal="right"/>
    </xf>
    <xf numFmtId="0" fontId="135" fillId="16" borderId="0" xfId="0" applyFont="1" applyFill="1" applyBorder="1" applyProtection="1"/>
    <xf numFmtId="0" fontId="368" fillId="16" borderId="0" xfId="0" applyFont="1" applyFill="1" applyBorder="1" applyAlignment="1" applyProtection="1">
      <alignment vertical="center"/>
    </xf>
    <xf numFmtId="49" fontId="368" fillId="16" borderId="0" xfId="0" applyNumberFormat="1" applyFont="1" applyFill="1" applyBorder="1" applyAlignment="1" applyProtection="1">
      <alignment vertical="center"/>
    </xf>
    <xf numFmtId="0" fontId="368" fillId="16" borderId="0" xfId="0" applyFont="1" applyFill="1" applyBorder="1" applyAlignment="1" applyProtection="1">
      <alignment horizontal="left" vertical="center"/>
    </xf>
    <xf numFmtId="0" fontId="270" fillId="16" borderId="0" xfId="0" applyFont="1" applyFill="1" applyBorder="1" applyAlignment="1" applyProtection="1"/>
    <xf numFmtId="0" fontId="133" fillId="16" borderId="0" xfId="0" applyFont="1" applyFill="1" applyBorder="1" applyAlignment="1" applyProtection="1">
      <alignment horizontal="center" vertical="center"/>
    </xf>
    <xf numFmtId="0" fontId="133" fillId="16" borderId="0" xfId="0" applyFont="1" applyFill="1" applyBorder="1" applyProtection="1"/>
    <xf numFmtId="0" fontId="362" fillId="46" borderId="590" xfId="0" applyFont="1" applyFill="1" applyBorder="1" applyAlignment="1">
      <alignment horizontal="center" vertical="center" wrapText="1"/>
    </xf>
    <xf numFmtId="0" fontId="361" fillId="46" borderId="590" xfId="0" applyFont="1" applyFill="1" applyBorder="1" applyAlignment="1">
      <alignment horizontal="center" vertical="center" wrapText="1"/>
    </xf>
    <xf numFmtId="0" fontId="203" fillId="0" borderId="0" xfId="0" applyFont="1" applyAlignment="1" applyProtection="1">
      <alignment horizontal="center" vertical="center"/>
    </xf>
    <xf numFmtId="0" fontId="144" fillId="4" borderId="0" xfId="0" applyNumberFormat="1" applyFont="1" applyFill="1" applyBorder="1" applyAlignment="1" applyProtection="1">
      <alignment horizontal="left" vertical="center"/>
    </xf>
    <xf numFmtId="0" fontId="144" fillId="4" borderId="0" xfId="0" applyNumberFormat="1" applyFont="1" applyFill="1" applyBorder="1" applyAlignment="1" applyProtection="1">
      <alignment horizontal="left" vertical="top"/>
    </xf>
    <xf numFmtId="1" fontId="144" fillId="4" borderId="0" xfId="0" applyNumberFormat="1" applyFont="1" applyFill="1" applyBorder="1" applyAlignment="1" applyProtection="1">
      <alignment horizontal="left" vertical="center"/>
    </xf>
    <xf numFmtId="0" fontId="126" fillId="0" borderId="129" xfId="0" applyFont="1" applyBorder="1" applyAlignment="1" applyProtection="1">
      <alignment horizontal="right"/>
    </xf>
    <xf numFmtId="0" fontId="6" fillId="0" borderId="129" xfId="0" applyFont="1" applyBorder="1" applyAlignment="1" applyProtection="1">
      <alignment horizontal="left"/>
    </xf>
    <xf numFmtId="0" fontId="6" fillId="0" borderId="0" xfId="0" applyFont="1" applyBorder="1" applyAlignment="1" applyProtection="1">
      <alignment horizontal="left"/>
    </xf>
    <xf numFmtId="0" fontId="347" fillId="2" borderId="22" xfId="0" applyFont="1" applyFill="1" applyBorder="1" applyAlignment="1" applyProtection="1">
      <alignment horizontal="center" vertical="center"/>
    </xf>
    <xf numFmtId="0" fontId="369" fillId="46" borderId="592" xfId="0" applyFont="1" applyFill="1" applyBorder="1" applyAlignment="1" applyProtection="1">
      <alignment horizontal="center" vertical="center" wrapText="1"/>
      <protection locked="0"/>
    </xf>
    <xf numFmtId="0" fontId="130" fillId="16" borderId="0" xfId="0" applyFont="1" applyFill="1" applyBorder="1" applyAlignment="1" applyProtection="1">
      <alignment vertical="center"/>
    </xf>
    <xf numFmtId="0" fontId="370" fillId="16" borderId="0" xfId="0" applyFont="1" applyFill="1" applyBorder="1" applyAlignment="1" applyProtection="1"/>
    <xf numFmtId="0" fontId="371" fillId="16" borderId="0" xfId="0" applyFont="1" applyFill="1" applyBorder="1" applyAlignment="1" applyProtection="1">
      <alignment horizontal="center"/>
    </xf>
    <xf numFmtId="0" fontId="370" fillId="16" borderId="0" xfId="0" applyFont="1" applyFill="1" applyBorder="1" applyProtection="1"/>
    <xf numFmtId="0" fontId="372" fillId="16" borderId="0" xfId="0" applyFont="1" applyFill="1" applyBorder="1" applyAlignment="1" applyProtection="1">
      <alignment vertical="center"/>
    </xf>
    <xf numFmtId="0" fontId="40" fillId="16" borderId="0" xfId="0" applyFont="1" applyFill="1" applyBorder="1" applyAlignment="1">
      <alignment horizontal="right"/>
    </xf>
    <xf numFmtId="0" fontId="22" fillId="16" borderId="299" xfId="0" applyFont="1" applyFill="1" applyBorder="1" applyAlignment="1">
      <alignment horizontal="left" vertical="center"/>
    </xf>
    <xf numFmtId="0" fontId="22" fillId="16" borderId="244" xfId="0" applyFont="1" applyFill="1" applyBorder="1" applyAlignment="1">
      <alignment horizontal="left" vertical="center"/>
    </xf>
    <xf numFmtId="0" fontId="296" fillId="48" borderId="22" xfId="0" applyFont="1" applyFill="1" applyBorder="1" applyAlignment="1" applyProtection="1">
      <alignment horizontal="center" vertical="center"/>
    </xf>
    <xf numFmtId="0" fontId="184" fillId="47" borderId="22" xfId="0" applyFont="1" applyFill="1" applyBorder="1" applyAlignment="1" applyProtection="1">
      <alignment horizontal="center"/>
    </xf>
    <xf numFmtId="0" fontId="184" fillId="47" borderId="22" xfId="0" applyFont="1" applyFill="1" applyBorder="1" applyAlignment="1" applyProtection="1">
      <alignment horizontal="center" vertical="center"/>
    </xf>
    <xf numFmtId="0" fontId="374" fillId="31" borderId="22" xfId="0" applyFont="1" applyFill="1" applyBorder="1" applyAlignment="1" applyProtection="1">
      <alignment horizontal="center" vertical="center" wrapText="1"/>
    </xf>
    <xf numFmtId="0" fontId="158" fillId="0" borderId="588" xfId="0" applyFont="1" applyBorder="1" applyProtection="1"/>
    <xf numFmtId="0" fontId="158" fillId="0" borderId="345" xfId="0" applyFont="1" applyBorder="1" applyProtection="1"/>
    <xf numFmtId="0" fontId="277" fillId="31" borderId="49" xfId="0" applyFont="1" applyFill="1" applyBorder="1" applyAlignment="1" applyProtection="1">
      <alignment vertical="center" wrapText="1"/>
    </xf>
    <xf numFmtId="169" fontId="289" fillId="16" borderId="49" xfId="0" applyNumberFormat="1" applyFont="1" applyFill="1" applyBorder="1" applyAlignment="1" applyProtection="1">
      <alignment vertical="center"/>
    </xf>
    <xf numFmtId="0" fontId="279" fillId="16" borderId="0" xfId="0" applyFont="1" applyFill="1" applyAlignment="1" applyProtection="1">
      <alignment vertical="center"/>
    </xf>
    <xf numFmtId="0" fontId="375" fillId="16" borderId="0" xfId="0" applyFont="1" applyFill="1" applyAlignment="1" applyProtection="1">
      <alignment horizontal="center" vertical="center"/>
    </xf>
    <xf numFmtId="0" fontId="178" fillId="16" borderId="0" xfId="0" applyFont="1" applyFill="1" applyAlignment="1" applyProtection="1">
      <alignment vertical="center"/>
    </xf>
    <xf numFmtId="0" fontId="127" fillId="0" borderId="246" xfId="0" applyFont="1" applyBorder="1" applyAlignment="1" applyProtection="1">
      <alignment horizontal="right" vertical="center"/>
    </xf>
    <xf numFmtId="0" fontId="253" fillId="16" borderId="0" xfId="0" applyFont="1" applyFill="1" applyBorder="1" applyAlignment="1" applyProtection="1">
      <alignment vertical="center"/>
    </xf>
    <xf numFmtId="0" fontId="134" fillId="0" borderId="254" xfId="0" applyFont="1" applyBorder="1" applyAlignment="1" applyProtection="1">
      <alignment horizontal="center" vertical="center"/>
    </xf>
    <xf numFmtId="0" fontId="134" fillId="0" borderId="253" xfId="0" applyFont="1" applyBorder="1" applyAlignment="1" applyProtection="1">
      <alignment horizontal="center" vertical="center"/>
    </xf>
    <xf numFmtId="0" fontId="134" fillId="16" borderId="254" xfId="0" applyFont="1" applyFill="1" applyBorder="1" applyAlignment="1" applyProtection="1">
      <alignment horizontal="center" vertical="center"/>
    </xf>
    <xf numFmtId="0" fontId="137" fillId="16" borderId="246" xfId="0" applyFont="1" applyFill="1" applyBorder="1" applyAlignment="1" applyProtection="1">
      <alignment horizontal="left" vertical="center"/>
    </xf>
    <xf numFmtId="0" fontId="205" fillId="16" borderId="0" xfId="0" applyFont="1" applyFill="1" applyBorder="1" applyAlignment="1" applyProtection="1">
      <alignment horizontal="left" vertical="center"/>
    </xf>
    <xf numFmtId="0" fontId="137" fillId="16" borderId="247" xfId="0" applyFont="1" applyFill="1" applyBorder="1" applyAlignment="1" applyProtection="1">
      <alignment horizontal="left" vertical="center"/>
    </xf>
    <xf numFmtId="0" fontId="128" fillId="16" borderId="244" xfId="0" applyFont="1" applyFill="1" applyBorder="1" applyAlignment="1" applyProtection="1">
      <alignment vertical="center"/>
    </xf>
    <xf numFmtId="0" fontId="136" fillId="16" borderId="0" xfId="0" applyFont="1" applyFill="1" applyAlignment="1" applyProtection="1">
      <alignment vertical="center"/>
    </xf>
    <xf numFmtId="0" fontId="128" fillId="16" borderId="459" xfId="0" applyFont="1" applyFill="1" applyBorder="1" applyAlignment="1" applyProtection="1">
      <alignment vertical="center"/>
    </xf>
    <xf numFmtId="0" fontId="128" fillId="16" borderId="86" xfId="0" applyFont="1" applyFill="1" applyBorder="1" applyAlignment="1" applyProtection="1">
      <alignment vertical="center"/>
    </xf>
    <xf numFmtId="0" fontId="253" fillId="16" borderId="0" xfId="0" applyFont="1" applyFill="1" applyBorder="1" applyAlignment="1" applyProtection="1">
      <alignment horizontal="right" vertical="center"/>
    </xf>
    <xf numFmtId="0" fontId="205" fillId="16" borderId="0" xfId="0" applyFont="1" applyFill="1" applyBorder="1" applyAlignment="1" applyProtection="1">
      <alignment horizontal="right" vertical="center"/>
    </xf>
    <xf numFmtId="0" fontId="377" fillId="0" borderId="249" xfId="0" applyFont="1" applyBorder="1" applyAlignment="1" applyProtection="1">
      <alignment horizontal="center" vertical="center"/>
    </xf>
    <xf numFmtId="0" fontId="377" fillId="0" borderId="245" xfId="0" applyFont="1" applyBorder="1" applyAlignment="1" applyProtection="1">
      <alignment horizontal="center" vertical="center"/>
    </xf>
    <xf numFmtId="0" fontId="377" fillId="0" borderId="248" xfId="0" applyFont="1" applyBorder="1" applyAlignment="1" applyProtection="1">
      <alignment vertical="center"/>
    </xf>
    <xf numFmtId="0" fontId="377" fillId="16" borderId="0" xfId="0" applyFont="1" applyFill="1" applyAlignment="1" applyProtection="1">
      <alignment horizontal="center" vertical="center"/>
    </xf>
    <xf numFmtId="0" fontId="377" fillId="16" borderId="248" xfId="0" applyFont="1" applyFill="1" applyBorder="1" applyAlignment="1" applyProtection="1">
      <alignment vertical="center"/>
    </xf>
    <xf numFmtId="0" fontId="132" fillId="16" borderId="251" xfId="0" applyFont="1" applyFill="1" applyBorder="1" applyAlignment="1" applyProtection="1">
      <alignment horizontal="left" vertical="center"/>
    </xf>
    <xf numFmtId="0" fontId="210" fillId="16" borderId="300" xfId="0" applyFont="1" applyFill="1" applyBorder="1" applyAlignment="1" applyProtection="1"/>
    <xf numFmtId="0" fontId="210" fillId="16" borderId="311" xfId="0" applyFont="1" applyFill="1" applyBorder="1" applyAlignment="1" applyProtection="1"/>
    <xf numFmtId="0" fontId="210" fillId="16" borderId="295" xfId="0" applyFont="1" applyFill="1" applyBorder="1" applyAlignment="1" applyProtection="1">
      <alignment vertical="center"/>
    </xf>
    <xf numFmtId="0" fontId="210" fillId="16" borderId="296" xfId="0" applyFont="1" applyFill="1" applyBorder="1" applyAlignment="1" applyProtection="1">
      <alignment vertical="center"/>
    </xf>
    <xf numFmtId="0" fontId="253" fillId="16" borderId="0" xfId="0" applyFont="1" applyFill="1" applyBorder="1" applyAlignment="1" applyProtection="1">
      <alignment horizontal="left" vertical="center"/>
    </xf>
    <xf numFmtId="0" fontId="179" fillId="16" borderId="0" xfId="0" applyFont="1" applyFill="1" applyBorder="1" applyAlignment="1" applyProtection="1">
      <alignment horizontal="left" vertical="center"/>
    </xf>
    <xf numFmtId="0" fontId="378" fillId="0" borderId="245" xfId="0" applyFont="1" applyBorder="1" applyAlignment="1" applyProtection="1">
      <alignment horizontal="left" vertical="center"/>
    </xf>
    <xf numFmtId="0" fontId="378" fillId="0" borderId="247" xfId="0" applyFont="1" applyBorder="1" applyAlignment="1" applyProtection="1">
      <alignment horizontal="left" vertical="center"/>
    </xf>
    <xf numFmtId="0" fontId="379" fillId="0" borderId="244" xfId="0" applyFont="1" applyBorder="1" applyAlignment="1" applyProtection="1">
      <alignment horizontal="right" vertical="center"/>
    </xf>
    <xf numFmtId="0" fontId="379" fillId="0" borderId="246" xfId="0" applyFont="1" applyBorder="1" applyAlignment="1" applyProtection="1">
      <alignment horizontal="right" vertical="center"/>
    </xf>
    <xf numFmtId="0" fontId="256" fillId="16" borderId="0" xfId="0" applyFont="1" applyFill="1" applyBorder="1" applyAlignment="1" applyProtection="1">
      <alignment horizontal="left" vertical="center"/>
    </xf>
    <xf numFmtId="0" fontId="132" fillId="0" borderId="0" xfId="0" applyFont="1" applyAlignment="1" applyProtection="1">
      <alignment horizontal="center" vertical="center"/>
    </xf>
    <xf numFmtId="0" fontId="132" fillId="16" borderId="0" xfId="0" applyFont="1" applyFill="1" applyBorder="1" applyAlignment="1" applyProtection="1">
      <alignment horizontal="center" vertical="center"/>
      <protection locked="0"/>
    </xf>
    <xf numFmtId="0" fontId="3" fillId="16" borderId="245" xfId="0" applyFont="1" applyFill="1" applyBorder="1" applyAlignment="1" applyProtection="1">
      <alignment horizontal="center" vertical="center"/>
    </xf>
    <xf numFmtId="0" fontId="128" fillId="16" borderId="89" xfId="0" applyFont="1" applyFill="1" applyBorder="1" applyAlignment="1" applyProtection="1">
      <alignment horizontal="right" vertical="center"/>
    </xf>
    <xf numFmtId="0" fontId="198" fillId="16" borderId="89" xfId="0" applyFont="1" applyFill="1" applyBorder="1" applyAlignment="1" applyProtection="1">
      <alignment vertical="center"/>
    </xf>
    <xf numFmtId="0" fontId="6" fillId="0" borderId="1" xfId="0" applyFont="1" applyBorder="1" applyAlignment="1" applyProtection="1">
      <alignment horizontal="center"/>
    </xf>
    <xf numFmtId="0" fontId="358" fillId="46" borderId="591" xfId="0" applyFont="1" applyFill="1" applyBorder="1" applyAlignment="1">
      <alignment horizontal="center" vertical="center" wrapText="1"/>
    </xf>
    <xf numFmtId="0" fontId="359" fillId="46" borderId="590" xfId="0" applyFont="1" applyFill="1" applyBorder="1" applyAlignment="1">
      <alignment horizontal="center" vertical="center" wrapText="1"/>
    </xf>
    <xf numFmtId="0" fontId="360" fillId="46" borderId="591" xfId="0" applyFont="1" applyFill="1" applyBorder="1" applyAlignment="1">
      <alignment horizontal="center" vertical="center" wrapText="1"/>
    </xf>
    <xf numFmtId="0" fontId="14" fillId="0" borderId="46" xfId="0" applyFont="1" applyBorder="1" applyProtection="1"/>
    <xf numFmtId="0" fontId="0" fillId="0" borderId="47" xfId="0" applyBorder="1" applyProtection="1"/>
    <xf numFmtId="0" fontId="0" fillId="0" borderId="48" xfId="0" applyBorder="1" applyProtection="1"/>
    <xf numFmtId="0" fontId="0" fillId="0" borderId="49" xfId="0" applyBorder="1" applyProtection="1"/>
    <xf numFmtId="0" fontId="380" fillId="2" borderId="22" xfId="1" applyFont="1" applyFill="1" applyBorder="1" applyAlignment="1" applyProtection="1">
      <alignment horizontal="center" vertical="center"/>
    </xf>
    <xf numFmtId="0" fontId="368" fillId="2" borderId="22" xfId="0" applyFont="1" applyFill="1" applyBorder="1" applyAlignment="1" applyProtection="1">
      <alignment horizontal="center" vertical="center"/>
    </xf>
    <xf numFmtId="0" fontId="126" fillId="0" borderId="22" xfId="3" applyFont="1" applyFill="1" applyBorder="1" applyAlignment="1" applyProtection="1">
      <alignment horizontal="center" vertical="center" wrapText="1"/>
    </xf>
    <xf numFmtId="0" fontId="126" fillId="2" borderId="22" xfId="0" applyFont="1" applyFill="1" applyBorder="1" applyAlignment="1" applyProtection="1">
      <alignment horizontal="right" vertical="center"/>
    </xf>
    <xf numFmtId="0" fontId="126" fillId="2" borderId="22" xfId="0" applyFont="1" applyFill="1" applyBorder="1" applyAlignment="1" applyProtection="1">
      <alignment horizontal="center" vertical="center"/>
    </xf>
    <xf numFmtId="0" fontId="381" fillId="46" borderId="591" xfId="0" applyFont="1" applyFill="1" applyBorder="1" applyAlignment="1">
      <alignment horizontal="center" vertical="center" wrapText="1"/>
    </xf>
    <xf numFmtId="0" fontId="126" fillId="0" borderId="22" xfId="0" applyFont="1" applyFill="1" applyBorder="1" applyAlignment="1" applyProtection="1">
      <alignment horizontal="center" vertical="center" wrapText="1"/>
    </xf>
    <xf numFmtId="0" fontId="126" fillId="16" borderId="22" xfId="0" applyFont="1" applyFill="1" applyBorder="1" applyAlignment="1" applyProtection="1">
      <alignment horizontal="center" vertical="center" wrapText="1"/>
    </xf>
    <xf numFmtId="0" fontId="126" fillId="0" borderId="22" xfId="5" applyFont="1" applyFill="1" applyBorder="1" applyAlignment="1">
      <alignment horizontal="center" vertical="center"/>
    </xf>
    <xf numFmtId="0" fontId="0" fillId="0" borderId="48" xfId="0" applyBorder="1" applyAlignment="1" applyProtection="1">
      <alignment horizontal="center"/>
    </xf>
    <xf numFmtId="0" fontId="127" fillId="16" borderId="252" xfId="0" applyFont="1" applyFill="1" applyBorder="1" applyAlignment="1" applyProtection="1">
      <alignment horizontal="center" vertical="center"/>
    </xf>
    <xf numFmtId="0" fontId="210" fillId="16" borderId="22" xfId="0" applyFont="1" applyFill="1" applyBorder="1" applyAlignment="1" applyProtection="1">
      <alignment horizontal="center" vertical="center"/>
      <protection locked="0"/>
    </xf>
    <xf numFmtId="0" fontId="271" fillId="16" borderId="22" xfId="0" applyFont="1" applyFill="1" applyBorder="1" applyAlignment="1" applyProtection="1">
      <alignment horizontal="center" vertical="center"/>
      <protection locked="0"/>
    </xf>
    <xf numFmtId="0" fontId="275" fillId="16" borderId="0" xfId="0" applyFont="1" applyFill="1" applyBorder="1" applyAlignment="1" applyProtection="1"/>
    <xf numFmtId="0" fontId="275" fillId="16" borderId="0" xfId="0" applyFont="1" applyFill="1" applyBorder="1" applyAlignment="1" applyProtection="1">
      <alignment vertical="center"/>
    </xf>
    <xf numFmtId="0" fontId="275" fillId="16" borderId="0" xfId="0" applyFont="1" applyFill="1" applyBorder="1" applyAlignment="1" applyProtection="1">
      <alignment horizontal="right" vertical="center"/>
    </xf>
    <xf numFmtId="0" fontId="273" fillId="16" borderId="0" xfId="0" applyFont="1" applyFill="1" applyBorder="1" applyAlignment="1" applyProtection="1">
      <alignment horizontal="center" vertical="center"/>
    </xf>
    <xf numFmtId="0" fontId="275" fillId="16" borderId="0" xfId="0" applyFont="1" applyFill="1" applyBorder="1" applyAlignment="1" applyProtection="1">
      <alignment horizontal="center" vertical="center"/>
    </xf>
    <xf numFmtId="0" fontId="273" fillId="16" borderId="0" xfId="0" applyFont="1" applyFill="1" applyBorder="1" applyProtection="1"/>
    <xf numFmtId="0" fontId="386" fillId="16" borderId="581" xfId="0" applyFont="1" applyFill="1" applyBorder="1" applyAlignment="1" applyProtection="1">
      <alignment horizontal="center" vertical="center" shrinkToFit="1"/>
    </xf>
    <xf numFmtId="0" fontId="386" fillId="16" borderId="580" xfId="0" applyFont="1" applyFill="1" applyBorder="1" applyAlignment="1" applyProtection="1">
      <alignment horizontal="center" vertical="center" shrinkToFit="1"/>
    </xf>
    <xf numFmtId="0" fontId="386" fillId="16" borderId="584" xfId="0" applyFont="1" applyFill="1" applyBorder="1" applyAlignment="1" applyProtection="1">
      <alignment horizontal="center" vertical="center" shrinkToFit="1"/>
    </xf>
    <xf numFmtId="1" fontId="386" fillId="16" borderId="582" xfId="0" applyNumberFormat="1" applyFont="1" applyFill="1" applyBorder="1" applyAlignment="1" applyProtection="1">
      <alignment horizontal="right" vertical="center" shrinkToFit="1"/>
    </xf>
    <xf numFmtId="0" fontId="386" fillId="16" borderId="583" xfId="0" applyFont="1" applyFill="1" applyBorder="1" applyAlignment="1" applyProtection="1">
      <alignment horizontal="left" vertical="center" shrinkToFit="1"/>
    </xf>
    <xf numFmtId="1" fontId="386" fillId="16" borderId="581" xfId="0" applyNumberFormat="1" applyFont="1" applyFill="1" applyBorder="1" applyAlignment="1" applyProtection="1">
      <alignment horizontal="center" vertical="center" shrinkToFit="1"/>
    </xf>
    <xf numFmtId="1" fontId="386" fillId="16" borderId="582" xfId="0" applyNumberFormat="1" applyFont="1" applyFill="1" applyBorder="1" applyAlignment="1" applyProtection="1">
      <alignment horizontal="center" vertical="center" shrinkToFit="1"/>
    </xf>
    <xf numFmtId="0" fontId="386" fillId="16" borderId="586" xfId="0" applyFont="1" applyFill="1" applyBorder="1" applyAlignment="1" applyProtection="1">
      <alignment horizontal="center" vertical="center" shrinkToFit="1"/>
    </xf>
    <xf numFmtId="1" fontId="386" fillId="16" borderId="585" xfId="0" applyNumberFormat="1" applyFont="1" applyFill="1" applyBorder="1" applyAlignment="1" applyProtection="1">
      <alignment horizontal="right" vertical="center" shrinkToFit="1"/>
    </xf>
    <xf numFmtId="0" fontId="386" fillId="16" borderId="587" xfId="0" applyFont="1" applyFill="1" applyBorder="1" applyAlignment="1" applyProtection="1">
      <alignment horizontal="left" vertical="center" shrinkToFit="1"/>
    </xf>
    <xf numFmtId="0" fontId="388" fillId="16" borderId="0" xfId="0" applyFont="1" applyFill="1" applyBorder="1" applyAlignment="1" applyProtection="1">
      <alignment vertical="center"/>
    </xf>
    <xf numFmtId="0" fontId="265" fillId="0" borderId="0" xfId="0" applyFont="1" applyAlignment="1" applyProtection="1">
      <alignment vertical="center"/>
    </xf>
    <xf numFmtId="169" fontId="178" fillId="0" borderId="0" xfId="0" applyNumberFormat="1" applyFont="1" applyAlignment="1" applyProtection="1">
      <alignment horizontal="center" vertical="center"/>
    </xf>
    <xf numFmtId="0" fontId="178" fillId="0" borderId="0" xfId="0" applyFont="1" applyAlignment="1" applyProtection="1">
      <alignment vertical="center"/>
    </xf>
    <xf numFmtId="0" fontId="261" fillId="16" borderId="0" xfId="0" applyFont="1" applyFill="1" applyAlignment="1" applyProtection="1">
      <alignment horizontal="left" vertical="center"/>
    </xf>
    <xf numFmtId="0" fontId="178" fillId="0" borderId="0" xfId="0" applyFont="1" applyAlignment="1" applyProtection="1">
      <alignment vertical="center" wrapText="1"/>
    </xf>
    <xf numFmtId="0" fontId="261" fillId="16" borderId="0" xfId="0" applyFont="1" applyFill="1" applyBorder="1" applyAlignment="1" applyProtection="1">
      <alignment vertical="center"/>
    </xf>
    <xf numFmtId="0" fontId="167" fillId="16" borderId="0" xfId="0" applyFont="1" applyFill="1" applyBorder="1" applyAlignment="1" applyProtection="1">
      <alignment vertical="center"/>
    </xf>
    <xf numFmtId="0" fontId="265" fillId="0" borderId="0" xfId="0" applyFont="1" applyAlignment="1" applyProtection="1">
      <alignment horizontal="left" vertical="center"/>
    </xf>
    <xf numFmtId="0" fontId="261" fillId="16" borderId="0" xfId="0" applyFont="1" applyFill="1" applyAlignment="1" applyProtection="1">
      <alignment vertical="center"/>
    </xf>
    <xf numFmtId="0" fontId="167" fillId="16" borderId="0" xfId="0" applyFont="1" applyFill="1" applyAlignment="1" applyProtection="1">
      <alignment vertical="center"/>
    </xf>
    <xf numFmtId="166" fontId="391" fillId="16" borderId="0" xfId="0" applyNumberFormat="1" applyFont="1" applyFill="1" applyBorder="1" applyAlignment="1" applyProtection="1">
      <alignment horizontal="distributed" vertical="center"/>
    </xf>
    <xf numFmtId="0" fontId="128" fillId="16" borderId="252" xfId="0" applyFont="1" applyFill="1" applyBorder="1" applyAlignment="1" applyProtection="1">
      <alignment horizontal="center" vertical="top"/>
    </xf>
    <xf numFmtId="0" fontId="132" fillId="0" borderId="0" xfId="0" applyFont="1" applyAlignment="1" applyProtection="1">
      <alignment vertical="top"/>
    </xf>
    <xf numFmtId="0" fontId="128" fillId="0" borderId="0" xfId="0" applyFont="1" applyAlignment="1" applyProtection="1">
      <alignment vertical="top"/>
    </xf>
    <xf numFmtId="0" fontId="128" fillId="16" borderId="0" xfId="0" applyFont="1" applyFill="1" applyAlignment="1" applyProtection="1">
      <alignment vertical="top"/>
    </xf>
    <xf numFmtId="0" fontId="128" fillId="16" borderId="0" xfId="0" applyFont="1" applyFill="1" applyAlignment="1" applyProtection="1">
      <alignment horizontal="left" vertical="top"/>
    </xf>
    <xf numFmtId="0" fontId="128" fillId="16" borderId="252" xfId="0" applyFont="1" applyFill="1" applyBorder="1" applyAlignment="1" applyProtection="1">
      <alignment horizontal="left" vertical="top"/>
    </xf>
    <xf numFmtId="0" fontId="31" fillId="16" borderId="600" xfId="0" applyNumberFormat="1" applyFont="1" applyFill="1" applyBorder="1" applyAlignment="1" applyProtection="1">
      <alignment horizontal="left" vertical="center" shrinkToFit="1"/>
    </xf>
    <xf numFmtId="0" fontId="31" fillId="16" borderId="581" xfId="0" applyNumberFormat="1" applyFont="1" applyFill="1" applyBorder="1" applyAlignment="1" applyProtection="1">
      <alignment horizontal="left" vertical="center" shrinkToFit="1"/>
    </xf>
    <xf numFmtId="0" fontId="31" fillId="16" borderId="586" xfId="0" applyNumberFormat="1" applyFont="1" applyFill="1" applyBorder="1" applyAlignment="1" applyProtection="1">
      <alignment horizontal="left" vertical="center" shrinkToFit="1"/>
    </xf>
    <xf numFmtId="0" fontId="385" fillId="16" borderId="22" xfId="0" applyFont="1" applyFill="1" applyBorder="1" applyAlignment="1" applyProtection="1">
      <alignment horizontal="center" vertical="center" wrapText="1"/>
      <protection locked="0"/>
    </xf>
    <xf numFmtId="0" fontId="384" fillId="16" borderId="22" xfId="0" applyFont="1" applyFill="1" applyBorder="1" applyAlignment="1" applyProtection="1">
      <alignment horizontal="center" vertical="center" wrapText="1"/>
      <protection locked="0"/>
    </xf>
    <xf numFmtId="0" fontId="180" fillId="19" borderId="22" xfId="0" applyFont="1" applyFill="1" applyBorder="1" applyAlignment="1" applyProtection="1">
      <alignment horizontal="center" vertical="center"/>
    </xf>
    <xf numFmtId="0" fontId="127" fillId="16" borderId="0" xfId="0" applyFont="1" applyFill="1" applyBorder="1" applyAlignment="1" applyProtection="1">
      <alignment horizontal="left" vertical="center"/>
    </xf>
    <xf numFmtId="0" fontId="137" fillId="16" borderId="0" xfId="0" applyFont="1" applyFill="1" applyBorder="1" applyAlignment="1" applyProtection="1">
      <alignment horizontal="left" vertical="center"/>
    </xf>
    <xf numFmtId="0" fontId="276" fillId="31" borderId="22" xfId="0" applyFont="1" applyFill="1" applyBorder="1" applyAlignment="1" applyProtection="1">
      <alignment horizontal="center" wrapText="1"/>
    </xf>
    <xf numFmtId="0" fontId="198" fillId="16" borderId="22" xfId="0" applyFont="1" applyFill="1" applyBorder="1" applyAlignment="1" applyProtection="1">
      <alignment horizontal="center" vertical="center"/>
    </xf>
    <xf numFmtId="0" fontId="138" fillId="31" borderId="22" xfId="0" applyFont="1" applyFill="1" applyBorder="1" applyAlignment="1" applyProtection="1">
      <alignment horizontal="center" vertical="center"/>
    </xf>
    <xf numFmtId="0" fontId="128" fillId="16" borderId="89" xfId="0" applyFont="1" applyFill="1" applyBorder="1" applyAlignment="1" applyProtection="1">
      <alignment horizontal="center" vertical="center"/>
    </xf>
    <xf numFmtId="0" fontId="206" fillId="49" borderId="22" xfId="0" applyFont="1" applyFill="1" applyBorder="1" applyAlignment="1" applyProtection="1">
      <alignment horizontal="center" vertical="center"/>
    </xf>
    <xf numFmtId="0" fontId="263" fillId="16" borderId="0" xfId="0" applyFont="1" applyFill="1" applyBorder="1" applyAlignment="1" applyProtection="1">
      <alignment vertical="center"/>
    </xf>
    <xf numFmtId="0" fontId="373" fillId="16" borderId="0" xfId="0" applyFont="1" applyFill="1" applyBorder="1" applyAlignment="1" applyProtection="1">
      <alignment vertical="center"/>
    </xf>
    <xf numFmtId="0" fontId="382" fillId="16" borderId="0" xfId="0" applyFont="1" applyFill="1" applyBorder="1" applyAlignment="1" applyProtection="1">
      <alignment vertical="center"/>
    </xf>
    <xf numFmtId="0" fontId="198" fillId="16" borderId="22" xfId="0" applyFont="1" applyFill="1" applyBorder="1" applyAlignment="1" applyProtection="1">
      <alignment horizontal="center" vertical="center"/>
    </xf>
    <xf numFmtId="0" fontId="198" fillId="16" borderId="22" xfId="0" applyFont="1" applyFill="1" applyBorder="1" applyAlignment="1" applyProtection="1">
      <alignment horizontal="center" vertical="center"/>
      <protection locked="0"/>
    </xf>
    <xf numFmtId="0" fontId="6" fillId="0" borderId="1" xfId="0" applyFont="1" applyBorder="1" applyAlignment="1" applyProtection="1">
      <alignment horizontal="center"/>
    </xf>
    <xf numFmtId="0" fontId="393" fillId="16" borderId="22" xfId="0" applyFont="1" applyFill="1" applyBorder="1" applyAlignment="1" applyProtection="1">
      <alignment horizontal="center" vertical="center"/>
      <protection locked="0"/>
    </xf>
    <xf numFmtId="0" fontId="130" fillId="0" borderId="0" xfId="0" applyFont="1" applyBorder="1" applyAlignment="1" applyProtection="1">
      <alignment horizontal="center"/>
    </xf>
    <xf numFmtId="0" fontId="144" fillId="0" borderId="22" xfId="0" applyFont="1" applyBorder="1" applyAlignment="1" applyProtection="1">
      <alignment horizontal="center" vertical="center"/>
      <protection locked="0"/>
    </xf>
    <xf numFmtId="0" fontId="18" fillId="0" borderId="22" xfId="0" applyFont="1" applyBorder="1" applyAlignment="1" applyProtection="1">
      <alignment horizontal="center" vertical="center"/>
    </xf>
    <xf numFmtId="49" fontId="130" fillId="0" borderId="1" xfId="0" applyNumberFormat="1" applyFont="1" applyBorder="1" applyAlignment="1" applyProtection="1">
      <alignment horizontal="right" vertical="center"/>
    </xf>
    <xf numFmtId="0" fontId="130" fillId="0" borderId="1" xfId="0" applyFont="1" applyBorder="1" applyAlignment="1" applyProtection="1">
      <alignment horizontal="center" vertical="center"/>
    </xf>
    <xf numFmtId="0" fontId="130" fillId="0" borderId="1" xfId="0" applyFont="1" applyBorder="1" applyProtection="1"/>
    <xf numFmtId="0" fontId="130" fillId="0" borderId="3" xfId="0" applyFont="1" applyBorder="1" applyAlignment="1" applyProtection="1">
      <alignment horizontal="center" vertical="center"/>
    </xf>
    <xf numFmtId="0" fontId="130" fillId="0" borderId="3" xfId="0" applyFont="1" applyBorder="1" applyProtection="1"/>
    <xf numFmtId="0" fontId="130" fillId="0" borderId="1" xfId="0" applyNumberFormat="1" applyFont="1" applyBorder="1" applyAlignment="1" applyProtection="1">
      <alignment horizontal="center" vertical="center"/>
    </xf>
    <xf numFmtId="0" fontId="394" fillId="19" borderId="22" xfId="0" applyFont="1" applyFill="1" applyBorder="1" applyAlignment="1" applyProtection="1">
      <alignment horizontal="center" vertical="center"/>
    </xf>
    <xf numFmtId="0" fontId="335" fillId="16" borderId="0" xfId="0" applyFont="1" applyFill="1" applyBorder="1" applyAlignment="1" applyProtection="1">
      <alignment horizontal="center" vertical="center"/>
    </xf>
    <xf numFmtId="0" fontId="289" fillId="0" borderId="0" xfId="0" applyFont="1" applyAlignment="1" applyProtection="1">
      <alignment horizontal="center" vertical="center"/>
    </xf>
    <xf numFmtId="0" fontId="289" fillId="16" borderId="0" xfId="0" applyFont="1" applyFill="1" applyBorder="1" applyAlignment="1" applyProtection="1">
      <alignment horizontal="center" vertical="center"/>
    </xf>
    <xf numFmtId="0" fontId="130" fillId="0" borderId="1" xfId="0" applyFont="1" applyBorder="1" applyAlignment="1" applyProtection="1">
      <alignment horizontal="left" vertical="center"/>
    </xf>
    <xf numFmtId="0" fontId="395" fillId="0" borderId="1" xfId="0" applyFont="1" applyBorder="1" applyAlignment="1" applyProtection="1">
      <alignment horizontal="center" vertical="center"/>
    </xf>
    <xf numFmtId="0" fontId="130" fillId="0" borderId="1" xfId="0" applyNumberFormat="1" applyFont="1" applyBorder="1" applyAlignment="1" applyProtection="1">
      <alignment horizontal="left" vertical="center"/>
    </xf>
    <xf numFmtId="0" fontId="207" fillId="16" borderId="0" xfId="0" applyFont="1" applyFill="1" applyBorder="1" applyAlignment="1" applyProtection="1">
      <alignment horizontal="left"/>
    </xf>
    <xf numFmtId="0" fontId="269" fillId="16" borderId="0" xfId="0" applyFont="1" applyFill="1" applyBorder="1" applyAlignment="1" applyProtection="1">
      <alignment horizontal="left"/>
    </xf>
    <xf numFmtId="0" fontId="192" fillId="16" borderId="0" xfId="0" applyFont="1" applyFill="1" applyBorder="1" applyAlignment="1" applyProtection="1"/>
    <xf numFmtId="0" fontId="207" fillId="16" borderId="0" xfId="0" applyFont="1" applyFill="1" applyBorder="1" applyAlignment="1" applyProtection="1">
      <alignment horizontal="right"/>
    </xf>
    <xf numFmtId="0" fontId="192" fillId="16" borderId="0" xfId="0" applyFont="1" applyFill="1" applyBorder="1" applyAlignment="1" applyProtection="1">
      <alignment horizontal="center"/>
    </xf>
    <xf numFmtId="0" fontId="269" fillId="16" borderId="0" xfId="0" applyNumberFormat="1" applyFont="1" applyFill="1" applyBorder="1" applyAlignment="1" applyProtection="1">
      <alignment horizontal="center"/>
    </xf>
    <xf numFmtId="0" fontId="269" fillId="16" borderId="0" xfId="0" applyFont="1" applyFill="1" applyAlignment="1" applyProtection="1"/>
    <xf numFmtId="0" fontId="232" fillId="0" borderId="305" xfId="0" applyFont="1" applyFill="1" applyBorder="1" applyAlignment="1" applyProtection="1">
      <alignment horizontal="left" vertical="center"/>
    </xf>
    <xf numFmtId="0" fontId="270" fillId="0" borderId="263" xfId="0" applyFont="1" applyFill="1" applyBorder="1" applyAlignment="1" applyProtection="1">
      <alignment vertical="center"/>
    </xf>
    <xf numFmtId="0" fontId="232" fillId="0" borderId="0" xfId="0" applyFont="1" applyAlignment="1" applyProtection="1">
      <alignment vertical="center"/>
    </xf>
    <xf numFmtId="0" fontId="232" fillId="2" borderId="0" xfId="0" applyFont="1" applyFill="1" applyBorder="1" applyAlignment="1" applyProtection="1">
      <alignment horizontal="left" vertical="center"/>
    </xf>
    <xf numFmtId="0" fontId="270" fillId="0" borderId="313" xfId="0" applyFont="1" applyFill="1" applyBorder="1" applyAlignment="1" applyProtection="1">
      <alignment vertical="center"/>
    </xf>
    <xf numFmtId="0" fontId="232" fillId="2" borderId="86" xfId="0" applyFont="1" applyFill="1" applyBorder="1" applyAlignment="1" applyProtection="1">
      <alignment horizontal="right" vertical="center"/>
    </xf>
    <xf numFmtId="0" fontId="232" fillId="2" borderId="86" xfId="0" applyFont="1" applyFill="1" applyBorder="1" applyAlignment="1" applyProtection="1">
      <alignment horizontal="center" vertical="center"/>
    </xf>
    <xf numFmtId="0" fontId="232" fillId="16" borderId="86" xfId="0" applyFont="1" applyFill="1" applyBorder="1" applyAlignment="1" applyProtection="1">
      <alignment horizontal="center" vertical="center"/>
    </xf>
    <xf numFmtId="0" fontId="232" fillId="16" borderId="90" xfId="0" applyFont="1" applyFill="1" applyBorder="1" applyAlignment="1" applyProtection="1">
      <alignment horizontal="center" vertical="center"/>
    </xf>
    <xf numFmtId="0" fontId="232" fillId="0" borderId="263" xfId="0" applyFont="1" applyFill="1" applyBorder="1" applyAlignment="1" applyProtection="1">
      <alignment horizontal="left" vertical="center"/>
    </xf>
    <xf numFmtId="0" fontId="232" fillId="0" borderId="263" xfId="0" applyFont="1" applyFill="1" applyBorder="1" applyAlignment="1" applyProtection="1">
      <alignment vertical="center"/>
    </xf>
    <xf numFmtId="0" fontId="232" fillId="0" borderId="313" xfId="0" applyFont="1" applyFill="1" applyBorder="1" applyAlignment="1" applyProtection="1">
      <alignment vertical="center"/>
    </xf>
    <xf numFmtId="0" fontId="232" fillId="0" borderId="323" xfId="0" applyFont="1" applyFill="1" applyBorder="1" applyAlignment="1" applyProtection="1">
      <alignment horizontal="right" vertical="center"/>
    </xf>
    <xf numFmtId="0" fontId="364" fillId="0" borderId="38" xfId="0" applyFont="1" applyBorder="1" applyAlignment="1">
      <alignment horizontal="center" vertical="center"/>
    </xf>
    <xf numFmtId="0" fontId="364" fillId="0" borderId="36" xfId="0" applyFont="1" applyBorder="1" applyAlignment="1">
      <alignment horizontal="center" vertical="center"/>
    </xf>
    <xf numFmtId="0" fontId="364" fillId="0" borderId="141" xfId="0" applyFont="1" applyBorder="1" applyAlignment="1">
      <alignment horizontal="center" vertical="center"/>
    </xf>
    <xf numFmtId="0" fontId="206" fillId="0" borderId="579" xfId="0" applyFont="1" applyBorder="1" applyAlignment="1">
      <alignment vertical="center"/>
    </xf>
    <xf numFmtId="0" fontId="0" fillId="16" borderId="483" xfId="0" applyFill="1" applyBorder="1"/>
    <xf numFmtId="0" fontId="386" fillId="16" borderId="582" xfId="0" applyNumberFormat="1" applyFont="1" applyFill="1" applyBorder="1" applyAlignment="1" applyProtection="1">
      <alignment horizontal="center" vertical="center" shrinkToFit="1"/>
    </xf>
    <xf numFmtId="0" fontId="19" fillId="16" borderId="0" xfId="0" applyNumberFormat="1" applyFont="1" applyFill="1" applyBorder="1" applyAlignment="1" applyProtection="1">
      <alignment horizontal="center" vertical="center"/>
    </xf>
    <xf numFmtId="0" fontId="386" fillId="16" borderId="583" xfId="0" applyNumberFormat="1" applyFont="1" applyFill="1" applyBorder="1" applyAlignment="1" applyProtection="1">
      <alignment horizontal="center" vertical="center"/>
    </xf>
    <xf numFmtId="49" fontId="0" fillId="0" borderId="0" xfId="0" applyNumberFormat="1" applyBorder="1" applyProtection="1"/>
    <xf numFmtId="49" fontId="0" fillId="0" borderId="91" xfId="0" applyNumberFormat="1" applyBorder="1" applyProtection="1"/>
    <xf numFmtId="49" fontId="14" fillId="0" borderId="86" xfId="0" applyNumberFormat="1" applyFont="1" applyBorder="1" applyProtection="1"/>
    <xf numFmtId="49" fontId="14" fillId="0" borderId="0" xfId="0" applyNumberFormat="1" applyFont="1" applyBorder="1" applyProtection="1"/>
    <xf numFmtId="49" fontId="14" fillId="0" borderId="91" xfId="0" applyNumberFormat="1" applyFont="1" applyBorder="1" applyProtection="1"/>
    <xf numFmtId="49" fontId="14" fillId="0" borderId="90" xfId="0" applyNumberFormat="1" applyFont="1" applyBorder="1" applyProtection="1"/>
    <xf numFmtId="49" fontId="14" fillId="0" borderId="89" xfId="0" applyNumberFormat="1" applyFont="1" applyBorder="1" applyProtection="1"/>
    <xf numFmtId="49" fontId="14" fillId="0" borderId="92" xfId="0" applyNumberFormat="1" applyFont="1" applyBorder="1" applyProtection="1"/>
    <xf numFmtId="1" fontId="126" fillId="16" borderId="0" xfId="0" applyNumberFormat="1" applyFont="1" applyFill="1" applyBorder="1" applyAlignment="1" applyProtection="1">
      <alignment horizontal="center" vertical="center" wrapText="1"/>
    </xf>
    <xf numFmtId="0" fontId="381" fillId="46" borderId="593" xfId="0" applyFont="1" applyFill="1" applyBorder="1" applyAlignment="1">
      <alignment horizontal="center" vertical="top" wrapText="1"/>
    </xf>
    <xf numFmtId="0" fontId="370" fillId="16" borderId="91" xfId="0" applyFont="1" applyFill="1" applyBorder="1" applyAlignment="1" applyProtection="1"/>
    <xf numFmtId="0" fontId="396" fillId="16" borderId="0" xfId="0" applyFont="1" applyFill="1" applyBorder="1" applyAlignment="1" applyProtection="1">
      <alignment horizontal="right"/>
    </xf>
    <xf numFmtId="0" fontId="126" fillId="16" borderId="0" xfId="0" applyFont="1" applyFill="1" applyBorder="1" applyAlignment="1" applyProtection="1">
      <alignment horizontal="right"/>
    </xf>
    <xf numFmtId="0" fontId="133" fillId="2" borderId="0" xfId="0" applyFont="1" applyFill="1" applyBorder="1" applyAlignment="1" applyProtection="1">
      <alignment horizontal="left" vertical="center"/>
    </xf>
    <xf numFmtId="0" fontId="133" fillId="2" borderId="0" xfId="0" applyFont="1" applyFill="1" applyAlignment="1" applyProtection="1">
      <alignment horizontal="left" vertical="center"/>
    </xf>
    <xf numFmtId="0" fontId="0" fillId="0" borderId="86" xfId="0" applyBorder="1" applyAlignment="1">
      <alignment horizontal="center" vertical="center"/>
    </xf>
    <xf numFmtId="0" fontId="0" fillId="0" borderId="86" xfId="0" applyBorder="1"/>
    <xf numFmtId="0" fontId="0" fillId="16" borderId="0" xfId="0" applyFill="1" applyAlignment="1">
      <alignment horizontal="center" vertical="center"/>
    </xf>
    <xf numFmtId="0" fontId="60" fillId="16" borderId="0" xfId="0" applyFont="1" applyFill="1"/>
    <xf numFmtId="0" fontId="107" fillId="16" borderId="0" xfId="0" applyFont="1" applyFill="1" applyAlignment="1">
      <alignment horizontal="center" vertical="center"/>
    </xf>
    <xf numFmtId="0" fontId="60" fillId="16" borderId="0" xfId="0" applyFont="1" applyFill="1" applyAlignment="1">
      <alignment vertical="center"/>
    </xf>
    <xf numFmtId="0" fontId="0" fillId="16" borderId="85" xfId="0" applyFill="1" applyBorder="1" applyAlignment="1">
      <alignment vertical="center"/>
    </xf>
    <xf numFmtId="0" fontId="0" fillId="16" borderId="86" xfId="0" applyFill="1" applyBorder="1" applyAlignment="1">
      <alignment vertical="center"/>
    </xf>
    <xf numFmtId="0" fontId="107" fillId="16" borderId="48" xfId="0" applyFont="1" applyFill="1" applyBorder="1" applyAlignment="1">
      <alignment vertical="center"/>
    </xf>
    <xf numFmtId="0" fontId="0" fillId="16" borderId="90" xfId="0" applyFill="1" applyBorder="1"/>
    <xf numFmtId="0" fontId="0" fillId="16" borderId="0" xfId="0" applyFill="1" applyBorder="1" applyAlignment="1">
      <alignment vertical="center"/>
    </xf>
    <xf numFmtId="0" fontId="0" fillId="16" borderId="91" xfId="0" applyFill="1" applyBorder="1"/>
    <xf numFmtId="0" fontId="0" fillId="16" borderId="88" xfId="0" applyFill="1" applyBorder="1"/>
    <xf numFmtId="0" fontId="0" fillId="16" borderId="89" xfId="0" applyFill="1" applyBorder="1"/>
    <xf numFmtId="0" fontId="0" fillId="16" borderId="48" xfId="0" applyFill="1" applyBorder="1"/>
    <xf numFmtId="0" fontId="0" fillId="16" borderId="92" xfId="0" applyFill="1" applyBorder="1"/>
    <xf numFmtId="0" fontId="0" fillId="16" borderId="248" xfId="0" applyFill="1" applyBorder="1" applyAlignment="1">
      <alignment vertical="center"/>
    </xf>
    <xf numFmtId="0" fontId="14" fillId="16" borderId="248" xfId="0" applyFont="1" applyFill="1" applyBorder="1" applyAlignment="1">
      <alignment vertical="center"/>
    </xf>
    <xf numFmtId="0" fontId="107" fillId="16" borderId="86" xfId="0" applyFont="1" applyFill="1" applyBorder="1" applyAlignment="1">
      <alignment vertical="center"/>
    </xf>
    <xf numFmtId="0" fontId="107" fillId="16" borderId="0" xfId="0" applyFont="1" applyFill="1" applyBorder="1" applyAlignment="1">
      <alignment vertical="center"/>
    </xf>
    <xf numFmtId="0" fontId="133" fillId="16" borderId="91" xfId="0" applyFont="1" applyFill="1" applyBorder="1" applyAlignment="1">
      <alignment horizontal="center" vertical="center"/>
    </xf>
    <xf numFmtId="0" fontId="14" fillId="31" borderId="47" xfId="0" applyFont="1" applyFill="1" applyBorder="1" applyAlignment="1">
      <alignment horizontal="center" vertical="center"/>
    </xf>
    <xf numFmtId="0" fontId="397" fillId="31" borderId="47" xfId="0" applyFont="1" applyFill="1" applyBorder="1" applyAlignment="1">
      <alignment horizontal="center" vertical="center"/>
    </xf>
    <xf numFmtId="0" fontId="397" fillId="31" borderId="48" xfId="0" applyFont="1" applyFill="1" applyBorder="1" applyAlignment="1">
      <alignment horizontal="center" vertical="center"/>
    </xf>
    <xf numFmtId="0" fontId="397" fillId="31" borderId="49" xfId="0" applyFont="1" applyFill="1" applyBorder="1" applyAlignment="1">
      <alignment horizontal="center" vertical="center"/>
    </xf>
    <xf numFmtId="0" fontId="0" fillId="31" borderId="49" xfId="0" applyFill="1" applyBorder="1"/>
    <xf numFmtId="0" fontId="0" fillId="31" borderId="85" xfId="0" applyFill="1" applyBorder="1" applyAlignment="1">
      <alignment horizontal="center" vertical="center"/>
    </xf>
    <xf numFmtId="0" fontId="0" fillId="31" borderId="87" xfId="0" applyFill="1" applyBorder="1" applyAlignment="1">
      <alignment horizontal="center" vertical="center"/>
    </xf>
    <xf numFmtId="0" fontId="14" fillId="31" borderId="87" xfId="0" applyFont="1" applyFill="1" applyBorder="1" applyAlignment="1">
      <alignment horizontal="center" vertical="center"/>
    </xf>
    <xf numFmtId="0" fontId="0" fillId="31" borderId="88" xfId="0" applyFill="1" applyBorder="1" applyAlignment="1">
      <alignment horizontal="center" vertical="center"/>
    </xf>
    <xf numFmtId="0" fontId="6" fillId="0" borderId="37" xfId="0" applyFont="1" applyBorder="1" applyProtection="1"/>
    <xf numFmtId="0" fontId="6" fillId="0" borderId="3" xfId="0" applyFont="1" applyBorder="1" applyAlignment="1" applyProtection="1">
      <alignment horizontal="right"/>
    </xf>
    <xf numFmtId="0" fontId="13" fillId="0" borderId="6" xfId="0" applyFont="1" applyBorder="1" applyAlignment="1" applyProtection="1">
      <alignment horizontal="left"/>
    </xf>
    <xf numFmtId="0" fontId="14" fillId="0" borderId="0" xfId="0" applyFont="1" applyBorder="1" applyAlignment="1" applyProtection="1">
      <alignment horizontal="right"/>
    </xf>
    <xf numFmtId="0" fontId="398" fillId="16" borderId="0" xfId="0" applyFont="1" applyFill="1" applyBorder="1" applyAlignment="1" applyProtection="1">
      <alignment vertical="center"/>
    </xf>
    <xf numFmtId="0" fontId="399" fillId="16" borderId="0" xfId="0" applyFont="1" applyFill="1" applyBorder="1" applyAlignment="1" applyProtection="1">
      <alignment vertical="center"/>
    </xf>
    <xf numFmtId="0" fontId="400" fillId="16" borderId="0" xfId="0" applyFont="1" applyFill="1" applyBorder="1" applyAlignment="1" applyProtection="1">
      <alignment horizontal="right"/>
    </xf>
    <xf numFmtId="0" fontId="18" fillId="16" borderId="0" xfId="0" applyNumberFormat="1" applyFont="1" applyFill="1" applyBorder="1" applyAlignment="1" applyProtection="1">
      <alignment horizontal="center"/>
    </xf>
    <xf numFmtId="0" fontId="126" fillId="16" borderId="0" xfId="0" applyNumberFormat="1" applyFont="1" applyFill="1" applyBorder="1" applyAlignment="1" applyProtection="1">
      <alignment horizontal="center"/>
    </xf>
    <xf numFmtId="0" fontId="126" fillId="16" borderId="0" xfId="0" applyNumberFormat="1" applyFont="1" applyFill="1" applyBorder="1" applyAlignment="1" applyProtection="1">
      <alignment horizontal="left"/>
    </xf>
    <xf numFmtId="0" fontId="162" fillId="16" borderId="0" xfId="0" applyFont="1" applyFill="1" applyAlignment="1" applyProtection="1">
      <alignment horizontal="center" vertical="center"/>
    </xf>
    <xf numFmtId="0" fontId="162" fillId="16" borderId="0" xfId="0" applyFont="1" applyFill="1" applyBorder="1" applyAlignment="1" applyProtection="1">
      <alignment horizontal="center" vertical="center"/>
    </xf>
    <xf numFmtId="0" fontId="0" fillId="16" borderId="610" xfId="0" applyFill="1" applyBorder="1" applyAlignment="1">
      <alignment vertical="center"/>
    </xf>
    <xf numFmtId="0" fontId="14" fillId="16" borderId="610" xfId="0" applyFont="1" applyFill="1" applyBorder="1" applyAlignment="1">
      <alignment vertical="center"/>
    </xf>
    <xf numFmtId="0" fontId="401" fillId="16" borderId="91" xfId="0" applyFont="1" applyFill="1" applyBorder="1" applyAlignment="1">
      <alignment horizontal="center" vertical="center"/>
    </xf>
    <xf numFmtId="0" fontId="153" fillId="0" borderId="2" xfId="0" applyFont="1" applyBorder="1" applyAlignment="1" applyProtection="1"/>
    <xf numFmtId="1" fontId="208" fillId="16" borderId="579" xfId="0" applyNumberFormat="1" applyFont="1" applyFill="1" applyBorder="1" applyAlignment="1">
      <alignment horizontal="center" vertical="center"/>
    </xf>
    <xf numFmtId="0" fontId="0" fillId="0" borderId="579" xfId="0" applyBorder="1" applyAlignment="1">
      <alignment vertical="center"/>
    </xf>
    <xf numFmtId="1" fontId="164" fillId="16" borderId="614" xfId="0" applyNumberFormat="1" applyFont="1" applyFill="1" applyBorder="1" applyAlignment="1" applyProtection="1">
      <alignment horizontal="center" vertical="center"/>
    </xf>
    <xf numFmtId="1" fontId="164" fillId="16" borderId="615" xfId="0" applyNumberFormat="1" applyFont="1" applyFill="1" applyBorder="1" applyAlignment="1" applyProtection="1">
      <alignment horizontal="center" vertical="center"/>
    </xf>
    <xf numFmtId="1" fontId="164" fillId="18" borderId="616" xfId="0" applyNumberFormat="1" applyFont="1" applyFill="1" applyBorder="1" applyAlignment="1" applyProtection="1">
      <alignment horizontal="center" vertical="center"/>
    </xf>
    <xf numFmtId="0" fontId="164" fillId="16" borderId="617" xfId="0" applyFont="1" applyFill="1" applyBorder="1" applyAlignment="1" applyProtection="1">
      <alignment horizontal="center" vertical="center"/>
    </xf>
    <xf numFmtId="0" fontId="164" fillId="16" borderId="566" xfId="0" applyFont="1" applyFill="1" applyBorder="1" applyAlignment="1" applyProtection="1">
      <alignment horizontal="center" vertical="center"/>
    </xf>
    <xf numFmtId="0" fontId="164" fillId="18" borderId="618" xfId="0" applyFont="1" applyFill="1" applyBorder="1" applyAlignment="1" applyProtection="1">
      <alignment horizontal="center" vertical="center"/>
    </xf>
    <xf numFmtId="1" fontId="164" fillId="16" borderId="617" xfId="0" applyNumberFormat="1" applyFont="1" applyFill="1" applyBorder="1" applyAlignment="1" applyProtection="1">
      <alignment horizontal="center" vertical="center"/>
    </xf>
    <xf numFmtId="1" fontId="164" fillId="16" borderId="566" xfId="0" applyNumberFormat="1" applyFont="1" applyFill="1" applyBorder="1" applyAlignment="1" applyProtection="1">
      <alignment horizontal="center" vertical="center"/>
    </xf>
    <xf numFmtId="0" fontId="164" fillId="18" borderId="566" xfId="0" applyFont="1" applyFill="1" applyBorder="1" applyAlignment="1" applyProtection="1">
      <alignment horizontal="center" vertical="center"/>
    </xf>
    <xf numFmtId="1" fontId="164" fillId="18" borderId="618" xfId="0" applyNumberFormat="1" applyFont="1" applyFill="1" applyBorder="1" applyAlignment="1" applyProtection="1">
      <alignment horizontal="center" vertical="center"/>
    </xf>
    <xf numFmtId="0" fontId="14" fillId="18" borderId="617" xfId="0" applyFont="1" applyFill="1" applyBorder="1" applyAlignment="1">
      <alignment horizontal="center" vertical="center"/>
    </xf>
    <xf numFmtId="0" fontId="14" fillId="18" borderId="566" xfId="0" applyFont="1" applyFill="1" applyBorder="1" applyAlignment="1">
      <alignment horizontal="center" vertical="center"/>
    </xf>
    <xf numFmtId="0" fontId="14" fillId="18" borderId="618" xfId="0" applyFont="1" applyFill="1" applyBorder="1"/>
    <xf numFmtId="0" fontId="164" fillId="18" borderId="617" xfId="0" applyFont="1" applyFill="1" applyBorder="1" applyAlignment="1" applyProtection="1">
      <alignment horizontal="center" vertical="center"/>
    </xf>
    <xf numFmtId="1" fontId="164" fillId="18" borderId="566" xfId="0" applyNumberFormat="1" applyFont="1" applyFill="1" applyBorder="1" applyAlignment="1" applyProtection="1">
      <alignment horizontal="center" vertical="center"/>
    </xf>
    <xf numFmtId="0" fontId="402" fillId="18" borderId="619" xfId="0" applyFont="1" applyFill="1" applyBorder="1" applyAlignment="1" applyProtection="1">
      <alignment horizontal="center" vertical="center"/>
    </xf>
    <xf numFmtId="0" fontId="402" fillId="18" borderId="620" xfId="0" applyFont="1" applyFill="1" applyBorder="1" applyAlignment="1" applyProtection="1">
      <alignment horizontal="center" vertical="center"/>
    </xf>
    <xf numFmtId="0" fontId="402" fillId="18" borderId="621" xfId="0" applyFont="1" applyFill="1" applyBorder="1" applyAlignment="1" applyProtection="1">
      <alignment horizontal="center" vertical="center"/>
    </xf>
    <xf numFmtId="0" fontId="164" fillId="16" borderId="618" xfId="0" applyFont="1" applyFill="1" applyBorder="1" applyAlignment="1" applyProtection="1">
      <alignment horizontal="center" vertical="center"/>
    </xf>
    <xf numFmtId="0" fontId="14" fillId="18" borderId="566" xfId="0" applyFont="1" applyFill="1" applyBorder="1"/>
    <xf numFmtId="0" fontId="14" fillId="18" borderId="617" xfId="0" applyFont="1" applyFill="1" applyBorder="1"/>
    <xf numFmtId="0" fontId="14" fillId="16" borderId="617" xfId="0" applyFont="1" applyFill="1" applyBorder="1" applyAlignment="1">
      <alignment horizontal="center"/>
    </xf>
    <xf numFmtId="0" fontId="164" fillId="22" borderId="566" xfId="0" applyFont="1" applyFill="1" applyBorder="1" applyAlignment="1" applyProtection="1">
      <alignment horizontal="center" vertical="center"/>
    </xf>
    <xf numFmtId="1" fontId="164" fillId="16" borderId="618" xfId="0" applyNumberFormat="1" applyFont="1" applyFill="1" applyBorder="1" applyAlignment="1" applyProtection="1">
      <alignment horizontal="center" vertical="center"/>
    </xf>
    <xf numFmtId="0" fontId="403" fillId="18" borderId="619" xfId="0" applyFont="1" applyFill="1" applyBorder="1" applyAlignment="1">
      <alignment horizontal="center"/>
    </xf>
    <xf numFmtId="0" fontId="208" fillId="16" borderId="622" xfId="0" applyFont="1" applyFill="1" applyBorder="1" applyAlignment="1">
      <alignment horizontal="center" vertical="center"/>
    </xf>
    <xf numFmtId="0" fontId="208" fillId="16" borderId="623" xfId="0" applyFont="1" applyFill="1" applyBorder="1" applyAlignment="1">
      <alignment horizontal="center" vertical="center"/>
    </xf>
    <xf numFmtId="0" fontId="208" fillId="18" borderId="624" xfId="0" applyFont="1" applyFill="1" applyBorder="1" applyAlignment="1">
      <alignment horizontal="center" vertical="center"/>
    </xf>
    <xf numFmtId="1" fontId="208" fillId="18" borderId="624" xfId="0" applyNumberFormat="1" applyFont="1" applyFill="1" applyBorder="1" applyAlignment="1">
      <alignment horizontal="center" vertical="center"/>
    </xf>
    <xf numFmtId="0" fontId="208" fillId="16" borderId="624" xfId="0" applyFont="1" applyFill="1" applyBorder="1" applyAlignment="1">
      <alignment horizontal="center" vertical="center"/>
    </xf>
    <xf numFmtId="0" fontId="404" fillId="16" borderId="463" xfId="0" applyFont="1" applyFill="1" applyBorder="1" applyAlignment="1">
      <alignment horizontal="center" vertical="center"/>
    </xf>
    <xf numFmtId="0" fontId="375" fillId="16" borderId="579" xfId="0" applyFont="1" applyFill="1" applyBorder="1" applyAlignment="1">
      <alignment horizontal="center" vertical="center"/>
    </xf>
    <xf numFmtId="0" fontId="405" fillId="16" borderId="463" xfId="0" applyFont="1" applyFill="1" applyBorder="1" applyAlignment="1">
      <alignment horizontal="center" vertical="center"/>
    </xf>
    <xf numFmtId="0" fontId="208" fillId="16" borderId="579" xfId="0" applyFont="1" applyFill="1" applyBorder="1" applyAlignment="1">
      <alignment horizontal="center" vertical="center"/>
    </xf>
    <xf numFmtId="1" fontId="208" fillId="16" borderId="611" xfId="0" applyNumberFormat="1" applyFont="1" applyFill="1" applyBorder="1" applyAlignment="1">
      <alignment horizontal="center" vertical="center"/>
    </xf>
    <xf numFmtId="0" fontId="208" fillId="16" borderId="612" xfId="0" applyFont="1" applyFill="1" applyBorder="1" applyAlignment="1">
      <alignment horizontal="center" vertical="center"/>
    </xf>
    <xf numFmtId="0" fontId="208" fillId="16" borderId="613" xfId="0" applyFont="1" applyFill="1" applyBorder="1" applyAlignment="1">
      <alignment horizontal="center" vertical="center"/>
    </xf>
    <xf numFmtId="0" fontId="267" fillId="3" borderId="628" xfId="0" applyFont="1" applyFill="1" applyBorder="1" applyAlignment="1" applyProtection="1">
      <alignment horizontal="center" vertical="center" wrapText="1"/>
    </xf>
    <xf numFmtId="0" fontId="267" fillId="3" borderId="627" xfId="0" applyFont="1" applyFill="1" applyBorder="1" applyAlignment="1" applyProtection="1">
      <alignment horizontal="center" vertical="center" wrapText="1"/>
    </xf>
    <xf numFmtId="0" fontId="406" fillId="16" borderId="0" xfId="0" applyFont="1" applyFill="1" applyAlignment="1">
      <alignment horizontal="left" vertical="center"/>
    </xf>
    <xf numFmtId="0" fontId="19" fillId="0" borderId="22" xfId="0" applyFont="1" applyBorder="1" applyAlignment="1" applyProtection="1">
      <alignment horizontal="center" vertical="center"/>
    </xf>
    <xf numFmtId="0" fontId="9" fillId="0" borderId="49" xfId="0" applyFont="1" applyBorder="1" applyAlignment="1" applyProtection="1">
      <alignment horizontal="center" vertical="center"/>
    </xf>
    <xf numFmtId="0" fontId="305" fillId="2" borderId="301" xfId="0" applyFont="1" applyFill="1" applyBorder="1" applyAlignment="1" applyProtection="1">
      <alignment vertical="center"/>
    </xf>
    <xf numFmtId="0" fontId="14" fillId="51" borderId="19" xfId="0" applyFont="1" applyFill="1" applyBorder="1" applyAlignment="1" applyProtection="1">
      <alignment horizontal="center" vertical="center"/>
      <protection locked="0"/>
    </xf>
    <xf numFmtId="0" fontId="6" fillId="51" borderId="168" xfId="0" applyFont="1" applyFill="1" applyBorder="1" applyAlignment="1" applyProtection="1">
      <alignment horizontal="center" vertical="center"/>
    </xf>
    <xf numFmtId="0" fontId="19" fillId="49" borderId="169" xfId="0" applyFont="1" applyFill="1" applyBorder="1" applyAlignment="1" applyProtection="1">
      <alignment horizontal="center" vertical="center"/>
    </xf>
    <xf numFmtId="0" fontId="19" fillId="49" borderId="164" xfId="0" applyFont="1" applyFill="1" applyBorder="1" applyAlignment="1" applyProtection="1">
      <alignment horizontal="center" vertical="center"/>
    </xf>
    <xf numFmtId="0" fontId="9" fillId="52" borderId="47" xfId="0" applyFont="1" applyFill="1" applyBorder="1" applyAlignment="1" applyProtection="1">
      <alignment horizontal="center" vertical="center"/>
    </xf>
    <xf numFmtId="0" fontId="9" fillId="52" borderId="48" xfId="0" applyFont="1" applyFill="1" applyBorder="1" applyAlignment="1" applyProtection="1">
      <alignment horizontal="center" vertical="center"/>
    </xf>
    <xf numFmtId="0" fontId="9" fillId="52" borderId="18" xfId="0" applyFont="1" applyFill="1" applyBorder="1" applyAlignment="1" applyProtection="1">
      <alignment horizontal="center" vertical="center"/>
    </xf>
    <xf numFmtId="0" fontId="9" fillId="52" borderId="185" xfId="0" applyFont="1" applyFill="1" applyBorder="1" applyAlignment="1" applyProtection="1">
      <alignment horizontal="center" vertical="center"/>
    </xf>
    <xf numFmtId="0" fontId="19" fillId="49" borderId="129" xfId="0" applyFont="1" applyFill="1" applyBorder="1" applyAlignment="1" applyProtection="1">
      <alignment horizontal="center" vertical="center"/>
    </xf>
    <xf numFmtId="0" fontId="19" fillId="49" borderId="165" xfId="0" applyFont="1" applyFill="1" applyBorder="1" applyAlignment="1" applyProtection="1">
      <alignment horizontal="center" vertical="center"/>
    </xf>
    <xf numFmtId="0" fontId="312" fillId="18" borderId="474" xfId="0" applyFont="1" applyFill="1" applyBorder="1" applyAlignment="1" applyProtection="1">
      <alignment horizontal="right" vertical="center"/>
    </xf>
    <xf numFmtId="0" fontId="312" fillId="18" borderId="22" xfId="0" applyFont="1" applyFill="1" applyBorder="1" applyAlignment="1" applyProtection="1">
      <alignment horizontal="left" vertical="center"/>
    </xf>
    <xf numFmtId="0" fontId="407" fillId="18" borderId="22" xfId="0" applyFont="1" applyFill="1" applyBorder="1" applyAlignment="1" applyProtection="1">
      <alignment horizontal="center" vertical="center"/>
    </xf>
    <xf numFmtId="0" fontId="9" fillId="0" borderId="474" xfId="0" applyFont="1" applyBorder="1" applyAlignment="1" applyProtection="1">
      <alignment horizontal="center" vertical="center"/>
    </xf>
    <xf numFmtId="0" fontId="19" fillId="0" borderId="475" xfId="0" applyFont="1" applyBorder="1" applyAlignment="1" applyProtection="1">
      <alignment horizontal="center" vertical="center"/>
    </xf>
    <xf numFmtId="0" fontId="19" fillId="16" borderId="474" xfId="0" applyFont="1" applyFill="1" applyBorder="1" applyAlignment="1" applyProtection="1">
      <alignment horizontal="center" vertical="center"/>
    </xf>
    <xf numFmtId="0" fontId="19" fillId="16" borderId="22" xfId="0" applyFont="1" applyFill="1" applyBorder="1" applyAlignment="1" applyProtection="1">
      <alignment horizontal="center" vertical="center"/>
    </xf>
    <xf numFmtId="0" fontId="19" fillId="16" borderId="22" xfId="0" applyFont="1" applyFill="1" applyBorder="1" applyAlignment="1" applyProtection="1">
      <alignment horizontal="left" vertical="center"/>
    </xf>
    <xf numFmtId="0" fontId="0" fillId="16" borderId="475" xfId="0" applyFill="1" applyBorder="1" applyAlignment="1" applyProtection="1">
      <alignment horizontal="center" vertical="center"/>
    </xf>
    <xf numFmtId="0" fontId="19" fillId="0" borderId="474" xfId="0" applyFont="1" applyBorder="1" applyAlignment="1" applyProtection="1">
      <alignment horizontal="center" vertical="center"/>
    </xf>
    <xf numFmtId="0" fontId="19" fillId="16" borderId="476" xfId="0" applyFont="1" applyFill="1" applyBorder="1" applyAlignment="1" applyProtection="1">
      <alignment horizontal="center" vertical="center"/>
    </xf>
    <xf numFmtId="0" fontId="19" fillId="16" borderId="23" xfId="0" applyFont="1" applyFill="1" applyBorder="1" applyAlignment="1" applyProtection="1">
      <alignment horizontal="center" vertical="center"/>
    </xf>
    <xf numFmtId="0" fontId="19" fillId="16" borderId="23" xfId="0" applyFont="1" applyFill="1" applyBorder="1" applyAlignment="1" applyProtection="1">
      <alignment horizontal="left" vertical="center"/>
    </xf>
    <xf numFmtId="0" fontId="0" fillId="16" borderId="477" xfId="0" applyFill="1" applyBorder="1" applyAlignment="1" applyProtection="1">
      <alignment horizontal="center" vertical="center"/>
    </xf>
    <xf numFmtId="0" fontId="19" fillId="0" borderId="476" xfId="0" applyFont="1" applyBorder="1" applyAlignment="1" applyProtection="1">
      <alignment horizontal="center" vertical="center"/>
    </xf>
    <xf numFmtId="0" fontId="19" fillId="0" borderId="23" xfId="0" applyFont="1" applyBorder="1" applyAlignment="1" applyProtection="1">
      <alignment horizontal="center" vertical="center"/>
    </xf>
    <xf numFmtId="0" fontId="19" fillId="0" borderId="477" xfId="0" applyFont="1" applyBorder="1" applyAlignment="1" applyProtection="1">
      <alignment horizontal="center" vertical="center"/>
    </xf>
    <xf numFmtId="0" fontId="19" fillId="0" borderId="149" xfId="0" applyFont="1" applyBorder="1" applyAlignment="1" applyProtection="1">
      <alignment horizontal="center" vertical="center"/>
    </xf>
    <xf numFmtId="0" fontId="19" fillId="0" borderId="147" xfId="0" applyFont="1" applyBorder="1" applyAlignment="1" applyProtection="1">
      <alignment horizontal="center" vertical="center"/>
    </xf>
    <xf numFmtId="0" fontId="19" fillId="49" borderId="170" xfId="0" applyFont="1" applyFill="1" applyBorder="1" applyAlignment="1" applyProtection="1">
      <alignment horizontal="center" vertical="center"/>
    </xf>
    <xf numFmtId="0" fontId="19" fillId="49" borderId="166" xfId="0" applyFont="1" applyFill="1" applyBorder="1" applyAlignment="1" applyProtection="1">
      <alignment horizontal="center" vertical="center"/>
    </xf>
    <xf numFmtId="0" fontId="198" fillId="16" borderId="597" xfId="0" applyFont="1" applyFill="1" applyBorder="1" applyAlignment="1" applyProtection="1">
      <alignment horizontal="center" vertical="center"/>
      <protection locked="0"/>
    </xf>
    <xf numFmtId="0" fontId="198" fillId="16" borderId="598" xfId="0" applyFont="1" applyFill="1" applyBorder="1" applyAlignment="1" applyProtection="1">
      <alignment horizontal="center" vertical="center"/>
      <protection locked="0"/>
    </xf>
    <xf numFmtId="0" fontId="198" fillId="16" borderId="599" xfId="0" applyFont="1" applyFill="1" applyBorder="1" applyAlignment="1" applyProtection="1">
      <alignment horizontal="center" vertical="center"/>
      <protection locked="0"/>
    </xf>
    <xf numFmtId="0" fontId="211" fillId="16" borderId="22" xfId="0" applyFont="1" applyFill="1" applyBorder="1" applyAlignment="1" applyProtection="1">
      <alignment horizontal="center" vertical="center"/>
      <protection locked="0"/>
    </xf>
    <xf numFmtId="1" fontId="19" fillId="0" borderId="0" xfId="0" applyNumberFormat="1" applyFont="1" applyBorder="1" applyAlignment="1" applyProtection="1">
      <alignment horizontal="center" vertical="center" wrapText="1"/>
    </xf>
    <xf numFmtId="0" fontId="130" fillId="16" borderId="0"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22" fillId="0" borderId="0" xfId="0" applyFont="1" applyBorder="1" applyAlignment="1" applyProtection="1">
      <alignment horizontal="center"/>
    </xf>
    <xf numFmtId="0" fontId="409" fillId="19" borderId="0" xfId="0" applyFont="1" applyFill="1" applyBorder="1" applyAlignment="1" applyProtection="1">
      <alignment horizontal="center" vertical="center"/>
    </xf>
    <xf numFmtId="0" fontId="410" fillId="19" borderId="0" xfId="0" applyFont="1" applyFill="1" applyBorder="1" applyAlignment="1" applyProtection="1">
      <alignment horizontal="center"/>
    </xf>
    <xf numFmtId="0" fontId="366" fillId="16" borderId="0" xfId="0" applyFont="1" applyFill="1" applyBorder="1" applyAlignment="1" applyProtection="1">
      <alignment horizontal="center"/>
    </xf>
    <xf numFmtId="0" fontId="19" fillId="0" borderId="0" xfId="0" applyFont="1" applyBorder="1" applyAlignment="1" applyProtection="1">
      <alignment horizontal="center" vertical="center" wrapText="1"/>
    </xf>
    <xf numFmtId="1" fontId="19" fillId="0" borderId="0" xfId="0" applyNumberFormat="1" applyFont="1" applyBorder="1" applyAlignment="1" applyProtection="1">
      <alignment horizontal="center" vertical="center" wrapText="1"/>
    </xf>
    <xf numFmtId="0" fontId="366" fillId="16" borderId="0" xfId="0" applyFont="1" applyFill="1" applyBorder="1" applyAlignment="1" applyProtection="1">
      <alignment horizontal="center" vertical="top"/>
    </xf>
    <xf numFmtId="0" fontId="41" fillId="16" borderId="639" xfId="0" applyFont="1" applyFill="1" applyBorder="1" applyAlignment="1" applyProtection="1">
      <alignment horizontal="left" vertical="center" shrinkToFit="1"/>
    </xf>
    <xf numFmtId="1" fontId="41" fillId="16" borderId="639" xfId="0" applyNumberFormat="1" applyFont="1" applyFill="1" applyBorder="1" applyAlignment="1" applyProtection="1">
      <alignment horizontal="center" vertical="center" shrinkToFit="1"/>
    </xf>
    <xf numFmtId="0" fontId="41" fillId="16" borderId="640" xfId="0" applyNumberFormat="1" applyFont="1" applyFill="1" applyBorder="1" applyAlignment="1" applyProtection="1">
      <alignment horizontal="center" vertical="center"/>
    </xf>
    <xf numFmtId="0" fontId="41" fillId="16" borderId="639" xfId="0" applyNumberFormat="1" applyFont="1" applyFill="1" applyBorder="1" applyAlignment="1" applyProtection="1">
      <alignment horizontal="center" vertical="center" shrinkToFit="1"/>
    </xf>
    <xf numFmtId="1" fontId="41" fillId="16" borderId="642" xfId="0" applyNumberFormat="1" applyFont="1" applyFill="1" applyBorder="1" applyAlignment="1" applyProtection="1">
      <alignment horizontal="right" vertical="center" shrinkToFit="1"/>
    </xf>
    <xf numFmtId="0" fontId="414" fillId="16" borderId="580" xfId="0" applyFont="1" applyFill="1" applyBorder="1" applyAlignment="1">
      <alignment horizontal="center" vertical="top" wrapText="1"/>
    </xf>
    <xf numFmtId="0" fontId="413" fillId="53" borderId="580" xfId="0" applyFont="1" applyFill="1" applyBorder="1" applyAlignment="1" applyProtection="1">
      <alignment horizontal="center" vertical="center"/>
    </xf>
    <xf numFmtId="0" fontId="45" fillId="53" borderId="580" xfId="0" applyFont="1" applyFill="1" applyBorder="1" applyAlignment="1">
      <alignment horizontal="center" vertical="center" wrapText="1"/>
    </xf>
    <xf numFmtId="0" fontId="184" fillId="16" borderId="0" xfId="0" applyFont="1" applyFill="1" applyBorder="1" applyAlignment="1" applyProtection="1">
      <alignment horizontal="center"/>
    </xf>
    <xf numFmtId="0" fontId="153" fillId="16" borderId="0" xfId="0" applyFont="1" applyFill="1" applyBorder="1" applyAlignment="1">
      <alignment vertical="center"/>
    </xf>
    <xf numFmtId="0" fontId="6" fillId="16" borderId="0" xfId="0" applyFont="1" applyFill="1" applyBorder="1" applyAlignment="1" applyProtection="1"/>
    <xf numFmtId="0" fontId="416" fillId="16" borderId="0" xfId="0" applyFont="1" applyFill="1" applyBorder="1" applyAlignment="1" applyProtection="1">
      <alignment horizontal="right"/>
    </xf>
    <xf numFmtId="0" fontId="19" fillId="16" borderId="0" xfId="0" applyFont="1" applyFill="1" applyBorder="1" applyAlignment="1" applyProtection="1"/>
    <xf numFmtId="0" fontId="328" fillId="16" borderId="0" xfId="0" applyFont="1" applyFill="1" applyBorder="1" applyAlignment="1" applyProtection="1"/>
    <xf numFmtId="1" fontId="162" fillId="16" borderId="643" xfId="0" applyNumberFormat="1" applyFont="1" applyFill="1" applyBorder="1" applyAlignment="1" applyProtection="1">
      <alignment wrapText="1"/>
    </xf>
    <xf numFmtId="1" fontId="162" fillId="16" borderId="0" xfId="0" applyNumberFormat="1" applyFont="1" applyFill="1" applyBorder="1" applyAlignment="1" applyProtection="1">
      <alignment wrapText="1"/>
    </xf>
    <xf numFmtId="1" fontId="31" fillId="16" borderId="580" xfId="0" applyNumberFormat="1" applyFont="1" applyFill="1" applyBorder="1" applyAlignment="1" applyProtection="1">
      <alignment horizontal="center" vertical="center" shrinkToFit="1"/>
    </xf>
    <xf numFmtId="0" fontId="31" fillId="0" borderId="580" xfId="0" applyFont="1" applyBorder="1" applyAlignment="1" applyProtection="1">
      <alignment vertical="center"/>
    </xf>
    <xf numFmtId="0" fontId="31" fillId="16" borderId="580" xfId="0" applyFont="1" applyFill="1" applyBorder="1" applyAlignment="1" applyProtection="1">
      <alignment horizontal="center" vertical="center" shrinkToFit="1"/>
    </xf>
    <xf numFmtId="1" fontId="31" fillId="53" borderId="580" xfId="0" applyNumberFormat="1" applyFont="1" applyFill="1" applyBorder="1" applyAlignment="1" applyProtection="1">
      <alignment horizontal="center" vertical="center" shrinkToFit="1"/>
    </xf>
    <xf numFmtId="0" fontId="31" fillId="53" borderId="580" xfId="0" applyFont="1" applyFill="1" applyBorder="1" applyAlignment="1" applyProtection="1">
      <alignment vertical="center"/>
    </xf>
    <xf numFmtId="0" fontId="31" fillId="53" borderId="580" xfId="0" applyFont="1" applyFill="1" applyBorder="1" applyAlignment="1" applyProtection="1">
      <alignment horizontal="center" vertical="center" shrinkToFit="1"/>
    </xf>
    <xf numFmtId="0" fontId="417" fillId="16" borderId="0" xfId="0" applyFont="1" applyFill="1" applyBorder="1" applyAlignment="1" applyProtection="1">
      <alignment horizontal="center"/>
    </xf>
    <xf numFmtId="0" fontId="14" fillId="16" borderId="0" xfId="0" applyFont="1" applyFill="1" applyBorder="1" applyAlignment="1" applyProtection="1">
      <alignment horizontal="center" vertical="center"/>
    </xf>
    <xf numFmtId="0" fontId="275" fillId="16" borderId="0" xfId="0" applyFont="1" applyFill="1" applyAlignment="1">
      <alignment horizontal="left"/>
    </xf>
    <xf numFmtId="0" fontId="6" fillId="16" borderId="0" xfId="0" applyFont="1" applyFill="1" applyAlignment="1">
      <alignment horizontal="justify" vertical="center"/>
    </xf>
    <xf numFmtId="0" fontId="6" fillId="16" borderId="0" xfId="0" applyFont="1" applyFill="1" applyAlignment="1">
      <alignment horizontal="right" vertical="center"/>
    </xf>
    <xf numFmtId="0" fontId="0" fillId="16" borderId="0" xfId="0" applyFill="1" applyBorder="1" applyAlignment="1" applyProtection="1">
      <alignment horizontal="center"/>
    </xf>
    <xf numFmtId="0" fontId="285" fillId="16" borderId="0" xfId="0" applyFont="1" applyFill="1" applyAlignment="1">
      <alignment vertical="center"/>
    </xf>
    <xf numFmtId="0" fontId="417" fillId="16" borderId="0" xfId="0" applyFont="1" applyFill="1" applyBorder="1" applyAlignment="1" applyProtection="1"/>
    <xf numFmtId="0" fontId="285" fillId="16" borderId="0" xfId="0" applyFont="1" applyFill="1" applyAlignment="1">
      <alignment horizontal="left" vertical="center"/>
    </xf>
    <xf numFmtId="0" fontId="419" fillId="16" borderId="0" xfId="0" applyFont="1" applyFill="1" applyBorder="1" applyAlignment="1" applyProtection="1"/>
    <xf numFmtId="0" fontId="419" fillId="16" borderId="0" xfId="0" applyFont="1" applyFill="1" applyBorder="1" applyAlignment="1" applyProtection="1">
      <alignment horizontal="right"/>
    </xf>
    <xf numFmtId="0" fontId="244" fillId="32" borderId="0" xfId="0" applyFont="1" applyFill="1" applyBorder="1" applyAlignment="1" applyProtection="1">
      <alignment vertical="center" wrapText="1"/>
    </xf>
    <xf numFmtId="0" fontId="244" fillId="32" borderId="165" xfId="0" applyFont="1" applyFill="1" applyBorder="1" applyAlignment="1" applyProtection="1">
      <alignment vertical="center" wrapText="1"/>
    </xf>
    <xf numFmtId="0" fontId="244" fillId="32" borderId="0" xfId="0" applyFont="1" applyFill="1" applyBorder="1" applyAlignment="1" applyProtection="1">
      <alignment vertical="center"/>
    </xf>
    <xf numFmtId="0" fontId="244" fillId="32" borderId="163" xfId="0" applyFont="1" applyFill="1" applyBorder="1" applyAlignment="1" applyProtection="1">
      <alignment vertical="center" wrapText="1"/>
    </xf>
    <xf numFmtId="0" fontId="244" fillId="32" borderId="166" xfId="0" applyFont="1" applyFill="1" applyBorder="1" applyAlignment="1" applyProtection="1">
      <alignment vertical="center" wrapText="1"/>
    </xf>
    <xf numFmtId="0" fontId="278" fillId="16" borderId="0" xfId="0" applyFont="1" applyFill="1" applyBorder="1" applyAlignment="1" applyProtection="1">
      <alignment horizontal="right"/>
    </xf>
    <xf numFmtId="0" fontId="421" fillId="16" borderId="580" xfId="0" applyFont="1" applyFill="1" applyBorder="1" applyAlignment="1" applyProtection="1">
      <alignment horizontal="center" vertical="center" wrapText="1"/>
      <protection locked="0"/>
    </xf>
    <xf numFmtId="0" fontId="415" fillId="16" borderId="0" xfId="0" applyFont="1" applyFill="1" applyBorder="1" applyAlignment="1" applyProtection="1">
      <alignment vertical="center"/>
    </xf>
    <xf numFmtId="0" fontId="26" fillId="16" borderId="0" xfId="0" applyFont="1" applyFill="1" applyAlignment="1">
      <alignment horizontal="left" vertical="center"/>
    </xf>
    <xf numFmtId="0" fontId="126" fillId="16" borderId="0" xfId="0" applyFont="1" applyFill="1" applyBorder="1" applyAlignment="1" applyProtection="1">
      <alignment vertical="center"/>
    </xf>
    <xf numFmtId="0" fontId="14" fillId="0" borderId="0" xfId="0" applyFont="1" applyBorder="1" applyAlignment="1" applyProtection="1">
      <alignment vertical="center"/>
    </xf>
    <xf numFmtId="0" fontId="422" fillId="16" borderId="0" xfId="0" applyFont="1" applyFill="1" applyBorder="1" applyAlignment="1" applyProtection="1">
      <alignment vertical="center"/>
    </xf>
    <xf numFmtId="0" fontId="423" fillId="16" borderId="0" xfId="0" applyFont="1" applyFill="1" applyBorder="1" applyAlignment="1" applyProtection="1">
      <alignment vertical="center"/>
    </xf>
    <xf numFmtId="0" fontId="285" fillId="16" borderId="0" xfId="0" applyFont="1" applyFill="1" applyBorder="1" applyAlignment="1" applyProtection="1">
      <alignment vertical="center"/>
    </xf>
    <xf numFmtId="0" fontId="420" fillId="16" borderId="0" xfId="0" applyFont="1" applyFill="1" applyBorder="1" applyAlignment="1" applyProtection="1">
      <alignment vertical="center"/>
    </xf>
    <xf numFmtId="0" fontId="285" fillId="16" borderId="89" xfId="0" applyFont="1" applyFill="1" applyBorder="1" applyAlignment="1" applyProtection="1">
      <alignment horizontal="center" vertical="center"/>
    </xf>
    <xf numFmtId="0" fontId="409" fillId="19" borderId="0" xfId="0" applyFont="1" applyFill="1" applyBorder="1" applyAlignment="1" applyProtection="1">
      <alignment horizontal="center" vertical="center"/>
    </xf>
    <xf numFmtId="0" fontId="131" fillId="16" borderId="580" xfId="0" applyFont="1" applyFill="1" applyBorder="1" applyAlignment="1" applyProtection="1">
      <alignment horizontal="center" vertical="center" shrinkToFit="1"/>
    </xf>
    <xf numFmtId="0" fontId="131" fillId="0" borderId="580" xfId="0" applyFont="1" applyBorder="1" applyAlignment="1" applyProtection="1">
      <alignment horizontal="center" vertical="center"/>
    </xf>
    <xf numFmtId="0" fontId="131" fillId="53" borderId="580" xfId="0" applyFont="1" applyFill="1" applyBorder="1" applyAlignment="1" applyProtection="1">
      <alignment horizontal="center" vertical="center" shrinkToFit="1"/>
    </xf>
    <xf numFmtId="0" fontId="131" fillId="53" borderId="580" xfId="0" applyFont="1" applyFill="1" applyBorder="1" applyAlignment="1" applyProtection="1">
      <alignment horizontal="center" vertical="center"/>
    </xf>
    <xf numFmtId="0" fontId="9" fillId="32" borderId="0" xfId="0" applyFont="1" applyFill="1" applyBorder="1" applyAlignment="1" applyProtection="1">
      <alignment vertical="center"/>
    </xf>
    <xf numFmtId="0" fontId="130" fillId="16" borderId="167" xfId="0" applyFont="1" applyFill="1" applyBorder="1" applyAlignment="1" applyProtection="1">
      <alignment horizontal="center" vertical="center"/>
    </xf>
    <xf numFmtId="0" fontId="130" fillId="16" borderId="589" xfId="0" applyFont="1" applyFill="1" applyBorder="1" applyAlignment="1" applyProtection="1">
      <alignment horizontal="center" vertical="center"/>
    </xf>
    <xf numFmtId="0" fontId="130" fillId="16" borderId="589" xfId="0" applyFont="1" applyFill="1" applyBorder="1" applyAlignment="1" applyProtection="1">
      <alignment horizontal="left" vertical="center"/>
    </xf>
    <xf numFmtId="165" fontId="130" fillId="16" borderId="589" xfId="0" applyNumberFormat="1" applyFont="1" applyFill="1" applyBorder="1" applyAlignment="1" applyProtection="1">
      <alignment horizontal="left" vertical="center"/>
    </xf>
    <xf numFmtId="0" fontId="130" fillId="16" borderId="487" xfId="0" applyFont="1" applyFill="1" applyBorder="1" applyAlignment="1" applyProtection="1">
      <alignment vertical="center"/>
    </xf>
    <xf numFmtId="0" fontId="130" fillId="16" borderId="47" xfId="0" applyFont="1" applyFill="1" applyBorder="1" applyAlignment="1" applyProtection="1">
      <alignment horizontal="center" vertical="center"/>
    </xf>
    <xf numFmtId="0" fontId="130" fillId="16" borderId="48" xfId="0" applyFont="1" applyFill="1" applyBorder="1" applyAlignment="1" applyProtection="1">
      <alignment horizontal="center" vertical="center"/>
    </xf>
    <xf numFmtId="0" fontId="130" fillId="16" borderId="48" xfId="0" applyFont="1" applyFill="1" applyBorder="1" applyAlignment="1" applyProtection="1">
      <alignment horizontal="left" vertical="center"/>
    </xf>
    <xf numFmtId="165" fontId="130" fillId="16" borderId="48" xfId="0" applyNumberFormat="1" applyFont="1" applyFill="1" applyBorder="1" applyAlignment="1" applyProtection="1">
      <alignment horizontal="left" vertical="center"/>
    </xf>
    <xf numFmtId="0" fontId="130" fillId="16" borderId="185" xfId="0" applyFont="1" applyFill="1" applyBorder="1" applyAlignment="1" applyProtection="1">
      <alignment vertical="center"/>
    </xf>
    <xf numFmtId="0" fontId="130" fillId="16" borderId="147" xfId="0" applyFont="1" applyFill="1" applyBorder="1" applyAlignment="1" applyProtection="1">
      <alignment horizontal="center" vertical="center"/>
    </xf>
    <xf numFmtId="0" fontId="130" fillId="16" borderId="324" xfId="0" applyFont="1" applyFill="1" applyBorder="1" applyAlignment="1" applyProtection="1">
      <alignment horizontal="center" vertical="center"/>
    </xf>
    <xf numFmtId="0" fontId="130" fillId="16" borderId="324" xfId="0" applyFont="1" applyFill="1" applyBorder="1" applyAlignment="1" applyProtection="1">
      <alignment horizontal="left" vertical="center"/>
    </xf>
    <xf numFmtId="165" fontId="130" fillId="16" borderId="324" xfId="0" applyNumberFormat="1" applyFont="1" applyFill="1" applyBorder="1" applyAlignment="1" applyProtection="1">
      <alignment horizontal="left" vertical="center"/>
    </xf>
    <xf numFmtId="0" fontId="130" fillId="16" borderId="488" xfId="0" applyFont="1" applyFill="1" applyBorder="1" applyAlignment="1" applyProtection="1">
      <alignment vertical="center"/>
    </xf>
    <xf numFmtId="1" fontId="424" fillId="16" borderId="0" xfId="0" applyNumberFormat="1" applyFont="1" applyFill="1" applyAlignment="1" applyProtection="1">
      <alignment horizontal="center" vertical="center"/>
    </xf>
    <xf numFmtId="0" fontId="424" fillId="16" borderId="0" xfId="0" applyNumberFormat="1" applyFont="1" applyFill="1" applyBorder="1" applyAlignment="1" applyProtection="1">
      <alignment horizontal="center" vertical="center"/>
    </xf>
    <xf numFmtId="0" fontId="424" fillId="16" borderId="0" xfId="0" applyFont="1" applyFill="1" applyBorder="1" applyAlignment="1" applyProtection="1">
      <alignment horizontal="center"/>
    </xf>
    <xf numFmtId="0" fontId="424" fillId="16" borderId="0" xfId="0" applyFont="1" applyFill="1" applyAlignment="1" applyProtection="1">
      <alignment horizontal="center" vertical="center"/>
    </xf>
    <xf numFmtId="0" fontId="424" fillId="16" borderId="0" xfId="0" applyFont="1" applyFill="1" applyBorder="1" applyProtection="1"/>
    <xf numFmtId="0" fontId="424" fillId="16" borderId="0" xfId="0" applyFont="1" applyFill="1" applyBorder="1" applyAlignment="1" applyProtection="1">
      <alignment horizontal="left"/>
    </xf>
    <xf numFmtId="0" fontId="424" fillId="16" borderId="0" xfId="0" applyFont="1" applyFill="1" applyProtection="1"/>
    <xf numFmtId="0" fontId="424" fillId="16" borderId="0" xfId="0" applyFont="1" applyFill="1" applyAlignment="1" applyProtection="1">
      <alignment horizontal="left"/>
    </xf>
    <xf numFmtId="0" fontId="424" fillId="16" borderId="0" xfId="0" applyFont="1" applyFill="1" applyAlignment="1" applyProtection="1"/>
    <xf numFmtId="0" fontId="424" fillId="16" borderId="0" xfId="0" applyFont="1" applyFill="1" applyAlignment="1" applyProtection="1">
      <alignment vertical="top"/>
    </xf>
    <xf numFmtId="0" fontId="424" fillId="16" borderId="0" xfId="0" applyFont="1" applyFill="1" applyAlignment="1" applyProtection="1">
      <alignment horizontal="left" vertical="top"/>
    </xf>
    <xf numFmtId="0" fontId="424" fillId="16" borderId="0" xfId="0" applyFont="1" applyFill="1" applyAlignment="1" applyProtection="1">
      <alignment horizontal="left" vertical="center"/>
    </xf>
    <xf numFmtId="0" fontId="424" fillId="16" borderId="0" xfId="0" applyFont="1" applyFill="1" applyAlignment="1" applyProtection="1">
      <alignment vertical="center"/>
    </xf>
    <xf numFmtId="0" fontId="425" fillId="16" borderId="0" xfId="0" applyFont="1" applyFill="1" applyProtection="1"/>
    <xf numFmtId="0" fontId="425" fillId="16" borderId="0" xfId="0" applyFont="1" applyFill="1" applyAlignment="1" applyProtection="1"/>
    <xf numFmtId="0" fontId="425" fillId="16" borderId="0" xfId="0" applyFont="1" applyFill="1" applyAlignment="1" applyProtection="1">
      <alignment vertical="top"/>
    </xf>
    <xf numFmtId="0" fontId="426" fillId="16" borderId="0" xfId="0" applyFont="1" applyFill="1" applyProtection="1"/>
    <xf numFmtId="0" fontId="291" fillId="0" borderId="0" xfId="0" applyFont="1" applyProtection="1"/>
    <xf numFmtId="0" fontId="204" fillId="16" borderId="0" xfId="0" applyFont="1" applyFill="1" applyAlignment="1" applyProtection="1">
      <alignment horizontal="right"/>
    </xf>
    <xf numFmtId="0" fontId="427" fillId="0" borderId="0" xfId="0" applyFont="1" applyAlignment="1" applyProtection="1">
      <alignment horizontal="center" vertical="center"/>
    </xf>
    <xf numFmtId="0" fontId="427" fillId="0" borderId="0" xfId="0" applyFont="1" applyAlignment="1" applyProtection="1">
      <alignment vertical="center"/>
    </xf>
    <xf numFmtId="0" fontId="427" fillId="0" borderId="0" xfId="0" applyFont="1" applyAlignment="1" applyProtection="1">
      <alignment horizontal="center" vertical="top"/>
    </xf>
    <xf numFmtId="0" fontId="427" fillId="0" borderId="0" xfId="0" applyFont="1" applyAlignment="1" applyProtection="1">
      <alignment vertical="top"/>
    </xf>
    <xf numFmtId="0" fontId="428" fillId="16" borderId="22" xfId="0" applyFont="1" applyFill="1" applyBorder="1" applyAlignment="1" applyProtection="1">
      <alignment horizontal="center" vertical="center"/>
    </xf>
    <xf numFmtId="0" fontId="430" fillId="16" borderId="22" xfId="0" applyFont="1" applyFill="1" applyBorder="1" applyAlignment="1" applyProtection="1">
      <alignment horizontal="center" vertical="center"/>
    </xf>
    <xf numFmtId="0" fontId="429" fillId="16" borderId="22" xfId="0" applyFont="1" applyFill="1" applyBorder="1" applyAlignment="1" applyProtection="1">
      <alignment horizontal="center" vertical="center"/>
    </xf>
    <xf numFmtId="0" fontId="167" fillId="16" borderId="0" xfId="0" applyFont="1" applyFill="1" applyAlignment="1" applyProtection="1">
      <alignment horizontal="right"/>
    </xf>
    <xf numFmtId="0" fontId="335" fillId="16" borderId="0" xfId="0" applyFont="1" applyFill="1" applyProtection="1"/>
    <xf numFmtId="0" fontId="433" fillId="16" borderId="0" xfId="0" applyFont="1" applyFill="1" applyAlignment="1" applyProtection="1">
      <alignment horizontal="center" vertical="center"/>
    </xf>
    <xf numFmtId="0" fontId="434" fillId="19" borderId="0" xfId="0" applyFont="1" applyFill="1" applyBorder="1" applyAlignment="1" applyProtection="1">
      <alignment horizontal="center" vertical="center"/>
    </xf>
    <xf numFmtId="0" fontId="435" fillId="19" borderId="0" xfId="0" applyFont="1" applyFill="1" applyBorder="1" applyAlignment="1" applyProtection="1">
      <alignment horizontal="right" vertical="center"/>
    </xf>
    <xf numFmtId="0" fontId="181" fillId="16" borderId="22" xfId="0" applyFont="1" applyFill="1" applyBorder="1" applyAlignment="1" applyProtection="1">
      <alignment horizontal="center" vertical="center"/>
    </xf>
    <xf numFmtId="0" fontId="335" fillId="16" borderId="22" xfId="0" applyFont="1" applyFill="1" applyBorder="1" applyAlignment="1" applyProtection="1">
      <alignment horizontal="center" vertical="center"/>
    </xf>
    <xf numFmtId="0" fontId="252" fillId="16" borderId="22" xfId="0" applyFont="1" applyFill="1" applyBorder="1" applyAlignment="1" applyProtection="1">
      <alignment horizontal="center" vertical="center"/>
    </xf>
    <xf numFmtId="0" fontId="347" fillId="13" borderId="87" xfId="0" applyFont="1" applyFill="1" applyBorder="1" applyAlignment="1" applyProtection="1">
      <alignment horizontal="center" vertical="center"/>
    </xf>
    <xf numFmtId="0" fontId="259" fillId="16" borderId="0" xfId="0" applyFont="1" applyFill="1" applyBorder="1" applyAlignment="1" applyProtection="1">
      <alignment horizontal="center" vertical="center"/>
    </xf>
    <xf numFmtId="0" fontId="232" fillId="16" borderId="0" xfId="0" applyFont="1" applyFill="1" applyAlignment="1" applyProtection="1">
      <alignment horizontal="left" vertical="center"/>
    </xf>
    <xf numFmtId="0" fontId="270" fillId="16" borderId="323" xfId="0" applyFont="1" applyFill="1" applyBorder="1" applyAlignment="1" applyProtection="1">
      <alignment horizontal="center" vertical="center"/>
    </xf>
    <xf numFmtId="0" fontId="232" fillId="2" borderId="86" xfId="0" applyFont="1" applyFill="1" applyBorder="1" applyAlignment="1" applyProtection="1">
      <alignment horizontal="left" vertical="center"/>
    </xf>
    <xf numFmtId="0" fontId="270" fillId="0" borderId="307" xfId="0" applyFont="1" applyFill="1" applyBorder="1" applyAlignment="1" applyProtection="1">
      <alignment horizontal="center" vertical="center"/>
    </xf>
    <xf numFmtId="0" fontId="438" fillId="2" borderId="22" xfId="0" applyFont="1" applyFill="1" applyBorder="1" applyAlignment="1" applyProtection="1">
      <alignment horizontal="center" vertical="center"/>
    </xf>
    <xf numFmtId="0" fontId="438" fillId="0" borderId="22" xfId="0" applyFont="1" applyFill="1" applyBorder="1" applyAlignment="1" applyProtection="1">
      <alignment horizontal="center" vertical="center"/>
    </xf>
    <xf numFmtId="0" fontId="439" fillId="0" borderId="22" xfId="0" applyFont="1" applyFill="1" applyBorder="1" applyAlignment="1" applyProtection="1">
      <alignment horizontal="center" vertical="center" wrapText="1"/>
    </xf>
    <xf numFmtId="0" fontId="438" fillId="2" borderId="22" xfId="0" applyFont="1" applyFill="1" applyBorder="1" applyAlignment="1" applyProtection="1">
      <alignment horizontal="right" vertical="center"/>
    </xf>
    <xf numFmtId="0" fontId="438" fillId="16" borderId="22" xfId="0" applyFont="1" applyFill="1" applyBorder="1" applyAlignment="1" applyProtection="1">
      <alignment horizontal="center" vertical="center"/>
    </xf>
    <xf numFmtId="1" fontId="316" fillId="2" borderId="22" xfId="0" applyNumberFormat="1" applyFont="1" applyFill="1" applyBorder="1" applyAlignment="1" applyProtection="1">
      <alignment horizontal="center" vertical="center"/>
    </xf>
    <xf numFmtId="0" fontId="305" fillId="16" borderId="47" xfId="3" applyFont="1" applyFill="1" applyBorder="1" applyAlignment="1" applyProtection="1">
      <alignment vertical="center"/>
    </xf>
    <xf numFmtId="0" fontId="305" fillId="16" borderId="22" xfId="3" applyFont="1" applyFill="1" applyBorder="1" applyAlignment="1" applyProtection="1">
      <alignment horizontal="center" vertical="center" wrapText="1"/>
    </xf>
    <xf numFmtId="0" fontId="305" fillId="16" borderId="89" xfId="0" applyFont="1" applyFill="1" applyBorder="1" applyAlignment="1" applyProtection="1">
      <alignment vertical="center"/>
    </xf>
    <xf numFmtId="0" fontId="305" fillId="16" borderId="92" xfId="0" applyFont="1" applyFill="1" applyBorder="1" applyAlignment="1" applyProtection="1">
      <alignment vertical="center"/>
    </xf>
    <xf numFmtId="0" fontId="305" fillId="16" borderId="47" xfId="0" applyFont="1" applyFill="1" applyBorder="1" applyAlignment="1" applyProtection="1">
      <alignment vertical="center"/>
    </xf>
    <xf numFmtId="0" fontId="305" fillId="0" borderId="47" xfId="5" applyFont="1" applyFill="1" applyBorder="1" applyAlignment="1">
      <alignment horizontal="left" vertical="center"/>
    </xf>
    <xf numFmtId="0" fontId="305" fillId="0" borderId="22" xfId="5" applyFont="1" applyFill="1" applyBorder="1" applyAlignment="1">
      <alignment horizontal="center" vertical="center"/>
    </xf>
    <xf numFmtId="0" fontId="22" fillId="0" borderId="0" xfId="0" applyFont="1" applyFill="1" applyAlignment="1" applyProtection="1">
      <alignment horizontal="center"/>
    </xf>
    <xf numFmtId="0" fontId="22" fillId="0" borderId="0" xfId="0" applyFont="1" applyAlignment="1" applyProtection="1">
      <alignment horizontal="center"/>
    </xf>
    <xf numFmtId="0" fontId="440" fillId="16" borderId="0" xfId="0" applyFont="1" applyFill="1" applyAlignment="1" applyProtection="1">
      <alignment horizontal="center" vertical="center"/>
    </xf>
    <xf numFmtId="0" fontId="441" fillId="16" borderId="580" xfId="0" applyFont="1" applyFill="1" applyBorder="1" applyAlignment="1" applyProtection="1">
      <alignment horizontal="center" vertical="center" shrinkToFit="1"/>
    </xf>
    <xf numFmtId="0" fontId="39" fillId="2" borderId="0" xfId="0" applyFont="1" applyFill="1" applyAlignment="1" applyProtection="1">
      <alignment horizontal="center" vertical="center"/>
    </xf>
    <xf numFmtId="0" fontId="14" fillId="2" borderId="0" xfId="0" applyFont="1" applyFill="1" applyBorder="1" applyAlignment="1" applyProtection="1">
      <alignment horizontal="left" vertical="center"/>
    </xf>
    <xf numFmtId="0" fontId="26" fillId="2" borderId="0" xfId="0" applyFont="1" applyFill="1" applyBorder="1" applyAlignment="1" applyProtection="1">
      <alignment horizontal="right" vertical="center"/>
    </xf>
    <xf numFmtId="0" fontId="22" fillId="2" borderId="0" xfId="0" applyFont="1" applyFill="1" applyAlignment="1" applyProtection="1">
      <alignment horizontal="left"/>
    </xf>
    <xf numFmtId="0" fontId="14" fillId="16" borderId="0" xfId="0" applyFont="1" applyFill="1" applyBorder="1" applyAlignment="1" applyProtection="1">
      <alignment horizontal="center" vertical="center"/>
    </xf>
    <xf numFmtId="0" fontId="22" fillId="0" borderId="0" xfId="0" applyFont="1" applyBorder="1" applyAlignment="1" applyProtection="1">
      <alignment horizontal="center"/>
    </xf>
    <xf numFmtId="0" fontId="43" fillId="2" borderId="0"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22" fillId="2" borderId="146" xfId="0" applyFont="1" applyFill="1" applyBorder="1" applyAlignment="1" applyProtection="1">
      <alignment horizontal="center" vertical="center"/>
    </xf>
    <xf numFmtId="0" fontId="21" fillId="22" borderId="22" xfId="0" applyFont="1" applyFill="1" applyBorder="1" applyAlignment="1" applyProtection="1">
      <alignment horizontal="center" vertical="center" wrapText="1"/>
    </xf>
    <xf numFmtId="0" fontId="21" fillId="22" borderId="102" xfId="0" applyFont="1" applyFill="1" applyBorder="1" applyAlignment="1" applyProtection="1">
      <alignment horizontal="center" vertical="center" wrapText="1"/>
    </xf>
    <xf numFmtId="0" fontId="22" fillId="2" borderId="0" xfId="0" applyFont="1" applyFill="1" applyAlignment="1" applyProtection="1">
      <alignment horizontal="center" vertical="center"/>
    </xf>
    <xf numFmtId="0" fontId="22" fillId="2" borderId="0" xfId="0" applyFont="1" applyFill="1" applyBorder="1" applyAlignment="1" applyProtection="1">
      <alignment horizontal="right" vertical="center"/>
    </xf>
    <xf numFmtId="0" fontId="232" fillId="2" borderId="0"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0" fontId="306" fillId="16" borderId="22" xfId="0" applyFont="1" applyFill="1" applyBorder="1" applyAlignment="1" applyProtection="1">
      <alignment horizontal="center" vertical="center"/>
    </xf>
    <xf numFmtId="0" fontId="306" fillId="0" borderId="22" xfId="0" applyFont="1" applyFill="1" applyBorder="1" applyAlignment="1" applyProtection="1">
      <alignment horizontal="center" vertical="center"/>
    </xf>
    <xf numFmtId="0" fontId="232" fillId="16" borderId="0" xfId="0" applyFont="1" applyFill="1" applyAlignment="1" applyProtection="1">
      <alignment horizontal="center"/>
    </xf>
    <xf numFmtId="0" fontId="232" fillId="16" borderId="0" xfId="0" applyFont="1" applyFill="1" applyAlignment="1" applyProtection="1">
      <alignment horizontal="center" vertical="center"/>
    </xf>
    <xf numFmtId="0" fontId="232" fillId="16" borderId="0" xfId="0" applyFont="1" applyFill="1" applyAlignment="1" applyProtection="1">
      <alignment horizontal="center" vertical="top"/>
    </xf>
    <xf numFmtId="0" fontId="316" fillId="2" borderId="22" xfId="0" applyFont="1" applyFill="1" applyBorder="1" applyAlignment="1" applyProtection="1">
      <alignment horizontal="center" vertical="center"/>
    </xf>
    <xf numFmtId="0" fontId="22" fillId="2" borderId="0" xfId="0" applyFont="1" applyFill="1" applyBorder="1" applyAlignment="1" applyProtection="1">
      <alignment horizontal="right"/>
    </xf>
    <xf numFmtId="0" fontId="305" fillId="16" borderId="22" xfId="0" applyFont="1" applyFill="1" applyBorder="1" applyAlignment="1" applyProtection="1">
      <alignment horizontal="center" vertical="center" wrapText="1"/>
    </xf>
    <xf numFmtId="0" fontId="305" fillId="2" borderId="47" xfId="0" applyFont="1" applyFill="1" applyBorder="1" applyAlignment="1" applyProtection="1">
      <alignment horizontal="center" vertical="center"/>
    </xf>
    <xf numFmtId="0" fontId="305" fillId="2" borderId="49" xfId="0" applyFont="1" applyFill="1" applyBorder="1" applyAlignment="1" applyProtection="1">
      <alignment horizontal="center" vertical="center"/>
    </xf>
    <xf numFmtId="0" fontId="305" fillId="16" borderId="22"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0" fontId="305" fillId="16" borderId="47" xfId="0" applyFont="1" applyFill="1" applyBorder="1" applyAlignment="1" applyProtection="1">
      <alignment horizontal="center" vertical="center"/>
    </xf>
    <xf numFmtId="1" fontId="306" fillId="2" borderId="22" xfId="0" applyNumberFormat="1" applyFont="1" applyFill="1" applyBorder="1" applyAlignment="1" applyProtection="1">
      <alignment horizontal="center" vertical="center"/>
    </xf>
    <xf numFmtId="0" fontId="259" fillId="16" borderId="0" xfId="0" applyFont="1" applyFill="1" applyAlignment="1" applyProtection="1">
      <alignment horizontal="center" vertical="center"/>
    </xf>
    <xf numFmtId="0" fontId="305" fillId="0" borderId="22" xfId="0" applyFont="1" applyFill="1" applyBorder="1" applyAlignment="1" applyProtection="1">
      <alignment horizontal="center" vertical="center" wrapText="1"/>
    </xf>
    <xf numFmtId="0" fontId="305" fillId="0" borderId="22" xfId="0"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355" fillId="2" borderId="22" xfId="0" applyFont="1" applyFill="1" applyBorder="1" applyAlignment="1" applyProtection="1">
      <alignment horizontal="center" vertical="center"/>
    </xf>
    <xf numFmtId="0" fontId="26" fillId="22" borderId="22" xfId="0" applyFont="1" applyFill="1" applyBorder="1" applyAlignment="1" applyProtection="1">
      <alignment horizontal="center" vertical="center" wrapText="1"/>
    </xf>
    <xf numFmtId="0" fontId="349" fillId="16" borderId="22" xfId="0" applyFont="1" applyFill="1" applyBorder="1" applyAlignment="1" applyProtection="1">
      <alignment horizontal="center" vertical="center" wrapText="1"/>
    </xf>
    <xf numFmtId="0" fontId="351" fillId="0" borderId="22" xfId="0" applyFont="1" applyFill="1" applyBorder="1" applyAlignment="1" applyProtection="1">
      <alignment horizontal="center" vertical="center" wrapText="1"/>
    </xf>
    <xf numFmtId="0" fontId="386" fillId="16" borderId="583" xfId="0" applyFont="1" applyFill="1" applyBorder="1" applyAlignment="1" applyProtection="1">
      <alignment horizontal="left" vertical="center" shrinkToFit="1"/>
    </xf>
    <xf numFmtId="0" fontId="259" fillId="2" borderId="0" xfId="0" applyFont="1" applyFill="1" applyBorder="1" applyAlignment="1" applyProtection="1">
      <alignment horizontal="center" vertical="center"/>
    </xf>
    <xf numFmtId="0" fontId="441" fillId="16" borderId="582" xfId="0" applyNumberFormat="1" applyFont="1" applyFill="1" applyBorder="1" applyAlignment="1" applyProtection="1">
      <alignment horizontal="center" vertical="center" shrinkToFit="1"/>
    </xf>
    <xf numFmtId="1" fontId="441" fillId="16" borderId="582" xfId="0" applyNumberFormat="1" applyFont="1" applyFill="1" applyBorder="1" applyAlignment="1" applyProtection="1">
      <alignment horizontal="center" vertical="center" shrinkToFit="1"/>
    </xf>
    <xf numFmtId="0" fontId="442" fillId="16" borderId="579" xfId="0" applyFont="1" applyFill="1" applyBorder="1" applyAlignment="1">
      <alignment horizontal="center" vertical="center"/>
    </xf>
    <xf numFmtId="167" fontId="178" fillId="16" borderId="579" xfId="0" applyNumberFormat="1" applyFont="1" applyFill="1" applyBorder="1" applyAlignment="1">
      <alignment horizontal="center" vertical="center"/>
    </xf>
    <xf numFmtId="167" fontId="178" fillId="16" borderId="175" xfId="0" applyNumberFormat="1" applyFont="1" applyFill="1" applyBorder="1" applyAlignment="1">
      <alignment horizontal="center" vertical="center"/>
    </xf>
    <xf numFmtId="167" fontId="178" fillId="16" borderId="38" xfId="0" applyNumberFormat="1" applyFont="1" applyFill="1" applyBorder="1" applyAlignment="1">
      <alignment horizontal="center" vertical="center"/>
    </xf>
    <xf numFmtId="167" fontId="178" fillId="16" borderId="182" xfId="0" applyNumberFormat="1" applyFont="1" applyFill="1" applyBorder="1" applyAlignment="1">
      <alignment horizontal="center" vertical="center"/>
    </xf>
    <xf numFmtId="167" fontId="19" fillId="16" borderId="182" xfId="0" applyNumberFormat="1" applyFont="1" applyFill="1" applyBorder="1" applyAlignment="1">
      <alignment horizontal="center" vertical="center"/>
    </xf>
    <xf numFmtId="167" fontId="178" fillId="16" borderId="36" xfId="0" applyNumberFormat="1" applyFont="1" applyFill="1" applyBorder="1" applyAlignment="1">
      <alignment horizontal="center" vertical="center"/>
    </xf>
    <xf numFmtId="167" fontId="178" fillId="16" borderId="185" xfId="0" applyNumberFormat="1" applyFont="1" applyFill="1" applyBorder="1" applyAlignment="1">
      <alignment horizontal="center" vertical="center"/>
    </xf>
    <xf numFmtId="167" fontId="19" fillId="16" borderId="185" xfId="0" applyNumberFormat="1" applyFont="1" applyFill="1" applyBorder="1" applyAlignment="1">
      <alignment horizontal="center" vertical="center"/>
    </xf>
    <xf numFmtId="167" fontId="178" fillId="16" borderId="141" xfId="0" applyNumberFormat="1" applyFont="1" applyFill="1" applyBorder="1" applyAlignment="1">
      <alignment horizontal="center" vertical="center"/>
    </xf>
    <xf numFmtId="167" fontId="178" fillId="16" borderId="184" xfId="0" applyNumberFormat="1" applyFont="1" applyFill="1" applyBorder="1" applyAlignment="1">
      <alignment horizontal="center" vertical="center"/>
    </xf>
    <xf numFmtId="167" fontId="19" fillId="16" borderId="488" xfId="0" applyNumberFormat="1" applyFont="1" applyFill="1" applyBorder="1" applyAlignment="1">
      <alignment horizontal="center" vertical="center"/>
    </xf>
    <xf numFmtId="167" fontId="443" fillId="16" borderId="579" xfId="0" applyNumberFormat="1" applyFont="1" applyFill="1" applyBorder="1" applyAlignment="1">
      <alignment horizontal="center" vertical="center"/>
    </xf>
    <xf numFmtId="167" fontId="443" fillId="16" borderId="176" xfId="0" applyNumberFormat="1" applyFont="1" applyFill="1" applyBorder="1" applyAlignment="1">
      <alignment horizontal="center" vertical="center"/>
    </xf>
    <xf numFmtId="167" fontId="444" fillId="16" borderId="579" xfId="0" applyNumberFormat="1" applyFont="1" applyFill="1" applyBorder="1" applyAlignment="1">
      <alignment horizontal="center" vertical="center"/>
    </xf>
    <xf numFmtId="0" fontId="14" fillId="16" borderId="611" xfId="0" applyFont="1" applyFill="1" applyBorder="1" applyAlignment="1">
      <alignment horizontal="center" vertical="center"/>
    </xf>
    <xf numFmtId="0" fontId="164" fillId="16" borderId="611" xfId="0" applyFont="1" applyFill="1" applyBorder="1" applyAlignment="1">
      <alignment horizontal="left" vertical="center"/>
    </xf>
    <xf numFmtId="0" fontId="14" fillId="16" borderId="612" xfId="0" applyFont="1" applyFill="1" applyBorder="1" applyAlignment="1">
      <alignment horizontal="center" vertical="center"/>
    </xf>
    <xf numFmtId="0" fontId="164" fillId="16" borderId="612" xfId="0" applyFont="1" applyFill="1" applyBorder="1" applyAlignment="1">
      <alignment horizontal="left" vertical="center"/>
    </xf>
    <xf numFmtId="0" fontId="14" fillId="16" borderId="613" xfId="0" applyFont="1" applyFill="1" applyBorder="1" applyAlignment="1">
      <alignment horizontal="center" vertical="center"/>
    </xf>
    <xf numFmtId="0" fontId="402" fillId="18" borderId="613" xfId="0" applyFont="1" applyFill="1" applyBorder="1" applyAlignment="1">
      <alignment horizontal="left" vertical="center"/>
    </xf>
    <xf numFmtId="0" fontId="334" fillId="43" borderId="22" xfId="0" applyFont="1" applyFill="1" applyBorder="1" applyAlignment="1">
      <alignment horizontal="center" vertical="center" wrapText="1"/>
    </xf>
    <xf numFmtId="0" fontId="18" fillId="0" borderId="0" xfId="0" applyFont="1" applyFill="1" applyBorder="1" applyAlignment="1">
      <alignment horizontal="left" vertical="center" wrapText="1"/>
    </xf>
    <xf numFmtId="0" fontId="447" fillId="16" borderId="1" xfId="0" applyFont="1" applyFill="1" applyBorder="1" applyAlignment="1" applyProtection="1"/>
    <xf numFmtId="0" fontId="0" fillId="42" borderId="48" xfId="0" applyFill="1" applyBorder="1" applyAlignment="1">
      <alignment horizontal="center" vertical="center" wrapText="1"/>
    </xf>
    <xf numFmtId="0" fontId="0" fillId="42" borderId="49" xfId="0" applyFill="1" applyBorder="1" applyAlignment="1">
      <alignment horizontal="center" vertical="center" wrapText="1"/>
    </xf>
    <xf numFmtId="0" fontId="260" fillId="42" borderId="0" xfId="0" applyFont="1" applyFill="1" applyAlignment="1">
      <alignment horizontal="center" vertical="center" wrapText="1"/>
    </xf>
    <xf numFmtId="0" fontId="19" fillId="0" borderId="47" xfId="0" applyFont="1" applyFill="1" applyBorder="1" applyAlignment="1" applyProtection="1">
      <alignment horizontal="center" vertical="center"/>
    </xf>
    <xf numFmtId="0" fontId="0" fillId="0" borderId="49" xfId="0" applyBorder="1" applyAlignment="1" applyProtection="1">
      <alignment horizontal="center"/>
    </xf>
    <xf numFmtId="1" fontId="178" fillId="16" borderId="162" xfId="0" applyNumberFormat="1" applyFont="1" applyFill="1" applyBorder="1" applyAlignment="1">
      <alignment horizontal="center" vertical="center"/>
    </xf>
    <xf numFmtId="0" fontId="355" fillId="2" borderId="22" xfId="0" applyFont="1" applyFill="1" applyBorder="1" applyAlignment="1" applyProtection="1">
      <alignment horizontal="center" vertical="center"/>
    </xf>
    <xf numFmtId="0" fontId="34" fillId="32" borderId="175" xfId="0" applyFont="1" applyFill="1" applyBorder="1" applyAlignment="1" applyProtection="1">
      <alignment horizontal="center" vertical="center"/>
    </xf>
    <xf numFmtId="0" fontId="36" fillId="0" borderId="238" xfId="0" applyFont="1" applyFill="1" applyBorder="1" applyAlignment="1" applyProtection="1">
      <alignment vertical="center" shrinkToFit="1"/>
    </xf>
    <xf numFmtId="0" fontId="0" fillId="0" borderId="238" xfId="0" applyBorder="1" applyAlignment="1" applyProtection="1">
      <alignment shrinkToFit="1"/>
    </xf>
    <xf numFmtId="0" fontId="0" fillId="0" borderId="263" xfId="0" applyBorder="1" applyAlignment="1" applyProtection="1">
      <alignment shrinkToFit="1"/>
    </xf>
    <xf numFmtId="0" fontId="36" fillId="0" borderId="0" xfId="0" applyFont="1" applyFill="1" applyBorder="1" applyAlignment="1" applyProtection="1">
      <alignment vertical="center" shrinkToFit="1"/>
    </xf>
    <xf numFmtId="0" fontId="0" fillId="0" borderId="0" xfId="0" applyFill="1" applyBorder="1" applyAlignment="1" applyProtection="1">
      <alignment shrinkToFit="1"/>
    </xf>
    <xf numFmtId="0" fontId="323" fillId="0" borderId="0" xfId="0" applyFont="1" applyAlignment="1" applyProtection="1">
      <alignment horizontal="center" vertical="center"/>
    </xf>
    <xf numFmtId="0" fontId="323" fillId="0" borderId="0" xfId="0" applyFont="1" applyAlignment="1" applyProtection="1">
      <alignment horizontal="left" vertical="center"/>
    </xf>
    <xf numFmtId="0" fontId="174" fillId="0" borderId="0" xfId="0" applyFont="1" applyProtection="1"/>
    <xf numFmtId="0" fontId="323" fillId="0" borderId="0" xfId="0" applyFont="1" applyFill="1" applyAlignment="1" applyProtection="1">
      <alignment horizontal="center" vertical="center"/>
    </xf>
    <xf numFmtId="0" fontId="315" fillId="0" borderId="0" xfId="0" applyFont="1" applyFill="1" applyAlignment="1" applyProtection="1">
      <alignment vertical="center"/>
    </xf>
    <xf numFmtId="0" fontId="451" fillId="16" borderId="237" xfId="0" applyFont="1" applyFill="1" applyBorder="1" applyAlignment="1" applyProtection="1">
      <alignment vertical="center"/>
    </xf>
    <xf numFmtId="0" fontId="0" fillId="0" borderId="239" xfId="0" applyBorder="1" applyAlignment="1" applyProtection="1">
      <alignment horizontal="center" vertical="center" shrinkToFit="1"/>
    </xf>
    <xf numFmtId="0" fontId="174" fillId="0" borderId="0" xfId="0" applyFont="1" applyAlignment="1" applyProtection="1">
      <alignment vertical="center"/>
    </xf>
    <xf numFmtId="0" fontId="0" fillId="0" borderId="313" xfId="0" applyBorder="1" applyAlignment="1" applyProtection="1">
      <alignment shrinkToFit="1"/>
    </xf>
    <xf numFmtId="0" fontId="0" fillId="0" borderId="259" xfId="0" applyBorder="1" applyAlignment="1" applyProtection="1">
      <alignment shrinkToFit="1"/>
    </xf>
    <xf numFmtId="0" fontId="0" fillId="0" borderId="237" xfId="0" applyBorder="1" applyAlignment="1" applyProtection="1">
      <alignment shrinkToFit="1"/>
    </xf>
    <xf numFmtId="0" fontId="0" fillId="0" borderId="0" xfId="0" applyBorder="1" applyAlignment="1" applyProtection="1">
      <alignment shrinkToFit="1"/>
    </xf>
    <xf numFmtId="0" fontId="133" fillId="0" borderId="0" xfId="0" applyFont="1" applyBorder="1" applyAlignment="1" applyProtection="1">
      <alignment horizontal="center" vertical="center" shrinkToFit="1"/>
      <protection locked="0"/>
    </xf>
    <xf numFmtId="0" fontId="0" fillId="18" borderId="0" xfId="0" applyFill="1" applyProtection="1"/>
    <xf numFmtId="0" fontId="36" fillId="18" borderId="0" xfId="0" applyFont="1" applyFill="1" applyAlignment="1" applyProtection="1">
      <alignment vertical="center"/>
    </xf>
    <xf numFmtId="0" fontId="0" fillId="18" borderId="0" xfId="0" applyFill="1" applyAlignment="1" applyProtection="1">
      <alignment vertical="center"/>
    </xf>
    <xf numFmtId="0" fontId="323" fillId="18" borderId="0" xfId="0" applyFont="1" applyFill="1" applyAlignment="1" applyProtection="1">
      <alignment vertical="center"/>
    </xf>
    <xf numFmtId="0" fontId="174" fillId="18" borderId="0" xfId="0" applyFont="1" applyFill="1" applyProtection="1"/>
    <xf numFmtId="0" fontId="259" fillId="0" borderId="47" xfId="0" applyFont="1" applyFill="1" applyBorder="1" applyAlignment="1" applyProtection="1">
      <alignment horizontal="left" vertical="center"/>
    </xf>
    <xf numFmtId="0" fontId="34" fillId="32" borderId="175" xfId="0" applyFont="1" applyFill="1" applyBorder="1" applyAlignment="1" applyProtection="1">
      <alignment vertical="center"/>
    </xf>
    <xf numFmtId="0" fontId="34" fillId="32" borderId="176" xfId="0" applyFont="1" applyFill="1" applyBorder="1" applyAlignment="1" applyProtection="1">
      <alignment vertical="center"/>
    </xf>
    <xf numFmtId="0" fontId="130" fillId="16" borderId="8" xfId="0" applyFont="1" applyFill="1" applyBorder="1" applyAlignment="1" applyProtection="1">
      <alignment horizontal="center" vertical="center"/>
    </xf>
    <xf numFmtId="0" fontId="130" fillId="16" borderId="10" xfId="0" applyFont="1" applyFill="1" applyBorder="1" applyAlignment="1" applyProtection="1">
      <alignment horizontal="center" vertical="center"/>
    </xf>
    <xf numFmtId="0" fontId="130" fillId="16" borderId="12" xfId="0" applyFont="1" applyFill="1" applyBorder="1" applyAlignment="1" applyProtection="1">
      <alignment horizontal="center" vertical="center"/>
    </xf>
    <xf numFmtId="0" fontId="144" fillId="0" borderId="146" xfId="0" applyFont="1" applyBorder="1" applyAlignment="1" applyProtection="1">
      <alignment horizontal="center" vertical="center"/>
      <protection locked="0"/>
    </xf>
    <xf numFmtId="0" fontId="18" fillId="0" borderId="146" xfId="0" applyFont="1" applyBorder="1" applyAlignment="1" applyProtection="1">
      <alignment horizontal="center" vertical="center"/>
    </xf>
    <xf numFmtId="0" fontId="144" fillId="0" borderId="23" xfId="0" applyFont="1" applyBorder="1" applyAlignment="1" applyProtection="1">
      <alignment horizontal="center" vertical="center"/>
      <protection locked="0"/>
    </xf>
    <xf numFmtId="0" fontId="18" fillId="0" borderId="23" xfId="0" applyFont="1" applyBorder="1" applyAlignment="1" applyProtection="1">
      <alignment horizontal="center" vertical="center"/>
    </xf>
    <xf numFmtId="0" fontId="9" fillId="0" borderId="0" xfId="0" applyFont="1" applyProtection="1"/>
    <xf numFmtId="0" fontId="87" fillId="32" borderId="174" xfId="0" applyFont="1" applyFill="1" applyBorder="1" applyAlignment="1" applyProtection="1">
      <alignment horizontal="center" vertical="center"/>
    </xf>
    <xf numFmtId="170" fontId="31" fillId="0" borderId="86" xfId="0" applyNumberFormat="1" applyFont="1" applyBorder="1" applyAlignment="1" applyProtection="1">
      <alignment horizontal="center" vertical="center"/>
    </xf>
    <xf numFmtId="170" fontId="31" fillId="4" borderId="86" xfId="0" applyNumberFormat="1" applyFont="1" applyFill="1" applyBorder="1" applyAlignment="1" applyProtection="1">
      <alignment horizontal="center" vertical="center"/>
    </xf>
    <xf numFmtId="170" fontId="31" fillId="0" borderId="0" xfId="0" applyNumberFormat="1" applyFont="1" applyBorder="1" applyAlignment="1" applyProtection="1">
      <alignment horizontal="center" vertical="center"/>
    </xf>
    <xf numFmtId="170" fontId="31" fillId="4" borderId="0" xfId="0" applyNumberFormat="1" applyFont="1" applyFill="1" applyBorder="1" applyAlignment="1" applyProtection="1">
      <alignment horizontal="center" vertical="center"/>
    </xf>
    <xf numFmtId="170" fontId="31" fillId="13" borderId="0" xfId="0" applyNumberFormat="1" applyFont="1" applyFill="1" applyBorder="1" applyAlignment="1" applyProtection="1">
      <alignment horizontal="center" vertical="center"/>
    </xf>
    <xf numFmtId="170" fontId="31" fillId="0" borderId="89" xfId="0" applyNumberFormat="1" applyFont="1" applyBorder="1" applyAlignment="1" applyProtection="1">
      <alignment horizontal="center" vertical="center"/>
    </xf>
    <xf numFmtId="170" fontId="31" fillId="4" borderId="89" xfId="0" applyNumberFormat="1" applyFont="1" applyFill="1" applyBorder="1" applyAlignment="1" applyProtection="1">
      <alignment horizontal="center" vertical="center"/>
    </xf>
    <xf numFmtId="170" fontId="31" fillId="13" borderId="89" xfId="0" applyNumberFormat="1" applyFont="1" applyFill="1" applyBorder="1" applyAlignment="1" applyProtection="1">
      <alignment horizontal="center" vertical="center"/>
    </xf>
    <xf numFmtId="170" fontId="31" fillId="4" borderId="90" xfId="0" applyNumberFormat="1" applyFont="1" applyFill="1" applyBorder="1" applyAlignment="1" applyProtection="1">
      <alignment horizontal="center" vertical="center"/>
    </xf>
    <xf numFmtId="170" fontId="31" fillId="4" borderId="91" xfId="0" applyNumberFormat="1" applyFont="1" applyFill="1" applyBorder="1" applyAlignment="1" applyProtection="1">
      <alignment horizontal="center" vertical="center"/>
    </xf>
    <xf numFmtId="170" fontId="31" fillId="4" borderId="92" xfId="0" applyNumberFormat="1" applyFont="1" applyFill="1" applyBorder="1" applyAlignment="1" applyProtection="1">
      <alignment horizontal="center" vertical="center"/>
    </xf>
    <xf numFmtId="0" fontId="31" fillId="0" borderId="0" xfId="0" applyFont="1" applyAlignment="1" applyProtection="1">
      <alignment horizontal="left" vertical="center"/>
    </xf>
    <xf numFmtId="0" fontId="31" fillId="0" borderId="0" xfId="0" applyFont="1" applyAlignment="1" applyProtection="1">
      <alignment horizontal="left"/>
    </xf>
    <xf numFmtId="0" fontId="296" fillId="0" borderId="47" xfId="0" applyFont="1" applyBorder="1" applyAlignment="1" applyProtection="1">
      <alignment vertical="center"/>
    </xf>
    <xf numFmtId="0" fontId="296" fillId="0" borderId="49" xfId="0" applyFont="1" applyBorder="1" applyAlignment="1" applyProtection="1">
      <alignment vertical="center"/>
    </xf>
    <xf numFmtId="0" fontId="158" fillId="0" borderId="0" xfId="0" applyFont="1" applyAlignment="1" applyProtection="1">
      <alignment horizontal="left" vertical="center"/>
    </xf>
    <xf numFmtId="0" fontId="158" fillId="0" borderId="0" xfId="0" applyFont="1" applyProtection="1"/>
    <xf numFmtId="0" fontId="305" fillId="16" borderId="22"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xf>
    <xf numFmtId="0" fontId="306" fillId="16" borderId="22"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0" fontId="306" fillId="0"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wrapText="1"/>
    </xf>
    <xf numFmtId="0" fontId="452" fillId="0" borderId="1" xfId="0" applyFont="1" applyBorder="1" applyAlignment="1" applyProtection="1">
      <alignment horizontal="center" vertical="center"/>
    </xf>
    <xf numFmtId="0" fontId="26" fillId="0" borderId="1" xfId="0" applyFont="1" applyBorder="1" applyAlignment="1" applyProtection="1">
      <alignment horizontal="center" vertical="center"/>
    </xf>
    <xf numFmtId="0" fontId="453" fillId="0" borderId="1" xfId="0" applyFont="1" applyBorder="1" applyAlignment="1" applyProtection="1">
      <alignment horizontal="center" vertical="center"/>
    </xf>
    <xf numFmtId="0" fontId="305" fillId="2" borderId="320" xfId="0" applyFont="1" applyFill="1" applyBorder="1" applyAlignment="1" applyProtection="1">
      <alignment vertical="center"/>
    </xf>
    <xf numFmtId="0" fontId="305" fillId="2" borderId="321" xfId="0" applyFont="1" applyFill="1" applyBorder="1" applyAlignment="1" applyProtection="1">
      <alignment vertical="center"/>
    </xf>
    <xf numFmtId="0" fontId="43" fillId="0" borderId="22" xfId="0" applyFont="1" applyFill="1" applyBorder="1" applyAlignment="1" applyProtection="1">
      <alignment horizontal="center" vertical="center" wrapText="1"/>
    </xf>
    <xf numFmtId="0" fontId="232" fillId="0" borderId="22" xfId="0" applyFont="1" applyFill="1" applyBorder="1" applyAlignment="1" applyProtection="1">
      <alignment horizontal="left" vertical="center"/>
    </xf>
    <xf numFmtId="0" fontId="232" fillId="2" borderId="320" xfId="0" applyFont="1" applyFill="1" applyBorder="1" applyAlignment="1" applyProtection="1">
      <alignment vertical="center"/>
    </xf>
    <xf numFmtId="0" fontId="232" fillId="2" borderId="321" xfId="0" applyFont="1" applyFill="1" applyBorder="1" applyAlignment="1" applyProtection="1">
      <alignment vertical="center"/>
    </xf>
    <xf numFmtId="0" fontId="232" fillId="2" borderId="22" xfId="0" applyFont="1" applyFill="1" applyBorder="1" applyAlignment="1" applyProtection="1">
      <alignment horizontal="center" vertical="center"/>
    </xf>
    <xf numFmtId="0" fontId="232" fillId="0" borderId="22" xfId="0" applyFont="1" applyFill="1" applyBorder="1" applyAlignment="1" applyProtection="1">
      <alignment horizontal="center" vertical="center" wrapText="1"/>
    </xf>
    <xf numFmtId="0" fontId="232" fillId="2" borderId="322" xfId="0" applyFont="1" applyFill="1" applyBorder="1" applyAlignment="1" applyProtection="1">
      <alignment vertical="center"/>
    </xf>
    <xf numFmtId="0" fontId="232" fillId="0" borderId="22" xfId="0" applyFont="1" applyBorder="1" applyAlignment="1" applyProtection="1">
      <alignment vertical="center"/>
    </xf>
    <xf numFmtId="0" fontId="305" fillId="0" borderId="47" xfId="7" applyFont="1" applyFill="1" applyBorder="1" applyAlignment="1">
      <alignment horizontal="left" vertical="center"/>
    </xf>
    <xf numFmtId="0" fontId="305" fillId="0" borderId="47" xfId="7" applyFont="1" applyFill="1" applyBorder="1" applyAlignment="1">
      <alignment horizontal="center" vertical="center"/>
    </xf>
    <xf numFmtId="0" fontId="305" fillId="0" borderId="22" xfId="7" applyFont="1" applyFill="1" applyBorder="1" applyAlignment="1">
      <alignment horizontal="center" vertical="center"/>
    </xf>
    <xf numFmtId="0" fontId="305" fillId="2" borderId="294" xfId="0" applyFont="1" applyFill="1" applyBorder="1" applyAlignment="1" applyProtection="1">
      <alignment vertical="center"/>
    </xf>
    <xf numFmtId="0" fontId="305" fillId="2" borderId="225" xfId="0" applyFont="1" applyFill="1" applyBorder="1" applyAlignment="1" applyProtection="1">
      <alignment vertical="center"/>
    </xf>
    <xf numFmtId="0" fontId="305" fillId="2" borderId="261" xfId="0" applyFont="1" applyFill="1" applyBorder="1" applyAlignment="1" applyProtection="1">
      <alignment vertical="center"/>
    </xf>
    <xf numFmtId="0" fontId="259" fillId="2" borderId="260" xfId="0" applyFont="1" applyFill="1" applyBorder="1" applyAlignment="1" applyProtection="1">
      <alignment vertical="center"/>
    </xf>
    <xf numFmtId="0" fontId="305" fillId="2" borderId="260" xfId="0" applyFont="1" applyFill="1" applyBorder="1" applyAlignment="1" applyProtection="1">
      <alignment vertical="center"/>
    </xf>
    <xf numFmtId="0" fontId="232" fillId="0" borderId="22" xfId="3" applyFont="1" applyFill="1" applyBorder="1" applyAlignment="1" applyProtection="1">
      <alignment horizontal="center" vertical="center" wrapText="1"/>
    </xf>
    <xf numFmtId="0" fontId="232" fillId="2" borderId="22" xfId="0" applyFont="1" applyFill="1" applyBorder="1" applyAlignment="1" applyProtection="1">
      <alignment horizontal="left" vertical="center"/>
    </xf>
    <xf numFmtId="0" fontId="305" fillId="0" borderId="0" xfId="0" applyFont="1" applyAlignment="1" applyProtection="1">
      <alignment vertical="center"/>
    </xf>
    <xf numFmtId="0" fontId="232" fillId="16" borderId="22" xfId="3" applyFont="1" applyFill="1" applyBorder="1" applyAlignment="1" applyProtection="1">
      <alignment horizontal="center" vertical="center" wrapText="1"/>
    </xf>
    <xf numFmtId="170" fontId="440" fillId="0" borderId="102" xfId="0" applyNumberFormat="1" applyFont="1" applyBorder="1" applyAlignment="1" applyProtection="1">
      <alignment horizontal="center" vertical="center"/>
      <protection locked="0"/>
    </xf>
    <xf numFmtId="0" fontId="305" fillId="2"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wrapText="1"/>
    </xf>
    <xf numFmtId="0" fontId="316" fillId="2" borderId="22" xfId="0" applyFont="1" applyFill="1" applyBorder="1" applyAlignment="1" applyProtection="1">
      <alignment horizontal="center" vertical="center"/>
    </xf>
    <xf numFmtId="0" fontId="259" fillId="2" borderId="22" xfId="0" applyFont="1" applyFill="1" applyBorder="1" applyAlignment="1" applyProtection="1">
      <alignment horizontal="center" vertical="center"/>
    </xf>
    <xf numFmtId="0" fontId="259" fillId="0" borderId="47" xfId="7" applyFont="1" applyFill="1" applyBorder="1" applyAlignment="1">
      <alignment horizontal="left" vertical="center"/>
    </xf>
    <xf numFmtId="0" fontId="259" fillId="2" borderId="48" xfId="0" applyFont="1" applyFill="1" applyBorder="1" applyAlignment="1" applyProtection="1">
      <alignment vertical="center"/>
    </xf>
    <xf numFmtId="0" fontId="259" fillId="2" borderId="294" xfId="0" applyFont="1" applyFill="1" applyBorder="1" applyAlignment="1" applyProtection="1">
      <alignment vertical="center"/>
    </xf>
    <xf numFmtId="0" fontId="259" fillId="2" borderId="225" xfId="0" applyFont="1" applyFill="1" applyBorder="1" applyAlignment="1" applyProtection="1">
      <alignment vertical="center"/>
    </xf>
    <xf numFmtId="0" fontId="259" fillId="2" borderId="261" xfId="0" applyFont="1" applyFill="1" applyBorder="1" applyAlignment="1" applyProtection="1">
      <alignment vertical="center"/>
    </xf>
    <xf numFmtId="0" fontId="259" fillId="0" borderId="47" xfId="7" applyFont="1" applyFill="1" applyBorder="1" applyAlignment="1">
      <alignment horizontal="center" vertical="center"/>
    </xf>
    <xf numFmtId="0" fontId="259" fillId="0" borderId="22" xfId="7" applyFont="1" applyFill="1" applyBorder="1" applyAlignment="1">
      <alignment horizontal="center" vertical="center"/>
    </xf>
    <xf numFmtId="0" fontId="454" fillId="2" borderId="22" xfId="0" applyFont="1" applyFill="1" applyBorder="1" applyAlignment="1" applyProtection="1">
      <alignment horizontal="left" vertical="center"/>
    </xf>
    <xf numFmtId="0" fontId="454" fillId="2" borderId="22" xfId="0" applyFont="1" applyFill="1" applyBorder="1" applyAlignment="1" applyProtection="1">
      <alignment horizontal="center" vertical="center"/>
    </xf>
    <xf numFmtId="0" fontId="347" fillId="2" borderId="48" xfId="0" applyFont="1" applyFill="1" applyBorder="1" applyAlignment="1" applyProtection="1">
      <alignment vertical="center"/>
    </xf>
    <xf numFmtId="0" fontId="347" fillId="2" borderId="294" xfId="0" applyFont="1" applyFill="1" applyBorder="1" applyAlignment="1" applyProtection="1">
      <alignment vertical="center"/>
    </xf>
    <xf numFmtId="0" fontId="347" fillId="2" borderId="225" xfId="0" applyFont="1" applyFill="1" applyBorder="1" applyAlignment="1" applyProtection="1">
      <alignment vertical="center"/>
    </xf>
    <xf numFmtId="0" fontId="347" fillId="2" borderId="261" xfId="0" applyFont="1" applyFill="1" applyBorder="1" applyAlignment="1" applyProtection="1">
      <alignment vertical="center"/>
    </xf>
    <xf numFmtId="0" fontId="232" fillId="0" borderId="47" xfId="0" applyFont="1" applyFill="1" applyBorder="1" applyAlignment="1" applyProtection="1">
      <alignment horizontal="left" vertical="center"/>
    </xf>
    <xf numFmtId="0" fontId="232" fillId="0" borderId="47" xfId="3" applyFont="1" applyFill="1" applyBorder="1" applyAlignment="1" applyProtection="1">
      <alignment vertical="center"/>
    </xf>
    <xf numFmtId="0" fontId="317" fillId="0" borderId="47" xfId="0" applyFont="1" applyBorder="1" applyAlignment="1">
      <alignment horizontal="center" vertical="center"/>
    </xf>
    <xf numFmtId="0" fontId="145" fillId="18" borderId="22" xfId="0" applyFont="1" applyFill="1" applyBorder="1" applyAlignment="1">
      <alignment horizontal="center" vertical="center"/>
    </xf>
    <xf numFmtId="1" fontId="130" fillId="0" borderId="22" xfId="1" applyNumberFormat="1" applyFont="1" applyFill="1" applyBorder="1" applyAlignment="1" applyProtection="1">
      <alignment horizontal="left" vertical="center" wrapText="1"/>
    </xf>
    <xf numFmtId="0" fontId="130" fillId="0" borderId="0" xfId="0" applyFont="1" applyFill="1" applyBorder="1" applyAlignment="1">
      <alignment horizontal="left" vertical="center"/>
    </xf>
    <xf numFmtId="14" fontId="204" fillId="0" borderId="0" xfId="0" applyNumberFormat="1" applyFont="1" applyProtection="1"/>
    <xf numFmtId="0" fontId="455" fillId="16" borderId="0" xfId="0" applyFont="1" applyFill="1" applyAlignment="1" applyProtection="1">
      <alignment horizontal="center" vertical="center"/>
      <protection locked="0"/>
    </xf>
    <xf numFmtId="0" fontId="47" fillId="0" borderId="3" xfId="0" applyFont="1" applyBorder="1" applyProtection="1"/>
    <xf numFmtId="0" fontId="256" fillId="0" borderId="0" xfId="0" applyFont="1" applyBorder="1" applyAlignment="1" applyProtection="1">
      <alignment horizontal="left" vertical="center"/>
      <protection locked="0"/>
    </xf>
    <xf numFmtId="170" fontId="14" fillId="0" borderId="0" xfId="0" applyNumberFormat="1" applyFont="1" applyAlignment="1" applyProtection="1">
      <alignment horizontal="center" vertical="center"/>
    </xf>
    <xf numFmtId="170" fontId="22" fillId="0" borderId="0" xfId="0" applyNumberFormat="1" applyFont="1" applyBorder="1" applyAlignment="1" applyProtection="1">
      <alignment horizontal="center" vertical="center"/>
    </xf>
    <xf numFmtId="170" fontId="22" fillId="0" borderId="0" xfId="0" applyNumberFormat="1" applyFont="1" applyFill="1" applyBorder="1" applyAlignment="1" applyProtection="1">
      <alignment horizontal="center" vertical="center" wrapText="1"/>
    </xf>
    <xf numFmtId="170" fontId="43" fillId="0" borderId="0" xfId="0" applyNumberFormat="1" applyFont="1" applyAlignment="1" applyProtection="1">
      <alignment horizontal="center" vertical="center"/>
    </xf>
    <xf numFmtId="170" fontId="26" fillId="0" borderId="0" xfId="0" applyNumberFormat="1" applyFont="1" applyAlignment="1" applyProtection="1">
      <alignment horizontal="center" vertical="center"/>
    </xf>
    <xf numFmtId="0" fontId="26" fillId="0" borderId="0" xfId="0" applyFont="1" applyAlignment="1" applyProtection="1">
      <alignment horizontal="center" vertical="center"/>
    </xf>
    <xf numFmtId="170" fontId="14" fillId="0" borderId="0" xfId="0" applyNumberFormat="1" applyFont="1" applyFill="1" applyAlignment="1" applyProtection="1">
      <alignment horizontal="center" vertical="center"/>
    </xf>
    <xf numFmtId="0" fontId="14" fillId="0" borderId="0" xfId="0" applyFont="1" applyFill="1" applyAlignment="1" applyProtection="1">
      <alignment horizontal="center" vertical="center"/>
    </xf>
    <xf numFmtId="170" fontId="43" fillId="0" borderId="0" xfId="0" applyNumberFormat="1" applyFont="1" applyFill="1" applyAlignment="1" applyProtection="1">
      <alignment horizontal="center" vertical="center"/>
    </xf>
    <xf numFmtId="170" fontId="43" fillId="0" borderId="0" xfId="0" applyNumberFormat="1" applyFont="1" applyBorder="1" applyAlignment="1" applyProtection="1">
      <alignment horizontal="center" vertical="center"/>
    </xf>
    <xf numFmtId="170" fontId="22" fillId="0" borderId="22" xfId="0" applyNumberFormat="1" applyFont="1" applyFill="1" applyBorder="1" applyAlignment="1" applyProtection="1">
      <alignment horizontal="center" vertical="center"/>
    </xf>
    <xf numFmtId="170" fontId="22" fillId="0" borderId="22" xfId="0" applyNumberFormat="1" applyFont="1" applyFill="1" applyBorder="1" applyAlignment="1" applyProtection="1">
      <alignment horizontal="center" vertical="center" wrapText="1"/>
    </xf>
    <xf numFmtId="0" fontId="22" fillId="0" borderId="22" xfId="0" applyFont="1" applyFill="1" applyBorder="1" applyAlignment="1" applyProtection="1">
      <alignment horizontal="center" vertical="center" wrapText="1"/>
    </xf>
    <xf numFmtId="170" fontId="440" fillId="0" borderId="102" xfId="0" applyNumberFormat="1" applyFont="1" applyBorder="1" applyAlignment="1" applyProtection="1">
      <alignment horizontal="center" vertical="center"/>
    </xf>
    <xf numFmtId="0" fontId="440" fillId="0" borderId="0" xfId="0" applyFont="1" applyAlignment="1" applyProtection="1">
      <alignment horizontal="center" vertical="center"/>
    </xf>
    <xf numFmtId="170" fontId="440" fillId="0" borderId="47" xfId="0" applyNumberFormat="1" applyFont="1" applyBorder="1" applyAlignment="1" applyProtection="1">
      <alignment horizontal="center" vertical="center"/>
    </xf>
    <xf numFmtId="170" fontId="440" fillId="0" borderId="22" xfId="0" applyNumberFormat="1" applyFont="1" applyBorder="1" applyAlignment="1" applyProtection="1">
      <alignment horizontal="center" vertical="center"/>
    </xf>
    <xf numFmtId="1" fontId="440" fillId="0" borderId="0" xfId="0" applyNumberFormat="1" applyFont="1" applyAlignment="1" applyProtection="1">
      <alignment horizontal="center" vertical="center"/>
    </xf>
    <xf numFmtId="170" fontId="22" fillId="0" borderId="49" xfId="0" applyNumberFormat="1" applyFont="1" applyFill="1" applyBorder="1" applyAlignment="1" applyProtection="1">
      <alignment horizontal="center" vertical="center" wrapText="1"/>
    </xf>
    <xf numFmtId="170" fontId="43" fillId="0" borderId="172" xfId="0" applyNumberFormat="1" applyFont="1" applyBorder="1" applyAlignment="1" applyProtection="1">
      <alignment horizontal="center" vertical="center"/>
    </xf>
    <xf numFmtId="170" fontId="440" fillId="0" borderId="48" xfId="0" applyNumberFormat="1" applyFont="1" applyBorder="1" applyAlignment="1" applyProtection="1">
      <alignment horizontal="center" vertical="center"/>
    </xf>
    <xf numFmtId="170" fontId="43" fillId="0" borderId="47" xfId="0" applyNumberFormat="1" applyFont="1" applyBorder="1" applyAlignment="1" applyProtection="1">
      <alignment horizontal="center" vertical="center"/>
    </xf>
    <xf numFmtId="170" fontId="43" fillId="0" borderId="48" xfId="0" applyNumberFormat="1" applyFont="1" applyBorder="1" applyAlignment="1" applyProtection="1">
      <alignment horizontal="center" vertical="center"/>
    </xf>
    <xf numFmtId="170" fontId="43" fillId="0" borderId="22" xfId="0" applyNumberFormat="1" applyFont="1" applyBorder="1" applyAlignment="1" applyProtection="1">
      <alignment horizontal="center" vertical="center"/>
    </xf>
    <xf numFmtId="0" fontId="458" fillId="16" borderId="0" xfId="0" applyFont="1" applyFill="1" applyAlignment="1" applyProtection="1">
      <alignment horizontal="left" vertical="top"/>
    </xf>
    <xf numFmtId="0" fontId="456" fillId="16" borderId="0" xfId="0" applyFont="1" applyFill="1" applyAlignment="1" applyProtection="1">
      <alignment vertical="top"/>
    </xf>
    <xf numFmtId="0" fontId="458" fillId="0" borderId="0" xfId="0" applyFont="1" applyAlignment="1" applyProtection="1">
      <alignment vertical="top"/>
    </xf>
    <xf numFmtId="0" fontId="456" fillId="16" borderId="0" xfId="0" applyFont="1" applyFill="1" applyBorder="1" applyAlignment="1" applyProtection="1">
      <alignment horizontal="right" vertical="top"/>
    </xf>
    <xf numFmtId="0" fontId="429" fillId="16" borderId="22" xfId="0" applyFont="1" applyFill="1" applyBorder="1" applyAlignment="1" applyProtection="1">
      <alignment horizontal="right" vertical="center"/>
    </xf>
    <xf numFmtId="0" fontId="431" fillId="16" borderId="22" xfId="0" applyFont="1" applyFill="1" applyBorder="1" applyAlignment="1" applyProtection="1">
      <alignment horizontal="right" vertical="center"/>
    </xf>
    <xf numFmtId="0" fontId="430" fillId="16" borderId="22" xfId="0" applyFont="1" applyFill="1" applyBorder="1" applyAlignment="1" applyProtection="1">
      <alignment horizontal="right" vertical="center"/>
    </xf>
    <xf numFmtId="0" fontId="428" fillId="16" borderId="22" xfId="0" applyFont="1" applyFill="1" applyBorder="1" applyAlignment="1" applyProtection="1">
      <alignment horizontal="right" vertical="center"/>
    </xf>
    <xf numFmtId="0" fontId="432" fillId="16" borderId="22" xfId="0" applyFont="1" applyFill="1" applyBorder="1" applyAlignment="1" applyProtection="1">
      <alignment horizontal="right" vertical="center"/>
    </xf>
    <xf numFmtId="0" fontId="19" fillId="0" borderId="0" xfId="0" applyFont="1" applyFill="1" applyBorder="1" applyAlignment="1" applyProtection="1">
      <alignment horizontal="center" vertical="center"/>
    </xf>
    <xf numFmtId="0" fontId="19" fillId="0" borderId="0" xfId="0" applyFont="1" applyAlignment="1" applyProtection="1">
      <alignment horizontal="center" vertical="center"/>
      <protection locked="0"/>
    </xf>
    <xf numFmtId="0" fontId="19" fillId="0" borderId="0" xfId="0" applyFont="1" applyAlignment="1" applyProtection="1">
      <alignment horizontal="left" vertical="center"/>
      <protection locked="0"/>
    </xf>
    <xf numFmtId="0" fontId="19" fillId="0" borderId="0" xfId="0" applyFont="1" applyFill="1" applyBorder="1" applyAlignment="1" applyProtection="1">
      <alignment horizontal="center" vertical="center"/>
      <protection locked="0"/>
    </xf>
    <xf numFmtId="0" fontId="302" fillId="2" borderId="0" xfId="0" applyFont="1" applyFill="1" applyBorder="1" applyAlignment="1" applyProtection="1">
      <alignment horizontal="center" vertical="center"/>
      <protection locked="0"/>
    </xf>
    <xf numFmtId="0" fontId="296" fillId="0" borderId="67" xfId="0" applyNumberFormat="1" applyFont="1" applyBorder="1" applyAlignment="1" applyProtection="1">
      <alignment vertical="center"/>
    </xf>
    <xf numFmtId="0" fontId="0" fillId="0" borderId="243" xfId="0" applyBorder="1" applyAlignment="1" applyProtection="1">
      <alignment vertical="center" shrinkToFit="1"/>
    </xf>
    <xf numFmtId="0" fontId="0" fillId="0" borderId="239" xfId="0" applyBorder="1" applyAlignment="1" applyProtection="1">
      <alignment vertical="center" shrinkToFit="1"/>
    </xf>
    <xf numFmtId="0" fontId="17" fillId="0" borderId="239" xfId="0" applyFont="1" applyBorder="1" applyAlignment="1" applyProtection="1">
      <alignment horizontal="center" vertical="center" shrinkToFit="1"/>
    </xf>
    <xf numFmtId="0" fontId="133" fillId="0" borderId="290" xfId="0" applyFont="1" applyBorder="1" applyAlignment="1" applyProtection="1">
      <alignment horizontal="center" vertical="center" shrinkToFit="1"/>
      <protection locked="0"/>
    </xf>
    <xf numFmtId="0" fontId="174" fillId="18" borderId="0" xfId="0" applyFont="1" applyFill="1" applyAlignment="1" applyProtection="1">
      <alignment vertical="center"/>
    </xf>
    <xf numFmtId="0" fontId="460" fillId="54" borderId="0" xfId="0" applyFont="1" applyFill="1" applyAlignment="1" applyProtection="1">
      <alignment horizontal="center" vertical="center"/>
      <protection locked="0"/>
    </xf>
    <xf numFmtId="0" fontId="0" fillId="54" borderId="0" xfId="0" applyFill="1" applyProtection="1"/>
    <xf numFmtId="0" fontId="0" fillId="54" borderId="0" xfId="0" applyFill="1" applyAlignment="1" applyProtection="1">
      <alignment horizontal="center" vertical="center"/>
    </xf>
    <xf numFmtId="0" fontId="173" fillId="54" borderId="0" xfId="0" applyFont="1" applyFill="1" applyAlignment="1" applyProtection="1">
      <alignment horizontal="center"/>
    </xf>
    <xf numFmtId="1" fontId="158" fillId="16" borderId="0" xfId="0" applyNumberFormat="1" applyFont="1" applyFill="1" applyAlignment="1" applyProtection="1">
      <alignment horizontal="center" vertical="center"/>
    </xf>
    <xf numFmtId="0" fontId="19" fillId="54" borderId="0" xfId="0" applyFont="1" applyFill="1" applyAlignment="1" applyProtection="1">
      <alignment horizontal="right"/>
    </xf>
    <xf numFmtId="170" fontId="0" fillId="54" borderId="0" xfId="0" applyNumberFormat="1" applyFill="1" applyAlignment="1" applyProtection="1">
      <alignment horizontal="center" vertical="center"/>
    </xf>
    <xf numFmtId="0" fontId="459" fillId="0" borderId="0" xfId="0" applyFont="1" applyProtection="1"/>
    <xf numFmtId="0" fontId="0" fillId="0" borderId="0" xfId="0" applyAlignment="1" applyProtection="1">
      <alignment horizontal="center"/>
    </xf>
    <xf numFmtId="0" fontId="19" fillId="0" borderId="0" xfId="0" applyFont="1" applyAlignment="1" applyProtection="1">
      <alignment horizontal="center"/>
    </xf>
    <xf numFmtId="1" fontId="19" fillId="0" borderId="0" xfId="0" applyNumberFormat="1" applyFont="1" applyProtection="1"/>
    <xf numFmtId="0" fontId="225" fillId="16" borderId="0" xfId="0" applyFont="1" applyFill="1" applyAlignment="1" applyProtection="1">
      <alignment horizontal="right"/>
    </xf>
    <xf numFmtId="170" fontId="225" fillId="16" borderId="0" xfId="0" applyNumberFormat="1" applyFont="1" applyFill="1" applyAlignment="1" applyProtection="1">
      <alignment horizontal="center" vertical="center"/>
    </xf>
    <xf numFmtId="0" fontId="133" fillId="0" borderId="0" xfId="0" applyFont="1" applyProtection="1"/>
    <xf numFmtId="0" fontId="130" fillId="16" borderId="0" xfId="0" applyFont="1" applyFill="1" applyAlignment="1" applyProtection="1">
      <alignment horizontal="right"/>
    </xf>
    <xf numFmtId="0" fontId="9" fillId="16" borderId="0" xfId="0" applyFont="1" applyFill="1" applyAlignment="1" applyProtection="1">
      <alignment horizontal="center" vertical="center"/>
    </xf>
    <xf numFmtId="0" fontId="9" fillId="16" borderId="0" xfId="0" applyFont="1" applyFill="1" applyAlignment="1" applyProtection="1">
      <alignment horizontal="center"/>
    </xf>
    <xf numFmtId="0" fontId="158" fillId="13" borderId="0" xfId="0" applyFont="1" applyFill="1" applyAlignment="1" applyProtection="1">
      <alignment horizontal="right"/>
    </xf>
    <xf numFmtId="170" fontId="158" fillId="13" borderId="0" xfId="0" applyNumberFormat="1" applyFont="1" applyFill="1" applyAlignment="1" applyProtection="1">
      <alignment horizontal="center" vertical="center"/>
    </xf>
    <xf numFmtId="0" fontId="158" fillId="20" borderId="0" xfId="0" applyFont="1" applyFill="1" applyAlignment="1" applyProtection="1">
      <alignment horizontal="right"/>
    </xf>
    <xf numFmtId="170" fontId="158" fillId="20" borderId="0" xfId="0" applyNumberFormat="1" applyFont="1" applyFill="1" applyAlignment="1" applyProtection="1">
      <alignment horizontal="center" vertical="center"/>
    </xf>
    <xf numFmtId="170" fontId="130" fillId="17" borderId="0" xfId="0" applyNumberFormat="1" applyFont="1" applyFill="1" applyAlignment="1" applyProtection="1">
      <alignment horizontal="center" vertical="center"/>
    </xf>
    <xf numFmtId="170" fontId="225" fillId="20" borderId="0" xfId="0" applyNumberFormat="1" applyFont="1" applyFill="1" applyAlignment="1" applyProtection="1">
      <alignment horizontal="center" vertical="center"/>
    </xf>
    <xf numFmtId="0" fontId="130" fillId="27" borderId="0" xfId="0" applyFont="1" applyFill="1" applyAlignment="1" applyProtection="1">
      <alignment horizontal="right"/>
    </xf>
    <xf numFmtId="170" fontId="130" fillId="27" borderId="0" xfId="0" applyNumberFormat="1" applyFont="1" applyFill="1" applyAlignment="1" applyProtection="1">
      <alignment horizontal="center" vertical="center"/>
    </xf>
    <xf numFmtId="0" fontId="130" fillId="57" borderId="0" xfId="0" applyFont="1" applyFill="1" applyAlignment="1" applyProtection="1">
      <alignment horizontal="right"/>
    </xf>
    <xf numFmtId="0" fontId="130" fillId="56" borderId="0" xfId="0" applyFont="1" applyFill="1" applyAlignment="1" applyProtection="1">
      <alignment horizontal="right"/>
    </xf>
    <xf numFmtId="170" fontId="130" fillId="56" borderId="0" xfId="0" applyNumberFormat="1" applyFont="1" applyFill="1" applyAlignment="1" applyProtection="1">
      <alignment horizontal="center" vertical="center"/>
    </xf>
    <xf numFmtId="0" fontId="130" fillId="13" borderId="0" xfId="0" applyFont="1" applyFill="1" applyAlignment="1" applyProtection="1">
      <alignment horizontal="right"/>
    </xf>
    <xf numFmtId="170" fontId="130" fillId="13" borderId="0" xfId="0" applyNumberFormat="1" applyFont="1" applyFill="1" applyAlignment="1" applyProtection="1">
      <alignment horizontal="center" vertical="center"/>
    </xf>
    <xf numFmtId="170" fontId="130" fillId="57" borderId="0" xfId="0" applyNumberFormat="1" applyFont="1" applyFill="1" applyAlignment="1" applyProtection="1">
      <alignment horizontal="center" vertical="center"/>
    </xf>
    <xf numFmtId="0" fontId="19" fillId="53" borderId="0" xfId="0" applyFont="1" applyFill="1" applyAlignment="1" applyProtection="1">
      <alignment horizontal="right"/>
    </xf>
    <xf numFmtId="170" fontId="19" fillId="53" borderId="0" xfId="0" applyNumberFormat="1" applyFont="1" applyFill="1" applyAlignment="1" applyProtection="1">
      <alignment horizontal="center" vertical="center"/>
    </xf>
    <xf numFmtId="0" fontId="225" fillId="60" borderId="0" xfId="0" applyFont="1" applyFill="1" applyAlignment="1" applyProtection="1">
      <alignment horizontal="right"/>
    </xf>
    <xf numFmtId="170" fontId="225" fillId="60" borderId="0" xfId="0" applyNumberFormat="1" applyFont="1" applyFill="1" applyAlignment="1" applyProtection="1">
      <alignment horizontal="center" vertical="center"/>
    </xf>
    <xf numFmtId="0" fontId="447" fillId="27" borderId="0" xfId="0" applyFont="1" applyFill="1" applyAlignment="1" applyProtection="1">
      <alignment horizontal="right"/>
    </xf>
    <xf numFmtId="170" fontId="19" fillId="27" borderId="0" xfId="0" applyNumberFormat="1" applyFont="1" applyFill="1" applyAlignment="1" applyProtection="1">
      <alignment horizontal="center" vertical="center"/>
    </xf>
    <xf numFmtId="0" fontId="225" fillId="20" borderId="0" xfId="0" applyFont="1" applyFill="1" applyAlignment="1" applyProtection="1">
      <alignment horizontal="right"/>
    </xf>
    <xf numFmtId="0" fontId="158" fillId="58" borderId="0" xfId="0" applyFont="1" applyFill="1" applyAlignment="1" applyProtection="1">
      <alignment horizontal="right"/>
    </xf>
    <xf numFmtId="1" fontId="158" fillId="58" borderId="0" xfId="0" applyNumberFormat="1" applyFont="1" applyFill="1" applyAlignment="1" applyProtection="1">
      <alignment horizontal="right"/>
    </xf>
    <xf numFmtId="170" fontId="158" fillId="58" borderId="0" xfId="0" applyNumberFormat="1" applyFont="1" applyFill="1" applyAlignment="1" applyProtection="1">
      <alignment horizontal="center" vertical="center"/>
    </xf>
    <xf numFmtId="0" fontId="19" fillId="13" borderId="0" xfId="0" applyFont="1" applyFill="1" applyAlignment="1" applyProtection="1">
      <alignment horizontal="right"/>
    </xf>
    <xf numFmtId="170" fontId="19" fillId="13" borderId="0" xfId="0" applyNumberFormat="1" applyFont="1" applyFill="1" applyAlignment="1" applyProtection="1">
      <alignment horizontal="center" vertical="center"/>
    </xf>
    <xf numFmtId="0" fontId="130" fillId="17" borderId="0" xfId="0" applyFont="1" applyFill="1" applyAlignment="1" applyProtection="1">
      <alignment horizontal="right"/>
    </xf>
    <xf numFmtId="0" fontId="297" fillId="59" borderId="0" xfId="0" applyFont="1" applyFill="1" applyAlignment="1" applyProtection="1">
      <alignment horizontal="right"/>
    </xf>
    <xf numFmtId="170" fontId="297" fillId="59" borderId="0" xfId="0" applyNumberFormat="1" applyFont="1" applyFill="1" applyAlignment="1" applyProtection="1">
      <alignment horizontal="center" vertical="center"/>
    </xf>
    <xf numFmtId="167" fontId="31" fillId="0" borderId="22" xfId="0" applyNumberFormat="1" applyFont="1" applyBorder="1" applyAlignment="1">
      <alignment horizontal="center" vertical="center"/>
    </xf>
    <xf numFmtId="167" fontId="146" fillId="0" borderId="22" xfId="0" applyNumberFormat="1" applyFont="1" applyBorder="1" applyAlignment="1">
      <alignment horizontal="center" vertical="center"/>
    </xf>
    <xf numFmtId="0" fontId="19" fillId="16" borderId="0" xfId="0" applyFont="1" applyFill="1"/>
    <xf numFmtId="0" fontId="19" fillId="16" borderId="0" xfId="0" applyFont="1" applyFill="1" applyAlignment="1">
      <alignment horizontal="center"/>
    </xf>
    <xf numFmtId="0" fontId="19" fillId="16" borderId="0" xfId="0" applyFont="1" applyFill="1" applyAlignment="1">
      <alignment horizontal="center" vertical="center"/>
    </xf>
    <xf numFmtId="0" fontId="162" fillId="0" borderId="67" xfId="0" applyNumberFormat="1" applyFont="1" applyBorder="1" applyAlignment="1" applyProtection="1">
      <alignment vertical="center"/>
    </xf>
    <xf numFmtId="0" fontId="162" fillId="0" borderId="0" xfId="0" applyNumberFormat="1" applyFont="1" applyAlignment="1" applyProtection="1">
      <alignment vertical="center"/>
    </xf>
    <xf numFmtId="0" fontId="162" fillId="0" borderId="0" xfId="0" applyFont="1" applyAlignment="1" applyProtection="1">
      <alignment vertical="center"/>
    </xf>
    <xf numFmtId="0" fontId="162" fillId="0" borderId="135" xfId="0" applyNumberFormat="1" applyFont="1" applyBorder="1" applyAlignment="1" applyProtection="1">
      <alignment horizontal="left" vertical="center"/>
    </xf>
    <xf numFmtId="0" fontId="162" fillId="0" borderId="67" xfId="0" applyNumberFormat="1" applyFont="1" applyBorder="1" applyAlignment="1" applyProtection="1">
      <alignment horizontal="center" vertical="center"/>
    </xf>
    <xf numFmtId="0" fontId="162" fillId="0" borderId="67" xfId="0" applyNumberFormat="1" applyFont="1" applyBorder="1" applyAlignment="1" applyProtection="1">
      <alignment horizontal="right" vertical="center"/>
    </xf>
    <xf numFmtId="49" fontId="162" fillId="0" borderId="67" xfId="0" applyNumberFormat="1" applyFont="1" applyBorder="1" applyAlignment="1" applyProtection="1">
      <alignment vertical="center"/>
    </xf>
    <xf numFmtId="0" fontId="162" fillId="0" borderId="136" xfId="0" applyNumberFormat="1" applyFont="1" applyBorder="1" applyAlignment="1" applyProtection="1">
      <alignment vertical="center"/>
    </xf>
    <xf numFmtId="0" fontId="296" fillId="0" borderId="135" xfId="0" applyNumberFormat="1" applyFont="1" applyBorder="1" applyAlignment="1" applyProtection="1">
      <alignment horizontal="center" vertical="center"/>
    </xf>
    <xf numFmtId="0" fontId="244" fillId="32" borderId="162" xfId="0" applyFont="1" applyFill="1" applyBorder="1" applyAlignment="1" applyProtection="1">
      <alignment vertical="center" wrapText="1"/>
    </xf>
    <xf numFmtId="0" fontId="244" fillId="32" borderId="164" xfId="0" applyFont="1" applyFill="1" applyBorder="1" applyAlignment="1" applyProtection="1">
      <alignment vertical="center" wrapText="1"/>
    </xf>
    <xf numFmtId="0" fontId="305" fillId="2"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wrapText="1"/>
    </xf>
    <xf numFmtId="0" fontId="184" fillId="54" borderId="0" xfId="0" applyFont="1" applyFill="1" applyAlignment="1" applyProtection="1">
      <alignment horizontal="left" vertical="top" textRotation="122"/>
    </xf>
    <xf numFmtId="0" fontId="43" fillId="2" borderId="22" xfId="0" applyFont="1" applyFill="1" applyBorder="1" applyAlignment="1" applyProtection="1">
      <alignment horizontal="center" vertical="center"/>
    </xf>
    <xf numFmtId="0" fontId="43" fillId="0" borderId="47" xfId="7" applyFont="1" applyFill="1" applyBorder="1" applyAlignment="1">
      <alignment horizontal="left" vertical="center"/>
    </xf>
    <xf numFmtId="0" fontId="43" fillId="2" borderId="294" xfId="0" applyFont="1" applyFill="1" applyBorder="1" applyAlignment="1" applyProtection="1">
      <alignment vertical="center"/>
    </xf>
    <xf numFmtId="0" fontId="43" fillId="2" borderId="225" xfId="0" applyFont="1" applyFill="1" applyBorder="1" applyAlignment="1" applyProtection="1">
      <alignment vertical="center"/>
    </xf>
    <xf numFmtId="0" fontId="43" fillId="2" borderId="261" xfId="0" applyFont="1" applyFill="1" applyBorder="1" applyAlignment="1" applyProtection="1">
      <alignment vertical="center"/>
    </xf>
    <xf numFmtId="0" fontId="43" fillId="0" borderId="47" xfId="7" applyFont="1" applyFill="1" applyBorder="1" applyAlignment="1">
      <alignment horizontal="center" vertical="center"/>
    </xf>
    <xf numFmtId="11" fontId="43" fillId="0" borderId="22" xfId="7" applyNumberFormat="1" applyFont="1" applyFill="1" applyBorder="1" applyAlignment="1">
      <alignment horizontal="center" vertical="center"/>
    </xf>
    <xf numFmtId="0" fontId="349" fillId="16" borderId="22" xfId="0" applyFont="1" applyFill="1" applyBorder="1" applyAlignment="1" applyProtection="1">
      <alignment horizontal="center" vertical="center" wrapText="1"/>
    </xf>
    <xf numFmtId="0" fontId="306" fillId="16" borderId="22"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170" fontId="158" fillId="16" borderId="0" xfId="0" applyNumberFormat="1" applyFont="1" applyFill="1" applyAlignment="1" applyProtection="1">
      <alignment horizontal="center" vertical="center"/>
    </xf>
    <xf numFmtId="0" fontId="232" fillId="0" borderId="336" xfId="0" applyFont="1" applyFill="1" applyBorder="1" applyAlignment="1" applyProtection="1">
      <alignment horizontal="center" vertical="center"/>
    </xf>
    <xf numFmtId="0" fontId="232" fillId="0" borderId="146" xfId="0" applyFont="1" applyFill="1" applyBorder="1" applyAlignment="1" applyProtection="1">
      <alignment horizontal="center" vertical="center"/>
    </xf>
    <xf numFmtId="0" fontId="232" fillId="0" borderId="337" xfId="0" applyFont="1" applyFill="1" applyBorder="1" applyAlignment="1" applyProtection="1">
      <alignment horizontal="center" vertical="center"/>
    </xf>
    <xf numFmtId="0" fontId="232" fillId="0" borderId="92" xfId="0" applyFont="1" applyFill="1" applyBorder="1" applyAlignment="1" applyProtection="1">
      <alignment horizontal="center" vertical="center"/>
    </xf>
    <xf numFmtId="0" fontId="232" fillId="0" borderId="338" xfId="0" applyFont="1" applyFill="1" applyBorder="1" applyAlignment="1" applyProtection="1">
      <alignment horizontal="center" vertical="center"/>
    </xf>
    <xf numFmtId="0" fontId="18" fillId="0" borderId="22"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0" fontId="43" fillId="2" borderId="47" xfId="0" applyFont="1" applyFill="1" applyBorder="1" applyAlignment="1" applyProtection="1">
      <alignment horizontal="center" vertical="center"/>
    </xf>
    <xf numFmtId="0" fontId="246" fillId="0" borderId="437" xfId="0" applyFont="1" applyBorder="1" applyAlignment="1" applyProtection="1">
      <alignment horizontal="center" vertical="center"/>
    </xf>
    <xf numFmtId="0" fontId="174" fillId="0" borderId="65" xfId="0" applyFont="1" applyBorder="1" applyAlignment="1" applyProtection="1">
      <alignment horizontal="center" vertical="center"/>
    </xf>
    <xf numFmtId="0" fontId="14" fillId="0" borderId="567" xfId="0" applyFont="1" applyBorder="1" applyAlignment="1" applyProtection="1">
      <alignment horizontal="center" vertical="center"/>
    </xf>
    <xf numFmtId="0" fontId="14" fillId="0" borderId="438" xfId="0" applyFont="1" applyBorder="1" applyAlignment="1" applyProtection="1">
      <alignment horizontal="center" vertical="center"/>
    </xf>
    <xf numFmtId="0" fontId="246" fillId="0" borderId="63" xfId="0" applyFont="1" applyBorder="1" applyAlignment="1" applyProtection="1">
      <alignment horizontal="center" vertical="center"/>
    </xf>
    <xf numFmtId="0" fontId="174" fillId="0" borderId="64" xfId="0" applyFont="1" applyBorder="1" applyAlignment="1" applyProtection="1">
      <alignment horizontal="center" vertical="center"/>
    </xf>
    <xf numFmtId="0" fontId="247" fillId="0" borderId="65" xfId="0" applyFont="1" applyBorder="1" applyAlignment="1" applyProtection="1">
      <alignment horizontal="center" vertical="center"/>
    </xf>
    <xf numFmtId="0" fontId="248" fillId="0" borderId="437" xfId="0" applyFont="1" applyBorder="1" applyAlignment="1" applyProtection="1">
      <alignment horizontal="center" vertical="center"/>
    </xf>
    <xf numFmtId="0" fontId="14" fillId="0" borderId="64" xfId="0" applyFont="1" applyBorder="1" applyAlignment="1" applyProtection="1">
      <alignment horizontal="center" vertical="center"/>
    </xf>
    <xf numFmtId="0" fontId="247" fillId="0" borderId="438" xfId="0" applyFont="1" applyBorder="1" applyAlignment="1" applyProtection="1">
      <alignment horizontal="center" vertical="center"/>
    </xf>
    <xf numFmtId="0" fontId="248" fillId="0" borderId="63" xfId="0" applyFont="1" applyBorder="1" applyAlignment="1" applyProtection="1">
      <alignment horizontal="center" vertical="center"/>
    </xf>
    <xf numFmtId="0" fontId="249" fillId="0" borderId="438" xfId="0" applyFont="1" applyBorder="1" applyAlignment="1" applyProtection="1">
      <alignment horizontal="center" vertical="center"/>
    </xf>
    <xf numFmtId="0" fontId="246" fillId="0" borderId="137" xfId="0" applyFont="1" applyBorder="1" applyAlignment="1" applyProtection="1">
      <alignment horizontal="center" vertical="center"/>
    </xf>
    <xf numFmtId="0" fontId="174" fillId="0" borderId="5" xfId="0" applyFont="1" applyBorder="1" applyAlignment="1" applyProtection="1">
      <alignment horizontal="center" vertical="center"/>
    </xf>
    <xf numFmtId="0" fontId="14" fillId="0" borderId="568" xfId="0" applyFont="1" applyBorder="1" applyAlignment="1" applyProtection="1">
      <alignment horizontal="center" vertical="center"/>
    </xf>
    <xf numFmtId="0" fontId="14" fillId="0" borderId="439" xfId="0" applyFont="1" applyBorder="1" applyAlignment="1" applyProtection="1">
      <alignment horizontal="center" vertical="center"/>
    </xf>
    <xf numFmtId="0" fontId="246" fillId="0" borderId="6" xfId="0" applyFont="1" applyBorder="1" applyAlignment="1" applyProtection="1">
      <alignment horizontal="center" vertical="center"/>
    </xf>
    <xf numFmtId="0" fontId="174" fillId="0" borderId="1" xfId="0" applyFont="1" applyBorder="1" applyAlignment="1" applyProtection="1">
      <alignment horizontal="center" vertical="center"/>
    </xf>
    <xf numFmtId="0" fontId="247" fillId="0" borderId="5" xfId="0" applyFont="1" applyBorder="1" applyAlignment="1" applyProtection="1">
      <alignment horizontal="center" vertical="center"/>
    </xf>
    <xf numFmtId="0" fontId="248" fillId="0" borderId="137" xfId="0" applyFont="1" applyBorder="1" applyAlignment="1" applyProtection="1">
      <alignment horizontal="center" vertical="center"/>
    </xf>
    <xf numFmtId="0" fontId="14" fillId="0" borderId="1" xfId="0" applyFont="1" applyBorder="1" applyAlignment="1" applyProtection="1">
      <alignment horizontal="center" vertical="center"/>
    </xf>
    <xf numFmtId="0" fontId="247" fillId="0" borderId="439" xfId="0" applyFont="1" applyBorder="1" applyAlignment="1" applyProtection="1">
      <alignment horizontal="center" vertical="center"/>
    </xf>
    <xf numFmtId="0" fontId="248" fillId="0" borderId="6" xfId="0" applyFont="1" applyBorder="1" applyAlignment="1" applyProtection="1">
      <alignment horizontal="center" vertical="center"/>
    </xf>
    <xf numFmtId="0" fontId="249" fillId="0" borderId="439" xfId="0" applyFont="1" applyBorder="1" applyAlignment="1" applyProtection="1">
      <alignment horizontal="center" vertical="center"/>
    </xf>
    <xf numFmtId="0" fontId="246" fillId="0" borderId="442" xfId="0" applyFont="1" applyBorder="1" applyAlignment="1" applyProtection="1">
      <alignment horizontal="center" vertical="center"/>
    </xf>
    <xf numFmtId="0" fontId="174" fillId="0" borderId="53" xfId="0" applyFont="1" applyBorder="1" applyAlignment="1" applyProtection="1">
      <alignment horizontal="center" vertical="center"/>
    </xf>
    <xf numFmtId="0" fontId="14" fillId="0" borderId="569" xfId="0" applyFont="1" applyBorder="1" applyAlignment="1" applyProtection="1">
      <alignment horizontal="center" vertical="center"/>
    </xf>
    <xf numFmtId="0" fontId="14" fillId="0" borderId="441" xfId="0" applyFont="1" applyBorder="1" applyAlignment="1" applyProtection="1">
      <alignment horizontal="center" vertical="center"/>
    </xf>
    <xf numFmtId="0" fontId="246" fillId="0" borderId="51" xfId="0" applyFont="1" applyBorder="1" applyAlignment="1" applyProtection="1">
      <alignment horizontal="center" vertical="center"/>
    </xf>
    <xf numFmtId="0" fontId="174" fillId="0" borderId="46" xfId="0" applyFont="1" applyBorder="1" applyAlignment="1" applyProtection="1">
      <alignment horizontal="center" vertical="center"/>
    </xf>
    <xf numFmtId="0" fontId="247" fillId="0" borderId="53" xfId="0" applyFont="1" applyBorder="1" applyAlignment="1" applyProtection="1">
      <alignment horizontal="center" vertical="center"/>
    </xf>
    <xf numFmtId="0" fontId="248" fillId="0" borderId="442" xfId="0" applyFont="1" applyBorder="1" applyAlignment="1" applyProtection="1">
      <alignment horizontal="center" vertical="center"/>
    </xf>
    <xf numFmtId="0" fontId="14" fillId="0" borderId="46" xfId="0" applyFont="1" applyBorder="1" applyAlignment="1" applyProtection="1">
      <alignment horizontal="center" vertical="center"/>
    </xf>
    <xf numFmtId="0" fontId="247" fillId="0" borderId="443" xfId="0" applyFont="1" applyBorder="1" applyAlignment="1" applyProtection="1">
      <alignment horizontal="center" vertical="center"/>
    </xf>
    <xf numFmtId="0" fontId="248" fillId="0" borderId="51" xfId="0" applyFont="1" applyBorder="1" applyAlignment="1" applyProtection="1">
      <alignment horizontal="center" vertical="center"/>
    </xf>
    <xf numFmtId="0" fontId="249" fillId="0" borderId="443" xfId="0" applyFont="1" applyBorder="1" applyAlignment="1" applyProtection="1">
      <alignment horizontal="center" vertical="center"/>
    </xf>
    <xf numFmtId="0" fontId="43" fillId="2" borderId="90" xfId="0" applyFont="1" applyFill="1" applyBorder="1" applyAlignment="1" applyProtection="1">
      <alignment vertical="center"/>
    </xf>
    <xf numFmtId="0" fontId="43" fillId="2" borderId="102" xfId="0" applyFont="1" applyFill="1" applyBorder="1" applyAlignment="1" applyProtection="1">
      <alignment horizontal="center" vertical="center"/>
    </xf>
    <xf numFmtId="0" fontId="43" fillId="16" borderId="48" xfId="0" applyFont="1" applyFill="1" applyBorder="1" applyAlignment="1" applyProtection="1">
      <alignment vertical="center"/>
    </xf>
    <xf numFmtId="0" fontId="43" fillId="16" borderId="49" xfId="0" applyFont="1" applyFill="1" applyBorder="1" applyAlignment="1" applyProtection="1">
      <alignment vertical="center"/>
    </xf>
    <xf numFmtId="0" fontId="43" fillId="16" borderId="22" xfId="0" applyFont="1" applyFill="1" applyBorder="1" applyAlignment="1" applyProtection="1">
      <alignment horizontal="center" vertical="center"/>
    </xf>
    <xf numFmtId="0" fontId="43" fillId="16" borderId="22" xfId="0" applyFont="1" applyFill="1" applyBorder="1" applyAlignment="1" applyProtection="1">
      <alignment horizontal="center" vertical="center" wrapText="1"/>
    </xf>
    <xf numFmtId="0" fontId="18" fillId="16" borderId="22" xfId="0" applyFont="1" applyFill="1" applyBorder="1" applyAlignment="1" applyProtection="1">
      <alignment horizontal="center" vertical="center" wrapText="1"/>
    </xf>
    <xf numFmtId="0" fontId="43" fillId="2" borderId="89" xfId="0" applyFont="1" applyFill="1" applyBorder="1" applyAlignment="1" applyProtection="1">
      <alignment vertical="center"/>
    </xf>
    <xf numFmtId="0" fontId="43" fillId="2" borderId="92" xfId="0" applyFont="1" applyFill="1" applyBorder="1" applyAlignment="1" applyProtection="1">
      <alignment vertical="center"/>
    </xf>
    <xf numFmtId="0" fontId="347" fillId="0" borderId="22" xfId="0" applyFont="1" applyFill="1" applyBorder="1" applyAlignment="1" applyProtection="1">
      <alignment horizontal="center" vertical="center" wrapText="1"/>
    </xf>
    <xf numFmtId="0" fontId="144" fillId="0" borderId="22" xfId="0" applyFont="1" applyFill="1" applyBorder="1" applyAlignment="1" applyProtection="1">
      <alignment horizontal="center" vertical="center" wrapText="1"/>
    </xf>
    <xf numFmtId="0" fontId="347" fillId="2" borderId="49" xfId="0" applyFont="1" applyFill="1" applyBorder="1" applyAlignment="1" applyProtection="1">
      <alignment vertical="center"/>
    </xf>
    <xf numFmtId="0" fontId="347" fillId="2" borderId="47" xfId="0" applyFont="1" applyFill="1" applyBorder="1" applyAlignment="1" applyProtection="1">
      <alignment vertical="center"/>
    </xf>
    <xf numFmtId="0" fontId="43" fillId="0" borderId="85" xfId="0" applyFont="1" applyFill="1" applyBorder="1" applyAlignment="1" applyProtection="1">
      <alignment horizontal="left" vertical="center"/>
    </xf>
    <xf numFmtId="0" fontId="43" fillId="0" borderId="47" xfId="0" applyFont="1" applyFill="1" applyBorder="1" applyAlignment="1" applyProtection="1">
      <alignment horizontal="left" vertical="center"/>
    </xf>
    <xf numFmtId="0" fontId="347" fillId="0" borderId="47" xfId="0" applyFont="1" applyFill="1" applyBorder="1" applyAlignment="1" applyProtection="1">
      <alignment horizontal="left" vertical="center"/>
    </xf>
    <xf numFmtId="0" fontId="43" fillId="2" borderId="459" xfId="0" applyFont="1" applyFill="1" applyBorder="1" applyAlignment="1" applyProtection="1">
      <alignment vertical="center"/>
    </xf>
    <xf numFmtId="0" fontId="43" fillId="2" borderId="301" xfId="0" applyFont="1" applyFill="1" applyBorder="1" applyAlignment="1" applyProtection="1">
      <alignment vertical="center"/>
    </xf>
    <xf numFmtId="0" fontId="347" fillId="2" borderId="301" xfId="0" applyFont="1" applyFill="1" applyBorder="1" applyAlignment="1" applyProtection="1">
      <alignment vertical="center"/>
    </xf>
    <xf numFmtId="0" fontId="347" fillId="2" borderId="459" xfId="0" applyFont="1" applyFill="1" applyBorder="1" applyAlignment="1" applyProtection="1">
      <alignment vertical="center"/>
    </xf>
    <xf numFmtId="0" fontId="305" fillId="2" borderId="300" xfId="0" applyFont="1" applyFill="1" applyBorder="1" applyAlignment="1" applyProtection="1">
      <alignment vertical="center"/>
    </xf>
    <xf numFmtId="0" fontId="43" fillId="16" borderId="47" xfId="0" applyFont="1" applyFill="1" applyBorder="1" applyAlignment="1" applyProtection="1">
      <alignment horizontal="left" vertical="center"/>
    </xf>
    <xf numFmtId="0" fontId="43" fillId="16" borderId="301" xfId="0" applyFont="1" applyFill="1" applyBorder="1" applyAlignment="1" applyProtection="1">
      <alignment vertical="center"/>
    </xf>
    <xf numFmtId="0" fontId="43" fillId="0" borderId="88" xfId="0" applyFont="1" applyFill="1" applyBorder="1" applyAlignment="1" applyProtection="1">
      <alignment horizontal="left" vertical="center"/>
    </xf>
    <xf numFmtId="0" fontId="43" fillId="2" borderId="300" xfId="0" applyFont="1" applyFill="1" applyBorder="1" applyAlignment="1" applyProtection="1">
      <alignment vertical="center"/>
    </xf>
    <xf numFmtId="0" fontId="43" fillId="2" borderId="22"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0" fontId="316" fillId="2" borderId="22" xfId="0" applyFont="1" applyFill="1" applyBorder="1" applyAlignment="1" applyProtection="1">
      <alignment horizontal="center" vertical="center"/>
    </xf>
    <xf numFmtId="0" fontId="305" fillId="16" borderId="22" xfId="0" applyFont="1" applyFill="1" applyBorder="1" applyAlignment="1" applyProtection="1">
      <alignment horizontal="center" vertical="center" wrapText="1"/>
    </xf>
    <xf numFmtId="0" fontId="305" fillId="2" borderId="47" xfId="0" applyFont="1" applyFill="1" applyBorder="1" applyAlignment="1" applyProtection="1">
      <alignment horizontal="left" vertical="center"/>
    </xf>
    <xf numFmtId="0" fontId="305" fillId="2" borderId="49" xfId="0" applyFont="1" applyFill="1" applyBorder="1" applyAlignment="1" applyProtection="1">
      <alignment horizontal="left" vertical="center"/>
    </xf>
    <xf numFmtId="0" fontId="305" fillId="2" borderId="47" xfId="0" applyFont="1" applyFill="1" applyBorder="1" applyAlignment="1" applyProtection="1">
      <alignment horizontal="center" vertical="center"/>
    </xf>
    <xf numFmtId="0" fontId="305" fillId="2" borderId="49" xfId="0" applyFont="1" applyFill="1" applyBorder="1" applyAlignment="1" applyProtection="1">
      <alignment horizontal="center" vertical="center"/>
    </xf>
    <xf numFmtId="0" fontId="305" fillId="16" borderId="22"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1" fontId="306" fillId="2" borderId="22" xfId="0" applyNumberFormat="1" applyFont="1" applyFill="1" applyBorder="1" applyAlignment="1" applyProtection="1">
      <alignment horizontal="center" vertical="center"/>
    </xf>
    <xf numFmtId="0" fontId="305" fillId="0" borderId="22" xfId="0" applyFont="1" applyFill="1" applyBorder="1" applyAlignment="1" applyProtection="1">
      <alignment horizontal="center" vertical="center" wrapText="1"/>
    </xf>
    <xf numFmtId="0" fontId="355" fillId="2" borderId="22" xfId="0" applyFont="1" applyFill="1" applyBorder="1" applyAlignment="1" applyProtection="1">
      <alignment horizontal="center" vertical="center"/>
    </xf>
    <xf numFmtId="0" fontId="259" fillId="2" borderId="22" xfId="0" applyFont="1" applyFill="1" applyBorder="1" applyAlignment="1" applyProtection="1">
      <alignment horizontal="center" vertical="center"/>
    </xf>
    <xf numFmtId="0" fontId="232" fillId="2" borderId="22" xfId="0" applyFont="1" applyFill="1" applyBorder="1" applyAlignment="1" applyProtection="1">
      <alignment horizontal="center" vertical="center"/>
    </xf>
    <xf numFmtId="0" fontId="305" fillId="0" borderId="301" xfId="0" applyFont="1" applyFill="1" applyBorder="1" applyAlignment="1" applyProtection="1">
      <alignment vertical="center"/>
    </xf>
    <xf numFmtId="0" fontId="305" fillId="16" borderId="301" xfId="0" applyFont="1" applyFill="1" applyBorder="1" applyAlignment="1" applyProtection="1">
      <alignment vertical="center"/>
    </xf>
    <xf numFmtId="0" fontId="305" fillId="0" borderId="88" xfId="0" applyFont="1" applyFill="1" applyBorder="1" applyAlignment="1" applyProtection="1">
      <alignment horizontal="left" vertical="center"/>
    </xf>
    <xf numFmtId="0" fontId="305" fillId="16" borderId="88" xfId="0" applyFont="1" applyFill="1" applyBorder="1" applyAlignment="1" applyProtection="1">
      <alignment horizontal="left" vertical="center"/>
    </xf>
    <xf numFmtId="0" fontId="305" fillId="16" borderId="300" xfId="0" applyFont="1" applyFill="1" applyBorder="1" applyAlignment="1" applyProtection="1">
      <alignment vertical="center"/>
    </xf>
    <xf numFmtId="0" fontId="461" fillId="54" borderId="0" xfId="0" applyFont="1" applyFill="1" applyAlignment="1" applyProtection="1">
      <alignment horizontal="center"/>
    </xf>
    <xf numFmtId="0" fontId="462" fillId="55" borderId="0" xfId="0" applyFont="1" applyFill="1" applyAlignment="1" applyProtection="1">
      <alignment horizontal="center" vertical="center"/>
    </xf>
    <xf numFmtId="0" fontId="462" fillId="55" borderId="0" xfId="0" applyNumberFormat="1" applyFont="1" applyFill="1" applyAlignment="1" applyProtection="1">
      <alignment horizontal="right"/>
    </xf>
    <xf numFmtId="170" fontId="462" fillId="55" borderId="0" xfId="0" applyNumberFormat="1" applyFont="1" applyFill="1" applyAlignment="1" applyProtection="1">
      <alignment horizontal="center"/>
    </xf>
    <xf numFmtId="1" fontId="462" fillId="55" borderId="0" xfId="0" applyNumberFormat="1" applyFont="1" applyFill="1" applyProtection="1"/>
    <xf numFmtId="0" fontId="462" fillId="55" borderId="0" xfId="0" applyFont="1" applyFill="1" applyProtection="1"/>
    <xf numFmtId="0" fontId="463" fillId="54" borderId="0" xfId="0" applyFont="1" applyFill="1" applyAlignment="1" applyProtection="1">
      <alignment horizontal="left" vertical="top" textRotation="122"/>
    </xf>
    <xf numFmtId="0" fontId="249" fillId="0" borderId="137" xfId="0" applyFont="1" applyBorder="1" applyAlignment="1" applyProtection="1">
      <alignment horizontal="center" vertical="center"/>
    </xf>
    <xf numFmtId="0" fontId="130" fillId="0" borderId="14" xfId="0" applyFont="1" applyBorder="1" applyAlignment="1" applyProtection="1">
      <alignment horizontal="center" vertical="center"/>
    </xf>
    <xf numFmtId="0" fontId="305" fillId="16" borderId="22"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0" fontId="305" fillId="2" borderId="49" xfId="0" applyFont="1" applyFill="1" applyBorder="1" applyAlignment="1" applyProtection="1">
      <alignment horizontal="center" vertical="center" wrapText="1"/>
    </xf>
    <xf numFmtId="0" fontId="305" fillId="16" borderId="47" xfId="0" applyFont="1" applyFill="1" applyBorder="1" applyAlignment="1" applyProtection="1">
      <alignment horizontal="center" vertical="center" wrapText="1"/>
    </xf>
    <xf numFmtId="0" fontId="43" fillId="2" borderId="89" xfId="0"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0" fontId="305" fillId="16" borderId="47" xfId="0" applyFont="1" applyFill="1" applyBorder="1" applyAlignment="1" applyProtection="1">
      <alignment vertical="center" wrapText="1"/>
    </xf>
    <xf numFmtId="0" fontId="305" fillId="2" borderId="49" xfId="0" applyFont="1" applyFill="1" applyBorder="1" applyAlignment="1" applyProtection="1">
      <alignment vertical="center" wrapText="1"/>
    </xf>
    <xf numFmtId="0" fontId="305" fillId="2" borderId="47" xfId="0" applyFont="1" applyFill="1" applyBorder="1" applyAlignment="1" applyProtection="1">
      <alignment vertical="center" wrapText="1"/>
    </xf>
    <xf numFmtId="0" fontId="43" fillId="2" borderId="47" xfId="0" applyFont="1" applyFill="1" applyBorder="1" applyAlignment="1" applyProtection="1">
      <alignment vertical="center" wrapText="1"/>
    </xf>
    <xf numFmtId="0" fontId="43" fillId="2" borderId="49" xfId="0" applyFont="1" applyFill="1" applyBorder="1" applyAlignment="1" applyProtection="1">
      <alignment vertical="center" wrapText="1"/>
    </xf>
    <xf numFmtId="0" fontId="305" fillId="16" borderId="49" xfId="0" applyFont="1" applyFill="1" applyBorder="1" applyAlignment="1" applyProtection="1">
      <alignment vertical="center" wrapText="1"/>
    </xf>
    <xf numFmtId="0" fontId="305" fillId="0" borderId="47" xfId="0" applyFont="1" applyFill="1" applyBorder="1" applyAlignment="1" applyProtection="1">
      <alignment vertical="center" wrapText="1"/>
    </xf>
    <xf numFmtId="0" fontId="305" fillId="0" borderId="49" xfId="0" applyFont="1" applyFill="1" applyBorder="1" applyAlignment="1" applyProtection="1">
      <alignment vertical="center" wrapText="1"/>
    </xf>
    <xf numFmtId="0" fontId="43" fillId="16" borderId="47" xfId="0" applyFont="1" applyFill="1" applyBorder="1" applyAlignment="1" applyProtection="1">
      <alignment vertical="center" wrapText="1"/>
    </xf>
    <xf numFmtId="0" fontId="43" fillId="16" borderId="49" xfId="0" applyFont="1" applyFill="1" applyBorder="1" applyAlignment="1" applyProtection="1">
      <alignment vertical="center" wrapText="1"/>
    </xf>
    <xf numFmtId="0" fontId="347" fillId="2" borderId="47" xfId="0" applyFont="1" applyFill="1" applyBorder="1" applyAlignment="1" applyProtection="1">
      <alignment vertical="center" wrapText="1"/>
    </xf>
    <xf numFmtId="0" fontId="347" fillId="2" borderId="49" xfId="0" applyFont="1" applyFill="1" applyBorder="1" applyAlignment="1" applyProtection="1">
      <alignment vertical="center" wrapText="1"/>
    </xf>
    <xf numFmtId="0" fontId="347" fillId="16" borderId="47" xfId="0" applyFont="1" applyFill="1" applyBorder="1" applyAlignment="1" applyProtection="1">
      <alignment vertical="center" wrapText="1"/>
    </xf>
    <xf numFmtId="0" fontId="347" fillId="16" borderId="49" xfId="0" applyFont="1" applyFill="1" applyBorder="1" applyAlignment="1" applyProtection="1">
      <alignment vertical="center" wrapText="1"/>
    </xf>
    <xf numFmtId="1" fontId="305" fillId="16" borderId="47" xfId="0" applyNumberFormat="1" applyFont="1" applyFill="1" applyBorder="1" applyAlignment="1" applyProtection="1">
      <alignment vertical="center" wrapText="1"/>
    </xf>
    <xf numFmtId="1" fontId="305" fillId="2" borderId="47" xfId="0" applyNumberFormat="1" applyFont="1" applyFill="1" applyBorder="1" applyAlignment="1" applyProtection="1">
      <alignment vertical="center" wrapText="1"/>
    </xf>
    <xf numFmtId="0" fontId="306" fillId="2" borderId="22" xfId="0" applyFont="1" applyFill="1" applyBorder="1" applyAlignment="1" applyProtection="1">
      <alignment horizontal="center" vertical="center"/>
    </xf>
    <xf numFmtId="0" fontId="349" fillId="25" borderId="0" xfId="0" applyFont="1" applyFill="1" applyAlignment="1" applyProtection="1">
      <alignment horizontal="center" vertical="center"/>
    </xf>
    <xf numFmtId="0" fontId="158" fillId="0" borderId="16" xfId="0" applyFont="1" applyBorder="1" applyAlignment="1" applyProtection="1">
      <alignment vertical="center"/>
    </xf>
    <xf numFmtId="0" fontId="466" fillId="16" borderId="0" xfId="0" applyFont="1" applyFill="1" applyBorder="1" applyAlignment="1" applyProtection="1">
      <alignment horizontal="center"/>
    </xf>
    <xf numFmtId="0" fontId="466" fillId="16" borderId="0" xfId="0" applyFont="1" applyFill="1" applyAlignment="1" applyProtection="1">
      <alignment horizontal="center"/>
    </xf>
    <xf numFmtId="0" fontId="466" fillId="16" borderId="0" xfId="0" applyFont="1" applyFill="1" applyBorder="1" applyAlignment="1" applyProtection="1">
      <alignment horizontal="right"/>
    </xf>
    <xf numFmtId="0" fontId="466" fillId="16" borderId="458" xfId="0" applyFont="1" applyFill="1" applyBorder="1" applyAlignment="1" applyProtection="1">
      <alignment horizontal="center"/>
    </xf>
    <xf numFmtId="0" fontId="466" fillId="16" borderId="459" xfId="0" applyFont="1" applyFill="1" applyBorder="1" applyAlignment="1" applyProtection="1">
      <alignment horizontal="center"/>
    </xf>
    <xf numFmtId="0" fontId="466" fillId="16" borderId="0" xfId="0" applyFont="1" applyFill="1" applyBorder="1" applyAlignment="1" applyProtection="1">
      <alignment horizontal="center" vertical="center"/>
    </xf>
    <xf numFmtId="0" fontId="466" fillId="16" borderId="0" xfId="0" applyFont="1" applyFill="1" applyBorder="1" applyAlignment="1" applyProtection="1">
      <alignment horizontal="right" vertical="center"/>
    </xf>
    <xf numFmtId="0" fontId="466" fillId="16" borderId="0" xfId="0" applyFont="1" applyFill="1" applyAlignment="1" applyProtection="1">
      <alignment horizontal="center" vertical="center"/>
    </xf>
    <xf numFmtId="0" fontId="466" fillId="16" borderId="0" xfId="0" applyFont="1" applyFill="1" applyAlignment="1" applyProtection="1">
      <alignment horizontal="center" vertical="top"/>
    </xf>
    <xf numFmtId="0" fontId="466" fillId="16" borderId="0" xfId="0" applyFont="1" applyFill="1" applyAlignment="1" applyProtection="1">
      <alignment vertical="top"/>
    </xf>
    <xf numFmtId="0" fontId="466" fillId="16" borderId="0" xfId="0" applyFont="1" applyFill="1" applyBorder="1" applyAlignment="1" applyProtection="1">
      <alignment vertical="top"/>
    </xf>
    <xf numFmtId="0" fontId="466" fillId="16" borderId="0" xfId="0" applyFont="1" applyFill="1" applyBorder="1" applyAlignment="1" applyProtection="1">
      <alignment horizontal="right" vertical="top"/>
    </xf>
    <xf numFmtId="0" fontId="466" fillId="16" borderId="0" xfId="0" applyFont="1" applyFill="1" applyBorder="1" applyAlignment="1" applyProtection="1">
      <alignment horizontal="center" vertical="top"/>
    </xf>
    <xf numFmtId="0" fontId="466" fillId="2" borderId="0" xfId="0" applyFont="1" applyFill="1" applyBorder="1" applyAlignment="1" applyProtection="1">
      <alignment horizontal="center"/>
    </xf>
    <xf numFmtId="0" fontId="466" fillId="2" borderId="0" xfId="0" applyFont="1" applyFill="1" applyBorder="1" applyAlignment="1" applyProtection="1">
      <alignment horizontal="left"/>
    </xf>
    <xf numFmtId="0" fontId="466" fillId="2" borderId="0" xfId="0" applyFont="1" applyFill="1" applyBorder="1" applyAlignment="1" applyProtection="1">
      <alignment horizontal="center" vertical="center"/>
    </xf>
    <xf numFmtId="0" fontId="466" fillId="0" borderId="0" xfId="0" applyFont="1" applyAlignment="1" applyProtection="1">
      <alignment horizontal="center" vertical="center"/>
    </xf>
    <xf numFmtId="0" fontId="466" fillId="2" borderId="0" xfId="0" applyFont="1" applyFill="1" applyAlignment="1" applyProtection="1">
      <alignment horizontal="center" vertical="center"/>
    </xf>
    <xf numFmtId="0" fontId="466" fillId="2" borderId="0" xfId="0" applyFont="1" applyFill="1" applyAlignment="1" applyProtection="1">
      <alignment vertical="top"/>
    </xf>
    <xf numFmtId="0" fontId="466" fillId="2" borderId="0" xfId="0" applyFont="1" applyFill="1" applyBorder="1" applyAlignment="1" applyProtection="1">
      <alignment vertical="top"/>
    </xf>
    <xf numFmtId="0" fontId="466" fillId="2" borderId="0" xfId="0" applyFont="1" applyFill="1" applyAlignment="1" applyProtection="1">
      <alignment horizontal="center" vertical="top"/>
    </xf>
    <xf numFmtId="0" fontId="347" fillId="2" borderId="0" xfId="0" applyFont="1" applyFill="1" applyBorder="1" applyAlignment="1" applyProtection="1">
      <alignment horizontal="center" vertical="center"/>
    </xf>
    <xf numFmtId="0" fontId="135" fillId="2" borderId="0" xfId="0" applyFont="1" applyFill="1" applyAlignment="1" applyProtection="1">
      <alignment horizontal="center" vertical="center"/>
    </xf>
    <xf numFmtId="0" fontId="135" fillId="2" borderId="0" xfId="0" applyFont="1" applyFill="1" applyAlignment="1" applyProtection="1">
      <alignment vertical="center"/>
    </xf>
    <xf numFmtId="0" fontId="135" fillId="2" borderId="0" xfId="0" applyFont="1" applyFill="1" applyBorder="1" applyAlignment="1" applyProtection="1">
      <alignment vertical="center"/>
    </xf>
    <xf numFmtId="0" fontId="347" fillId="16" borderId="0" xfId="0" applyFont="1" applyFill="1" applyAlignment="1" applyProtection="1">
      <alignment horizontal="center" vertical="top"/>
    </xf>
    <xf numFmtId="0" fontId="466" fillId="2" borderId="0" xfId="0" applyFont="1" applyFill="1" applyAlignment="1" applyProtection="1">
      <alignment vertical="center"/>
    </xf>
    <xf numFmtId="0" fontId="466" fillId="2" borderId="0" xfId="0" applyFont="1" applyFill="1" applyBorder="1" applyAlignment="1" applyProtection="1">
      <alignment vertical="center"/>
    </xf>
    <xf numFmtId="0" fontId="347" fillId="16" borderId="0" xfId="0" applyFont="1" applyFill="1" applyBorder="1" applyAlignment="1" applyProtection="1">
      <alignment horizontal="center"/>
    </xf>
    <xf numFmtId="0" fontId="347" fillId="16" borderId="0" xfId="0" applyFont="1" applyFill="1" applyAlignment="1" applyProtection="1">
      <alignment horizontal="center"/>
    </xf>
    <xf numFmtId="0" fontId="466" fillId="0" borderId="0" xfId="0" applyFont="1" applyAlignment="1" applyProtection="1">
      <alignment vertical="center"/>
    </xf>
    <xf numFmtId="0" fontId="43" fillId="2" borderId="22" xfId="0" applyFont="1" applyFill="1" applyBorder="1" applyAlignment="1" applyProtection="1">
      <alignment horizontal="center" vertical="center"/>
    </xf>
    <xf numFmtId="0" fontId="43" fillId="16" borderId="336" xfId="0" applyFont="1" applyFill="1" applyBorder="1" applyAlignment="1" applyProtection="1">
      <alignment horizontal="center" vertical="center"/>
    </xf>
    <xf numFmtId="0" fontId="43" fillId="16" borderId="146" xfId="0" applyFont="1" applyFill="1" applyBorder="1" applyAlignment="1" applyProtection="1">
      <alignment horizontal="center" vertical="center"/>
    </xf>
    <xf numFmtId="0" fontId="43" fillId="16" borderId="337" xfId="0" applyFont="1" applyFill="1" applyBorder="1" applyAlignment="1" applyProtection="1">
      <alignment horizontal="center" vertical="center"/>
    </xf>
    <xf numFmtId="0" fontId="43" fillId="16" borderId="92" xfId="0" applyFont="1" applyFill="1" applyBorder="1" applyAlignment="1" applyProtection="1">
      <alignment horizontal="center" vertical="center"/>
    </xf>
    <xf numFmtId="0" fontId="43" fillId="16" borderId="338" xfId="0" applyFont="1" applyFill="1" applyBorder="1" applyAlignment="1" applyProtection="1">
      <alignment horizontal="center" vertical="center"/>
    </xf>
    <xf numFmtId="0" fontId="15" fillId="16" borderId="0" xfId="0" applyFont="1" applyFill="1" applyAlignment="1" applyProtection="1">
      <alignment horizontal="center" vertical="center"/>
    </xf>
    <xf numFmtId="0" fontId="43" fillId="2" borderId="339" xfId="0" applyFont="1" applyFill="1" applyBorder="1" applyAlignment="1" applyProtection="1">
      <alignment horizontal="center" vertical="center"/>
    </xf>
    <xf numFmtId="0" fontId="43" fillId="2" borderId="340" xfId="0" applyFont="1" applyFill="1" applyBorder="1" applyAlignment="1" applyProtection="1">
      <alignment horizontal="center" vertical="center"/>
    </xf>
    <xf numFmtId="0" fontId="43" fillId="2" borderId="341" xfId="0" applyFont="1" applyFill="1" applyBorder="1" applyAlignment="1" applyProtection="1">
      <alignment horizontal="center" vertical="center"/>
    </xf>
    <xf numFmtId="0" fontId="43" fillId="2" borderId="342" xfId="0" applyFont="1" applyFill="1" applyBorder="1" applyAlignment="1" applyProtection="1">
      <alignment horizontal="center" vertical="center"/>
    </xf>
    <xf numFmtId="0" fontId="43" fillId="2" borderId="343" xfId="0" applyFont="1" applyFill="1" applyBorder="1" applyAlignment="1" applyProtection="1">
      <alignment horizontal="center" vertical="center"/>
    </xf>
    <xf numFmtId="0" fontId="18" fillId="0" borderId="22" xfId="0" applyFont="1" applyFill="1" applyBorder="1" applyAlignment="1" applyProtection="1">
      <alignment horizontal="center" vertical="center" wrapText="1"/>
    </xf>
    <xf numFmtId="0" fontId="43" fillId="2" borderId="22"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xf>
    <xf numFmtId="0" fontId="14" fillId="16" borderId="86" xfId="0" applyFont="1" applyFill="1" applyBorder="1" applyAlignment="1" applyProtection="1">
      <alignment horizontal="left" vertical="center"/>
    </xf>
    <xf numFmtId="0" fontId="14" fillId="16" borderId="87" xfId="0" applyFont="1" applyFill="1" applyBorder="1" applyAlignment="1" applyProtection="1">
      <alignment horizontal="left" vertical="center"/>
    </xf>
    <xf numFmtId="0" fontId="14" fillId="16" borderId="91" xfId="0" applyFont="1" applyFill="1" applyBorder="1" applyAlignment="1" applyProtection="1">
      <alignment horizontal="left" vertical="center"/>
    </xf>
    <xf numFmtId="0" fontId="225" fillId="0" borderId="85" xfId="0" applyFont="1" applyBorder="1" applyAlignment="1" applyProtection="1">
      <alignment vertical="center"/>
    </xf>
    <xf numFmtId="0" fontId="299" fillId="4" borderId="86" xfId="0" applyFont="1" applyFill="1" applyBorder="1" applyAlignment="1" applyProtection="1">
      <alignment vertical="center"/>
    </xf>
    <xf numFmtId="0" fontId="299" fillId="4" borderId="90" xfId="0" applyFont="1" applyFill="1" applyBorder="1" applyAlignment="1" applyProtection="1">
      <alignment vertical="center"/>
    </xf>
    <xf numFmtId="0" fontId="299" fillId="4" borderId="0" xfId="0" applyFont="1" applyFill="1" applyBorder="1" applyAlignment="1" applyProtection="1">
      <alignment vertical="center"/>
    </xf>
    <xf numFmtId="0" fontId="299" fillId="4" borderId="91" xfId="0" applyFont="1" applyFill="1" applyBorder="1" applyAlignment="1" applyProtection="1">
      <alignment vertical="center"/>
    </xf>
    <xf numFmtId="1" fontId="299" fillId="4" borderId="0" xfId="0" applyNumberFormat="1" applyFont="1" applyFill="1" applyBorder="1" applyAlignment="1" applyProtection="1">
      <alignment vertical="center"/>
    </xf>
    <xf numFmtId="1" fontId="299" fillId="4" borderId="91" xfId="0" applyNumberFormat="1" applyFont="1" applyFill="1" applyBorder="1" applyAlignment="1" applyProtection="1">
      <alignment vertical="center"/>
    </xf>
    <xf numFmtId="0" fontId="158" fillId="4" borderId="0" xfId="0" applyFont="1" applyFill="1" applyBorder="1" applyAlignment="1" applyProtection="1">
      <alignment vertical="center"/>
    </xf>
    <xf numFmtId="0" fontId="158" fillId="4" borderId="91" xfId="0" applyFont="1" applyFill="1" applyBorder="1" applyAlignment="1" applyProtection="1">
      <alignment vertical="center"/>
    </xf>
    <xf numFmtId="0" fontId="299" fillId="4" borderId="89" xfId="0" applyFont="1" applyFill="1" applyBorder="1" applyAlignment="1" applyProtection="1">
      <alignment vertical="center"/>
    </xf>
    <xf numFmtId="1" fontId="299" fillId="4" borderId="89" xfId="0" applyNumberFormat="1" applyFont="1" applyFill="1" applyBorder="1" applyAlignment="1" applyProtection="1">
      <alignment vertical="center"/>
    </xf>
    <xf numFmtId="0" fontId="299" fillId="4" borderId="92" xfId="0" applyFont="1" applyFill="1" applyBorder="1" applyAlignment="1" applyProtection="1">
      <alignment vertical="center"/>
    </xf>
    <xf numFmtId="0" fontId="109" fillId="0" borderId="22" xfId="0" applyFont="1" applyBorder="1" applyAlignment="1" applyProtection="1">
      <alignment horizontal="center" vertical="center" wrapText="1"/>
      <protection locked="0"/>
    </xf>
    <xf numFmtId="0" fontId="135" fillId="16" borderId="89" xfId="0" applyFont="1" applyFill="1" applyBorder="1" applyAlignment="1" applyProtection="1">
      <alignment vertical="center"/>
      <protection locked="0"/>
    </xf>
    <xf numFmtId="0" fontId="0" fillId="16" borderId="89" xfId="0" applyFill="1" applyBorder="1" applyAlignment="1" applyProtection="1">
      <alignment vertical="center"/>
      <protection locked="0"/>
    </xf>
    <xf numFmtId="0" fontId="128" fillId="16" borderId="89" xfId="0" applyFont="1" applyFill="1" applyBorder="1" applyAlignment="1" applyProtection="1">
      <alignment vertical="center"/>
      <protection locked="0"/>
    </xf>
    <xf numFmtId="0" fontId="128" fillId="0" borderId="250" xfId="0" applyFont="1" applyBorder="1" applyAlignment="1" applyProtection="1">
      <alignment vertical="center"/>
      <protection locked="0"/>
    </xf>
    <xf numFmtId="0" fontId="128" fillId="16" borderId="295" xfId="0" applyFont="1" applyFill="1" applyBorder="1" applyAlignment="1" applyProtection="1">
      <alignment vertical="center"/>
      <protection locked="0"/>
    </xf>
    <xf numFmtId="0" fontId="128" fillId="0" borderId="250" xfId="0" applyFont="1" applyBorder="1" applyAlignment="1" applyProtection="1">
      <alignment horizontal="left" vertical="center"/>
      <protection locked="0"/>
    </xf>
    <xf numFmtId="0" fontId="182" fillId="0" borderId="22" xfId="0" applyFont="1" applyBorder="1" applyAlignment="1" applyProtection="1">
      <alignment horizontal="center" vertical="center" wrapText="1"/>
      <protection locked="0"/>
    </xf>
    <xf numFmtId="0" fontId="128" fillId="16" borderId="89" xfId="0" applyFont="1" applyFill="1" applyBorder="1" applyAlignment="1" applyProtection="1">
      <alignment horizontal="left" vertical="center"/>
      <protection locked="0"/>
    </xf>
    <xf numFmtId="0" fontId="6" fillId="16" borderId="89" xfId="0" applyFont="1" applyFill="1" applyBorder="1" applyAlignment="1" applyProtection="1">
      <alignment horizontal="justify"/>
      <protection locked="0"/>
    </xf>
    <xf numFmtId="0" fontId="6" fillId="16" borderId="89" xfId="0" applyFont="1" applyFill="1" applyBorder="1" applyProtection="1">
      <protection locked="0"/>
    </xf>
    <xf numFmtId="0" fontId="26" fillId="16" borderId="89" xfId="0" applyFont="1" applyFill="1" applyBorder="1" applyProtection="1">
      <protection locked="0"/>
    </xf>
    <xf numFmtId="0" fontId="128" fillId="16" borderId="0" xfId="0" applyFont="1" applyFill="1" applyBorder="1" applyAlignment="1" applyProtection="1">
      <alignment vertical="center"/>
      <protection locked="0"/>
    </xf>
    <xf numFmtId="0" fontId="136" fillId="16" borderId="0" xfId="0" applyFont="1" applyFill="1" applyBorder="1" applyAlignment="1" applyProtection="1">
      <alignment horizontal="center" vertical="center"/>
      <protection locked="0"/>
    </xf>
    <xf numFmtId="0" fontId="128" fillId="16" borderId="0" xfId="0" applyFont="1" applyFill="1" applyBorder="1" applyAlignment="1" applyProtection="1">
      <alignment horizontal="center" vertical="center"/>
      <protection locked="0"/>
    </xf>
    <xf numFmtId="0" fontId="221" fillId="16" borderId="0" xfId="0" applyFont="1" applyFill="1" applyAlignment="1" applyProtection="1">
      <alignment horizontal="center"/>
      <protection locked="0"/>
    </xf>
    <xf numFmtId="0" fontId="19" fillId="0" borderId="22" xfId="0" applyFont="1" applyBorder="1" applyAlignment="1" applyProtection="1">
      <alignment horizontal="center" vertical="center"/>
    </xf>
    <xf numFmtId="0" fontId="9" fillId="0" borderId="47" xfId="0" applyFont="1" applyBorder="1" applyAlignment="1" applyProtection="1">
      <alignment horizontal="center" vertical="center"/>
    </xf>
    <xf numFmtId="0" fontId="9" fillId="0" borderId="48" xfId="0" applyFont="1" applyBorder="1" applyAlignment="1" applyProtection="1">
      <alignment horizontal="center" vertical="center"/>
    </xf>
    <xf numFmtId="0" fontId="9" fillId="0" borderId="49" xfId="0" applyFont="1" applyBorder="1" applyAlignment="1" applyProtection="1">
      <alignment horizontal="center" vertical="center"/>
    </xf>
    <xf numFmtId="0" fontId="9" fillId="0" borderId="88" xfId="0" applyFont="1" applyBorder="1" applyAlignment="1" applyProtection="1">
      <alignment horizontal="center" vertical="center"/>
    </xf>
    <xf numFmtId="0" fontId="9" fillId="0" borderId="89" xfId="0" applyFont="1" applyBorder="1" applyAlignment="1" applyProtection="1">
      <alignment horizontal="center" vertical="center"/>
    </xf>
    <xf numFmtId="0" fontId="9" fillId="0" borderId="92" xfId="0" applyFont="1" applyBorder="1" applyAlignment="1" applyProtection="1">
      <alignment horizontal="center" vertical="center"/>
    </xf>
    <xf numFmtId="0" fontId="9" fillId="0" borderId="47" xfId="0" applyFont="1" applyBorder="1" applyAlignment="1" applyProtection="1">
      <alignment horizontal="center"/>
    </xf>
    <xf numFmtId="0" fontId="9" fillId="0" borderId="48" xfId="0" applyFont="1" applyBorder="1" applyAlignment="1" applyProtection="1">
      <alignment horizontal="center"/>
    </xf>
    <xf numFmtId="0" fontId="9" fillId="0" borderId="49" xfId="0" applyFont="1" applyBorder="1" applyAlignment="1" applyProtection="1">
      <alignment horizontal="center"/>
    </xf>
    <xf numFmtId="170" fontId="162" fillId="0" borderId="23" xfId="0" applyNumberFormat="1" applyFont="1" applyBorder="1" applyAlignment="1" applyProtection="1">
      <alignment horizontal="center" vertical="center"/>
    </xf>
    <xf numFmtId="170" fontId="162" fillId="0" borderId="22" xfId="0" applyNumberFormat="1" applyFont="1" applyBorder="1" applyAlignment="1" applyProtection="1">
      <alignment horizontal="center" vertical="center"/>
    </xf>
    <xf numFmtId="170" fontId="162" fillId="0" borderId="47" xfId="0" applyNumberFormat="1" applyFont="1" applyBorder="1" applyAlignment="1" applyProtection="1">
      <alignment horizontal="center" vertical="center"/>
    </xf>
    <xf numFmtId="170" fontId="162" fillId="0" borderId="49" xfId="0" applyNumberFormat="1" applyFont="1" applyBorder="1" applyAlignment="1" applyProtection="1">
      <alignment horizontal="center" vertical="center"/>
    </xf>
    <xf numFmtId="170" fontId="225" fillId="0" borderId="47" xfId="0" applyNumberFormat="1" applyFont="1" applyBorder="1" applyAlignment="1" applyProtection="1">
      <alignment horizontal="center" vertical="center"/>
      <protection locked="0"/>
    </xf>
    <xf numFmtId="170" fontId="225" fillId="0" borderId="49" xfId="0" applyNumberFormat="1" applyFont="1" applyBorder="1" applyAlignment="1" applyProtection="1">
      <alignment horizontal="center" vertical="center"/>
      <protection locked="0"/>
    </xf>
    <xf numFmtId="170" fontId="162" fillId="0" borderId="147" xfId="0" applyNumberFormat="1" applyFont="1" applyBorder="1" applyAlignment="1" applyProtection="1">
      <alignment horizontal="center" vertical="center"/>
    </xf>
    <xf numFmtId="170" fontId="162" fillId="0" borderId="149" xfId="0" applyNumberFormat="1" applyFont="1" applyBorder="1" applyAlignment="1" applyProtection="1">
      <alignment horizontal="center" vertical="center"/>
    </xf>
    <xf numFmtId="170" fontId="19" fillId="0" borderId="47" xfId="0" applyNumberFormat="1" applyFont="1" applyBorder="1" applyAlignment="1" applyProtection="1">
      <alignment horizontal="center" vertical="center"/>
      <protection locked="0"/>
    </xf>
    <xf numFmtId="170" fontId="19" fillId="0" borderId="49" xfId="0" applyNumberFormat="1" applyFont="1" applyBorder="1" applyAlignment="1" applyProtection="1">
      <alignment horizontal="center" vertical="center"/>
      <protection locked="0"/>
    </xf>
    <xf numFmtId="170" fontId="19" fillId="0" borderId="147" xfId="0" applyNumberFormat="1" applyFont="1" applyBorder="1" applyAlignment="1" applyProtection="1">
      <alignment horizontal="center" vertical="center"/>
      <protection locked="0"/>
    </xf>
    <xf numFmtId="170" fontId="19" fillId="0" borderId="149" xfId="0" applyNumberFormat="1" applyFont="1" applyBorder="1" applyAlignment="1" applyProtection="1">
      <alignment horizontal="center" vertical="center"/>
      <protection locked="0"/>
    </xf>
    <xf numFmtId="0" fontId="296" fillId="0" borderId="47" xfId="0" applyFont="1" applyBorder="1" applyAlignment="1" applyProtection="1">
      <alignment horizontal="center" vertical="center"/>
    </xf>
    <xf numFmtId="0" fontId="296" fillId="0" borderId="48" xfId="0" applyFont="1" applyBorder="1" applyAlignment="1" applyProtection="1">
      <alignment horizontal="center" vertical="center"/>
    </xf>
    <xf numFmtId="0" fontId="9" fillId="0" borderId="85" xfId="0" applyFont="1" applyBorder="1" applyAlignment="1" applyProtection="1">
      <alignment horizontal="center" vertical="center"/>
    </xf>
    <xf numFmtId="0" fontId="9" fillId="0" borderId="86" xfId="0" applyFont="1" applyBorder="1" applyAlignment="1" applyProtection="1">
      <alignment horizontal="center" vertical="center"/>
    </xf>
    <xf numFmtId="0" fontId="9" fillId="0" borderId="90" xfId="0" applyFont="1" applyBorder="1" applyAlignment="1" applyProtection="1">
      <alignment horizontal="center" vertical="center"/>
    </xf>
    <xf numFmtId="0" fontId="296" fillId="0" borderId="49" xfId="0" applyFont="1" applyBorder="1" applyAlignment="1" applyProtection="1">
      <alignment horizontal="center" vertical="center"/>
    </xf>
    <xf numFmtId="0" fontId="162" fillId="0" borderId="47" xfId="0" applyFont="1" applyBorder="1" applyAlignment="1" applyProtection="1">
      <alignment horizontal="center" vertical="center"/>
    </xf>
    <xf numFmtId="0" fontId="162" fillId="0" borderId="48" xfId="0" applyFont="1" applyBorder="1" applyAlignment="1" applyProtection="1">
      <alignment horizontal="center" vertical="center"/>
    </xf>
    <xf numFmtId="170" fontId="225" fillId="0" borderId="147" xfId="0" applyNumberFormat="1" applyFont="1" applyBorder="1" applyAlignment="1" applyProtection="1">
      <alignment horizontal="center" vertical="center"/>
      <protection locked="0"/>
    </xf>
    <xf numFmtId="170" fontId="225" fillId="0" borderId="149" xfId="0" applyNumberFormat="1" applyFont="1" applyBorder="1" applyAlignment="1" applyProtection="1">
      <alignment horizontal="center" vertical="center"/>
      <protection locked="0"/>
    </xf>
    <xf numFmtId="0" fontId="184" fillId="26" borderId="47" xfId="0" applyFont="1" applyFill="1" applyBorder="1" applyAlignment="1" applyProtection="1">
      <alignment horizontal="center" vertical="top"/>
    </xf>
    <xf numFmtId="0" fontId="184" fillId="26" borderId="48" xfId="0" applyFont="1" applyFill="1" applyBorder="1" applyAlignment="1" applyProtection="1">
      <alignment horizontal="center" vertical="top"/>
    </xf>
    <xf numFmtId="0" fontId="184" fillId="26" borderId="49" xfId="0" applyFont="1" applyFill="1" applyBorder="1" applyAlignment="1" applyProtection="1">
      <alignment horizontal="center" vertical="top"/>
    </xf>
    <xf numFmtId="0" fontId="9" fillId="17" borderId="47" xfId="0" applyFont="1" applyFill="1" applyBorder="1" applyAlignment="1" applyProtection="1">
      <alignment horizontal="center" vertical="center"/>
    </xf>
    <xf numFmtId="0" fontId="9" fillId="17" borderId="48" xfId="0" applyFont="1" applyFill="1" applyBorder="1" applyAlignment="1" applyProtection="1">
      <alignment horizontal="center" vertical="center"/>
    </xf>
    <xf numFmtId="0" fontId="9" fillId="17" borderId="49" xfId="0" applyFont="1" applyFill="1" applyBorder="1" applyAlignment="1" applyProtection="1">
      <alignment horizontal="center" vertical="center"/>
    </xf>
    <xf numFmtId="0" fontId="9" fillId="21" borderId="22" xfId="0" applyFont="1" applyFill="1" applyBorder="1" applyAlignment="1" applyProtection="1">
      <alignment horizontal="center" vertical="center"/>
    </xf>
    <xf numFmtId="0" fontId="10" fillId="32" borderId="158" xfId="0" applyFont="1" applyFill="1" applyBorder="1" applyAlignment="1" applyProtection="1">
      <alignment horizontal="center" vertical="center" textRotation="90" wrapText="1"/>
    </xf>
    <xf numFmtId="0" fontId="10" fillId="32" borderId="159" xfId="0" applyFont="1" applyFill="1" applyBorder="1" applyAlignment="1" applyProtection="1">
      <alignment horizontal="center" vertical="center" textRotation="90" wrapText="1"/>
    </xf>
    <xf numFmtId="0" fontId="10" fillId="32" borderId="87" xfId="0" applyFont="1" applyFill="1" applyBorder="1" applyAlignment="1" applyProtection="1">
      <alignment horizontal="center" vertical="center" textRotation="90" wrapText="1"/>
    </xf>
    <xf numFmtId="0" fontId="10" fillId="32" borderId="91" xfId="0" applyFont="1" applyFill="1" applyBorder="1" applyAlignment="1" applyProtection="1">
      <alignment horizontal="center" vertical="center" textRotation="90" wrapText="1"/>
    </xf>
    <xf numFmtId="0" fontId="10" fillId="32" borderId="160" xfId="0" applyFont="1" applyFill="1" applyBorder="1" applyAlignment="1" applyProtection="1">
      <alignment horizontal="center" vertical="center" textRotation="90" wrapText="1"/>
    </xf>
    <xf numFmtId="0" fontId="10" fillId="32" borderId="161" xfId="0" applyFont="1" applyFill="1" applyBorder="1" applyAlignment="1" applyProtection="1">
      <alignment horizontal="center" vertical="center" textRotation="90" wrapText="1"/>
    </xf>
    <xf numFmtId="0" fontId="153" fillId="0" borderId="2" xfId="0" applyFont="1" applyBorder="1" applyAlignment="1" applyProtection="1">
      <alignment horizontal="center"/>
    </xf>
    <xf numFmtId="0" fontId="153" fillId="0" borderId="60" xfId="0" applyFont="1" applyBorder="1" applyAlignment="1" applyProtection="1">
      <alignment horizontal="center"/>
    </xf>
    <xf numFmtId="0" fontId="130" fillId="0" borderId="155" xfId="0" applyFont="1" applyBorder="1" applyAlignment="1" applyProtection="1">
      <alignment horizontal="center"/>
    </xf>
    <xf numFmtId="0" fontId="130" fillId="0" borderId="52" xfId="0" applyFont="1" applyBorder="1" applyAlignment="1" applyProtection="1">
      <alignment horizontal="center"/>
    </xf>
    <xf numFmtId="0" fontId="184" fillId="16" borderId="47" xfId="0" applyFont="1" applyFill="1" applyBorder="1" applyAlignment="1" applyProtection="1">
      <alignment horizontal="center" vertical="center"/>
    </xf>
    <xf numFmtId="0" fontId="184" fillId="16" borderId="49" xfId="0" applyFont="1" applyFill="1" applyBorder="1" applyAlignment="1" applyProtection="1">
      <alignment horizontal="center" vertical="center"/>
    </xf>
    <xf numFmtId="170" fontId="130" fillId="0" borderId="47" xfId="0" applyNumberFormat="1" applyFont="1" applyBorder="1" applyAlignment="1" applyProtection="1">
      <alignment horizontal="center" vertical="center"/>
      <protection locked="0"/>
    </xf>
    <xf numFmtId="170" fontId="130" fillId="0" borderId="49" xfId="0" applyNumberFormat="1" applyFont="1" applyBorder="1" applyAlignment="1" applyProtection="1">
      <alignment horizontal="center" vertical="center"/>
      <protection locked="0"/>
    </xf>
    <xf numFmtId="0" fontId="184" fillId="0" borderId="47" xfId="0" applyFont="1" applyBorder="1" applyAlignment="1" applyProtection="1">
      <alignment horizontal="center" vertical="center"/>
    </xf>
    <xf numFmtId="0" fontId="184" fillId="0" borderId="49" xfId="0" applyFont="1" applyBorder="1" applyAlignment="1" applyProtection="1">
      <alignment horizontal="center" vertical="center"/>
    </xf>
    <xf numFmtId="0" fontId="130" fillId="0" borderId="344" xfId="0" applyFont="1" applyBorder="1" applyAlignment="1" applyProtection="1">
      <alignment horizontal="center"/>
    </xf>
    <xf numFmtId="0" fontId="286" fillId="0" borderId="5" xfId="0" applyFont="1" applyBorder="1" applyAlignment="1" applyProtection="1">
      <alignment horizontal="left" vertical="center"/>
    </xf>
    <xf numFmtId="0" fontId="286" fillId="0" borderId="14" xfId="0" applyFont="1" applyBorder="1" applyAlignment="1" applyProtection="1">
      <alignment horizontal="left" vertical="center"/>
    </xf>
    <xf numFmtId="0" fontId="286" fillId="0" borderId="6" xfId="0" applyFont="1" applyBorder="1" applyAlignment="1" applyProtection="1">
      <alignment horizontal="left" vertical="center"/>
    </xf>
    <xf numFmtId="0" fontId="130" fillId="0" borderId="61" xfId="0" applyFont="1" applyBorder="1" applyAlignment="1" applyProtection="1">
      <alignment horizontal="center"/>
    </xf>
    <xf numFmtId="0" fontId="130" fillId="0" borderId="50" xfId="0" applyFont="1" applyBorder="1" applyAlignment="1" applyProtection="1">
      <alignment horizontal="center"/>
    </xf>
    <xf numFmtId="170" fontId="130" fillId="0" borderId="155" xfId="0" applyNumberFormat="1" applyFont="1" applyBorder="1" applyAlignment="1" applyProtection="1">
      <alignment horizontal="center"/>
    </xf>
    <xf numFmtId="0" fontId="130" fillId="0" borderId="5" xfId="0" applyFont="1" applyBorder="1" applyAlignment="1" applyProtection="1">
      <alignment horizontal="right" vertical="center"/>
    </xf>
    <xf numFmtId="0" fontId="130" fillId="0" borderId="6" xfId="0" applyFont="1" applyBorder="1" applyAlignment="1" applyProtection="1">
      <alignment horizontal="right" vertical="center"/>
    </xf>
    <xf numFmtId="0" fontId="285" fillId="0" borderId="5" xfId="0" applyFont="1" applyBorder="1" applyAlignment="1" applyProtection="1">
      <alignment horizontal="left" vertical="center"/>
    </xf>
    <xf numFmtId="0" fontId="285" fillId="0" borderId="14" xfId="0" applyFont="1" applyBorder="1" applyAlignment="1" applyProtection="1">
      <alignment horizontal="left" vertical="center"/>
    </xf>
    <xf numFmtId="0" fontId="9" fillId="32" borderId="169" xfId="0" applyFont="1" applyFill="1" applyBorder="1" applyAlignment="1" applyProtection="1">
      <alignment horizontal="center" vertical="center" textRotation="90" wrapText="1"/>
    </xf>
    <xf numFmtId="0" fontId="9" fillId="32" borderId="129" xfId="0" applyFont="1" applyFill="1" applyBorder="1" applyAlignment="1" applyProtection="1">
      <alignment horizontal="center" vertical="center" textRotation="90" wrapText="1"/>
    </xf>
    <xf numFmtId="0" fontId="9" fillId="32" borderId="170" xfId="0" applyFont="1" applyFill="1" applyBorder="1" applyAlignment="1" applyProtection="1">
      <alignment horizontal="center" vertical="center" textRotation="90" wrapText="1"/>
    </xf>
    <xf numFmtId="0" fontId="9" fillId="32" borderId="171" xfId="0" applyFont="1" applyFill="1" applyBorder="1" applyAlignment="1" applyProtection="1">
      <alignment horizontal="center" vertical="center" textRotation="90" wrapText="1"/>
    </xf>
    <xf numFmtId="0" fontId="9" fillId="32" borderId="172" xfId="0" applyFont="1" applyFill="1" applyBorder="1" applyAlignment="1" applyProtection="1">
      <alignment horizontal="center" vertical="center" textRotation="90" wrapText="1"/>
    </xf>
    <xf numFmtId="0" fontId="9" fillId="32" borderId="173" xfId="0" applyFont="1" applyFill="1" applyBorder="1" applyAlignment="1" applyProtection="1">
      <alignment horizontal="center" vertical="center" textRotation="90" wrapText="1"/>
    </xf>
    <xf numFmtId="170" fontId="162" fillId="0" borderId="167" xfId="0" applyNumberFormat="1" applyFont="1" applyBorder="1" applyAlignment="1" applyProtection="1">
      <alignment horizontal="center" vertical="center"/>
    </xf>
    <xf numFmtId="170" fontId="162" fillId="0" borderId="168" xfId="0" applyNumberFormat="1" applyFont="1" applyBorder="1" applyAlignment="1" applyProtection="1">
      <alignment horizontal="center" vertical="center"/>
    </xf>
    <xf numFmtId="14" fontId="153" fillId="0" borderId="2" xfId="0" applyNumberFormat="1" applyFont="1" applyBorder="1" applyAlignment="1" applyProtection="1">
      <alignment horizontal="center"/>
    </xf>
    <xf numFmtId="14" fontId="153" fillId="0" borderId="4" xfId="0" applyNumberFormat="1" applyFont="1" applyBorder="1" applyAlignment="1" applyProtection="1">
      <alignment horizontal="center"/>
    </xf>
    <xf numFmtId="14" fontId="153" fillId="0" borderId="138" xfId="0" applyNumberFormat="1" applyFont="1" applyBorder="1" applyAlignment="1" applyProtection="1">
      <alignment horizontal="center"/>
    </xf>
    <xf numFmtId="0" fontId="184" fillId="0" borderId="167" xfId="0" applyFont="1" applyBorder="1" applyAlignment="1" applyProtection="1">
      <alignment horizontal="center" vertical="center"/>
    </xf>
    <xf numFmtId="0" fontId="184" fillId="0" borderId="168" xfId="0" applyFont="1" applyBorder="1" applyAlignment="1" applyProtection="1">
      <alignment horizontal="center" vertical="center"/>
    </xf>
    <xf numFmtId="170" fontId="19" fillId="0" borderId="167" xfId="0" applyNumberFormat="1" applyFont="1" applyBorder="1" applyAlignment="1" applyProtection="1">
      <alignment horizontal="center" vertical="center"/>
      <protection locked="0"/>
    </xf>
    <xf numFmtId="170" fontId="19" fillId="0" borderId="168" xfId="0" applyNumberFormat="1" applyFont="1" applyBorder="1" applyAlignment="1" applyProtection="1">
      <alignment horizontal="center" vertical="center"/>
      <protection locked="0"/>
    </xf>
    <xf numFmtId="170" fontId="225" fillId="0" borderId="167" xfId="0" applyNumberFormat="1" applyFont="1" applyBorder="1" applyAlignment="1" applyProtection="1">
      <alignment horizontal="center" vertical="center"/>
      <protection locked="0"/>
    </xf>
    <xf numFmtId="170" fontId="225" fillId="0" borderId="168" xfId="0" applyNumberFormat="1" applyFont="1" applyBorder="1" applyAlignment="1" applyProtection="1">
      <alignment horizontal="center" vertical="center"/>
      <protection locked="0"/>
    </xf>
    <xf numFmtId="0" fontId="153" fillId="0" borderId="444" xfId="0" applyFont="1" applyBorder="1" applyAlignment="1" applyProtection="1">
      <alignment horizontal="center"/>
    </xf>
    <xf numFmtId="0" fontId="153" fillId="0" borderId="128" xfId="0" applyFont="1" applyBorder="1" applyAlignment="1" applyProtection="1">
      <alignment horizontal="center"/>
    </xf>
    <xf numFmtId="0" fontId="244" fillId="0" borderId="167" xfId="0" applyFont="1" applyBorder="1" applyAlignment="1" applyProtection="1">
      <alignment horizontal="center" vertical="center"/>
    </xf>
    <xf numFmtId="0" fontId="244" fillId="0" borderId="589" xfId="0" applyFont="1" applyBorder="1" applyAlignment="1" applyProtection="1">
      <alignment horizontal="center" vertical="center"/>
    </xf>
    <xf numFmtId="0" fontId="244" fillId="0" borderId="47" xfId="0" applyFont="1" applyBorder="1" applyAlignment="1" applyProtection="1">
      <alignment horizontal="center" vertical="center"/>
    </xf>
    <xf numFmtId="0" fontId="244" fillId="0" borderId="48" xfId="0" applyFont="1" applyBorder="1" applyAlignment="1" applyProtection="1">
      <alignment horizontal="center" vertical="center"/>
    </xf>
    <xf numFmtId="0" fontId="22" fillId="32" borderId="158" xfId="0" applyFont="1" applyFill="1" applyBorder="1" applyAlignment="1" applyProtection="1">
      <alignment horizontal="center" vertical="center"/>
    </xf>
    <xf numFmtId="0" fontId="22" fillId="32" borderId="162" xfId="0" applyFont="1" applyFill="1" applyBorder="1" applyAlignment="1" applyProtection="1">
      <alignment horizontal="center" vertical="center"/>
    </xf>
    <xf numFmtId="0" fontId="22" fillId="32" borderId="159" xfId="0" applyFont="1" applyFill="1" applyBorder="1" applyAlignment="1" applyProtection="1">
      <alignment horizontal="center" vertical="center"/>
    </xf>
    <xf numFmtId="0" fontId="22" fillId="32" borderId="87" xfId="0" applyFont="1" applyFill="1" applyBorder="1" applyAlignment="1" applyProtection="1">
      <alignment horizontal="center" vertical="center"/>
    </xf>
    <xf numFmtId="0" fontId="22" fillId="32" borderId="0" xfId="0" applyFont="1" applyFill="1" applyBorder="1" applyAlignment="1" applyProtection="1">
      <alignment horizontal="center" vertical="center"/>
    </xf>
    <xf numFmtId="0" fontId="22" fillId="32" borderId="91" xfId="0" applyFont="1" applyFill="1" applyBorder="1" applyAlignment="1" applyProtection="1">
      <alignment horizontal="center" vertical="center"/>
    </xf>
    <xf numFmtId="0" fontId="22" fillId="32" borderId="160" xfId="0" applyFont="1" applyFill="1" applyBorder="1" applyAlignment="1" applyProtection="1">
      <alignment horizontal="center" vertical="center"/>
    </xf>
    <xf numFmtId="0" fontId="22" fillId="32" borderId="163" xfId="0" applyFont="1" applyFill="1" applyBorder="1" applyAlignment="1" applyProtection="1">
      <alignment horizontal="center" vertical="center"/>
    </xf>
    <xf numFmtId="0" fontId="22" fillId="32" borderId="161" xfId="0" applyFont="1" applyFill="1" applyBorder="1" applyAlignment="1" applyProtection="1">
      <alignment horizontal="center" vertical="center"/>
    </xf>
    <xf numFmtId="170" fontId="162" fillId="0" borderId="146" xfId="0" applyNumberFormat="1" applyFont="1" applyBorder="1" applyAlignment="1" applyProtection="1">
      <alignment horizontal="center" vertical="center"/>
    </xf>
    <xf numFmtId="0" fontId="162" fillId="0" borderId="53" xfId="0" applyNumberFormat="1" applyFont="1" applyBorder="1" applyAlignment="1" applyProtection="1">
      <alignment horizontal="left" vertical="center"/>
    </xf>
    <xf numFmtId="0" fontId="162" fillId="0" borderId="51" xfId="0" applyNumberFormat="1" applyFont="1" applyBorder="1" applyAlignment="1" applyProtection="1">
      <alignment horizontal="left" vertical="center"/>
    </xf>
    <xf numFmtId="0" fontId="244" fillId="0" borderId="147" xfId="0" applyFont="1" applyBorder="1" applyAlignment="1" applyProtection="1">
      <alignment horizontal="center" vertical="center"/>
    </xf>
    <xf numFmtId="0" fontId="244" fillId="0" borderId="324" xfId="0" applyFont="1" applyBorder="1" applyAlignment="1" applyProtection="1">
      <alignment horizontal="center" vertical="center"/>
    </xf>
    <xf numFmtId="0" fontId="184" fillId="0" borderId="174" xfId="0" applyFont="1" applyBorder="1" applyAlignment="1" applyProtection="1">
      <alignment horizontal="center"/>
    </xf>
    <xf numFmtId="0" fontId="184" fillId="0" borderId="176" xfId="0" applyFont="1" applyBorder="1" applyAlignment="1" applyProtection="1">
      <alignment horizontal="center"/>
    </xf>
    <xf numFmtId="0" fontId="184" fillId="0" borderId="147" xfId="0" applyFont="1" applyBorder="1" applyAlignment="1" applyProtection="1">
      <alignment horizontal="center" vertical="center"/>
    </xf>
    <xf numFmtId="0" fontId="184" fillId="0" borderId="149" xfId="0" applyFont="1" applyBorder="1" applyAlignment="1" applyProtection="1">
      <alignment horizontal="center" vertical="center"/>
    </xf>
    <xf numFmtId="0" fontId="296" fillId="0" borderId="47" xfId="0" applyFont="1" applyBorder="1" applyAlignment="1" applyProtection="1">
      <alignment horizontal="left" vertical="center"/>
    </xf>
    <xf numFmtId="0" fontId="296" fillId="0" borderId="48" xfId="0" applyFont="1" applyBorder="1" applyAlignment="1" applyProtection="1">
      <alignment horizontal="left" vertical="center"/>
    </xf>
    <xf numFmtId="0" fontId="296" fillId="0" borderId="49" xfId="0" applyFont="1" applyBorder="1" applyAlignment="1" applyProtection="1">
      <alignment horizontal="left" vertical="center"/>
    </xf>
    <xf numFmtId="0" fontId="184" fillId="26" borderId="48" xfId="0" applyFont="1" applyFill="1" applyBorder="1" applyAlignment="1" applyProtection="1">
      <alignment horizontal="center" vertical="center"/>
    </xf>
    <xf numFmtId="0" fontId="184" fillId="26" borderId="49" xfId="0" applyFont="1" applyFill="1" applyBorder="1" applyAlignment="1" applyProtection="1">
      <alignment horizontal="center" vertical="center"/>
    </xf>
    <xf numFmtId="0" fontId="9" fillId="18" borderId="85" xfId="0" applyFont="1" applyFill="1" applyBorder="1" applyAlignment="1" applyProtection="1">
      <alignment horizontal="center" vertical="center"/>
    </xf>
    <xf numFmtId="0" fontId="9" fillId="18" borderId="86" xfId="0" applyFont="1" applyFill="1" applyBorder="1" applyAlignment="1" applyProtection="1">
      <alignment horizontal="center" vertical="center"/>
    </xf>
    <xf numFmtId="0" fontId="9" fillId="18" borderId="90" xfId="0" applyFont="1" applyFill="1" applyBorder="1" applyAlignment="1" applyProtection="1">
      <alignment horizontal="center" vertical="center"/>
    </xf>
    <xf numFmtId="0" fontId="322" fillId="20" borderId="47" xfId="0" applyFont="1" applyFill="1" applyBorder="1" applyAlignment="1" applyProtection="1">
      <alignment horizontal="center" vertical="top"/>
    </xf>
    <xf numFmtId="0" fontId="322" fillId="20" borderId="48" xfId="0" applyFont="1" applyFill="1" applyBorder="1" applyAlignment="1" applyProtection="1">
      <alignment horizontal="center" vertical="top"/>
    </xf>
    <xf numFmtId="0" fontId="321" fillId="22" borderId="47" xfId="0" applyFont="1" applyFill="1" applyBorder="1" applyAlignment="1" applyProtection="1">
      <alignment horizontal="center" vertical="center"/>
    </xf>
    <xf numFmtId="0" fontId="321" fillId="22" borderId="48" xfId="0" applyFont="1" applyFill="1" applyBorder="1" applyAlignment="1" applyProtection="1">
      <alignment horizontal="center" vertical="center"/>
    </xf>
    <xf numFmtId="0" fontId="321" fillId="22" borderId="49" xfId="0" applyFont="1" applyFill="1" applyBorder="1" applyAlignment="1" applyProtection="1">
      <alignment horizontal="center" vertical="center"/>
    </xf>
    <xf numFmtId="0" fontId="301" fillId="25" borderId="47" xfId="0" applyFont="1" applyFill="1" applyBorder="1" applyAlignment="1" applyProtection="1">
      <alignment horizontal="center" vertical="top"/>
    </xf>
    <xf numFmtId="0" fontId="301" fillId="25" borderId="48" xfId="0" applyFont="1" applyFill="1" applyBorder="1" applyAlignment="1" applyProtection="1">
      <alignment horizontal="center" vertical="top"/>
    </xf>
    <xf numFmtId="0" fontId="9" fillId="26" borderId="47" xfId="0" applyFont="1" applyFill="1" applyBorder="1" applyAlignment="1" applyProtection="1">
      <alignment horizontal="center" vertical="center"/>
    </xf>
    <xf numFmtId="0" fontId="9" fillId="26" borderId="49" xfId="0" applyFont="1" applyFill="1" applyBorder="1" applyAlignment="1" applyProtection="1">
      <alignment horizontal="center" vertical="center"/>
    </xf>
    <xf numFmtId="0" fontId="296" fillId="26" borderId="48" xfId="0" applyFont="1" applyFill="1" applyBorder="1" applyAlignment="1" applyProtection="1">
      <alignment horizontal="center" vertical="center"/>
    </xf>
    <xf numFmtId="0" fontId="296" fillId="26" borderId="49" xfId="0" applyFont="1" applyFill="1" applyBorder="1" applyAlignment="1" applyProtection="1">
      <alignment horizontal="center" vertical="center"/>
    </xf>
    <xf numFmtId="0" fontId="312" fillId="28" borderId="47" xfId="0" applyFont="1" applyFill="1" applyBorder="1" applyAlignment="1" applyProtection="1">
      <alignment horizontal="center" vertical="center"/>
    </xf>
    <xf numFmtId="0" fontId="312" fillId="28" borderId="48" xfId="0" applyFont="1" applyFill="1" applyBorder="1" applyAlignment="1" applyProtection="1">
      <alignment horizontal="center" vertical="center"/>
    </xf>
    <xf numFmtId="0" fontId="296" fillId="28" borderId="47" xfId="0" applyFont="1" applyFill="1" applyBorder="1" applyAlignment="1" applyProtection="1">
      <alignment horizontal="center" vertical="center"/>
    </xf>
    <xf numFmtId="0" fontId="296" fillId="28" borderId="48" xfId="0" applyFont="1" applyFill="1" applyBorder="1" applyAlignment="1" applyProtection="1">
      <alignment horizontal="center" vertical="center"/>
    </xf>
    <xf numFmtId="0" fontId="311" fillId="27" borderId="47" xfId="0" applyFont="1" applyFill="1" applyBorder="1" applyAlignment="1" applyProtection="1">
      <alignment horizontal="center" vertical="center"/>
    </xf>
    <xf numFmtId="0" fontId="311" fillId="27" borderId="48" xfId="0" applyFont="1" applyFill="1" applyBorder="1" applyAlignment="1" applyProtection="1">
      <alignment horizontal="center" vertical="center"/>
    </xf>
    <xf numFmtId="0" fontId="184" fillId="26" borderId="47" xfId="0" applyFont="1" applyFill="1" applyBorder="1" applyAlignment="1" applyProtection="1">
      <alignment horizontal="center" vertical="center"/>
    </xf>
    <xf numFmtId="0" fontId="185" fillId="0" borderId="47" xfId="0" applyFont="1" applyBorder="1" applyAlignment="1" applyProtection="1">
      <alignment horizontal="center"/>
    </xf>
    <xf numFmtId="0" fontId="185" fillId="0" borderId="48" xfId="0" applyFont="1" applyBorder="1" applyAlignment="1" applyProtection="1">
      <alignment horizontal="center"/>
    </xf>
    <xf numFmtId="0" fontId="9" fillId="20" borderId="22" xfId="0" applyFont="1" applyFill="1" applyBorder="1" applyAlignment="1" applyProtection="1">
      <alignment horizontal="center" vertical="center"/>
    </xf>
    <xf numFmtId="0" fontId="319" fillId="25" borderId="47" xfId="0" applyFont="1" applyFill="1" applyBorder="1" applyAlignment="1" applyProtection="1">
      <alignment horizontal="center" vertical="center"/>
    </xf>
    <xf numFmtId="0" fontId="319" fillId="25" borderId="48" xfId="0" applyFont="1" applyFill="1" applyBorder="1" applyAlignment="1" applyProtection="1">
      <alignment horizontal="center" vertical="center"/>
    </xf>
    <xf numFmtId="0" fontId="301" fillId="0" borderId="47" xfId="0" applyFont="1" applyBorder="1" applyAlignment="1" applyProtection="1">
      <alignment horizontal="center"/>
    </xf>
    <xf numFmtId="0" fontId="301" fillId="0" borderId="48" xfId="0" applyFont="1" applyBorder="1" applyAlignment="1" applyProtection="1">
      <alignment horizontal="center"/>
    </xf>
    <xf numFmtId="0" fontId="301" fillId="0" borderId="49" xfId="0" applyFont="1" applyBorder="1" applyAlignment="1" applyProtection="1">
      <alignment horizontal="center"/>
    </xf>
    <xf numFmtId="0" fontId="21" fillId="27" borderId="47" xfId="0" applyFont="1" applyFill="1" applyBorder="1" applyAlignment="1" applyProtection="1">
      <alignment horizontal="center" vertical="top"/>
    </xf>
    <xf numFmtId="0" fontId="21" fillId="27" borderId="48" xfId="0" applyFont="1" applyFill="1" applyBorder="1" applyAlignment="1" applyProtection="1">
      <alignment horizontal="center" vertical="top"/>
    </xf>
    <xf numFmtId="0" fontId="14" fillId="16" borderId="47" xfId="0" applyFont="1" applyFill="1" applyBorder="1" applyAlignment="1" applyProtection="1">
      <alignment horizontal="center" vertical="center"/>
    </xf>
    <xf numFmtId="0" fontId="0" fillId="16" borderId="49" xfId="0" applyFill="1" applyBorder="1" applyAlignment="1" applyProtection="1">
      <alignment horizontal="center" vertical="center"/>
    </xf>
    <xf numFmtId="1" fontId="14" fillId="16" borderId="22" xfId="0" applyNumberFormat="1" applyFont="1" applyFill="1" applyBorder="1" applyAlignment="1" applyProtection="1">
      <alignment horizontal="center" vertical="center" wrapText="1"/>
    </xf>
    <xf numFmtId="0" fontId="21" fillId="16" borderId="22" xfId="0" applyFont="1" applyFill="1" applyBorder="1" applyAlignment="1" applyProtection="1">
      <alignment horizontal="center" vertical="center"/>
    </xf>
    <xf numFmtId="0" fontId="18" fillId="16" borderId="22" xfId="0" applyFont="1" applyFill="1" applyBorder="1" applyAlignment="1" applyProtection="1">
      <alignment horizontal="center" vertical="top" wrapText="1"/>
      <protection locked="0"/>
    </xf>
    <xf numFmtId="0" fontId="9" fillId="33" borderId="85" xfId="0" applyFont="1" applyFill="1" applyBorder="1" applyAlignment="1" applyProtection="1">
      <alignment horizontal="right" vertical="center"/>
    </xf>
    <xf numFmtId="0" fontId="19" fillId="0" borderId="86" xfId="0" applyFont="1" applyBorder="1"/>
    <xf numFmtId="0" fontId="19" fillId="0" borderId="88" xfId="0" applyFont="1" applyBorder="1"/>
    <xf numFmtId="0" fontId="19" fillId="0" borderId="89" xfId="0" applyFont="1" applyBorder="1"/>
    <xf numFmtId="0" fontId="19" fillId="16" borderId="22" xfId="0" applyFont="1" applyFill="1" applyBorder="1" applyAlignment="1" applyProtection="1">
      <alignment horizontal="center" vertical="center" wrapText="1"/>
    </xf>
    <xf numFmtId="0" fontId="9" fillId="16" borderId="48" xfId="0" applyFont="1" applyFill="1" applyBorder="1" applyAlignment="1" applyProtection="1">
      <alignment horizontal="center" vertical="center"/>
    </xf>
    <xf numFmtId="0" fontId="0" fillId="16" borderId="22" xfId="0" applyFill="1" applyBorder="1" applyAlignment="1" applyProtection="1">
      <alignment horizontal="center"/>
      <protection locked="0"/>
    </xf>
    <xf numFmtId="1" fontId="6" fillId="16" borderId="22" xfId="0" applyNumberFormat="1" applyFont="1" applyFill="1" applyBorder="1" applyAlignment="1" applyProtection="1">
      <alignment horizontal="center" vertical="center" wrapText="1"/>
    </xf>
    <xf numFmtId="0" fontId="9" fillId="33" borderId="490" xfId="0" applyFont="1" applyFill="1" applyBorder="1" applyAlignment="1" applyProtection="1">
      <alignment horizontal="left"/>
    </xf>
    <xf numFmtId="0" fontId="0" fillId="16" borderId="47" xfId="0" applyFill="1" applyBorder="1" applyAlignment="1" applyProtection="1">
      <alignment horizontal="center" vertical="center"/>
    </xf>
    <xf numFmtId="0" fontId="18" fillId="16" borderId="85" xfId="0" applyFont="1" applyFill="1" applyBorder="1" applyAlignment="1" applyProtection="1">
      <alignment horizontal="center"/>
      <protection locked="0"/>
    </xf>
    <xf numFmtId="0" fontId="18" fillId="16" borderId="86" xfId="0" applyFont="1" applyFill="1" applyBorder="1" applyAlignment="1" applyProtection="1">
      <alignment horizontal="center"/>
      <protection locked="0"/>
    </xf>
    <xf numFmtId="0" fontId="18" fillId="16" borderId="90" xfId="0" applyFont="1" applyFill="1" applyBorder="1" applyAlignment="1" applyProtection="1">
      <alignment horizontal="center"/>
      <protection locked="0"/>
    </xf>
    <xf numFmtId="0" fontId="18" fillId="16" borderId="87" xfId="0" applyFont="1" applyFill="1" applyBorder="1" applyAlignment="1" applyProtection="1">
      <alignment horizontal="center"/>
      <protection locked="0"/>
    </xf>
    <xf numFmtId="0" fontId="18" fillId="16" borderId="0" xfId="0" applyFont="1" applyFill="1" applyBorder="1" applyAlignment="1" applyProtection="1">
      <alignment horizontal="center"/>
      <protection locked="0"/>
    </xf>
    <xf numFmtId="0" fontId="18" fillId="16" borderId="91" xfId="0" applyFont="1" applyFill="1" applyBorder="1" applyAlignment="1" applyProtection="1">
      <alignment horizontal="center"/>
      <protection locked="0"/>
    </xf>
    <xf numFmtId="0" fontId="18" fillId="16" borderId="88" xfId="0" applyFont="1" applyFill="1" applyBorder="1" applyAlignment="1" applyProtection="1">
      <alignment horizontal="center"/>
      <protection locked="0"/>
    </xf>
    <xf numFmtId="0" fontId="18" fillId="16" borderId="89" xfId="0" applyFont="1" applyFill="1" applyBorder="1" applyAlignment="1" applyProtection="1">
      <alignment horizontal="center"/>
      <protection locked="0"/>
    </xf>
    <xf numFmtId="0" fontId="18" fillId="16" borderId="92" xfId="0" applyFont="1" applyFill="1" applyBorder="1" applyAlignment="1" applyProtection="1">
      <alignment horizontal="center"/>
      <protection locked="0"/>
    </xf>
    <xf numFmtId="0" fontId="9" fillId="33" borderId="490" xfId="0" applyFont="1" applyFill="1" applyBorder="1" applyAlignment="1" applyProtection="1">
      <alignment horizontal="right"/>
    </xf>
    <xf numFmtId="0" fontId="6" fillId="33" borderId="22" xfId="0" applyFont="1" applyFill="1" applyBorder="1" applyAlignment="1" applyProtection="1">
      <alignment horizontal="center" vertical="center"/>
    </xf>
    <xf numFmtId="0" fontId="14" fillId="16" borderId="49" xfId="0" applyFont="1" applyFill="1" applyBorder="1" applyAlignment="1" applyProtection="1">
      <alignment horizontal="center" vertical="center"/>
    </xf>
    <xf numFmtId="0" fontId="14" fillId="16" borderId="22" xfId="0" applyFont="1" applyFill="1" applyBorder="1" applyAlignment="1" applyProtection="1">
      <alignment horizontal="center" vertical="center" wrapText="1"/>
    </xf>
    <xf numFmtId="0" fontId="14" fillId="16" borderId="22" xfId="0" applyFont="1" applyFill="1" applyBorder="1" applyAlignment="1" applyProtection="1">
      <alignment horizontal="center" vertical="center"/>
    </xf>
    <xf numFmtId="0" fontId="6" fillId="16" borderId="22" xfId="0" applyFont="1" applyFill="1" applyBorder="1" applyAlignment="1" applyProtection="1">
      <alignment horizontal="center" vertical="center"/>
    </xf>
    <xf numFmtId="0" fontId="14" fillId="16" borderId="22" xfId="0" applyFont="1" applyFill="1" applyBorder="1" applyAlignment="1" applyProtection="1">
      <alignment horizontal="center" vertical="center"/>
      <protection locked="0"/>
    </xf>
    <xf numFmtId="1" fontId="14" fillId="16" borderId="22" xfId="0" applyNumberFormat="1" applyFont="1" applyFill="1" applyBorder="1" applyAlignment="1" applyProtection="1">
      <alignment horizontal="center" vertical="center"/>
    </xf>
    <xf numFmtId="0" fontId="31" fillId="16" borderId="85" xfId="0" applyFont="1" applyFill="1" applyBorder="1" applyAlignment="1" applyProtection="1">
      <alignment horizontal="center"/>
    </xf>
    <xf numFmtId="0" fontId="31" fillId="16" borderId="86" xfId="0" applyFont="1" applyFill="1" applyBorder="1" applyAlignment="1" applyProtection="1">
      <alignment horizontal="center"/>
    </xf>
    <xf numFmtId="0" fontId="31" fillId="16" borderId="90" xfId="0" applyFont="1" applyFill="1" applyBorder="1" applyAlignment="1" applyProtection="1">
      <alignment horizontal="center"/>
    </xf>
    <xf numFmtId="0" fontId="31" fillId="16" borderId="87" xfId="0" applyFont="1" applyFill="1" applyBorder="1" applyAlignment="1" applyProtection="1">
      <alignment horizontal="center"/>
    </xf>
    <xf numFmtId="0" fontId="31" fillId="16" borderId="0" xfId="0" applyFont="1" applyFill="1" applyBorder="1" applyAlignment="1" applyProtection="1">
      <alignment horizontal="center"/>
    </xf>
    <xf numFmtId="0" fontId="31" fillId="16" borderId="91" xfId="0" applyFont="1" applyFill="1" applyBorder="1" applyAlignment="1" applyProtection="1">
      <alignment horizontal="center"/>
    </xf>
    <xf numFmtId="0" fontId="31" fillId="16" borderId="88" xfId="0" applyFont="1" applyFill="1" applyBorder="1" applyAlignment="1" applyProtection="1">
      <alignment horizontal="center"/>
    </xf>
    <xf numFmtId="0" fontId="31" fillId="16" borderId="89" xfId="0" applyFont="1" applyFill="1" applyBorder="1" applyAlignment="1" applyProtection="1">
      <alignment horizontal="center"/>
    </xf>
    <xf numFmtId="0" fontId="31" fillId="16" borderId="92" xfId="0" applyFont="1" applyFill="1" applyBorder="1" applyAlignment="1" applyProtection="1">
      <alignment horizontal="center"/>
    </xf>
    <xf numFmtId="0" fontId="294" fillId="33" borderId="85" xfId="0" applyFont="1" applyFill="1" applyBorder="1" applyAlignment="1" applyProtection="1">
      <alignment horizontal="center" vertical="center"/>
    </xf>
    <xf numFmtId="0" fontId="294" fillId="33" borderId="86" xfId="0" applyFont="1" applyFill="1" applyBorder="1" applyAlignment="1" applyProtection="1">
      <alignment horizontal="center" vertical="center"/>
    </xf>
    <xf numFmtId="0" fontId="294" fillId="33" borderId="90" xfId="0" applyFont="1" applyFill="1" applyBorder="1" applyAlignment="1" applyProtection="1">
      <alignment horizontal="center" vertical="center"/>
    </xf>
    <xf numFmtId="0" fontId="9" fillId="33" borderId="88" xfId="0" applyFont="1" applyFill="1" applyBorder="1" applyAlignment="1" applyProtection="1">
      <alignment horizontal="center" vertical="center"/>
    </xf>
    <xf numFmtId="0" fontId="9" fillId="33" borderId="89" xfId="0" applyFont="1" applyFill="1" applyBorder="1" applyAlignment="1" applyProtection="1">
      <alignment horizontal="center" vertical="center"/>
    </xf>
    <xf numFmtId="0" fontId="9" fillId="33" borderId="92" xfId="0" applyFont="1" applyFill="1" applyBorder="1" applyAlignment="1" applyProtection="1">
      <alignment horizontal="center" vertical="center"/>
    </xf>
    <xf numFmtId="0" fontId="7" fillId="16" borderId="85" xfId="0" applyFont="1" applyFill="1" applyBorder="1" applyAlignment="1" applyProtection="1">
      <alignment horizontal="center" vertical="center"/>
    </xf>
    <xf numFmtId="0" fontId="7" fillId="16" borderId="86" xfId="0" applyFont="1" applyFill="1" applyBorder="1" applyAlignment="1" applyProtection="1">
      <alignment horizontal="center" vertical="center"/>
    </xf>
    <xf numFmtId="0" fontId="7" fillId="16" borderId="90" xfId="0" applyFont="1" applyFill="1" applyBorder="1" applyAlignment="1" applyProtection="1">
      <alignment horizontal="center" vertical="center"/>
    </xf>
    <xf numFmtId="0" fontId="7" fillId="16" borderId="47" xfId="0" applyFont="1" applyFill="1" applyBorder="1" applyAlignment="1" applyProtection="1">
      <alignment horizontal="center" vertical="center"/>
    </xf>
    <xf numFmtId="0" fontId="7" fillId="16" borderId="48" xfId="0" applyFont="1" applyFill="1" applyBorder="1" applyAlignment="1" applyProtection="1">
      <alignment horizontal="center" vertical="center"/>
    </xf>
    <xf numFmtId="0" fontId="7" fillId="16" borderId="49" xfId="0" applyFont="1" applyFill="1" applyBorder="1" applyAlignment="1" applyProtection="1">
      <alignment horizontal="center" vertical="center"/>
    </xf>
    <xf numFmtId="0" fontId="10" fillId="16" borderId="47" xfId="0" applyFont="1" applyFill="1" applyBorder="1" applyAlignment="1" applyProtection="1">
      <alignment horizontal="center" vertical="center"/>
    </xf>
    <xf numFmtId="0" fontId="10" fillId="16" borderId="48" xfId="0" applyFont="1" applyFill="1" applyBorder="1" applyAlignment="1" applyProtection="1">
      <alignment horizontal="center" vertical="center"/>
    </xf>
    <xf numFmtId="0" fontId="10" fillId="16" borderId="49" xfId="0" applyFont="1" applyFill="1" applyBorder="1" applyAlignment="1" applyProtection="1">
      <alignment horizontal="center" vertical="center"/>
    </xf>
    <xf numFmtId="0" fontId="10" fillId="16" borderId="22" xfId="0" applyFont="1" applyFill="1" applyBorder="1" applyAlignment="1" applyProtection="1">
      <alignment horizontal="center" vertical="center"/>
    </xf>
    <xf numFmtId="0" fontId="10" fillId="16" borderId="102" xfId="0" applyFont="1" applyFill="1" applyBorder="1" applyAlignment="1" applyProtection="1">
      <alignment horizontal="center" vertical="center"/>
    </xf>
    <xf numFmtId="0" fontId="23" fillId="16" borderId="26" xfId="1" applyFont="1" applyFill="1" applyBorder="1" applyAlignment="1" applyProtection="1">
      <alignment horizontal="center" vertical="center"/>
    </xf>
    <xf numFmtId="0" fontId="23" fillId="16" borderId="29" xfId="1" applyFont="1" applyFill="1" applyBorder="1" applyAlignment="1" applyProtection="1">
      <alignment horizontal="center" vertical="center"/>
    </xf>
    <xf numFmtId="0" fontId="295" fillId="16" borderId="26" xfId="0" applyFont="1" applyFill="1" applyBorder="1" applyAlignment="1" applyProtection="1">
      <alignment horizontal="right" vertical="center"/>
    </xf>
    <xf numFmtId="0" fontId="133" fillId="0" borderId="29" xfId="0" applyFont="1" applyBorder="1"/>
    <xf numFmtId="0" fontId="19" fillId="16" borderId="151" xfId="0" applyFont="1" applyFill="1" applyBorder="1" applyAlignment="1" applyProtection="1">
      <alignment horizontal="left"/>
    </xf>
    <xf numFmtId="0" fontId="19" fillId="16" borderId="152" xfId="0" applyFont="1" applyFill="1" applyBorder="1" applyAlignment="1" applyProtection="1">
      <alignment horizontal="left"/>
    </xf>
    <xf numFmtId="0" fontId="19" fillId="16" borderId="142" xfId="0" applyFont="1" applyFill="1" applyBorder="1" applyAlignment="1" applyProtection="1">
      <alignment horizontal="left"/>
    </xf>
    <xf numFmtId="0" fontId="10" fillId="16" borderId="85" xfId="0" applyFont="1" applyFill="1" applyBorder="1" applyAlignment="1" applyProtection="1">
      <alignment horizontal="center" vertical="center"/>
    </xf>
    <xf numFmtId="0" fontId="10" fillId="16" borderId="86" xfId="0" applyFont="1" applyFill="1" applyBorder="1" applyAlignment="1" applyProtection="1">
      <alignment horizontal="center" vertical="center"/>
    </xf>
    <xf numFmtId="0" fontId="10" fillId="16" borderId="90" xfId="0" applyFont="1" applyFill="1" applyBorder="1" applyAlignment="1" applyProtection="1">
      <alignment horizontal="center" vertical="center"/>
    </xf>
    <xf numFmtId="0" fontId="9" fillId="33" borderId="86" xfId="0" applyFont="1" applyFill="1" applyBorder="1" applyAlignment="1" applyProtection="1">
      <alignment horizontal="center" vertical="center"/>
    </xf>
    <xf numFmtId="0" fontId="21" fillId="16" borderId="146" xfId="0" applyFont="1" applyFill="1" applyBorder="1" applyAlignment="1" applyProtection="1">
      <alignment horizontal="center" vertical="center"/>
    </xf>
    <xf numFmtId="0" fontId="9" fillId="33" borderId="48" xfId="0" applyFont="1" applyFill="1" applyBorder="1" applyAlignment="1" applyProtection="1">
      <alignment horizontal="center" vertical="center"/>
    </xf>
    <xf numFmtId="0" fontId="21" fillId="16" borderId="85" xfId="0" applyFont="1" applyFill="1" applyBorder="1" applyAlignment="1" applyProtection="1">
      <alignment horizontal="center" vertical="center"/>
    </xf>
    <xf numFmtId="0" fontId="21" fillId="16" borderId="86" xfId="0" applyFont="1" applyFill="1" applyBorder="1" applyAlignment="1" applyProtection="1">
      <alignment horizontal="center" vertical="center"/>
    </xf>
    <xf numFmtId="0" fontId="21" fillId="16" borderId="90" xfId="0" applyFont="1" applyFill="1" applyBorder="1" applyAlignment="1" applyProtection="1">
      <alignment horizontal="center" vertical="center"/>
    </xf>
    <xf numFmtId="0" fontId="14" fillId="16" borderId="85" xfId="0" applyFont="1" applyFill="1" applyBorder="1" applyAlignment="1" applyProtection="1">
      <alignment horizontal="center" vertical="center" wrapText="1"/>
      <protection locked="0"/>
    </xf>
    <xf numFmtId="0" fontId="14" fillId="16" borderId="86" xfId="0" applyFont="1" applyFill="1" applyBorder="1" applyAlignment="1" applyProtection="1">
      <alignment horizontal="center" vertical="center" wrapText="1"/>
      <protection locked="0"/>
    </xf>
    <xf numFmtId="0" fontId="14" fillId="16" borderId="90" xfId="0" applyFont="1" applyFill="1" applyBorder="1" applyAlignment="1" applyProtection="1">
      <alignment horizontal="center" vertical="center" wrapText="1"/>
      <protection locked="0"/>
    </xf>
    <xf numFmtId="0" fontId="14" fillId="16" borderId="87" xfId="0" applyFont="1" applyFill="1" applyBorder="1" applyAlignment="1" applyProtection="1">
      <alignment horizontal="center" vertical="center" wrapText="1"/>
      <protection locked="0"/>
    </xf>
    <xf numFmtId="0" fontId="14" fillId="16" borderId="0" xfId="0" applyFont="1" applyFill="1" applyBorder="1" applyAlignment="1" applyProtection="1">
      <alignment horizontal="center" vertical="center" wrapText="1"/>
      <protection locked="0"/>
    </xf>
    <xf numFmtId="0" fontId="14" fillId="16" borderId="91" xfId="0" applyFont="1" applyFill="1" applyBorder="1" applyAlignment="1" applyProtection="1">
      <alignment horizontal="center" vertical="center" wrapText="1"/>
      <protection locked="0"/>
    </xf>
    <xf numFmtId="0" fontId="14" fillId="16" borderId="88" xfId="0" applyFont="1" applyFill="1" applyBorder="1" applyAlignment="1" applyProtection="1">
      <alignment horizontal="center" vertical="center" wrapText="1"/>
      <protection locked="0"/>
    </xf>
    <xf numFmtId="0" fontId="14" fillId="16" borderId="89" xfId="0" applyFont="1" applyFill="1" applyBorder="1" applyAlignment="1" applyProtection="1">
      <alignment horizontal="center" vertical="center" wrapText="1"/>
      <protection locked="0"/>
    </xf>
    <xf numFmtId="0" fontId="14" fillId="16" borderId="92" xfId="0" applyFont="1" applyFill="1" applyBorder="1" applyAlignment="1" applyProtection="1">
      <alignment horizontal="center" vertical="center" wrapText="1"/>
      <protection locked="0"/>
    </xf>
    <xf numFmtId="0" fontId="9" fillId="33" borderId="86" xfId="0" applyFont="1" applyFill="1" applyBorder="1" applyAlignment="1" applyProtection="1">
      <alignment horizontal="right" vertical="center"/>
    </xf>
    <xf numFmtId="0" fontId="9" fillId="33" borderId="88" xfId="0" applyFont="1" applyFill="1" applyBorder="1" applyAlignment="1" applyProtection="1">
      <alignment horizontal="right" vertical="center"/>
    </xf>
    <xf numFmtId="0" fontId="9" fillId="33" borderId="89" xfId="0" applyFont="1" applyFill="1" applyBorder="1" applyAlignment="1" applyProtection="1">
      <alignment horizontal="right" vertical="center"/>
    </xf>
    <xf numFmtId="0" fontId="6" fillId="33" borderId="48" xfId="0" applyFont="1" applyFill="1" applyBorder="1" applyAlignment="1" applyProtection="1">
      <alignment horizontal="center"/>
    </xf>
    <xf numFmtId="0" fontId="237" fillId="16" borderId="22" xfId="0" applyFont="1" applyFill="1" applyBorder="1" applyAlignment="1" applyProtection="1">
      <alignment horizontal="center" vertical="center" wrapText="1"/>
    </xf>
    <xf numFmtId="0" fontId="31" fillId="16" borderId="22" xfId="0" applyFont="1" applyFill="1" applyBorder="1" applyAlignment="1" applyProtection="1">
      <alignment horizontal="center" vertical="center" wrapText="1"/>
    </xf>
    <xf numFmtId="0" fontId="19" fillId="0" borderId="18" xfId="0" applyFont="1" applyBorder="1" applyAlignment="1" applyProtection="1">
      <alignment horizontal="center" vertical="center" wrapText="1"/>
    </xf>
    <xf numFmtId="0" fontId="19" fillId="0" borderId="185" xfId="0" applyFont="1" applyBorder="1" applyAlignment="1" applyProtection="1">
      <alignment horizontal="center" vertical="center" wrapText="1"/>
    </xf>
    <xf numFmtId="0" fontId="19" fillId="0" borderId="20" xfId="0" applyFont="1" applyBorder="1" applyAlignment="1" applyProtection="1">
      <alignment horizontal="center" vertical="center" wrapText="1"/>
    </xf>
    <xf numFmtId="0" fontId="19" fillId="0" borderId="488" xfId="0" applyFont="1" applyBorder="1" applyAlignment="1" applyProtection="1">
      <alignment horizontal="center" vertical="center" wrapText="1"/>
    </xf>
    <xf numFmtId="0" fontId="7" fillId="0" borderId="169" xfId="0" applyFont="1" applyBorder="1" applyAlignment="1" applyProtection="1">
      <alignment horizontal="center" vertical="center"/>
    </xf>
    <xf numFmtId="0" fontId="7" fillId="0" borderId="164" xfId="0" applyFont="1" applyBorder="1" applyAlignment="1" applyProtection="1">
      <alignment horizontal="center" vertical="center"/>
    </xf>
    <xf numFmtId="0" fontId="7" fillId="0" borderId="129" xfId="0" applyFont="1" applyBorder="1" applyAlignment="1" applyProtection="1">
      <alignment horizontal="center" vertical="center"/>
    </xf>
    <xf numFmtId="0" fontId="7" fillId="0" borderId="165" xfId="0" applyFont="1" applyBorder="1" applyAlignment="1" applyProtection="1">
      <alignment horizontal="center" vertical="center"/>
    </xf>
    <xf numFmtId="0" fontId="7" fillId="0" borderId="170" xfId="0" applyFont="1" applyBorder="1" applyAlignment="1" applyProtection="1">
      <alignment horizontal="center" vertical="center"/>
    </xf>
    <xf numFmtId="0" fontId="7" fillId="0" borderId="166" xfId="0" applyFont="1" applyBorder="1" applyAlignment="1" applyProtection="1">
      <alignment horizontal="center" vertical="center"/>
    </xf>
    <xf numFmtId="0" fontId="19" fillId="0" borderId="19" xfId="0" applyFont="1" applyBorder="1" applyAlignment="1" applyProtection="1">
      <alignment horizontal="center" vertical="center" wrapText="1"/>
    </xf>
    <xf numFmtId="0" fontId="19" fillId="0" borderId="487" xfId="0" applyFont="1" applyBorder="1" applyAlignment="1" applyProtection="1">
      <alignment horizontal="center" vertical="center" wrapText="1"/>
    </xf>
    <xf numFmtId="0" fontId="28" fillId="0" borderId="26" xfId="0" applyFont="1" applyBorder="1" applyAlignment="1" applyProtection="1">
      <alignment horizontal="center" vertical="top"/>
    </xf>
    <xf numFmtId="0" fontId="29" fillId="0" borderId="31" xfId="0" applyFont="1" applyBorder="1" applyAlignment="1" applyProtection="1">
      <alignment horizontal="center" vertical="top"/>
    </xf>
    <xf numFmtId="0" fontId="29" fillId="0" borderId="29" xfId="0" applyFont="1" applyBorder="1" applyAlignment="1" applyProtection="1">
      <alignment horizontal="center" vertical="top"/>
    </xf>
    <xf numFmtId="0" fontId="19" fillId="16" borderId="56" xfId="0" applyFont="1" applyFill="1" applyBorder="1" applyAlignment="1" applyProtection="1">
      <alignment horizontal="left"/>
    </xf>
    <xf numFmtId="0" fontId="19" fillId="16" borderId="145" xfId="0" applyFont="1" applyFill="1" applyBorder="1" applyAlignment="1" applyProtection="1">
      <alignment horizontal="left"/>
    </xf>
    <xf numFmtId="0" fontId="7" fillId="0" borderId="463" xfId="0" applyFont="1" applyFill="1" applyBorder="1" applyAlignment="1" applyProtection="1">
      <alignment horizontal="center" vertical="center" wrapText="1"/>
    </xf>
    <xf numFmtId="0" fontId="7" fillId="0" borderId="483" xfId="0" applyFont="1" applyFill="1" applyBorder="1" applyAlignment="1" applyProtection="1">
      <alignment horizontal="center" vertical="center" wrapText="1"/>
    </xf>
    <xf numFmtId="0" fontId="7" fillId="0" borderId="485" xfId="0" applyFont="1" applyFill="1" applyBorder="1" applyAlignment="1" applyProtection="1">
      <alignment horizontal="center" vertical="center" wrapText="1"/>
    </xf>
    <xf numFmtId="0" fontId="10" fillId="0" borderId="169" xfId="0" applyFont="1" applyFill="1" applyBorder="1" applyAlignment="1" applyProtection="1">
      <alignment horizontal="center" vertical="center" wrapText="1"/>
    </xf>
    <xf numFmtId="0" fontId="10" fillId="0" borderId="162" xfId="0" applyFont="1" applyFill="1" applyBorder="1" applyAlignment="1" applyProtection="1">
      <alignment horizontal="center" vertical="center" wrapText="1"/>
    </xf>
    <xf numFmtId="0" fontId="10" fillId="0" borderId="164" xfId="0" applyFont="1" applyFill="1" applyBorder="1" applyAlignment="1" applyProtection="1">
      <alignment horizontal="center" vertical="center" wrapText="1"/>
    </xf>
    <xf numFmtId="0" fontId="10" fillId="0" borderId="129" xfId="0" applyFont="1" applyFill="1" applyBorder="1" applyAlignment="1" applyProtection="1">
      <alignment horizontal="center" vertical="center" wrapText="1"/>
    </xf>
    <xf numFmtId="0" fontId="10" fillId="0" borderId="0" xfId="0" applyFont="1" applyFill="1" applyBorder="1" applyAlignment="1" applyProtection="1">
      <alignment horizontal="center" vertical="center" wrapText="1"/>
    </xf>
    <xf numFmtId="0" fontId="10" fillId="0" borderId="165" xfId="0" applyFont="1" applyFill="1" applyBorder="1" applyAlignment="1" applyProtection="1">
      <alignment horizontal="center" vertical="center" wrapText="1"/>
    </xf>
    <xf numFmtId="0" fontId="10" fillId="0" borderId="170" xfId="0" applyFont="1" applyFill="1" applyBorder="1" applyAlignment="1" applyProtection="1">
      <alignment horizontal="center" vertical="center" wrapText="1"/>
    </xf>
    <xf numFmtId="0" fontId="10" fillId="0" borderId="163" xfId="0" applyFont="1" applyFill="1" applyBorder="1" applyAlignment="1" applyProtection="1">
      <alignment horizontal="center" vertical="center" wrapText="1"/>
    </xf>
    <xf numFmtId="0" fontId="10" fillId="0" borderId="166" xfId="0" applyFont="1" applyFill="1" applyBorder="1" applyAlignment="1" applyProtection="1">
      <alignment horizontal="center" vertical="center" wrapText="1"/>
    </xf>
    <xf numFmtId="0" fontId="7" fillId="0" borderId="478" xfId="0" applyFont="1" applyFill="1" applyBorder="1" applyAlignment="1" applyProtection="1">
      <alignment horizontal="center" vertical="center" wrapText="1"/>
    </xf>
    <xf numFmtId="0" fontId="7" fillId="0" borderId="479" xfId="0" applyFont="1" applyFill="1" applyBorder="1" applyAlignment="1" applyProtection="1">
      <alignment horizontal="center" vertical="center" wrapText="1"/>
    </xf>
    <xf numFmtId="0" fontId="7" fillId="0" borderId="481" xfId="0" applyFont="1" applyFill="1" applyBorder="1" applyAlignment="1" applyProtection="1">
      <alignment horizontal="center" vertical="center" wrapText="1"/>
    </xf>
    <xf numFmtId="0" fontId="7" fillId="0" borderId="169" xfId="0" applyFont="1" applyFill="1" applyBorder="1" applyAlignment="1" applyProtection="1">
      <alignment horizontal="center" vertical="center" wrapText="1"/>
    </xf>
    <xf numFmtId="0" fontId="7" fillId="0" borderId="162" xfId="0" applyFont="1" applyFill="1" applyBorder="1" applyAlignment="1" applyProtection="1">
      <alignment horizontal="center" vertical="center" wrapText="1"/>
    </xf>
    <xf numFmtId="0" fontId="7" fillId="0" borderId="164" xfId="0" applyFont="1" applyFill="1" applyBorder="1" applyAlignment="1" applyProtection="1">
      <alignment horizontal="center" vertical="center" wrapText="1"/>
    </xf>
    <xf numFmtId="0" fontId="7" fillId="0" borderId="0" xfId="0" applyFont="1" applyFill="1" applyBorder="1" applyAlignment="1" applyProtection="1">
      <alignment horizontal="center" vertical="center" wrapText="1"/>
    </xf>
    <xf numFmtId="0" fontId="7" fillId="0" borderId="165" xfId="0" applyFont="1" applyFill="1" applyBorder="1" applyAlignment="1" applyProtection="1">
      <alignment horizontal="center" vertical="center" wrapText="1"/>
    </xf>
    <xf numFmtId="0" fontId="7" fillId="0" borderId="163" xfId="0" applyFont="1" applyFill="1" applyBorder="1" applyAlignment="1" applyProtection="1">
      <alignment horizontal="center" vertical="center" wrapText="1"/>
    </xf>
    <xf numFmtId="0" fontId="7" fillId="0" borderId="166" xfId="0" applyFont="1" applyFill="1" applyBorder="1" applyAlignment="1" applyProtection="1">
      <alignment horizontal="center" vertical="center" wrapText="1"/>
    </xf>
    <xf numFmtId="0" fontId="6" fillId="16" borderId="26" xfId="0" applyFont="1" applyFill="1" applyBorder="1" applyAlignment="1" applyProtection="1">
      <alignment horizontal="left"/>
    </xf>
    <xf numFmtId="0" fontId="6" fillId="16" borderId="29" xfId="0" applyFont="1" applyFill="1" applyBorder="1" applyAlignment="1" applyProtection="1">
      <alignment horizontal="left"/>
    </xf>
    <xf numFmtId="0" fontId="6" fillId="16" borderId="26" xfId="0" applyFont="1" applyFill="1" applyBorder="1" applyAlignment="1" applyProtection="1">
      <alignment horizontal="center"/>
    </xf>
    <xf numFmtId="0" fontId="6" fillId="16" borderId="29" xfId="0" applyFont="1" applyFill="1" applyBorder="1" applyAlignment="1" applyProtection="1">
      <alignment horizontal="center"/>
    </xf>
    <xf numFmtId="0" fontId="19" fillId="0" borderId="472" xfId="0" applyFont="1" applyBorder="1" applyAlignment="1" applyProtection="1">
      <alignment horizontal="center" vertical="center" wrapText="1"/>
    </xf>
    <xf numFmtId="0" fontId="19" fillId="0" borderId="21" xfId="0" applyFont="1" applyBorder="1" applyAlignment="1" applyProtection="1">
      <alignment horizontal="center" vertical="center" wrapText="1"/>
    </xf>
    <xf numFmtId="0" fontId="19" fillId="0" borderId="473" xfId="0" applyFont="1" applyBorder="1" applyAlignment="1" applyProtection="1">
      <alignment horizontal="center" vertical="center" wrapText="1"/>
    </xf>
    <xf numFmtId="0" fontId="10" fillId="0" borderId="159" xfId="0" applyFont="1" applyFill="1" applyBorder="1" applyAlignment="1" applyProtection="1">
      <alignment horizontal="center" vertical="center" wrapText="1"/>
    </xf>
    <xf numFmtId="0" fontId="10" fillId="0" borderId="486" xfId="0" applyFont="1" applyFill="1" applyBorder="1" applyAlignment="1" applyProtection="1">
      <alignment horizontal="center" vertical="center" wrapText="1"/>
    </xf>
    <xf numFmtId="0" fontId="7" fillId="0" borderId="170" xfId="0" applyFont="1" applyFill="1" applyBorder="1" applyAlignment="1" applyProtection="1">
      <alignment horizontal="center" vertical="center" wrapText="1"/>
    </xf>
    <xf numFmtId="0" fontId="7" fillId="0" borderId="175" xfId="0" applyFont="1" applyFill="1" applyBorder="1" applyAlignment="1" applyProtection="1">
      <alignment horizontal="center" vertical="center" wrapText="1"/>
    </xf>
    <xf numFmtId="0" fontId="7" fillId="0" borderId="176" xfId="0" applyFont="1" applyFill="1" applyBorder="1" applyAlignment="1" applyProtection="1">
      <alignment horizontal="center" vertical="center" wrapText="1"/>
    </xf>
    <xf numFmtId="0" fontId="19" fillId="0" borderId="474" xfId="0" applyFont="1" applyBorder="1" applyAlignment="1" applyProtection="1">
      <alignment horizontal="center" vertical="center" wrapText="1"/>
    </xf>
    <xf numFmtId="0" fontId="19" fillId="0" borderId="22" xfId="0" applyFont="1" applyBorder="1" applyAlignment="1" applyProtection="1">
      <alignment horizontal="center" vertical="center" wrapText="1"/>
    </xf>
    <xf numFmtId="0" fontId="19" fillId="0" borderId="475" xfId="0" applyFont="1" applyBorder="1" applyAlignment="1" applyProtection="1">
      <alignment horizontal="center" vertical="center" wrapText="1"/>
    </xf>
    <xf numFmtId="0" fontId="19" fillId="0" borderId="514" xfId="0" applyFont="1" applyBorder="1" applyAlignment="1" applyProtection="1">
      <alignment horizontal="center" vertical="center" wrapText="1"/>
    </xf>
    <xf numFmtId="0" fontId="19" fillId="0" borderId="102" xfId="0" applyFont="1" applyBorder="1" applyAlignment="1" applyProtection="1">
      <alignment horizontal="center" vertical="center" wrapText="1"/>
    </xf>
    <xf numFmtId="0" fontId="19" fillId="0" borderId="515" xfId="0" applyFont="1" applyBorder="1" applyAlignment="1" applyProtection="1">
      <alignment horizontal="center" vertical="center" wrapText="1"/>
    </xf>
    <xf numFmtId="0" fontId="19" fillId="0" borderId="476" xfId="0" applyFont="1" applyBorder="1" applyAlignment="1" applyProtection="1">
      <alignment horizontal="center" vertical="center" wrapText="1"/>
    </xf>
    <xf numFmtId="0" fontId="19" fillId="0" borderId="23" xfId="0" applyFont="1" applyBorder="1" applyAlignment="1" applyProtection="1">
      <alignment horizontal="center" vertical="center" wrapText="1"/>
    </xf>
    <xf numFmtId="0" fontId="19" fillId="0" borderId="477" xfId="0" applyFont="1" applyBorder="1" applyAlignment="1" applyProtection="1">
      <alignment horizontal="center" vertical="center" wrapText="1"/>
    </xf>
    <xf numFmtId="0" fontId="19" fillId="0" borderId="336" xfId="0" applyFont="1" applyBorder="1" applyAlignment="1" applyProtection="1">
      <alignment horizontal="center" vertical="center" wrapText="1"/>
    </xf>
    <xf numFmtId="0" fontId="19" fillId="0" borderId="146" xfId="0" applyFont="1" applyBorder="1" applyAlignment="1" applyProtection="1">
      <alignment horizontal="center" vertical="center" wrapText="1"/>
    </xf>
    <xf numFmtId="0" fontId="19" fillId="0" borderId="337" xfId="0" applyFont="1" applyBorder="1" applyAlignment="1" applyProtection="1">
      <alignment horizontal="center" vertical="center" wrapText="1"/>
    </xf>
    <xf numFmtId="1" fontId="19" fillId="0" borderId="89" xfId="0" applyNumberFormat="1" applyFont="1" applyBorder="1" applyAlignment="1" applyProtection="1">
      <alignment horizontal="center" vertical="center" wrapText="1"/>
    </xf>
    <xf numFmtId="0" fontId="19" fillId="0" borderId="89" xfId="0" applyFont="1" applyBorder="1" applyAlignment="1" applyProtection="1">
      <alignment horizontal="center" vertical="center" wrapText="1"/>
    </xf>
    <xf numFmtId="0" fontId="19" fillId="0" borderId="92" xfId="0" applyFont="1" applyBorder="1" applyAlignment="1" applyProtection="1">
      <alignment horizontal="center" vertical="center" wrapText="1"/>
    </xf>
    <xf numFmtId="1" fontId="19" fillId="0" borderId="48" xfId="0" applyNumberFormat="1" applyFont="1" applyBorder="1" applyAlignment="1" applyProtection="1">
      <alignment horizontal="center" vertical="center" wrapText="1"/>
    </xf>
    <xf numFmtId="0" fontId="19" fillId="0" borderId="48" xfId="0" applyFont="1" applyBorder="1" applyAlignment="1" applyProtection="1">
      <alignment horizontal="center" vertical="center" wrapText="1"/>
    </xf>
    <xf numFmtId="0" fontId="19" fillId="0" borderId="49" xfId="0" applyFont="1" applyBorder="1" applyAlignment="1" applyProtection="1">
      <alignment horizontal="center" vertical="center" wrapText="1"/>
    </xf>
    <xf numFmtId="0" fontId="31" fillId="0" borderId="294" xfId="0" applyFont="1" applyBorder="1" applyAlignment="1" applyProtection="1">
      <alignment horizontal="left" vertical="center" wrapText="1"/>
    </xf>
    <xf numFmtId="0" fontId="31" fillId="0" borderId="225" xfId="0" applyFont="1" applyBorder="1" applyAlignment="1" applyProtection="1">
      <alignment horizontal="left" vertical="center" wrapText="1"/>
    </xf>
    <xf numFmtId="0" fontId="31" fillId="0" borderId="292" xfId="0" applyFont="1" applyBorder="1" applyAlignment="1" applyProtection="1">
      <alignment horizontal="left" vertical="center" wrapText="1"/>
    </xf>
    <xf numFmtId="0" fontId="10" fillId="0" borderId="174" xfId="0" applyFont="1" applyBorder="1" applyAlignment="1" applyProtection="1">
      <alignment horizontal="right" vertical="center" wrapText="1"/>
    </xf>
    <xf numFmtId="0" fontId="10" fillId="0" borderId="175" xfId="0" applyFont="1" applyBorder="1" applyAlignment="1" applyProtection="1">
      <alignment horizontal="right" vertical="center" wrapText="1"/>
    </xf>
    <xf numFmtId="0" fontId="10" fillId="0" borderId="482" xfId="0" applyFont="1" applyBorder="1" applyAlignment="1" applyProtection="1">
      <alignment horizontal="right" vertical="center" wrapText="1"/>
    </xf>
    <xf numFmtId="0" fontId="160" fillId="0" borderId="63" xfId="0" applyFont="1" applyBorder="1" applyAlignment="1" applyProtection="1">
      <alignment horizontal="center" vertical="center" wrapText="1"/>
    </xf>
    <xf numFmtId="0" fontId="160" fillId="0" borderId="64" xfId="0" applyFont="1" applyBorder="1" applyAlignment="1" applyProtection="1">
      <alignment horizontal="center" vertical="center" wrapText="1"/>
    </xf>
    <xf numFmtId="0" fontId="10" fillId="16" borderId="88" xfId="0" applyFont="1" applyFill="1" applyBorder="1" applyAlignment="1" applyProtection="1">
      <alignment horizontal="center" vertical="top"/>
    </xf>
    <xf numFmtId="0" fontId="10" fillId="16" borderId="89" xfId="0" applyFont="1" applyFill="1" applyBorder="1" applyAlignment="1" applyProtection="1">
      <alignment horizontal="center" vertical="top"/>
    </xf>
    <xf numFmtId="0" fontId="10" fillId="16" borderId="92" xfId="0" applyFont="1" applyFill="1" applyBorder="1" applyAlignment="1" applyProtection="1">
      <alignment horizontal="center" vertical="top"/>
    </xf>
    <xf numFmtId="0" fontId="19" fillId="16" borderId="87" xfId="0" applyFont="1" applyFill="1" applyBorder="1" applyAlignment="1" applyProtection="1">
      <alignment horizontal="center"/>
    </xf>
    <xf numFmtId="0" fontId="19" fillId="16" borderId="0" xfId="0" applyFont="1" applyFill="1" applyBorder="1" applyAlignment="1" applyProtection="1">
      <alignment horizontal="center"/>
    </xf>
    <xf numFmtId="0" fontId="19" fillId="16" borderId="91" xfId="0" applyFont="1" applyFill="1" applyBorder="1" applyAlignment="1" applyProtection="1">
      <alignment horizontal="center"/>
    </xf>
    <xf numFmtId="0" fontId="10" fillId="0" borderId="484" xfId="0" applyFont="1" applyFill="1" applyBorder="1" applyAlignment="1" applyProtection="1">
      <alignment horizontal="center" vertical="center" wrapText="1"/>
    </xf>
    <xf numFmtId="0" fontId="10" fillId="0" borderId="158" xfId="0" applyFont="1" applyFill="1" applyBorder="1" applyAlignment="1" applyProtection="1">
      <alignment horizontal="center" vertical="center" wrapText="1"/>
    </xf>
    <xf numFmtId="0" fontId="10" fillId="0" borderId="47" xfId="0" applyFont="1" applyBorder="1" applyAlignment="1" applyProtection="1">
      <alignment horizontal="center" vertical="center"/>
    </xf>
    <xf numFmtId="0" fontId="10" fillId="0" borderId="48" xfId="0" applyFont="1" applyBorder="1" applyAlignment="1" applyProtection="1">
      <alignment horizontal="center" vertical="center"/>
    </xf>
    <xf numFmtId="0" fontId="10" fillId="0" borderId="49" xfId="0" applyFont="1" applyBorder="1" applyAlignment="1" applyProtection="1">
      <alignment horizontal="center" vertical="center"/>
    </xf>
    <xf numFmtId="0" fontId="10" fillId="0" borderId="177" xfId="0" applyFont="1" applyBorder="1" applyAlignment="1" applyProtection="1">
      <alignment horizontal="center" vertical="center"/>
    </xf>
    <xf numFmtId="0" fontId="10" fillId="0" borderId="142" xfId="0" applyFont="1" applyBorder="1" applyAlignment="1" applyProtection="1">
      <alignment horizontal="center" vertical="center"/>
    </xf>
    <xf numFmtId="0" fontId="10" fillId="0" borderId="151" xfId="0" applyFont="1" applyBorder="1" applyAlignment="1" applyProtection="1">
      <alignment horizontal="center" vertical="center"/>
      <protection locked="0"/>
    </xf>
    <xf numFmtId="0" fontId="10" fillId="0" borderId="152" xfId="0" applyFont="1" applyBorder="1" applyAlignment="1" applyProtection="1">
      <alignment horizontal="center" vertical="center"/>
      <protection locked="0"/>
    </xf>
    <xf numFmtId="0" fontId="10" fillId="0" borderId="178" xfId="0" applyFont="1" applyBorder="1" applyAlignment="1" applyProtection="1">
      <alignment horizontal="center" vertical="center"/>
      <protection locked="0"/>
    </xf>
    <xf numFmtId="0" fontId="7" fillId="0" borderId="40" xfId="0" applyFont="1" applyBorder="1" applyAlignment="1" applyProtection="1">
      <alignment horizontal="center" vertical="center"/>
    </xf>
    <xf numFmtId="0" fontId="21" fillId="33" borderId="500" xfId="0" applyFont="1" applyFill="1" applyBorder="1" applyAlignment="1" applyProtection="1">
      <alignment horizontal="distributed" wrapText="1"/>
    </xf>
    <xf numFmtId="0" fontId="21" fillId="33" borderId="501" xfId="0" applyFont="1" applyFill="1" applyBorder="1" applyAlignment="1" applyProtection="1">
      <alignment horizontal="distributed" wrapText="1"/>
    </xf>
    <xf numFmtId="0" fontId="21" fillId="33" borderId="502" xfId="0" applyFont="1" applyFill="1" applyBorder="1" applyAlignment="1" applyProtection="1">
      <alignment horizontal="distributed" wrapText="1"/>
    </xf>
    <xf numFmtId="0" fontId="15" fillId="33" borderId="503" xfId="0" applyFont="1" applyFill="1" applyBorder="1" applyAlignment="1" applyProtection="1">
      <alignment horizontal="left" vertical="top" wrapText="1"/>
    </xf>
    <xf numFmtId="0" fontId="15" fillId="33" borderId="504" xfId="0" applyFont="1" applyFill="1" applyBorder="1" applyAlignment="1" applyProtection="1">
      <alignment horizontal="left" vertical="top" wrapText="1"/>
    </xf>
    <xf numFmtId="0" fontId="15" fillId="33" borderId="505" xfId="0" applyFont="1" applyFill="1" applyBorder="1" applyAlignment="1" applyProtection="1">
      <alignment horizontal="left" vertical="top" wrapText="1"/>
    </xf>
    <xf numFmtId="0" fontId="14" fillId="33" borderId="506" xfId="0" applyFont="1" applyFill="1" applyBorder="1" applyAlignment="1" applyProtection="1">
      <alignment horizontal="left" wrapText="1"/>
    </xf>
    <xf numFmtId="0" fontId="14" fillId="33" borderId="507" xfId="0" applyFont="1" applyFill="1" applyBorder="1" applyAlignment="1" applyProtection="1">
      <alignment horizontal="left" wrapText="1"/>
    </xf>
    <xf numFmtId="0" fontId="14" fillId="33" borderId="508" xfId="0" applyFont="1" applyFill="1" applyBorder="1" applyAlignment="1" applyProtection="1">
      <alignment horizontal="left" wrapText="1"/>
    </xf>
    <xf numFmtId="0" fontId="9" fillId="0" borderId="47" xfId="0" applyFont="1" applyFill="1" applyBorder="1" applyAlignment="1" applyProtection="1">
      <alignment horizontal="center" vertical="center"/>
    </xf>
    <xf numFmtId="0" fontId="9" fillId="0" borderId="48" xfId="0" applyFont="1" applyFill="1" applyBorder="1" applyAlignment="1" applyProtection="1">
      <alignment horizontal="center" vertical="center"/>
    </xf>
    <xf numFmtId="0" fontId="9" fillId="0" borderId="49" xfId="0" applyFont="1" applyFill="1" applyBorder="1" applyAlignment="1" applyProtection="1">
      <alignment horizontal="center" vertical="center"/>
    </xf>
    <xf numFmtId="0" fontId="9" fillId="0" borderId="85" xfId="0" applyFont="1" applyFill="1" applyBorder="1" applyAlignment="1" applyProtection="1">
      <alignment horizontal="center" vertical="center"/>
    </xf>
    <xf numFmtId="0" fontId="9" fillId="0" borderId="86" xfId="0" applyFont="1" applyFill="1" applyBorder="1" applyAlignment="1" applyProtection="1">
      <alignment horizontal="center" vertical="center"/>
    </xf>
    <xf numFmtId="0" fontId="9" fillId="0" borderId="90" xfId="0" applyFont="1" applyFill="1" applyBorder="1" applyAlignment="1" applyProtection="1">
      <alignment horizontal="center" vertical="center"/>
    </xf>
    <xf numFmtId="0" fontId="9" fillId="0" borderId="87" xfId="0" applyFont="1" applyFill="1" applyBorder="1" applyAlignment="1" applyProtection="1">
      <alignment horizontal="center" vertical="center"/>
    </xf>
    <xf numFmtId="0" fontId="9" fillId="0" borderId="0" xfId="0" applyFont="1" applyFill="1" applyBorder="1" applyAlignment="1" applyProtection="1">
      <alignment horizontal="center" vertical="center"/>
    </xf>
    <xf numFmtId="0" fontId="9" fillId="0" borderId="91" xfId="0" applyFont="1" applyFill="1" applyBorder="1" applyAlignment="1" applyProtection="1">
      <alignment horizontal="center" vertical="center"/>
    </xf>
    <xf numFmtId="0" fontId="9" fillId="0" borderId="88" xfId="0" applyFont="1" applyFill="1" applyBorder="1" applyAlignment="1" applyProtection="1">
      <alignment horizontal="center" vertical="center"/>
    </xf>
    <xf numFmtId="0" fontId="9" fillId="0" borderId="89" xfId="0" applyFont="1" applyFill="1" applyBorder="1" applyAlignment="1" applyProtection="1">
      <alignment horizontal="center" vertical="center"/>
    </xf>
    <xf numFmtId="0" fontId="9" fillId="0" borderId="92" xfId="0" applyFont="1" applyFill="1" applyBorder="1" applyAlignment="1" applyProtection="1">
      <alignment horizontal="center" vertical="center"/>
    </xf>
    <xf numFmtId="0" fontId="9" fillId="0" borderId="179" xfId="0" applyFont="1" applyFill="1" applyBorder="1" applyAlignment="1" applyProtection="1">
      <alignment horizontal="center" vertical="center"/>
    </xf>
    <xf numFmtId="0" fontId="9" fillId="0" borderId="145" xfId="0" applyFont="1" applyFill="1" applyBorder="1" applyAlignment="1" applyProtection="1">
      <alignment horizontal="center" vertical="center"/>
    </xf>
    <xf numFmtId="0" fontId="9" fillId="0" borderId="180" xfId="0" applyFont="1" applyFill="1" applyBorder="1" applyAlignment="1" applyProtection="1">
      <alignment horizontal="center" vertical="center"/>
    </xf>
    <xf numFmtId="0" fontId="31" fillId="0" borderId="102" xfId="0" applyFont="1" applyFill="1" applyBorder="1" applyAlignment="1" applyProtection="1">
      <alignment horizontal="center" vertical="center" wrapText="1" shrinkToFit="1"/>
    </xf>
    <xf numFmtId="0" fontId="31" fillId="0" borderId="146" xfId="0" applyFont="1" applyFill="1" applyBorder="1" applyAlignment="1" applyProtection="1">
      <alignment horizontal="center" vertical="center" wrapText="1" shrinkToFit="1"/>
    </xf>
    <xf numFmtId="0" fontId="31" fillId="0" borderId="85" xfId="0" applyFont="1" applyFill="1" applyBorder="1" applyAlignment="1" applyProtection="1">
      <alignment horizontal="center" vertical="center" wrapText="1" shrinkToFit="1"/>
    </xf>
    <xf numFmtId="0" fontId="31" fillId="0" borderId="86" xfId="0" applyFont="1" applyFill="1" applyBorder="1" applyAlignment="1" applyProtection="1">
      <alignment horizontal="center" vertical="center" wrapText="1" shrinkToFit="1"/>
    </xf>
    <xf numFmtId="0" fontId="31" fillId="0" borderId="90" xfId="0" applyFont="1" applyFill="1" applyBorder="1" applyAlignment="1" applyProtection="1">
      <alignment horizontal="center" vertical="center" wrapText="1" shrinkToFit="1"/>
    </xf>
    <xf numFmtId="0" fontId="31" fillId="0" borderId="88" xfId="0" applyFont="1" applyFill="1" applyBorder="1" applyAlignment="1" applyProtection="1">
      <alignment horizontal="center" vertical="center" wrapText="1" shrinkToFit="1"/>
    </xf>
    <xf numFmtId="0" fontId="31" fillId="0" borderId="89" xfId="0" applyFont="1" applyFill="1" applyBorder="1" applyAlignment="1" applyProtection="1">
      <alignment horizontal="center" vertical="center" wrapText="1" shrinkToFit="1"/>
    </xf>
    <xf numFmtId="0" fontId="31" fillId="0" borderId="92" xfId="0" applyFont="1" applyFill="1" applyBorder="1" applyAlignment="1" applyProtection="1">
      <alignment horizontal="center" vertical="center" wrapText="1" shrinkToFit="1"/>
    </xf>
    <xf numFmtId="0" fontId="19" fillId="0" borderId="82" xfId="0" applyFont="1" applyBorder="1" applyAlignment="1" applyProtection="1">
      <alignment horizontal="center" vertical="center" wrapText="1" shrinkToFit="1"/>
    </xf>
    <xf numFmtId="0" fontId="9" fillId="0" borderId="82" xfId="0" applyFont="1" applyBorder="1" applyAlignment="1" applyProtection="1">
      <alignment horizontal="center" vertical="center"/>
    </xf>
    <xf numFmtId="0" fontId="9" fillId="0" borderId="181" xfId="0" applyFont="1" applyBorder="1" applyAlignment="1" applyProtection="1">
      <alignment horizontal="center" vertical="center"/>
    </xf>
    <xf numFmtId="0" fontId="21" fillId="0" borderId="47" xfId="0" applyFont="1" applyBorder="1" applyAlignment="1" applyProtection="1">
      <alignment horizontal="center" vertical="center"/>
    </xf>
    <xf numFmtId="0" fontId="21" fillId="0" borderId="49" xfId="0" applyFont="1" applyBorder="1" applyAlignment="1" applyProtection="1">
      <alignment horizontal="center" vertical="center"/>
    </xf>
    <xf numFmtId="0" fontId="31" fillId="0" borderId="47" xfId="0" applyFont="1" applyFill="1" applyBorder="1" applyAlignment="1" applyProtection="1">
      <alignment horizontal="center" vertical="center" shrinkToFit="1"/>
    </xf>
    <xf numFmtId="0" fontId="31" fillId="0" borderId="49" xfId="0" applyFont="1" applyFill="1" applyBorder="1" applyAlignment="1" applyProtection="1">
      <alignment horizontal="center" vertical="center" shrinkToFit="1"/>
    </xf>
    <xf numFmtId="0" fontId="6" fillId="0" borderId="54" xfId="0" applyFont="1" applyBorder="1" applyAlignment="1" applyProtection="1">
      <alignment horizontal="center"/>
    </xf>
    <xf numFmtId="0" fontId="6" fillId="0" borderId="55" xfId="0" applyFont="1" applyBorder="1" applyAlignment="1" applyProtection="1">
      <alignment horizontal="center"/>
    </xf>
    <xf numFmtId="0" fontId="31" fillId="0" borderId="172" xfId="0" applyFont="1" applyFill="1" applyBorder="1" applyAlignment="1" applyProtection="1">
      <alignment horizontal="center" vertical="center" wrapText="1" shrinkToFit="1"/>
    </xf>
    <xf numFmtId="0" fontId="31" fillId="0" borderId="87" xfId="0" applyFont="1" applyFill="1" applyBorder="1" applyAlignment="1" applyProtection="1">
      <alignment horizontal="center" vertical="center" wrapText="1" shrinkToFit="1"/>
    </xf>
    <xf numFmtId="0" fontId="31" fillId="0" borderId="0" xfId="0" applyFont="1" applyFill="1" applyBorder="1" applyAlignment="1" applyProtection="1">
      <alignment horizontal="center" vertical="center" wrapText="1" shrinkToFit="1"/>
    </xf>
    <xf numFmtId="0" fontId="31" fillId="0" borderId="91" xfId="0" applyFont="1" applyFill="1" applyBorder="1" applyAlignment="1" applyProtection="1">
      <alignment horizontal="center" vertical="center" wrapText="1" shrinkToFit="1"/>
    </xf>
    <xf numFmtId="0" fontId="31" fillId="0" borderId="85" xfId="0" applyFont="1" applyBorder="1" applyAlignment="1" applyProtection="1">
      <alignment horizontal="center" vertical="center"/>
    </xf>
    <xf numFmtId="0" fontId="31" fillId="0" borderId="90" xfId="0" applyFont="1" applyBorder="1" applyAlignment="1" applyProtection="1">
      <alignment horizontal="center" vertical="center"/>
    </xf>
    <xf numFmtId="0" fontId="31" fillId="0" borderId="88" xfId="0" applyFont="1" applyBorder="1" applyAlignment="1" applyProtection="1">
      <alignment horizontal="center" vertical="center"/>
    </xf>
    <xf numFmtId="0" fontId="31" fillId="0" borderId="92" xfId="0" applyFont="1" applyBorder="1" applyAlignment="1" applyProtection="1">
      <alignment horizontal="center" vertical="center"/>
    </xf>
    <xf numFmtId="0" fontId="19" fillId="0" borderId="182" xfId="0" applyFont="1" applyBorder="1" applyAlignment="1" applyProtection="1">
      <alignment horizontal="center" vertical="center" wrapText="1"/>
    </xf>
    <xf numFmtId="0" fontId="31" fillId="0" borderId="306" xfId="0" applyFont="1" applyBorder="1" applyAlignment="1" applyProtection="1">
      <alignment horizontal="left" vertical="center" wrapText="1"/>
    </xf>
    <xf numFmtId="0" fontId="31" fillId="0" borderId="307" xfId="0" applyFont="1" applyBorder="1" applyAlignment="1" applyProtection="1">
      <alignment horizontal="left" vertical="center" wrapText="1"/>
    </xf>
    <xf numFmtId="0" fontId="31" fillId="0" borderId="308" xfId="0" applyFont="1" applyBorder="1" applyAlignment="1" applyProtection="1">
      <alignment horizontal="left" vertical="center" wrapText="1"/>
    </xf>
    <xf numFmtId="0" fontId="19" fillId="0" borderId="86" xfId="0" applyFont="1" applyBorder="1" applyAlignment="1" applyProtection="1">
      <alignment horizontal="center" vertical="center" wrapText="1"/>
    </xf>
    <xf numFmtId="0" fontId="19" fillId="0" borderId="184" xfId="0" applyFont="1" applyBorder="1" applyAlignment="1" applyProtection="1">
      <alignment horizontal="center" vertical="center" wrapText="1"/>
    </xf>
    <xf numFmtId="0" fontId="31" fillId="0" borderId="22" xfId="0" applyFont="1" applyBorder="1" applyAlignment="1" applyProtection="1">
      <alignment horizontal="center" vertical="center" wrapText="1"/>
    </xf>
    <xf numFmtId="0" fontId="193" fillId="0" borderId="63" xfId="0" applyFont="1" applyBorder="1" applyAlignment="1" applyProtection="1">
      <alignment horizontal="center" vertical="center" wrapText="1"/>
    </xf>
    <xf numFmtId="0" fontId="193" fillId="0" borderId="64" xfId="0" applyFont="1" applyBorder="1" applyAlignment="1" applyProtection="1">
      <alignment horizontal="center" vertical="center" wrapText="1"/>
    </xf>
    <xf numFmtId="0" fontId="131" fillId="0" borderId="22" xfId="0" applyFont="1" applyBorder="1" applyAlignment="1" applyProtection="1">
      <alignment horizontal="center" vertical="center" wrapText="1"/>
    </xf>
    <xf numFmtId="0" fontId="18" fillId="0" borderId="22" xfId="0" applyFont="1" applyFill="1" applyBorder="1" applyAlignment="1" applyProtection="1">
      <alignment horizontal="center" vertical="center" wrapText="1"/>
    </xf>
    <xf numFmtId="0" fontId="7" fillId="0" borderId="22" xfId="0" applyFont="1" applyFill="1" applyBorder="1" applyAlignment="1" applyProtection="1">
      <alignment horizontal="center" vertical="center" wrapText="1"/>
    </xf>
    <xf numFmtId="0" fontId="7" fillId="0" borderId="22" xfId="0" applyFont="1" applyBorder="1" applyAlignment="1" applyProtection="1">
      <alignment horizontal="center" vertical="center"/>
    </xf>
    <xf numFmtId="0" fontId="10" fillId="0" borderId="22" xfId="0" applyFont="1" applyFill="1" applyBorder="1" applyAlignment="1" applyProtection="1">
      <alignment horizontal="center" vertical="center" wrapText="1"/>
    </xf>
    <xf numFmtId="0" fontId="6" fillId="0" borderId="26" xfId="0" applyFont="1" applyBorder="1" applyAlignment="1" applyProtection="1">
      <alignment horizontal="left"/>
    </xf>
    <xf numFmtId="0" fontId="6" fillId="0" borderId="29" xfId="0" applyFont="1" applyBorder="1" applyAlignment="1" applyProtection="1">
      <alignment horizontal="left"/>
    </xf>
    <xf numFmtId="0" fontId="18" fillId="16" borderId="56" xfId="0" applyFont="1" applyFill="1" applyBorder="1" applyAlignment="1" applyProtection="1">
      <alignment horizontal="left" vertical="center"/>
    </xf>
    <xf numFmtId="0" fontId="18" fillId="16" borderId="145" xfId="0" applyFont="1" applyFill="1" applyBorder="1" applyAlignment="1" applyProtection="1">
      <alignment horizontal="left" vertical="center"/>
    </xf>
    <xf numFmtId="0" fontId="7" fillId="0" borderId="102" xfId="0" applyFont="1" applyFill="1" applyBorder="1" applyAlignment="1" applyProtection="1">
      <alignment horizontal="center" vertical="center" wrapText="1"/>
    </xf>
    <xf numFmtId="0" fontId="7" fillId="0" borderId="146" xfId="0" applyFont="1" applyFill="1" applyBorder="1" applyAlignment="1" applyProtection="1">
      <alignment horizontal="center" vertical="center" wrapText="1"/>
    </xf>
    <xf numFmtId="0" fontId="10" fillId="0" borderId="85" xfId="0" applyFont="1" applyFill="1" applyBorder="1" applyAlignment="1" applyProtection="1">
      <alignment horizontal="center" vertical="center" wrapText="1"/>
    </xf>
    <xf numFmtId="0" fontId="10" fillId="0" borderId="86" xfId="0" applyFont="1" applyFill="1" applyBorder="1" applyAlignment="1" applyProtection="1">
      <alignment horizontal="center" vertical="center" wrapText="1"/>
    </xf>
    <xf numFmtId="0" fontId="10" fillId="0" borderId="90" xfId="0" applyFont="1" applyFill="1" applyBorder="1" applyAlignment="1" applyProtection="1">
      <alignment horizontal="center" vertical="center" wrapText="1"/>
    </xf>
    <xf numFmtId="0" fontId="10" fillId="0" borderId="88" xfId="0" applyFont="1" applyFill="1" applyBorder="1" applyAlignment="1" applyProtection="1">
      <alignment horizontal="center" vertical="center" wrapText="1"/>
    </xf>
    <xf numFmtId="0" fontId="10" fillId="0" borderId="89" xfId="0" applyFont="1" applyFill="1" applyBorder="1" applyAlignment="1" applyProtection="1">
      <alignment horizontal="center" vertical="center" wrapText="1"/>
    </xf>
    <xf numFmtId="0" fontId="10" fillId="0" borderId="92" xfId="0" applyFont="1" applyFill="1" applyBorder="1" applyAlignment="1" applyProtection="1">
      <alignment horizontal="center" vertical="center" wrapText="1"/>
    </xf>
    <xf numFmtId="0" fontId="326" fillId="16" borderId="136" xfId="0" applyFont="1" applyFill="1" applyBorder="1" applyAlignment="1" applyProtection="1">
      <alignment horizontal="center"/>
    </xf>
    <xf numFmtId="0" fontId="326" fillId="16" borderId="0" xfId="0" applyFont="1" applyFill="1" applyBorder="1" applyAlignment="1" applyProtection="1">
      <alignment horizontal="center"/>
    </xf>
    <xf numFmtId="0" fontId="326" fillId="16" borderId="135" xfId="0" applyFont="1" applyFill="1" applyBorder="1" applyAlignment="1" applyProtection="1">
      <alignment horizontal="center"/>
    </xf>
    <xf numFmtId="0" fontId="326" fillId="16" borderId="136" xfId="0" applyFont="1" applyFill="1" applyBorder="1" applyAlignment="1" applyProtection="1">
      <alignment horizontal="center" vertical="top"/>
    </xf>
    <xf numFmtId="0" fontId="326" fillId="16" borderId="0" xfId="0" applyFont="1" applyFill="1" applyBorder="1" applyAlignment="1" applyProtection="1">
      <alignment horizontal="center" vertical="top"/>
    </xf>
    <xf numFmtId="0" fontId="326" fillId="16" borderId="135" xfId="0" applyFont="1" applyFill="1" applyBorder="1" applyAlignment="1" applyProtection="1">
      <alignment horizontal="center" vertical="top"/>
    </xf>
    <xf numFmtId="0" fontId="6" fillId="16" borderId="5" xfId="0" applyFont="1" applyFill="1" applyBorder="1" applyAlignment="1" applyProtection="1">
      <alignment horizontal="center"/>
    </xf>
    <xf numFmtId="0" fontId="6" fillId="16" borderId="14" xfId="0" applyFont="1" applyFill="1" applyBorder="1" applyAlignment="1" applyProtection="1">
      <alignment horizontal="center"/>
    </xf>
    <xf numFmtId="0" fontId="6" fillId="16" borderId="6" xfId="0" applyFont="1" applyFill="1" applyBorder="1" applyAlignment="1" applyProtection="1">
      <alignment horizontal="center"/>
    </xf>
    <xf numFmtId="0" fontId="103" fillId="16" borderId="53" xfId="0" applyFont="1" applyFill="1" applyBorder="1" applyAlignment="1" applyProtection="1">
      <alignment horizontal="center" shrinkToFit="1"/>
    </xf>
    <xf numFmtId="0" fontId="103" fillId="16" borderId="190" xfId="0" applyFont="1" applyFill="1" applyBorder="1" applyAlignment="1" applyProtection="1">
      <alignment horizontal="center" shrinkToFit="1"/>
    </xf>
    <xf numFmtId="0" fontId="103" fillId="16" borderId="51" xfId="0" applyFont="1" applyFill="1" applyBorder="1" applyAlignment="1" applyProtection="1">
      <alignment horizontal="center" shrinkToFit="1"/>
    </xf>
    <xf numFmtId="0" fontId="103" fillId="16" borderId="136" xfId="0" applyFont="1" applyFill="1" applyBorder="1" applyAlignment="1" applyProtection="1">
      <alignment horizontal="center" shrinkToFit="1"/>
    </xf>
    <xf numFmtId="0" fontId="103" fillId="16" borderId="0" xfId="0" applyFont="1" applyFill="1" applyBorder="1" applyAlignment="1" applyProtection="1">
      <alignment horizontal="center" shrinkToFit="1"/>
    </xf>
    <xf numFmtId="0" fontId="103" fillId="16" borderId="135" xfId="0" applyFont="1" applyFill="1" applyBorder="1" applyAlignment="1" applyProtection="1">
      <alignment horizontal="center" shrinkToFit="1"/>
    </xf>
    <xf numFmtId="0" fontId="446" fillId="16" borderId="5" xfId="0" applyFont="1" applyFill="1" applyBorder="1" applyAlignment="1" applyProtection="1">
      <alignment horizontal="center"/>
    </xf>
    <xf numFmtId="0" fontId="446" fillId="16" borderId="14" xfId="0" applyFont="1" applyFill="1" applyBorder="1" applyAlignment="1" applyProtection="1">
      <alignment horizontal="center"/>
    </xf>
    <xf numFmtId="0" fontId="446" fillId="16" borderId="6" xfId="0" applyFont="1" applyFill="1" applyBorder="1" applyAlignment="1" applyProtection="1">
      <alignment horizontal="center"/>
    </xf>
    <xf numFmtId="0" fontId="103" fillId="16" borderId="61" xfId="0" applyFont="1" applyFill="1" applyBorder="1" applyAlignment="1" applyProtection="1">
      <alignment horizontal="center" shrinkToFit="1"/>
    </xf>
    <xf numFmtId="0" fontId="103" fillId="16" borderId="66" xfId="0" applyFont="1" applyFill="1" applyBorder="1" applyAlignment="1" applyProtection="1">
      <alignment horizontal="center" shrinkToFit="1"/>
    </xf>
    <xf numFmtId="0" fontId="103" fillId="16" borderId="50" xfId="0" applyFont="1" applyFill="1" applyBorder="1" applyAlignment="1" applyProtection="1">
      <alignment horizontal="center" shrinkToFit="1"/>
    </xf>
    <xf numFmtId="0" fontId="102" fillId="16" borderId="136" xfId="0" applyFont="1" applyFill="1" applyBorder="1" applyAlignment="1" applyProtection="1">
      <alignment horizontal="center" vertical="center" shrinkToFit="1"/>
    </xf>
    <xf numFmtId="0" fontId="102" fillId="16" borderId="0" xfId="0" applyFont="1" applyFill="1" applyBorder="1" applyAlignment="1" applyProtection="1">
      <alignment horizontal="center" vertical="center" shrinkToFit="1"/>
    </xf>
    <xf numFmtId="0" fontId="102" fillId="16" borderId="135" xfId="0" applyFont="1" applyFill="1" applyBorder="1" applyAlignment="1" applyProtection="1">
      <alignment horizontal="center" vertical="center" shrinkToFit="1"/>
    </xf>
    <xf numFmtId="0" fontId="102" fillId="16" borderId="61" xfId="0" applyFont="1" applyFill="1" applyBorder="1" applyAlignment="1" applyProtection="1">
      <alignment horizontal="center" vertical="center" shrinkToFit="1"/>
    </xf>
    <xf numFmtId="0" fontId="102" fillId="16" borderId="66" xfId="0" applyFont="1" applyFill="1" applyBorder="1" applyAlignment="1" applyProtection="1">
      <alignment horizontal="center" vertical="center" shrinkToFit="1"/>
    </xf>
    <xf numFmtId="0" fontId="102" fillId="16" borderId="50" xfId="0" applyFont="1" applyFill="1" applyBorder="1" applyAlignment="1" applyProtection="1">
      <alignment horizontal="center" vertical="center" shrinkToFit="1"/>
    </xf>
    <xf numFmtId="0" fontId="103" fillId="16" borderId="53" xfId="0" applyFont="1" applyFill="1" applyBorder="1" applyAlignment="1" applyProtection="1">
      <alignment horizontal="center" vertical="center" shrinkToFit="1"/>
    </xf>
    <xf numFmtId="0" fontId="103" fillId="16" borderId="190" xfId="0" applyFont="1" applyFill="1" applyBorder="1" applyAlignment="1" applyProtection="1">
      <alignment horizontal="center" vertical="center" shrinkToFit="1"/>
    </xf>
    <xf numFmtId="0" fontId="103" fillId="16" borderId="51" xfId="0" applyFont="1" applyFill="1" applyBorder="1" applyAlignment="1" applyProtection="1">
      <alignment horizontal="center" vertical="center" shrinkToFit="1"/>
    </xf>
    <xf numFmtId="0" fontId="103" fillId="16" borderId="61" xfId="0" applyFont="1" applyFill="1" applyBorder="1" applyAlignment="1" applyProtection="1">
      <alignment horizontal="center" vertical="center" shrinkToFit="1"/>
    </xf>
    <xf numFmtId="0" fontId="103" fillId="16" borderId="66" xfId="0" applyFont="1" applyFill="1" applyBorder="1" applyAlignment="1" applyProtection="1">
      <alignment horizontal="center" vertical="center" shrinkToFit="1"/>
    </xf>
    <xf numFmtId="0" fontId="103" fillId="16" borderId="50" xfId="0" applyFont="1" applyFill="1" applyBorder="1" applyAlignment="1" applyProtection="1">
      <alignment horizontal="center" vertical="center" shrinkToFit="1"/>
    </xf>
    <xf numFmtId="0" fontId="22" fillId="16" borderId="53" xfId="0" applyFont="1" applyFill="1" applyBorder="1" applyAlignment="1" applyProtection="1">
      <alignment horizontal="right" vertical="center"/>
    </xf>
    <xf numFmtId="0" fontId="22" fillId="16" borderId="190" xfId="0" applyFont="1" applyFill="1" applyBorder="1" applyAlignment="1" applyProtection="1">
      <alignment horizontal="right" vertical="center"/>
    </xf>
    <xf numFmtId="0" fontId="22" fillId="16" borderId="51" xfId="0" applyFont="1" applyFill="1" applyBorder="1" applyAlignment="1" applyProtection="1">
      <alignment horizontal="right" vertical="center"/>
    </xf>
    <xf numFmtId="0" fontId="22" fillId="16" borderId="136" xfId="0" applyFont="1" applyFill="1" applyBorder="1" applyAlignment="1" applyProtection="1">
      <alignment horizontal="right" vertical="center"/>
    </xf>
    <xf numFmtId="0" fontId="22" fillId="16" borderId="0" xfId="0" applyFont="1" applyFill="1" applyBorder="1" applyAlignment="1" applyProtection="1">
      <alignment horizontal="right" vertical="center"/>
    </xf>
    <xf numFmtId="0" fontId="22" fillId="16" borderId="135" xfId="0" applyFont="1" applyFill="1" applyBorder="1" applyAlignment="1" applyProtection="1">
      <alignment horizontal="right" vertical="center"/>
    </xf>
    <xf numFmtId="0" fontId="21" fillId="16" borderId="65" xfId="0" applyFont="1" applyFill="1" applyBorder="1" applyAlignment="1" applyProtection="1">
      <alignment horizontal="center"/>
    </xf>
    <xf numFmtId="0" fontId="21" fillId="16" borderId="188" xfId="0" applyFont="1" applyFill="1" applyBorder="1" applyAlignment="1" applyProtection="1">
      <alignment horizontal="center"/>
    </xf>
    <xf numFmtId="0" fontId="21" fillId="16" borderId="63" xfId="0" applyFont="1" applyFill="1" applyBorder="1" applyAlignment="1" applyProtection="1">
      <alignment horizontal="center"/>
    </xf>
    <xf numFmtId="0" fontId="9" fillId="16" borderId="5" xfId="0" applyFont="1" applyFill="1" applyBorder="1" applyAlignment="1" applyProtection="1">
      <alignment horizontal="center" wrapText="1"/>
    </xf>
    <xf numFmtId="0" fontId="9" fillId="16" borderId="14" xfId="0" applyFont="1" applyFill="1" applyBorder="1" applyAlignment="1" applyProtection="1">
      <alignment horizontal="center" wrapText="1"/>
    </xf>
    <xf numFmtId="0" fontId="9" fillId="16" borderId="6" xfId="0" applyFont="1" applyFill="1" applyBorder="1" applyAlignment="1" applyProtection="1">
      <alignment horizontal="center" wrapText="1"/>
    </xf>
    <xf numFmtId="0" fontId="38" fillId="16" borderId="5" xfId="0" applyFont="1" applyFill="1" applyBorder="1" applyAlignment="1" applyProtection="1">
      <alignment horizontal="center" vertical="center"/>
    </xf>
    <xf numFmtId="0" fontId="38" fillId="16" borderId="14" xfId="0" applyFont="1" applyFill="1" applyBorder="1" applyAlignment="1" applyProtection="1">
      <alignment horizontal="center" vertical="center"/>
    </xf>
    <xf numFmtId="0" fontId="38" fillId="16" borderId="6" xfId="0" applyFont="1" applyFill="1" applyBorder="1" applyAlignment="1" applyProtection="1">
      <alignment horizontal="center" vertical="center"/>
    </xf>
    <xf numFmtId="0" fontId="446" fillId="16" borderId="5" xfId="0" applyFont="1" applyFill="1" applyBorder="1" applyAlignment="1" applyProtection="1">
      <alignment horizontal="center" vertical="center"/>
    </xf>
    <xf numFmtId="0" fontId="446" fillId="16" borderId="6" xfId="0" applyFont="1" applyFill="1" applyBorder="1" applyAlignment="1" applyProtection="1">
      <alignment horizontal="center" vertical="center"/>
    </xf>
    <xf numFmtId="0" fontId="448" fillId="16" borderId="544" xfId="0" applyFont="1" applyFill="1" applyBorder="1" applyAlignment="1" applyProtection="1">
      <alignment horizontal="center" vertical="top" wrapText="1" shrinkToFit="1"/>
    </xf>
    <xf numFmtId="0" fontId="448" fillId="16" borderId="190" xfId="0" applyFont="1" applyFill="1" applyBorder="1" applyAlignment="1" applyProtection="1">
      <alignment horizontal="center" vertical="top" wrapText="1" shrinkToFit="1"/>
    </xf>
    <xf numFmtId="0" fontId="448" fillId="16" borderId="51" xfId="0" applyFont="1" applyFill="1" applyBorder="1" applyAlignment="1" applyProtection="1">
      <alignment horizontal="center" vertical="top" wrapText="1" shrinkToFit="1"/>
    </xf>
    <xf numFmtId="0" fontId="448" fillId="16" borderId="313" xfId="0" applyFont="1" applyFill="1" applyBorder="1" applyAlignment="1" applyProtection="1">
      <alignment horizontal="center" vertical="top" wrapText="1" shrinkToFit="1"/>
    </xf>
    <xf numFmtId="0" fontId="448" fillId="16" borderId="0" xfId="0" applyFont="1" applyFill="1" applyBorder="1" applyAlignment="1" applyProtection="1">
      <alignment horizontal="center" vertical="top" wrapText="1" shrinkToFit="1"/>
    </xf>
    <xf numFmtId="0" fontId="448" fillId="16" borderId="135" xfId="0" applyFont="1" applyFill="1" applyBorder="1" applyAlignment="1" applyProtection="1">
      <alignment horizontal="center" vertical="top" wrapText="1" shrinkToFit="1"/>
    </xf>
    <xf numFmtId="0" fontId="448" fillId="16" borderId="53" xfId="0" applyFont="1" applyFill="1" applyBorder="1" applyAlignment="1" applyProtection="1">
      <alignment horizontal="center" vertical="top" wrapText="1" shrinkToFit="1"/>
    </xf>
    <xf numFmtId="0" fontId="448" fillId="16" borderId="136" xfId="0" applyFont="1" applyFill="1" applyBorder="1" applyAlignment="1" applyProtection="1">
      <alignment horizontal="center" vertical="top" wrapText="1" shrinkToFit="1"/>
    </xf>
    <xf numFmtId="0" fontId="448" fillId="16" borderId="53" xfId="0" applyFont="1" applyFill="1" applyBorder="1" applyAlignment="1" applyProtection="1">
      <alignment horizontal="center" vertical="top" wrapText="1"/>
    </xf>
    <xf numFmtId="0" fontId="448" fillId="16" borderId="51" xfId="0" applyFont="1" applyFill="1" applyBorder="1" applyAlignment="1" applyProtection="1">
      <alignment horizontal="center" vertical="top" wrapText="1"/>
    </xf>
    <xf numFmtId="0" fontId="448" fillId="16" borderId="136" xfId="0" applyFont="1" applyFill="1" applyBorder="1" applyAlignment="1" applyProtection="1">
      <alignment horizontal="center" vertical="top" wrapText="1"/>
    </xf>
    <xf numFmtId="0" fontId="448" fillId="16" borderId="135" xfId="0" applyFont="1" applyFill="1" applyBorder="1" applyAlignment="1" applyProtection="1">
      <alignment horizontal="center" vertical="top" wrapText="1"/>
    </xf>
    <xf numFmtId="0" fontId="446" fillId="16" borderId="61" xfId="0" applyFont="1" applyFill="1" applyBorder="1" applyAlignment="1" applyProtection="1">
      <alignment horizontal="center"/>
    </xf>
    <xf numFmtId="0" fontId="446" fillId="16" borderId="66" xfId="0" applyFont="1" applyFill="1" applyBorder="1" applyAlignment="1" applyProtection="1">
      <alignment horizontal="center"/>
    </xf>
    <xf numFmtId="0" fontId="446" fillId="16" borderId="50" xfId="0" applyFont="1" applyFill="1" applyBorder="1" applyAlignment="1" applyProtection="1">
      <alignment horizontal="center"/>
    </xf>
    <xf numFmtId="0" fontId="448" fillId="16" borderId="546" xfId="0" applyFont="1" applyFill="1" applyBorder="1" applyAlignment="1" applyProtection="1">
      <alignment horizontal="center" vertical="top" wrapText="1" shrinkToFit="1"/>
    </xf>
    <xf numFmtId="0" fontId="448" fillId="16" borderId="305" xfId="0" applyFont="1" applyFill="1" applyBorder="1" applyAlignment="1" applyProtection="1">
      <alignment horizontal="center" vertical="top" wrapText="1" shrinkToFit="1"/>
    </xf>
    <xf numFmtId="0" fontId="198" fillId="16" borderId="89" xfId="0" applyFont="1" applyFill="1" applyBorder="1" applyAlignment="1" applyProtection="1">
      <alignment horizontal="left" vertical="top"/>
      <protection locked="0"/>
    </xf>
    <xf numFmtId="169" fontId="387" fillId="16" borderId="47" xfId="0" applyNumberFormat="1" applyFont="1" applyFill="1" applyBorder="1" applyAlignment="1" applyProtection="1">
      <alignment horizontal="center" vertical="center" wrapText="1"/>
      <protection locked="0"/>
    </xf>
    <xf numFmtId="169" fontId="387" fillId="16" borderId="48" xfId="0" applyNumberFormat="1" applyFont="1" applyFill="1" applyBorder="1" applyAlignment="1" applyProtection="1">
      <alignment horizontal="center" vertical="center" wrapText="1"/>
      <protection locked="0"/>
    </xf>
    <xf numFmtId="169" fontId="387" fillId="16" borderId="49" xfId="0" applyNumberFormat="1" applyFont="1" applyFill="1" applyBorder="1" applyAlignment="1" applyProtection="1">
      <alignment horizontal="center" vertical="center" wrapText="1"/>
      <protection locked="0"/>
    </xf>
    <xf numFmtId="169" fontId="198" fillId="16" borderId="22" xfId="0" applyNumberFormat="1" applyFont="1" applyFill="1" applyBorder="1" applyAlignment="1" applyProtection="1">
      <alignment horizontal="center" vertical="center"/>
    </xf>
    <xf numFmtId="169" fontId="387" fillId="16" borderId="22" xfId="0" applyNumberFormat="1" applyFont="1" applyFill="1" applyBorder="1" applyAlignment="1" applyProtection="1">
      <alignment horizontal="center" vertical="center" wrapText="1"/>
      <protection locked="0"/>
    </xf>
    <xf numFmtId="0" fontId="389" fillId="16" borderId="89" xfId="0" applyFont="1" applyFill="1" applyBorder="1" applyAlignment="1" applyProtection="1">
      <alignment horizontal="left" vertical="top"/>
      <protection locked="0"/>
    </xf>
    <xf numFmtId="0" fontId="261" fillId="16" borderId="0" xfId="0" applyFont="1" applyFill="1" applyAlignment="1" applyProtection="1">
      <alignment horizontal="center" vertical="center"/>
    </xf>
    <xf numFmtId="0" fontId="261" fillId="16" borderId="91" xfId="0" applyFont="1" applyFill="1" applyBorder="1" applyAlignment="1" applyProtection="1">
      <alignment horizontal="center" vertical="center"/>
    </xf>
    <xf numFmtId="0" fontId="128" fillId="0" borderId="302" xfId="0" applyFont="1" applyBorder="1" applyAlignment="1" applyProtection="1">
      <alignment horizontal="center" vertical="center"/>
    </xf>
    <xf numFmtId="0" fontId="128" fillId="0" borderId="303" xfId="0" applyFont="1" applyBorder="1" applyAlignment="1" applyProtection="1">
      <alignment horizontal="center" vertical="center"/>
    </xf>
    <xf numFmtId="0" fontId="198" fillId="16" borderId="295" xfId="0" applyFont="1" applyFill="1" applyBorder="1" applyAlignment="1" applyProtection="1">
      <alignment horizontal="center"/>
    </xf>
    <xf numFmtId="0" fontId="198" fillId="16" borderId="310" xfId="0" applyFont="1" applyFill="1" applyBorder="1" applyAlignment="1" applyProtection="1">
      <alignment horizontal="center"/>
    </xf>
    <xf numFmtId="0" fontId="288" fillId="16" borderId="0" xfId="0" applyFont="1" applyFill="1" applyBorder="1" applyAlignment="1" applyProtection="1">
      <alignment horizontal="distributed" vertical="center"/>
    </xf>
    <xf numFmtId="0" fontId="128" fillId="16" borderId="0" xfId="0" applyFont="1" applyFill="1" applyBorder="1" applyAlignment="1" applyProtection="1">
      <alignment horizontal="distributed"/>
    </xf>
    <xf numFmtId="0" fontId="138" fillId="31" borderId="22" xfId="0" applyFont="1" applyFill="1" applyBorder="1" applyAlignment="1" applyProtection="1">
      <alignment horizontal="center" vertical="center"/>
    </xf>
    <xf numFmtId="0" fontId="138" fillId="31" borderId="47" xfId="0" applyFont="1" applyFill="1" applyBorder="1" applyAlignment="1" applyProtection="1">
      <alignment horizontal="center" vertical="center"/>
    </xf>
    <xf numFmtId="0" fontId="138" fillId="31" borderId="48" xfId="0" applyFont="1" applyFill="1" applyBorder="1" applyAlignment="1" applyProtection="1">
      <alignment horizontal="center" vertical="center"/>
    </xf>
    <xf numFmtId="0" fontId="138" fillId="31" borderId="49" xfId="0" applyFont="1" applyFill="1" applyBorder="1" applyAlignment="1" applyProtection="1">
      <alignment horizontal="center" vertical="center"/>
    </xf>
    <xf numFmtId="0" fontId="128" fillId="16" borderId="0" xfId="0" applyFont="1" applyFill="1" applyBorder="1" applyAlignment="1" applyProtection="1"/>
    <xf numFmtId="0" fontId="128" fillId="16" borderId="0" xfId="0" applyFont="1" applyFill="1" applyBorder="1" applyAlignment="1" applyProtection="1">
      <alignment horizontal="fill"/>
    </xf>
    <xf numFmtId="169" fontId="198" fillId="16" borderId="22" xfId="0" applyNumberFormat="1" applyFont="1" applyFill="1" applyBorder="1" applyAlignment="1" applyProtection="1">
      <alignment horizontal="center" vertical="center"/>
      <protection locked="0"/>
    </xf>
    <xf numFmtId="49" fontId="198" fillId="16" borderId="295" xfId="0" applyNumberFormat="1" applyFont="1" applyFill="1" applyBorder="1" applyAlignment="1" applyProtection="1">
      <alignment horizontal="center"/>
    </xf>
    <xf numFmtId="49" fontId="198" fillId="16" borderId="296" xfId="0" applyNumberFormat="1" applyFont="1" applyFill="1" applyBorder="1" applyAlignment="1" applyProtection="1">
      <alignment horizontal="center"/>
    </xf>
    <xf numFmtId="0" fontId="198" fillId="16" borderId="296" xfId="0" applyFont="1" applyFill="1" applyBorder="1" applyAlignment="1" applyProtection="1">
      <alignment horizontal="center"/>
    </xf>
    <xf numFmtId="166" fontId="198" fillId="16" borderId="296" xfId="0" applyNumberFormat="1" applyFont="1" applyFill="1" applyBorder="1" applyAlignment="1" applyProtection="1">
      <alignment horizontal="left"/>
    </xf>
    <xf numFmtId="0" fontId="277" fillId="31" borderId="22" xfId="0" applyFont="1" applyFill="1" applyBorder="1" applyAlignment="1" applyProtection="1">
      <alignment horizontal="center" vertical="center" wrapText="1"/>
    </xf>
    <xf numFmtId="0" fontId="288" fillId="16" borderId="0" xfId="0" applyFont="1" applyFill="1" applyBorder="1" applyAlignment="1" applyProtection="1">
      <alignment horizontal="left" vertical="center"/>
    </xf>
    <xf numFmtId="0" fontId="203" fillId="16" borderId="0" xfId="0" applyFont="1" applyFill="1" applyBorder="1" applyAlignment="1" applyProtection="1">
      <alignment horizontal="left"/>
    </xf>
    <xf numFmtId="0" fontId="210" fillId="16" borderId="89" xfId="0" applyFont="1" applyFill="1" applyBorder="1" applyAlignment="1" applyProtection="1">
      <alignment horizontal="left" vertical="top"/>
      <protection locked="0"/>
    </xf>
    <xf numFmtId="0" fontId="181" fillId="16" borderId="0" xfId="0" applyFont="1" applyFill="1" applyBorder="1" applyAlignment="1" applyProtection="1">
      <alignment horizontal="center"/>
    </xf>
    <xf numFmtId="0" fontId="180" fillId="16" borderId="295" xfId="0" applyFont="1" applyFill="1" applyBorder="1" applyAlignment="1" applyProtection="1">
      <alignment horizontal="center"/>
    </xf>
    <xf numFmtId="0" fontId="180" fillId="16" borderId="296" xfId="0" applyFont="1" applyFill="1" applyBorder="1" applyAlignment="1" applyProtection="1">
      <alignment horizontal="center"/>
    </xf>
    <xf numFmtId="0" fontId="279" fillId="31" borderId="85" xfId="0" applyFont="1" applyFill="1" applyBorder="1" applyAlignment="1" applyProtection="1">
      <alignment horizontal="center" vertical="distributed" wrapText="1"/>
    </xf>
    <xf numFmtId="0" fontId="279" fillId="31" borderId="88" xfId="0" applyFont="1" applyFill="1" applyBorder="1" applyAlignment="1" applyProtection="1">
      <alignment horizontal="center" vertical="distributed" wrapText="1"/>
    </xf>
    <xf numFmtId="0" fontId="40" fillId="31" borderId="22" xfId="0" applyFont="1" applyFill="1" applyBorder="1" applyAlignment="1" applyProtection="1">
      <alignment horizontal="center" vertical="center" wrapText="1"/>
    </xf>
    <xf numFmtId="0" fontId="40" fillId="31" borderId="47" xfId="0" applyFont="1" applyFill="1" applyBorder="1" applyAlignment="1" applyProtection="1">
      <alignment horizontal="center" vertical="center" wrapText="1"/>
    </xf>
    <xf numFmtId="0" fontId="40" fillId="31" borderId="48" xfId="0" applyFont="1" applyFill="1" applyBorder="1" applyAlignment="1" applyProtection="1">
      <alignment horizontal="center" vertical="center" wrapText="1"/>
    </xf>
    <xf numFmtId="0" fontId="40" fillId="31" borderId="49" xfId="0" applyFont="1" applyFill="1" applyBorder="1" applyAlignment="1" applyProtection="1">
      <alignment horizontal="center" vertical="center" wrapText="1"/>
    </xf>
    <xf numFmtId="0" fontId="128" fillId="16" borderId="0" xfId="0" applyFont="1" applyFill="1" applyBorder="1" applyAlignment="1" applyProtection="1">
      <alignment horizontal="left"/>
    </xf>
    <xf numFmtId="0" fontId="393" fillId="16" borderId="22" xfId="0" applyFont="1" applyFill="1" applyBorder="1" applyAlignment="1" applyProtection="1">
      <alignment horizontal="center" vertical="center"/>
      <protection locked="0"/>
    </xf>
    <xf numFmtId="0" fontId="387" fillId="16" borderId="22" xfId="0" applyFont="1" applyFill="1" applyBorder="1" applyAlignment="1" applyProtection="1">
      <alignment horizontal="center" vertical="center" wrapText="1"/>
      <protection locked="0"/>
    </xf>
    <xf numFmtId="0" fontId="128" fillId="16" borderId="91" xfId="0" applyFont="1" applyFill="1" applyBorder="1" applyAlignment="1" applyProtection="1">
      <alignment horizontal="left"/>
    </xf>
    <xf numFmtId="0" fontId="198" fillId="16" borderId="85" xfId="0" applyFont="1" applyFill="1" applyBorder="1" applyAlignment="1" applyProtection="1">
      <alignment horizontal="center" vertical="center"/>
    </xf>
    <xf numFmtId="0" fontId="198" fillId="16" borderId="86" xfId="0" applyFont="1" applyFill="1" applyBorder="1" applyAlignment="1" applyProtection="1">
      <alignment horizontal="center" vertical="center"/>
    </xf>
    <xf numFmtId="0" fontId="198" fillId="16" borderId="22" xfId="0" applyFont="1" applyFill="1" applyBorder="1" applyAlignment="1" applyProtection="1">
      <alignment horizontal="center" vertical="center"/>
    </xf>
    <xf numFmtId="0" fontId="198" fillId="0" borderId="22" xfId="0" applyFont="1" applyBorder="1" applyAlignment="1" applyProtection="1">
      <alignment horizontal="center" vertical="center"/>
    </xf>
    <xf numFmtId="0" fontId="125" fillId="31" borderId="22" xfId="0" applyFont="1" applyFill="1" applyBorder="1" applyAlignment="1" applyProtection="1">
      <alignment horizontal="center" vertical="center"/>
    </xf>
    <xf numFmtId="0" fontId="279" fillId="31" borderId="47" xfId="0" applyFont="1" applyFill="1" applyBorder="1" applyAlignment="1" applyProtection="1">
      <alignment horizontal="center" vertical="center" wrapText="1"/>
    </xf>
    <xf numFmtId="0" fontId="279" fillId="31" borderId="49" xfId="0" applyFont="1" applyFill="1" applyBorder="1" applyAlignment="1" applyProtection="1">
      <alignment horizontal="center" vertical="center" wrapText="1"/>
    </xf>
    <xf numFmtId="0" fontId="128" fillId="16" borderId="0" xfId="0" applyFont="1" applyFill="1" applyAlignment="1" applyProtection="1">
      <alignment horizontal="left"/>
    </xf>
    <xf numFmtId="0" fontId="277" fillId="19" borderId="22" xfId="0" applyFont="1" applyFill="1" applyBorder="1" applyAlignment="1" applyProtection="1">
      <alignment horizontal="left" vertical="center" wrapText="1"/>
    </xf>
    <xf numFmtId="0" fontId="276" fillId="31" borderId="47" xfId="0" applyFont="1" applyFill="1" applyBorder="1" applyAlignment="1" applyProtection="1">
      <alignment horizontal="center" wrapText="1"/>
    </xf>
    <xf numFmtId="0" fontId="276" fillId="31" borderId="48" xfId="0" applyFont="1" applyFill="1" applyBorder="1" applyAlignment="1" applyProtection="1">
      <alignment horizontal="center" wrapText="1"/>
    </xf>
    <xf numFmtId="0" fontId="276" fillId="31" borderId="49" xfId="0" applyFont="1" applyFill="1" applyBorder="1" applyAlignment="1" applyProtection="1">
      <alignment horizontal="center" wrapText="1"/>
    </xf>
    <xf numFmtId="0" fontId="383" fillId="16" borderId="22" xfId="0" applyFont="1" applyFill="1" applyBorder="1" applyAlignment="1" applyProtection="1">
      <alignment horizontal="left" vertical="center"/>
      <protection locked="0"/>
    </xf>
    <xf numFmtId="0" fontId="276" fillId="31" borderId="22" xfId="0" applyFont="1" applyFill="1" applyBorder="1" applyAlignment="1" applyProtection="1">
      <alignment horizontal="center" wrapText="1"/>
    </xf>
    <xf numFmtId="0" fontId="277" fillId="19" borderId="47" xfId="0" applyFont="1" applyFill="1" applyBorder="1" applyAlignment="1" applyProtection="1">
      <alignment horizontal="left" vertical="center" wrapText="1"/>
    </xf>
    <xf numFmtId="0" fontId="277" fillId="19" borderId="48" xfId="0" applyFont="1" applyFill="1" applyBorder="1" applyAlignment="1" applyProtection="1">
      <alignment horizontal="left" vertical="center" wrapText="1"/>
    </xf>
    <xf numFmtId="0" fontId="277" fillId="19" borderId="49" xfId="0" applyFont="1" applyFill="1" applyBorder="1" applyAlignment="1" applyProtection="1">
      <alignment horizontal="left" vertical="center" wrapText="1"/>
    </xf>
    <xf numFmtId="0" fontId="280" fillId="19" borderId="47" xfId="0" applyFont="1" applyFill="1" applyBorder="1" applyAlignment="1" applyProtection="1">
      <alignment horizontal="left" vertical="center" shrinkToFit="1"/>
    </xf>
    <xf numFmtId="0" fontId="280" fillId="19" borderId="48" xfId="0" applyFont="1" applyFill="1" applyBorder="1" applyAlignment="1" applyProtection="1">
      <alignment horizontal="left" vertical="center" shrinkToFit="1"/>
    </xf>
    <xf numFmtId="0" fontId="280" fillId="19" borderId="49" xfId="0" applyFont="1" applyFill="1" applyBorder="1" applyAlignment="1" applyProtection="1">
      <alignment horizontal="left" vertical="center" shrinkToFit="1"/>
    </xf>
    <xf numFmtId="0" fontId="384" fillId="16" borderId="22" xfId="0" applyFont="1" applyFill="1" applyBorder="1" applyAlignment="1" applyProtection="1">
      <alignment horizontal="center" vertical="center" wrapText="1"/>
      <protection locked="0"/>
    </xf>
    <xf numFmtId="0" fontId="280" fillId="31" borderId="47" xfId="0" applyFont="1" applyFill="1" applyBorder="1" applyAlignment="1" applyProtection="1">
      <alignment horizontal="center" vertical="center" wrapText="1"/>
    </xf>
    <xf numFmtId="0" fontId="280" fillId="31" borderId="49" xfId="0" applyFont="1" applyFill="1" applyBorder="1" applyAlignment="1" applyProtection="1">
      <alignment horizontal="center" vertical="center" wrapText="1"/>
    </xf>
    <xf numFmtId="0" fontId="275" fillId="31" borderId="47" xfId="0" applyFont="1" applyFill="1" applyBorder="1" applyAlignment="1" applyProtection="1">
      <alignment horizontal="center" vertical="center" wrapText="1"/>
    </xf>
    <xf numFmtId="0" fontId="275" fillId="31" borderId="48" xfId="0" applyFont="1" applyFill="1" applyBorder="1" applyAlignment="1" applyProtection="1">
      <alignment horizontal="center" vertical="center" wrapText="1"/>
    </xf>
    <xf numFmtId="0" fontId="275" fillId="31" borderId="49" xfId="0" applyFont="1" applyFill="1" applyBorder="1" applyAlignment="1" applyProtection="1">
      <alignment horizontal="center" vertical="center" wrapText="1"/>
    </xf>
    <xf numFmtId="0" fontId="127" fillId="16" borderId="255" xfId="0" applyFont="1" applyFill="1" applyBorder="1" applyAlignment="1" applyProtection="1">
      <alignment horizontal="center" vertical="center"/>
    </xf>
    <xf numFmtId="0" fontId="127" fillId="16" borderId="0" xfId="0" applyFont="1" applyFill="1" applyBorder="1" applyAlignment="1" applyProtection="1">
      <alignment horizontal="center" vertical="center"/>
    </xf>
    <xf numFmtId="0" fontId="127" fillId="16" borderId="312" xfId="0" applyFont="1" applyFill="1" applyBorder="1" applyAlignment="1" applyProtection="1">
      <alignment horizontal="center" vertical="center"/>
    </xf>
    <xf numFmtId="0" fontId="272" fillId="16" borderId="255" xfId="0" applyFont="1" applyFill="1" applyBorder="1" applyAlignment="1" applyProtection="1">
      <alignment horizontal="center" vertical="center"/>
    </xf>
    <xf numFmtId="0" fontId="272" fillId="16" borderId="0" xfId="0" applyFont="1" applyFill="1" applyBorder="1" applyAlignment="1" applyProtection="1">
      <alignment horizontal="center" vertical="center"/>
    </xf>
    <xf numFmtId="0" fontId="272" fillId="16" borderId="312" xfId="0" applyFont="1" applyFill="1" applyBorder="1" applyAlignment="1" applyProtection="1">
      <alignment horizontal="center" vertical="center"/>
    </xf>
    <xf numFmtId="0" fontId="385" fillId="16" borderId="22" xfId="0" applyFont="1" applyFill="1" applyBorder="1" applyAlignment="1" applyProtection="1">
      <alignment horizontal="center" vertical="center" wrapText="1"/>
      <protection locked="0"/>
    </xf>
    <xf numFmtId="0" fontId="275" fillId="31" borderId="22" xfId="0" applyFont="1" applyFill="1" applyBorder="1" applyAlignment="1" applyProtection="1">
      <alignment horizontal="center" wrapText="1"/>
    </xf>
    <xf numFmtId="0" fontId="128" fillId="16" borderId="255" xfId="0" applyFont="1" applyFill="1" applyBorder="1" applyAlignment="1" applyProtection="1">
      <alignment horizontal="left"/>
    </xf>
    <xf numFmtId="0" fontId="277" fillId="31" borderId="47" xfId="0" applyFont="1" applyFill="1" applyBorder="1" applyAlignment="1" applyProtection="1">
      <alignment horizontal="center" vertical="center" wrapText="1"/>
    </xf>
    <xf numFmtId="0" fontId="277" fillId="31" borderId="48" xfId="0" applyFont="1" applyFill="1" applyBorder="1" applyAlignment="1" applyProtection="1">
      <alignment horizontal="center" vertical="center" wrapText="1"/>
    </xf>
    <xf numFmtId="0" fontId="277" fillId="31" borderId="49" xfId="0" applyFont="1" applyFill="1" applyBorder="1" applyAlignment="1" applyProtection="1">
      <alignment horizontal="center" vertical="center" wrapText="1"/>
    </xf>
    <xf numFmtId="0" fontId="280" fillId="31" borderId="48" xfId="0" applyFont="1" applyFill="1" applyBorder="1" applyAlignment="1" applyProtection="1">
      <alignment horizontal="center" vertical="center" wrapText="1"/>
    </xf>
    <xf numFmtId="169" fontId="198" fillId="16" borderId="47" xfId="0" applyNumberFormat="1" applyFont="1" applyFill="1" applyBorder="1" applyAlignment="1" applyProtection="1">
      <alignment horizontal="center" vertical="center"/>
      <protection locked="0"/>
    </xf>
    <xf numFmtId="169" fontId="198" fillId="16" borderId="48" xfId="0" applyNumberFormat="1" applyFont="1" applyFill="1" applyBorder="1" applyAlignment="1" applyProtection="1">
      <alignment horizontal="center" vertical="center"/>
      <protection locked="0"/>
    </xf>
    <xf numFmtId="169" fontId="198" fillId="16" borderId="49" xfId="0" applyNumberFormat="1" applyFont="1" applyFill="1" applyBorder="1" applyAlignment="1" applyProtection="1">
      <alignment horizontal="center" vertical="center"/>
      <protection locked="0"/>
    </xf>
    <xf numFmtId="0" fontId="127" fillId="16" borderId="0" xfId="0" applyFont="1" applyFill="1" applyBorder="1" applyAlignment="1" applyProtection="1">
      <alignment horizontal="left"/>
    </xf>
    <xf numFmtId="0" fontId="273" fillId="16" borderId="0" xfId="0" applyFont="1" applyFill="1" applyBorder="1" applyAlignment="1" applyProtection="1">
      <alignment horizontal="distributed"/>
    </xf>
    <xf numFmtId="0" fontId="167" fillId="16" borderId="0" xfId="0" applyFont="1" applyFill="1" applyBorder="1" applyAlignment="1" applyProtection="1">
      <alignment horizontal="right" vertical="center"/>
    </xf>
    <xf numFmtId="0" fontId="180" fillId="19" borderId="22" xfId="0" applyFont="1" applyFill="1" applyBorder="1" applyAlignment="1" applyProtection="1">
      <alignment horizontal="center" vertical="center"/>
    </xf>
    <xf numFmtId="0" fontId="289" fillId="16" borderId="89" xfId="0" applyFont="1" applyFill="1" applyBorder="1" applyAlignment="1" applyProtection="1">
      <alignment horizontal="left" vertical="top"/>
      <protection locked="0"/>
    </xf>
    <xf numFmtId="0" fontId="128" fillId="16" borderId="0" xfId="0" applyFont="1" applyFill="1" applyAlignment="1" applyProtection="1">
      <alignment horizontal="distributed"/>
    </xf>
    <xf numFmtId="0" fontId="261" fillId="16" borderId="0" xfId="0" applyFont="1" applyFill="1" applyBorder="1" applyAlignment="1" applyProtection="1">
      <alignment horizontal="center" vertical="center"/>
    </xf>
    <xf numFmtId="0" fontId="392" fillId="31" borderId="102" xfId="0" applyFont="1" applyFill="1" applyBorder="1" applyAlignment="1" applyProtection="1">
      <alignment horizontal="center" vertical="center" textRotation="255"/>
    </xf>
    <xf numFmtId="0" fontId="392" fillId="31" borderId="172" xfId="0" applyFont="1" applyFill="1" applyBorder="1" applyAlignment="1" applyProtection="1">
      <alignment horizontal="center" vertical="center" textRotation="255"/>
    </xf>
    <xf numFmtId="0" fontId="392" fillId="31" borderId="146" xfId="0" applyFont="1" applyFill="1" applyBorder="1" applyAlignment="1" applyProtection="1">
      <alignment horizontal="center" vertical="center" textRotation="255"/>
    </xf>
    <xf numFmtId="0" fontId="127" fillId="49" borderId="22" xfId="0" applyFont="1" applyFill="1" applyBorder="1" applyAlignment="1" applyProtection="1">
      <alignment horizontal="center" vertical="center"/>
    </xf>
    <xf numFmtId="0" fontId="390" fillId="16" borderId="604" xfId="0" applyFont="1" applyFill="1" applyBorder="1" applyAlignment="1" applyProtection="1">
      <alignment horizontal="left" vertical="top" wrapText="1" shrinkToFit="1"/>
      <protection locked="0"/>
    </xf>
    <xf numFmtId="0" fontId="390" fillId="16" borderId="605" xfId="0" applyFont="1" applyFill="1" applyBorder="1" applyAlignment="1" applyProtection="1">
      <alignment horizontal="left" vertical="top" wrapText="1" shrinkToFit="1"/>
      <protection locked="0"/>
    </xf>
    <xf numFmtId="0" fontId="390" fillId="16" borderId="606" xfId="0" applyFont="1" applyFill="1" applyBorder="1" applyAlignment="1" applyProtection="1">
      <alignment horizontal="left" vertical="top" wrapText="1" shrinkToFit="1"/>
      <protection locked="0"/>
    </xf>
    <xf numFmtId="0" fontId="390" fillId="16" borderId="601" xfId="0" applyFont="1" applyFill="1" applyBorder="1" applyAlignment="1" applyProtection="1">
      <alignment horizontal="left" vertical="top" wrapText="1" shrinkToFit="1"/>
      <protection locked="0"/>
    </xf>
    <xf numFmtId="0" fontId="390" fillId="16" borderId="602" xfId="0" applyFont="1" applyFill="1" applyBorder="1" applyAlignment="1" applyProtection="1">
      <alignment horizontal="left" vertical="top" wrapText="1" shrinkToFit="1"/>
      <protection locked="0"/>
    </xf>
    <xf numFmtId="0" fontId="390" fillId="16" borderId="603" xfId="0" applyFont="1" applyFill="1" applyBorder="1" applyAlignment="1" applyProtection="1">
      <alignment horizontal="left" vertical="top" wrapText="1" shrinkToFit="1"/>
      <protection locked="0"/>
    </xf>
    <xf numFmtId="0" fontId="390" fillId="16" borderId="607" xfId="0" applyFont="1" applyFill="1" applyBorder="1" applyAlignment="1" applyProtection="1">
      <alignment horizontal="left" vertical="top" wrapText="1" shrinkToFit="1"/>
      <protection locked="0"/>
    </xf>
    <xf numFmtId="0" fontId="390" fillId="16" borderId="608" xfId="0" applyFont="1" applyFill="1" applyBorder="1" applyAlignment="1" applyProtection="1">
      <alignment horizontal="left" vertical="top" wrapText="1" shrinkToFit="1"/>
      <protection locked="0"/>
    </xf>
    <xf numFmtId="0" fontId="390" fillId="16" borderId="609" xfId="0" applyFont="1" applyFill="1" applyBorder="1" applyAlignment="1" applyProtection="1">
      <alignment horizontal="left" vertical="top" wrapText="1" shrinkToFit="1"/>
      <protection locked="0"/>
    </xf>
    <xf numFmtId="0" fontId="277" fillId="31" borderId="102" xfId="0" applyFont="1" applyFill="1" applyBorder="1" applyAlignment="1" applyProtection="1">
      <alignment horizontal="center" vertical="center" wrapText="1"/>
    </xf>
    <xf numFmtId="0" fontId="180" fillId="0" borderId="300" xfId="0" applyFont="1" applyBorder="1" applyAlignment="1" applyProtection="1">
      <alignment horizontal="center" vertical="center"/>
    </xf>
    <xf numFmtId="0" fontId="180" fillId="0" borderId="89" xfId="0" applyFont="1" applyBorder="1" applyAlignment="1" applyProtection="1">
      <alignment horizontal="center" vertical="center"/>
    </xf>
    <xf numFmtId="0" fontId="127" fillId="16" borderId="0" xfId="0" applyFont="1" applyFill="1" applyBorder="1" applyAlignment="1" applyProtection="1">
      <alignment horizontal="left" vertical="center"/>
    </xf>
    <xf numFmtId="0" fontId="137" fillId="16" borderId="0" xfId="0" applyFont="1" applyFill="1" applyBorder="1" applyAlignment="1" applyProtection="1">
      <alignment horizontal="left" vertical="center"/>
    </xf>
    <xf numFmtId="0" fontId="26" fillId="16" borderId="0" xfId="0" applyFont="1" applyFill="1" applyBorder="1" applyAlignment="1">
      <alignment vertical="center" wrapText="1"/>
    </xf>
    <xf numFmtId="0" fontId="26" fillId="16" borderId="312" xfId="0" applyFont="1" applyFill="1" applyBorder="1" applyAlignment="1">
      <alignment vertical="center" wrapText="1"/>
    </xf>
    <xf numFmtId="0" fontId="194" fillId="0" borderId="85" xfId="0" applyFont="1" applyBorder="1" applyAlignment="1" applyProtection="1">
      <alignment horizontal="center" vertical="center"/>
      <protection locked="0"/>
    </xf>
    <xf numFmtId="0" fontId="195" fillId="0" borderId="86" xfId="0" applyFont="1" applyBorder="1" applyAlignment="1" applyProtection="1">
      <alignment horizontal="center" vertical="center"/>
      <protection locked="0"/>
    </xf>
    <xf numFmtId="0" fontId="195" fillId="0" borderId="90" xfId="0" applyFont="1" applyBorder="1" applyAlignment="1" applyProtection="1">
      <alignment horizontal="center" vertical="center"/>
      <protection locked="0"/>
    </xf>
    <xf numFmtId="0" fontId="195" fillId="0" borderId="87" xfId="0" applyFont="1" applyBorder="1" applyAlignment="1" applyProtection="1">
      <alignment horizontal="center" vertical="center"/>
      <protection locked="0"/>
    </xf>
    <xf numFmtId="0" fontId="195" fillId="0" borderId="0" xfId="0" applyFont="1" applyBorder="1" applyAlignment="1" applyProtection="1">
      <alignment horizontal="center" vertical="center"/>
      <protection locked="0"/>
    </xf>
    <xf numFmtId="0" fontId="195" fillId="0" borderId="91" xfId="0" applyFont="1" applyBorder="1" applyAlignment="1" applyProtection="1">
      <alignment horizontal="center" vertical="center"/>
      <protection locked="0"/>
    </xf>
    <xf numFmtId="0" fontId="195" fillId="0" borderId="88" xfId="0" applyFont="1" applyBorder="1" applyAlignment="1" applyProtection="1">
      <alignment horizontal="center" vertical="center"/>
      <protection locked="0"/>
    </xf>
    <xf numFmtId="0" fontId="195" fillId="0" borderId="89" xfId="0" applyFont="1" applyBorder="1" applyAlignment="1" applyProtection="1">
      <alignment horizontal="center" vertical="center"/>
      <protection locked="0"/>
    </xf>
    <xf numFmtId="0" fontId="195" fillId="0" borderId="92" xfId="0" applyFont="1" applyBorder="1" applyAlignment="1" applyProtection="1">
      <alignment horizontal="center" vertical="center"/>
      <protection locked="0"/>
    </xf>
    <xf numFmtId="0" fontId="210" fillId="16" borderId="89" xfId="0" applyFont="1" applyFill="1" applyBorder="1" applyAlignment="1" applyProtection="1">
      <alignment horizontal="left"/>
    </xf>
    <xf numFmtId="0" fontId="14" fillId="0" borderId="22" xfId="0" applyFont="1" applyBorder="1" applyAlignment="1" applyProtection="1">
      <alignment horizontal="left" vertical="center" wrapText="1"/>
      <protection locked="0"/>
    </xf>
    <xf numFmtId="0" fontId="56" fillId="0" borderId="22" xfId="0" applyFont="1" applyBorder="1" applyAlignment="1">
      <alignment horizontal="center" vertical="center" wrapText="1"/>
    </xf>
    <xf numFmtId="0" fontId="26" fillId="16" borderId="0" xfId="0" applyFont="1" applyFill="1" applyBorder="1" applyAlignment="1">
      <alignment horizontal="center" wrapText="1"/>
    </xf>
    <xf numFmtId="0" fontId="0" fillId="16" borderId="0" xfId="0" applyFill="1" applyAlignment="1"/>
    <xf numFmtId="0" fontId="0" fillId="16" borderId="91" xfId="0" applyFill="1" applyBorder="1" applyAlignment="1"/>
    <xf numFmtId="0" fontId="9" fillId="0" borderId="22" xfId="0" applyFont="1" applyBorder="1" applyAlignment="1">
      <alignment horizontal="left" vertical="center" wrapText="1"/>
    </xf>
    <xf numFmtId="0" fontId="6" fillId="0" borderId="22" xfId="0" applyFont="1" applyBorder="1" applyAlignment="1">
      <alignment horizontal="center" vertical="center" wrapText="1"/>
    </xf>
    <xf numFmtId="0" fontId="9" fillId="0" borderId="22" xfId="0" applyFont="1" applyBorder="1" applyAlignment="1">
      <alignment horizontal="center" vertical="center" wrapText="1"/>
    </xf>
    <xf numFmtId="0" fontId="26" fillId="0" borderId="22" xfId="0" applyFont="1" applyBorder="1" applyAlignment="1">
      <alignment vertical="center" wrapText="1"/>
    </xf>
    <xf numFmtId="0" fontId="196" fillId="16" borderId="22" xfId="0" applyFont="1" applyFill="1" applyBorder="1" applyAlignment="1" applyProtection="1">
      <alignment horizontal="center" vertical="center"/>
      <protection locked="0"/>
    </xf>
    <xf numFmtId="0" fontId="197" fillId="16" borderId="22" xfId="0" applyFont="1" applyFill="1" applyBorder="1" applyAlignment="1" applyProtection="1">
      <alignment horizontal="center" vertical="center"/>
      <protection locked="0"/>
    </xf>
    <xf numFmtId="0" fontId="26" fillId="0" borderId="85" xfId="0" applyFont="1" applyBorder="1" applyAlignment="1">
      <alignment vertical="center" wrapText="1"/>
    </xf>
    <xf numFmtId="0" fontId="26" fillId="0" borderId="86" xfId="0" applyFont="1" applyBorder="1" applyAlignment="1">
      <alignment vertical="center" wrapText="1"/>
    </xf>
    <xf numFmtId="0" fontId="26" fillId="0" borderId="90" xfId="0" applyFont="1" applyBorder="1" applyAlignment="1">
      <alignment vertical="center" wrapText="1"/>
    </xf>
    <xf numFmtId="0" fontId="26" fillId="0" borderId="87" xfId="0" applyFont="1" applyBorder="1" applyAlignment="1">
      <alignment vertical="center" wrapText="1"/>
    </xf>
    <xf numFmtId="0" fontId="26" fillId="0" borderId="0" xfId="0" applyFont="1" applyBorder="1" applyAlignment="1">
      <alignment vertical="center" wrapText="1"/>
    </xf>
    <xf numFmtId="0" fontId="26" fillId="0" borderId="91" xfId="0" applyFont="1" applyBorder="1" applyAlignment="1">
      <alignment vertical="center" wrapText="1"/>
    </xf>
    <xf numFmtId="0" fontId="26" fillId="0" borderId="88" xfId="0" applyFont="1" applyBorder="1" applyAlignment="1">
      <alignment vertical="center" wrapText="1"/>
    </xf>
    <xf numFmtId="0" fontId="26" fillId="0" borderId="89" xfId="0" applyFont="1" applyBorder="1" applyAlignment="1">
      <alignment vertical="center" wrapText="1"/>
    </xf>
    <xf numFmtId="0" fontId="26" fillId="0" borderId="92" xfId="0" applyFont="1" applyBorder="1" applyAlignment="1">
      <alignment vertical="center" wrapText="1"/>
    </xf>
    <xf numFmtId="0" fontId="14" fillId="0" borderId="47" xfId="0" applyFont="1" applyBorder="1" applyAlignment="1" applyProtection="1">
      <alignment horizontal="left" vertical="center" wrapText="1"/>
      <protection locked="0"/>
    </xf>
    <xf numFmtId="0" fontId="14" fillId="0" borderId="48" xfId="0" applyFont="1" applyBorder="1" applyAlignment="1" applyProtection="1">
      <alignment horizontal="left" vertical="center" wrapText="1"/>
      <protection locked="0"/>
    </xf>
    <xf numFmtId="0" fontId="14" fillId="0" borderId="49" xfId="0" applyFont="1" applyBorder="1" applyAlignment="1" applyProtection="1">
      <alignment horizontal="left" vertical="center" wrapText="1"/>
      <protection locked="0"/>
    </xf>
    <xf numFmtId="0" fontId="6" fillId="16" borderId="0" xfId="0" applyFont="1" applyFill="1" applyAlignment="1">
      <alignment horizontal="distributed" vertical="center"/>
    </xf>
    <xf numFmtId="0" fontId="6" fillId="16" borderId="312" xfId="0" applyFont="1" applyFill="1" applyBorder="1" applyAlignment="1">
      <alignment horizontal="distributed" vertical="center"/>
    </xf>
    <xf numFmtId="0" fontId="9" fillId="0" borderId="47" xfId="0" applyFont="1" applyBorder="1" applyAlignment="1">
      <alignment horizontal="left" vertical="center" wrapText="1"/>
    </xf>
    <xf numFmtId="0" fontId="9" fillId="0" borderId="48" xfId="0" applyFont="1" applyBorder="1" applyAlignment="1">
      <alignment horizontal="left" vertical="center" wrapText="1"/>
    </xf>
    <xf numFmtId="0" fontId="9" fillId="0" borderId="49" xfId="0" applyFont="1" applyBorder="1" applyAlignment="1">
      <alignment horizontal="left" vertical="center" wrapText="1"/>
    </xf>
    <xf numFmtId="0" fontId="9" fillId="0" borderId="22" xfId="0" applyFont="1" applyBorder="1" applyAlignment="1">
      <alignment horizontal="center" vertical="top" wrapText="1"/>
    </xf>
    <xf numFmtId="0" fontId="128" fillId="0" borderId="309" xfId="0" applyFont="1" applyBorder="1" applyAlignment="1" applyProtection="1">
      <alignment horizontal="center" vertical="center"/>
    </xf>
    <xf numFmtId="0" fontId="6" fillId="16" borderId="0" xfId="0" applyFont="1" applyFill="1" applyAlignment="1">
      <alignment horizontal="distributed" vertical="center" wrapText="1"/>
    </xf>
    <xf numFmtId="0" fontId="467" fillId="0" borderId="295" xfId="0" applyFont="1" applyBorder="1" applyAlignment="1" applyProtection="1">
      <alignment horizontal="center"/>
    </xf>
    <xf numFmtId="0" fontId="467" fillId="0" borderId="296" xfId="0" applyFont="1" applyBorder="1" applyAlignment="1" applyProtection="1">
      <alignment horizontal="center"/>
    </xf>
    <xf numFmtId="0" fontId="467" fillId="0" borderId="310" xfId="0" applyFont="1" applyBorder="1" applyAlignment="1" applyProtection="1">
      <alignment horizontal="center"/>
    </xf>
    <xf numFmtId="0" fontId="467" fillId="0" borderId="295" xfId="0" applyFont="1" applyBorder="1" applyAlignment="1" applyProtection="1">
      <alignment horizontal="center"/>
      <protection locked="0"/>
    </xf>
    <xf numFmtId="0" fontId="467" fillId="0" borderId="296" xfId="0" applyFont="1" applyBorder="1" applyAlignment="1" applyProtection="1">
      <alignment horizontal="center"/>
      <protection locked="0"/>
    </xf>
    <xf numFmtId="166" fontId="210" fillId="16" borderId="89" xfId="0" applyNumberFormat="1" applyFont="1" applyFill="1" applyBorder="1" applyAlignment="1" applyProtection="1">
      <alignment horizontal="left"/>
    </xf>
    <xf numFmtId="0" fontId="210" fillId="16" borderId="89" xfId="0" applyFont="1" applyFill="1" applyBorder="1" applyAlignment="1" applyProtection="1">
      <alignment horizontal="center"/>
    </xf>
    <xf numFmtId="49" fontId="210" fillId="16" borderId="89" xfId="0" applyNumberFormat="1" applyFont="1" applyFill="1" applyBorder="1" applyAlignment="1" applyProtection="1">
      <alignment horizontal="center"/>
    </xf>
    <xf numFmtId="0" fontId="31" fillId="0" borderId="22" xfId="0" applyFont="1" applyBorder="1" applyAlignment="1">
      <alignment horizontal="center" vertical="center" wrapText="1"/>
    </xf>
    <xf numFmtId="0" fontId="6" fillId="16" borderId="298" xfId="0" applyFont="1" applyFill="1" applyBorder="1" applyAlignment="1">
      <alignment horizontal="distributed" vertical="center"/>
    </xf>
    <xf numFmtId="0" fontId="6" fillId="16" borderId="256" xfId="0" applyFont="1" applyFill="1" applyBorder="1" applyAlignment="1">
      <alignment horizontal="distributed" vertical="center"/>
    </xf>
    <xf numFmtId="0" fontId="6" fillId="16" borderId="299" xfId="0" applyFont="1" applyFill="1" applyBorder="1" applyAlignment="1">
      <alignment horizontal="left" vertical="center"/>
    </xf>
    <xf numFmtId="0" fontId="6" fillId="16" borderId="299" xfId="0" applyFont="1" applyFill="1" applyBorder="1" applyAlignment="1">
      <alignment horizontal="distributed" vertical="center"/>
    </xf>
    <xf numFmtId="0" fontId="6" fillId="16" borderId="244" xfId="0" applyFont="1" applyFill="1" applyBorder="1" applyAlignment="1">
      <alignment horizontal="distributed" vertical="center"/>
    </xf>
    <xf numFmtId="166" fontId="198" fillId="16" borderId="89" xfId="0" applyNumberFormat="1" applyFont="1" applyFill="1" applyBorder="1" applyAlignment="1" applyProtection="1">
      <alignment horizontal="left"/>
    </xf>
    <xf numFmtId="0" fontId="22" fillId="16" borderId="298" xfId="0" applyFont="1" applyFill="1" applyBorder="1" applyAlignment="1">
      <alignment horizontal="distributed" vertical="center"/>
    </xf>
    <xf numFmtId="0" fontId="22" fillId="16" borderId="256" xfId="0" applyFont="1" applyFill="1" applyBorder="1" applyAlignment="1">
      <alignment horizontal="distributed" vertical="center"/>
    </xf>
    <xf numFmtId="0" fontId="22" fillId="16" borderId="0" xfId="0" applyFont="1" applyFill="1" applyAlignment="1">
      <alignment horizontal="distributed" vertical="center"/>
    </xf>
    <xf numFmtId="0" fontId="22" fillId="16" borderId="312" xfId="0" applyFont="1" applyFill="1" applyBorder="1" applyAlignment="1">
      <alignment horizontal="distributed" vertical="center"/>
    </xf>
    <xf numFmtId="0" fontId="14" fillId="16" borderId="47" xfId="0" applyFont="1" applyFill="1" applyBorder="1" applyAlignment="1">
      <alignment horizontal="center" vertical="center" wrapText="1" shrinkToFit="1"/>
    </xf>
    <xf numFmtId="0" fontId="14" fillId="16" borderId="48" xfId="0" applyFont="1" applyFill="1" applyBorder="1" applyAlignment="1">
      <alignment horizontal="center" vertical="center" wrapText="1" shrinkToFit="1"/>
    </xf>
    <xf numFmtId="0" fontId="14" fillId="16" borderId="49" xfId="0" applyFont="1" applyFill="1" applyBorder="1" applyAlignment="1">
      <alignment horizontal="center" vertical="center" wrapText="1" shrinkToFit="1"/>
    </xf>
    <xf numFmtId="0" fontId="39" fillId="16" borderId="47" xfId="0" applyFont="1" applyFill="1" applyBorder="1" applyAlignment="1">
      <alignment horizontal="center" vertical="center" wrapText="1"/>
    </xf>
    <xf numFmtId="0" fontId="39" fillId="16" borderId="48" xfId="0" applyFont="1" applyFill="1" applyBorder="1" applyAlignment="1">
      <alignment horizontal="center" vertical="center" wrapText="1"/>
    </xf>
    <xf numFmtId="0" fontId="39" fillId="16" borderId="49" xfId="0" applyFont="1" applyFill="1" applyBorder="1" applyAlignment="1">
      <alignment horizontal="center" vertical="center" wrapText="1"/>
    </xf>
    <xf numFmtId="0" fontId="199" fillId="16" borderId="22" xfId="0" applyFont="1" applyFill="1" applyBorder="1" applyAlignment="1" applyProtection="1">
      <alignment horizontal="center" vertical="center" wrapText="1"/>
      <protection locked="0"/>
    </xf>
    <xf numFmtId="0" fontId="159" fillId="16" borderId="22" xfId="0" applyFont="1" applyFill="1" applyBorder="1" applyAlignment="1" applyProtection="1">
      <alignment horizontal="center" vertical="center" wrapText="1"/>
      <protection locked="0"/>
    </xf>
    <xf numFmtId="0" fontId="200" fillId="16" borderId="85" xfId="0" applyFont="1" applyFill="1" applyBorder="1" applyAlignment="1" applyProtection="1">
      <alignment horizontal="center" vertical="center"/>
    </xf>
    <xf numFmtId="0" fontId="200" fillId="16" borderId="86" xfId="0" applyFont="1" applyFill="1" applyBorder="1" applyAlignment="1" applyProtection="1">
      <alignment horizontal="center" vertical="center"/>
    </xf>
    <xf numFmtId="0" fontId="200" fillId="16" borderId="90" xfId="0" applyFont="1" applyFill="1" applyBorder="1" applyAlignment="1" applyProtection="1">
      <alignment horizontal="center" vertical="center"/>
    </xf>
    <xf numFmtId="0" fontId="200" fillId="16" borderId="88" xfId="0" applyFont="1" applyFill="1" applyBorder="1" applyAlignment="1" applyProtection="1">
      <alignment horizontal="center" vertical="center"/>
    </xf>
    <xf numFmtId="0" fontId="200" fillId="16" borderId="89" xfId="0" applyFont="1" applyFill="1" applyBorder="1" applyAlignment="1" applyProtection="1">
      <alignment horizontal="center" vertical="center"/>
    </xf>
    <xf numFmtId="0" fontId="200" fillId="16" borderId="92" xfId="0" applyFont="1" applyFill="1" applyBorder="1" applyAlignment="1" applyProtection="1">
      <alignment horizontal="center" vertical="center"/>
    </xf>
    <xf numFmtId="0" fontId="128" fillId="16" borderId="302" xfId="0" applyFont="1" applyFill="1" applyBorder="1" applyAlignment="1" applyProtection="1">
      <alignment horizontal="center" vertical="center"/>
    </xf>
    <xf numFmtId="0" fontId="128" fillId="16" borderId="303" xfId="0" applyFont="1" applyFill="1" applyBorder="1" applyAlignment="1" applyProtection="1">
      <alignment horizontal="center" vertical="center"/>
    </xf>
    <xf numFmtId="0" fontId="127" fillId="16" borderId="22" xfId="0" applyFont="1" applyFill="1" applyBorder="1" applyAlignment="1" applyProtection="1">
      <alignment horizontal="justify" vertical="justify"/>
    </xf>
    <xf numFmtId="0" fontId="14" fillId="16" borderId="22" xfId="0" applyFont="1" applyFill="1" applyBorder="1" applyAlignment="1">
      <alignment horizontal="center" vertical="center" wrapText="1" shrinkToFit="1"/>
    </xf>
    <xf numFmtId="0" fontId="200" fillId="16" borderId="22" xfId="0" applyFont="1" applyFill="1" applyBorder="1" applyAlignment="1" applyProtection="1">
      <alignment horizontal="center" vertical="center"/>
    </xf>
    <xf numFmtId="0" fontId="110" fillId="16" borderId="22" xfId="0" applyFont="1" applyFill="1" applyBorder="1" applyAlignment="1" applyProtection="1">
      <alignment horizontal="center" vertical="center" wrapText="1"/>
      <protection locked="0"/>
    </xf>
    <xf numFmtId="0" fontId="6" fillId="16" borderId="22" xfId="0" applyFont="1" applyFill="1" applyBorder="1" applyAlignment="1" applyProtection="1">
      <alignment horizontal="center" vertical="center" wrapText="1"/>
      <protection locked="0"/>
    </xf>
    <xf numFmtId="0" fontId="39" fillId="16" borderId="47" xfId="0" applyFont="1" applyFill="1" applyBorder="1" applyAlignment="1" applyProtection="1">
      <alignment horizontal="center" vertical="center" wrapText="1"/>
      <protection locked="0"/>
    </xf>
    <xf numFmtId="0" fontId="39" fillId="16" borderId="48" xfId="0" applyFont="1" applyFill="1" applyBorder="1" applyAlignment="1" applyProtection="1">
      <alignment horizontal="center" vertical="center" wrapText="1"/>
      <protection locked="0"/>
    </xf>
    <xf numFmtId="0" fontId="39" fillId="16" borderId="49" xfId="0" applyFont="1" applyFill="1" applyBorder="1" applyAlignment="1" applyProtection="1">
      <alignment horizontal="center" vertical="center" wrapText="1"/>
      <protection locked="0"/>
    </xf>
    <xf numFmtId="0" fontId="15" fillId="16" borderId="22" xfId="0" applyFont="1" applyFill="1" applyBorder="1" applyAlignment="1" applyProtection="1">
      <alignment horizontal="center" vertical="center" wrapText="1" shrinkToFit="1"/>
      <protection locked="0"/>
    </xf>
    <xf numFmtId="0" fontId="201" fillId="0" borderId="26" xfId="0" applyFont="1" applyBorder="1" applyAlignment="1" applyProtection="1">
      <alignment horizontal="center"/>
    </xf>
    <xf numFmtId="0" fontId="201" fillId="0" borderId="31" xfId="0" applyFont="1" applyBorder="1" applyAlignment="1" applyProtection="1">
      <alignment horizontal="center"/>
    </xf>
    <xf numFmtId="0" fontId="201" fillId="0" borderId="29" xfId="0" applyFont="1" applyBorder="1" applyAlignment="1" applyProtection="1">
      <alignment horizontal="center"/>
    </xf>
    <xf numFmtId="0" fontId="59" fillId="0" borderId="151" xfId="0" applyFont="1" applyBorder="1" applyAlignment="1" applyProtection="1">
      <alignment horizontal="center"/>
    </xf>
    <xf numFmtId="0" fontId="59" fillId="0" borderId="152" xfId="0" applyFont="1" applyBorder="1" applyAlignment="1" applyProtection="1">
      <alignment horizontal="center"/>
    </xf>
    <xf numFmtId="0" fontId="59" fillId="0" borderId="142" xfId="0" applyFont="1" applyBorder="1" applyAlignment="1" applyProtection="1">
      <alignment horizontal="center"/>
    </xf>
    <xf numFmtId="0" fontId="59" fillId="0" borderId="57" xfId="0" applyNumberFormat="1" applyFont="1" applyBorder="1" applyAlignment="1" applyProtection="1">
      <alignment horizontal="center"/>
    </xf>
    <xf numFmtId="0" fontId="60" fillId="0" borderId="121" xfId="0" applyFont="1" applyBorder="1" applyAlignment="1" applyProtection="1">
      <alignment horizontal="center"/>
    </xf>
    <xf numFmtId="0" fontId="60" fillId="0" borderId="71" xfId="0" applyFont="1" applyBorder="1" applyAlignment="1" applyProtection="1">
      <alignment horizontal="center"/>
    </xf>
    <xf numFmtId="0" fontId="60" fillId="0" borderId="186" xfId="0" applyFont="1" applyBorder="1" applyAlignment="1" applyProtection="1">
      <alignment horizontal="center"/>
    </xf>
    <xf numFmtId="0" fontId="56" fillId="0" borderId="55" xfId="0" applyFont="1" applyBorder="1" applyAlignment="1" applyProtection="1">
      <alignment horizontal="center"/>
    </xf>
    <xf numFmtId="0" fontId="56" fillId="0" borderId="144" xfId="0" applyFont="1" applyBorder="1" applyAlignment="1" applyProtection="1">
      <alignment horizontal="center"/>
    </xf>
    <xf numFmtId="0" fontId="56" fillId="0" borderId="157" xfId="0" applyFont="1" applyBorder="1" applyAlignment="1" applyProtection="1">
      <alignment horizontal="center"/>
    </xf>
    <xf numFmtId="0" fontId="56" fillId="0" borderId="26" xfId="0" applyFont="1" applyBorder="1" applyAlignment="1" applyProtection="1">
      <alignment horizontal="distributed"/>
    </xf>
    <xf numFmtId="0" fontId="56" fillId="0" borderId="31" xfId="0" applyFont="1" applyBorder="1" applyAlignment="1" applyProtection="1">
      <alignment horizontal="distributed"/>
    </xf>
    <xf numFmtId="0" fontId="56" fillId="0" borderId="29" xfId="0" applyFont="1" applyBorder="1" applyAlignment="1" applyProtection="1">
      <alignment horizontal="distributed"/>
    </xf>
    <xf numFmtId="0" fontId="59" fillId="0" borderId="57" xfId="0" applyFont="1" applyBorder="1" applyAlignment="1" applyProtection="1">
      <alignment horizontal="center"/>
    </xf>
    <xf numFmtId="0" fontId="56" fillId="0" borderId="26" xfId="0" applyFont="1" applyBorder="1" applyAlignment="1" applyProtection="1">
      <alignment horizontal="center"/>
    </xf>
    <xf numFmtId="0" fontId="56" fillId="0" borderId="31" xfId="0" applyFont="1" applyBorder="1" applyAlignment="1" applyProtection="1">
      <alignment horizontal="center"/>
    </xf>
    <xf numFmtId="0" fontId="56" fillId="0" borderId="29" xfId="0" applyFont="1" applyBorder="1" applyAlignment="1" applyProtection="1">
      <alignment horizontal="center"/>
    </xf>
    <xf numFmtId="0" fontId="56" fillId="0" borderId="26" xfId="0" applyFont="1" applyBorder="1" applyAlignment="1" applyProtection="1">
      <alignment horizontal="left"/>
    </xf>
    <xf numFmtId="0" fontId="56" fillId="0" borderId="31" xfId="0" applyFont="1" applyBorder="1" applyAlignment="1" applyProtection="1">
      <alignment horizontal="left"/>
    </xf>
    <xf numFmtId="0" fontId="56" fillId="0" borderId="30" xfId="0" applyFont="1" applyBorder="1" applyAlignment="1" applyProtection="1">
      <alignment horizontal="center"/>
    </xf>
    <xf numFmtId="0" fontId="122" fillId="0" borderId="57" xfId="0" applyFont="1" applyBorder="1" applyAlignment="1" applyProtection="1">
      <alignment horizontal="left"/>
    </xf>
    <xf numFmtId="0" fontId="122" fillId="0" borderId="151" xfId="0" applyFont="1" applyBorder="1" applyAlignment="1" applyProtection="1">
      <alignment horizontal="left"/>
    </xf>
    <xf numFmtId="0" fontId="56" fillId="0" borderId="30" xfId="0" applyFont="1" applyBorder="1" applyAlignment="1" applyProtection="1">
      <alignment horizontal="left"/>
    </xf>
    <xf numFmtId="0" fontId="61" fillId="0" borderId="26" xfId="0" applyFont="1" applyBorder="1" applyAlignment="1" applyProtection="1">
      <alignment horizontal="distributed"/>
    </xf>
    <xf numFmtId="0" fontId="61" fillId="0" borderId="31" xfId="0" applyFont="1" applyBorder="1" applyAlignment="1" applyProtection="1">
      <alignment horizontal="distributed"/>
    </xf>
    <xf numFmtId="0" fontId="61" fillId="0" borderId="26" xfId="0" applyFont="1" applyBorder="1" applyAlignment="1" applyProtection="1">
      <alignment horizontal="distributed" vertical="distributed"/>
    </xf>
    <xf numFmtId="0" fontId="61" fillId="0" borderId="31" xfId="0" applyFont="1" applyBorder="1" applyAlignment="1" applyProtection="1">
      <alignment horizontal="distributed" vertical="distributed"/>
    </xf>
    <xf numFmtId="0" fontId="61" fillId="0" borderId="29" xfId="0" applyFont="1" applyBorder="1" applyAlignment="1" applyProtection="1">
      <alignment horizontal="distributed" vertical="distributed"/>
    </xf>
    <xf numFmtId="1" fontId="61" fillId="0" borderId="151" xfId="0" applyNumberFormat="1" applyFont="1" applyBorder="1" applyAlignment="1" applyProtection="1">
      <alignment horizontal="center"/>
    </xf>
    <xf numFmtId="0" fontId="61" fillId="0" borderId="152" xfId="0" applyFont="1" applyBorder="1" applyAlignment="1" applyProtection="1">
      <alignment horizontal="center"/>
    </xf>
    <xf numFmtId="0" fontId="61" fillId="0" borderId="151" xfId="0" applyFont="1" applyBorder="1" applyAlignment="1" applyProtection="1">
      <alignment horizontal="center"/>
    </xf>
    <xf numFmtId="0" fontId="61" fillId="0" borderId="142" xfId="0" applyFont="1" applyBorder="1" applyAlignment="1" applyProtection="1">
      <alignment horizontal="center"/>
    </xf>
    <xf numFmtId="0" fontId="60" fillId="0" borderId="26" xfId="0" applyFont="1" applyBorder="1" applyAlignment="1" applyProtection="1">
      <alignment horizontal="center"/>
    </xf>
    <xf numFmtId="0" fontId="60" fillId="0" borderId="31" xfId="0" applyFont="1" applyBorder="1" applyAlignment="1" applyProtection="1">
      <alignment horizontal="center"/>
    </xf>
    <xf numFmtId="0" fontId="60" fillId="0" borderId="29" xfId="0" applyFont="1" applyBorder="1" applyAlignment="1" applyProtection="1">
      <alignment horizontal="center"/>
    </xf>
    <xf numFmtId="0" fontId="60" fillId="0" borderId="277" xfId="0" applyFont="1" applyBorder="1" applyAlignment="1" applyProtection="1">
      <alignment horizontal="left"/>
    </xf>
    <xf numFmtId="0" fontId="61" fillId="0" borderId="29" xfId="0" applyFont="1" applyBorder="1" applyAlignment="1" applyProtection="1">
      <alignment horizontal="distributed"/>
    </xf>
    <xf numFmtId="0" fontId="62" fillId="0" borderId="156" xfId="0" applyFont="1" applyBorder="1" applyAlignment="1" applyProtection="1">
      <alignment horizontal="center"/>
    </xf>
    <xf numFmtId="0" fontId="62" fillId="0" borderId="139" xfId="0" applyFont="1" applyBorder="1" applyAlignment="1" applyProtection="1">
      <alignment horizontal="center"/>
    </xf>
    <xf numFmtId="0" fontId="61" fillId="0" borderId="41" xfId="0" applyFont="1" applyBorder="1" applyAlignment="1" applyProtection="1">
      <alignment horizontal="distributed"/>
    </xf>
    <xf numFmtId="0" fontId="61" fillId="0" borderId="0" xfId="0" applyFont="1" applyBorder="1" applyAlignment="1" applyProtection="1">
      <alignment horizontal="distributed"/>
    </xf>
    <xf numFmtId="0" fontId="61" fillId="0" borderId="145" xfId="0" applyFont="1" applyBorder="1" applyAlignment="1" applyProtection="1">
      <alignment horizontal="distributed"/>
    </xf>
    <xf numFmtId="0" fontId="60" fillId="0" borderId="57" xfId="0" applyFont="1" applyBorder="1" applyAlignment="1" applyProtection="1">
      <alignment horizontal="center"/>
    </xf>
    <xf numFmtId="0" fontId="60" fillId="0" borderId="156" xfId="0" applyFont="1" applyBorder="1" applyAlignment="1" applyProtection="1">
      <alignment horizontal="center"/>
    </xf>
    <xf numFmtId="0" fontId="60" fillId="0" borderId="89" xfId="0" applyFont="1" applyBorder="1" applyAlignment="1" applyProtection="1">
      <alignment horizontal="center"/>
    </xf>
    <xf numFmtId="0" fontId="60" fillId="0" borderId="139" xfId="0" applyFont="1" applyBorder="1" applyAlignment="1" applyProtection="1">
      <alignment horizontal="center"/>
    </xf>
    <xf numFmtId="0" fontId="47" fillId="0" borderId="30" xfId="0" applyFont="1" applyBorder="1" applyAlignment="1" applyProtection="1">
      <alignment horizontal="distributed"/>
    </xf>
    <xf numFmtId="0" fontId="47" fillId="0" borderId="26" xfId="0" applyFont="1" applyBorder="1" applyAlignment="1" applyProtection="1">
      <alignment horizontal="left"/>
    </xf>
    <xf numFmtId="0" fontId="47" fillId="0" borderId="31" xfId="0" applyFont="1" applyBorder="1" applyAlignment="1" applyProtection="1">
      <alignment horizontal="left"/>
    </xf>
    <xf numFmtId="0" fontId="47" fillId="0" borderId="29" xfId="0" applyFont="1" applyBorder="1" applyAlignment="1" applyProtection="1">
      <alignment horizontal="left"/>
    </xf>
    <xf numFmtId="0" fontId="47" fillId="0" borderId="144" xfId="0" applyFont="1" applyBorder="1" applyAlignment="1" applyProtection="1">
      <alignment horizontal="center"/>
    </xf>
    <xf numFmtId="0" fontId="47" fillId="0" borderId="157" xfId="0" applyFont="1" applyBorder="1" applyAlignment="1" applyProtection="1">
      <alignment horizontal="center"/>
    </xf>
    <xf numFmtId="0" fontId="47" fillId="0" borderId="143" xfId="0" applyFont="1" applyBorder="1" applyAlignment="1" applyProtection="1">
      <alignment horizontal="center"/>
    </xf>
    <xf numFmtId="0" fontId="48" fillId="0" borderId="26" xfId="0" applyFont="1" applyBorder="1" applyAlignment="1" applyProtection="1">
      <alignment horizontal="distributed"/>
    </xf>
    <xf numFmtId="0" fontId="47" fillId="0" borderId="31" xfId="0" applyFont="1" applyBorder="1" applyAlignment="1" applyProtection="1">
      <alignment horizontal="distributed"/>
    </xf>
    <xf numFmtId="0" fontId="47" fillId="0" borderId="29" xfId="0" applyFont="1" applyBorder="1" applyAlignment="1" applyProtection="1">
      <alignment horizontal="distributed"/>
    </xf>
    <xf numFmtId="0" fontId="47" fillId="0" borderId="145" xfId="0" applyFont="1" applyBorder="1" applyAlignment="1" applyProtection="1">
      <alignment horizontal="left"/>
    </xf>
    <xf numFmtId="0" fontId="47" fillId="0" borderId="26" xfId="0" applyFont="1" applyBorder="1" applyAlignment="1" applyProtection="1">
      <alignment horizontal="center"/>
    </xf>
    <xf numFmtId="0" fontId="47" fillId="0" borderId="31" xfId="0" applyFont="1" applyBorder="1" applyAlignment="1" applyProtection="1">
      <alignment horizontal="center"/>
    </xf>
    <xf numFmtId="0" fontId="47" fillId="0" borderId="29" xfId="0" applyFont="1" applyBorder="1" applyAlignment="1" applyProtection="1">
      <alignment horizontal="center"/>
    </xf>
    <xf numFmtId="0" fontId="6" fillId="0" borderId="57" xfId="0" applyFont="1" applyBorder="1" applyAlignment="1" applyProtection="1">
      <alignment horizontal="center"/>
    </xf>
    <xf numFmtId="0" fontId="19" fillId="0" borderId="151" xfId="0" applyFont="1" applyBorder="1" applyAlignment="1" applyProtection="1">
      <alignment horizontal="left"/>
    </xf>
    <xf numFmtId="0" fontId="19" fillId="0" borderId="152" xfId="0" applyFont="1" applyBorder="1" applyAlignment="1" applyProtection="1">
      <alignment horizontal="left"/>
    </xf>
    <xf numFmtId="0" fontId="19" fillId="0" borderId="142" xfId="0" applyFont="1" applyBorder="1" applyAlignment="1" applyProtection="1">
      <alignment horizontal="left"/>
    </xf>
    <xf numFmtId="1" fontId="6" fillId="0" borderId="57" xfId="0" applyNumberFormat="1" applyFont="1" applyBorder="1" applyAlignment="1" applyProtection="1">
      <alignment horizontal="center"/>
    </xf>
    <xf numFmtId="0" fontId="6" fillId="0" borderId="151" xfId="0" applyFont="1" applyBorder="1" applyAlignment="1" applyProtection="1">
      <alignment horizontal="center"/>
    </xf>
    <xf numFmtId="0" fontId="6" fillId="0" borderId="152" xfId="0" applyFont="1" applyBorder="1" applyAlignment="1" applyProtection="1">
      <alignment horizontal="center"/>
    </xf>
    <xf numFmtId="0" fontId="6" fillId="0" borderId="142" xfId="0" applyFont="1" applyBorder="1" applyAlignment="1" applyProtection="1">
      <alignment horizontal="center"/>
    </xf>
    <xf numFmtId="0" fontId="14" fillId="0" borderId="56" xfId="0" applyFont="1" applyBorder="1" applyAlignment="1" applyProtection="1">
      <alignment horizontal="distributed"/>
    </xf>
    <xf numFmtId="0" fontId="0" fillId="0" borderId="145" xfId="0" applyBorder="1" applyAlignment="1" applyProtection="1">
      <alignment horizontal="distributed"/>
    </xf>
    <xf numFmtId="0" fontId="0" fillId="0" borderId="54" xfId="0" applyBorder="1" applyAlignment="1" applyProtection="1">
      <alignment horizontal="distributed"/>
    </xf>
    <xf numFmtId="0" fontId="14" fillId="0" borderId="56" xfId="0" applyFont="1" applyBorder="1" applyAlignment="1" applyProtection="1">
      <alignment horizontal="left"/>
    </xf>
    <xf numFmtId="0" fontId="0" fillId="0" borderId="145" xfId="0" applyBorder="1" applyAlignment="1" applyProtection="1">
      <alignment horizontal="left"/>
    </xf>
    <xf numFmtId="0" fontId="0" fillId="0" borderId="54" xfId="0" applyBorder="1" applyAlignment="1" applyProtection="1">
      <alignment horizontal="left"/>
    </xf>
    <xf numFmtId="0" fontId="15" fillId="0" borderId="26" xfId="0" applyFont="1" applyBorder="1" applyAlignment="1" applyProtection="1">
      <alignment horizontal="center"/>
    </xf>
    <xf numFmtId="0" fontId="15" fillId="0" borderId="31" xfId="0" applyFont="1" applyBorder="1" applyAlignment="1" applyProtection="1">
      <alignment horizontal="center"/>
    </xf>
    <xf numFmtId="0" fontId="15" fillId="0" borderId="29" xfId="0" applyFont="1" applyBorder="1" applyAlignment="1" applyProtection="1">
      <alignment horizontal="center"/>
    </xf>
    <xf numFmtId="0" fontId="14" fillId="0" borderId="26" xfId="0" applyFont="1" applyBorder="1" applyAlignment="1" applyProtection="1">
      <alignment horizontal="distributed"/>
    </xf>
    <xf numFmtId="0" fontId="0" fillId="0" borderId="31" xfId="0" applyBorder="1" applyAlignment="1" applyProtection="1">
      <alignment horizontal="distributed"/>
    </xf>
    <xf numFmtId="0" fontId="0" fillId="0" borderId="29" xfId="0" applyBorder="1" applyAlignment="1" applyProtection="1">
      <alignment horizontal="distributed"/>
    </xf>
    <xf numFmtId="0" fontId="14" fillId="0" borderId="26" xfId="0" applyFont="1" applyBorder="1" applyAlignment="1" applyProtection="1">
      <alignment horizontal="left"/>
    </xf>
    <xf numFmtId="0" fontId="0" fillId="0" borderId="31" xfId="0" applyBorder="1" applyAlignment="1" applyProtection="1">
      <alignment horizontal="left"/>
    </xf>
    <xf numFmtId="0" fontId="0" fillId="0" borderId="29" xfId="0" applyBorder="1" applyAlignment="1" applyProtection="1">
      <alignment horizontal="left"/>
    </xf>
    <xf numFmtId="0" fontId="6" fillId="0" borderId="121" xfId="0" applyFont="1" applyBorder="1" applyAlignment="1" applyProtection="1">
      <alignment horizontal="center"/>
    </xf>
    <xf numFmtId="0" fontId="6" fillId="0" borderId="71" xfId="0" applyFont="1" applyBorder="1" applyAlignment="1" applyProtection="1">
      <alignment horizontal="center"/>
    </xf>
    <xf numFmtId="0" fontId="0" fillId="0" borderId="187" xfId="0" applyBorder="1" applyAlignment="1" applyProtection="1">
      <alignment horizontal="distributed"/>
    </xf>
    <xf numFmtId="0" fontId="0" fillId="0" borderId="26" xfId="0" applyBorder="1" applyAlignment="1" applyProtection="1">
      <alignment horizontal="center"/>
    </xf>
    <xf numFmtId="0" fontId="0" fillId="0" borderId="29" xfId="0" applyBorder="1" applyAlignment="1" applyProtection="1">
      <alignment horizontal="center"/>
    </xf>
    <xf numFmtId="0" fontId="14" fillId="0" borderId="30" xfId="0" applyFont="1" applyBorder="1" applyAlignment="1" applyProtection="1">
      <alignment horizontal="center"/>
    </xf>
    <xf numFmtId="0" fontId="0" fillId="0" borderId="30" xfId="0" applyBorder="1" applyAlignment="1" applyProtection="1">
      <alignment horizontal="center"/>
    </xf>
    <xf numFmtId="0" fontId="210" fillId="0" borderId="295" xfId="0" applyFont="1" applyBorder="1" applyAlignment="1" applyProtection="1">
      <alignment horizontal="center"/>
    </xf>
    <xf numFmtId="0" fontId="210" fillId="0" borderId="296" xfId="0" applyFont="1" applyBorder="1" applyAlignment="1" applyProtection="1">
      <alignment horizontal="center"/>
    </xf>
    <xf numFmtId="49" fontId="210" fillId="0" borderId="295" xfId="0" applyNumberFormat="1" applyFont="1" applyBorder="1" applyAlignment="1" applyProtection="1">
      <alignment horizontal="center"/>
    </xf>
    <xf numFmtId="49" fontId="210" fillId="0" borderId="296" xfId="0" applyNumberFormat="1" applyFont="1" applyBorder="1" applyAlignment="1" applyProtection="1">
      <alignment horizontal="center"/>
    </xf>
    <xf numFmtId="0" fontId="180" fillId="0" borderId="295" xfId="0" applyFont="1" applyBorder="1" applyAlignment="1" applyProtection="1">
      <alignment horizontal="center"/>
    </xf>
    <xf numFmtId="0" fontId="180" fillId="0" borderId="296" xfId="0" applyFont="1" applyBorder="1" applyAlignment="1" applyProtection="1">
      <alignment horizontal="center"/>
    </xf>
    <xf numFmtId="0" fontId="180" fillId="0" borderId="310" xfId="0" applyFont="1" applyBorder="1" applyAlignment="1" applyProtection="1">
      <alignment horizontal="center"/>
    </xf>
    <xf numFmtId="0" fontId="128" fillId="0" borderId="254" xfId="0" applyFont="1" applyBorder="1" applyAlignment="1" applyProtection="1">
      <alignment horizontal="distributed" vertical="center"/>
    </xf>
    <xf numFmtId="0" fontId="128" fillId="0" borderId="298" xfId="0" applyFont="1" applyBorder="1" applyAlignment="1" applyProtection="1">
      <alignment horizontal="distributed" vertical="center"/>
    </xf>
    <xf numFmtId="0" fontId="5" fillId="0" borderId="295" xfId="0" applyFont="1" applyBorder="1" applyAlignment="1" applyProtection="1">
      <alignment horizontal="left" vertical="center"/>
    </xf>
    <xf numFmtId="0" fontId="5" fillId="0" borderId="296" xfId="0" applyFont="1" applyBorder="1" applyAlignment="1" applyProtection="1">
      <alignment horizontal="left" vertical="center"/>
    </xf>
    <xf numFmtId="0" fontId="210" fillId="0" borderId="311" xfId="0" applyFont="1" applyBorder="1" applyAlignment="1" applyProtection="1">
      <alignment horizontal="center"/>
    </xf>
    <xf numFmtId="0" fontId="210" fillId="0" borderId="310" xfId="0" applyFont="1" applyBorder="1" applyAlignment="1" applyProtection="1">
      <alignment horizontal="center"/>
    </xf>
    <xf numFmtId="0" fontId="128" fillId="0" borderId="301" xfId="0" applyFont="1" applyBorder="1" applyAlignment="1" applyProtection="1">
      <alignment horizontal="left"/>
    </xf>
    <xf numFmtId="0" fontId="128" fillId="0" borderId="48" xfId="0" applyFont="1" applyBorder="1" applyAlignment="1" applyProtection="1">
      <alignment horizontal="left"/>
    </xf>
    <xf numFmtId="0" fontId="181" fillId="0" borderId="295" xfId="0" applyFont="1" applyBorder="1" applyAlignment="1" applyProtection="1">
      <alignment horizontal="center"/>
    </xf>
    <xf numFmtId="0" fontId="181" fillId="0" borderId="296" xfId="0" applyFont="1" applyBorder="1" applyAlignment="1" applyProtection="1">
      <alignment horizontal="center"/>
    </xf>
    <xf numFmtId="0" fontId="128" fillId="0" borderId="300" xfId="0" applyFont="1" applyBorder="1" applyAlignment="1" applyProtection="1">
      <alignment horizontal="left" vertical="center"/>
    </xf>
    <xf numFmtId="0" fontId="128" fillId="0" borderId="89" xfId="0" applyFont="1" applyBorder="1" applyAlignment="1" applyProtection="1">
      <alignment horizontal="left" vertical="center"/>
    </xf>
    <xf numFmtId="0" fontId="128" fillId="0" borderId="295" xfId="0" applyFont="1" applyBorder="1" applyAlignment="1" applyProtection="1">
      <alignment horizontal="left"/>
    </xf>
    <xf numFmtId="0" fontId="128" fillId="0" borderId="296" xfId="0" applyFont="1" applyBorder="1" applyAlignment="1" applyProtection="1">
      <alignment horizontal="left"/>
    </xf>
    <xf numFmtId="0" fontId="128" fillId="0" borderId="295" xfId="0" applyFont="1" applyBorder="1" applyAlignment="1" applyProtection="1">
      <alignment horizontal="center" vertical="center"/>
    </xf>
    <xf numFmtId="0" fontId="128" fillId="0" borderId="296" xfId="0" applyFont="1" applyBorder="1" applyAlignment="1" applyProtection="1">
      <alignment horizontal="center" vertical="center"/>
    </xf>
    <xf numFmtId="166" fontId="210" fillId="16" borderId="296" xfId="0" applyNumberFormat="1" applyFont="1" applyFill="1" applyBorder="1" applyAlignment="1" applyProtection="1">
      <alignment horizontal="left"/>
    </xf>
    <xf numFmtId="0" fontId="210" fillId="0" borderId="295" xfId="0" applyFont="1" applyBorder="1" applyAlignment="1" applyProtection="1">
      <alignment horizontal="center" vertical="center"/>
    </xf>
    <xf numFmtId="0" fontId="210" fillId="0" borderId="296" xfId="0" applyFont="1" applyBorder="1" applyAlignment="1" applyProtection="1">
      <alignment horizontal="center" vertical="center"/>
    </xf>
    <xf numFmtId="0" fontId="198" fillId="16" borderId="89" xfId="0" applyFont="1" applyFill="1" applyBorder="1" applyAlignment="1" applyProtection="1">
      <alignment horizontal="center" vertical="center"/>
    </xf>
    <xf numFmtId="0" fontId="127" fillId="16" borderId="85" xfId="0" applyFont="1" applyFill="1" applyBorder="1" applyAlignment="1" applyProtection="1">
      <alignment horizontal="center" vertical="center"/>
    </xf>
    <xf numFmtId="0" fontId="127" fillId="16" borderId="86" xfId="0" applyFont="1" applyFill="1" applyBorder="1" applyAlignment="1" applyProtection="1">
      <alignment horizontal="center" vertical="center"/>
    </xf>
    <xf numFmtId="0" fontId="127" fillId="16" borderId="90" xfId="0" applyFont="1" applyFill="1" applyBorder="1" applyAlignment="1" applyProtection="1">
      <alignment horizontal="center" vertical="center"/>
    </xf>
    <xf numFmtId="0" fontId="127" fillId="16" borderId="87" xfId="0" applyFont="1" applyFill="1" applyBorder="1" applyAlignment="1" applyProtection="1">
      <alignment horizontal="center" vertical="center"/>
    </xf>
    <xf numFmtId="0" fontId="127" fillId="16" borderId="91" xfId="0" applyFont="1" applyFill="1" applyBorder="1" applyAlignment="1" applyProtection="1">
      <alignment horizontal="center" vertical="center"/>
    </xf>
    <xf numFmtId="0" fontId="127" fillId="16" borderId="88" xfId="0" applyFont="1" applyFill="1" applyBorder="1" applyAlignment="1" applyProtection="1">
      <alignment horizontal="center" vertical="center"/>
    </xf>
    <xf numFmtId="0" fontId="127" fillId="16" borderId="89" xfId="0" applyFont="1" applyFill="1" applyBorder="1" applyAlignment="1" applyProtection="1">
      <alignment horizontal="center" vertical="center"/>
    </xf>
    <xf numFmtId="0" fontId="127" fillId="16" borderId="92" xfId="0" applyFont="1" applyFill="1" applyBorder="1" applyAlignment="1" applyProtection="1">
      <alignment horizontal="center" vertical="center"/>
    </xf>
    <xf numFmtId="0" fontId="132" fillId="16" borderId="22" xfId="0" applyFont="1" applyFill="1" applyBorder="1" applyAlignment="1" applyProtection="1">
      <alignment horizontal="center" vertical="center"/>
      <protection locked="0"/>
    </xf>
    <xf numFmtId="0" fontId="198" fillId="16" borderId="22" xfId="0" applyFont="1" applyFill="1" applyBorder="1" applyAlignment="1" applyProtection="1">
      <alignment horizontal="left" vertical="center"/>
      <protection locked="0"/>
    </xf>
    <xf numFmtId="0" fontId="136" fillId="16" borderId="22" xfId="0" applyFont="1" applyFill="1" applyBorder="1" applyAlignment="1" applyProtection="1">
      <alignment horizontal="center" vertical="center"/>
      <protection locked="0"/>
    </xf>
    <xf numFmtId="0" fontId="128" fillId="16" borderId="22" xfId="0" applyFont="1" applyFill="1" applyBorder="1" applyAlignment="1" applyProtection="1">
      <alignment horizontal="left" vertical="center"/>
    </xf>
    <xf numFmtId="0" fontId="128" fillId="16" borderId="22" xfId="0" applyFont="1" applyFill="1" applyBorder="1" applyAlignment="1" applyProtection="1">
      <alignment horizontal="left"/>
    </xf>
    <xf numFmtId="0" fontId="205" fillId="16" borderId="22" xfId="0" applyFont="1" applyFill="1" applyBorder="1" applyAlignment="1" applyProtection="1">
      <alignment horizontal="left"/>
    </xf>
    <xf numFmtId="0" fontId="205" fillId="16" borderId="22" xfId="0" applyFont="1" applyFill="1" applyBorder="1" applyAlignment="1" applyProtection="1">
      <alignment horizontal="left" vertical="center"/>
    </xf>
    <xf numFmtId="0" fontId="275" fillId="49" borderId="22" xfId="0" applyFont="1" applyFill="1" applyBorder="1" applyAlignment="1" applyProtection="1">
      <alignment horizontal="center" vertical="center"/>
    </xf>
    <xf numFmtId="0" fontId="127" fillId="49" borderId="22" xfId="0" applyFont="1" applyFill="1" applyBorder="1" applyAlignment="1" applyProtection="1">
      <alignment horizontal="center" vertical="center" wrapText="1"/>
    </xf>
    <xf numFmtId="0" fontId="253" fillId="49" borderId="22" xfId="0" applyFont="1" applyFill="1" applyBorder="1" applyAlignment="1" applyProtection="1">
      <alignment horizontal="center" vertical="center"/>
    </xf>
    <xf numFmtId="0" fontId="206" fillId="49" borderId="22" xfId="0" applyFont="1" applyFill="1" applyBorder="1" applyAlignment="1" applyProtection="1">
      <alignment horizontal="center" vertical="center"/>
    </xf>
    <xf numFmtId="0" fontId="206" fillId="49" borderId="47" xfId="0" applyFont="1" applyFill="1" applyBorder="1" applyAlignment="1" applyProtection="1">
      <alignment horizontal="center" vertical="center"/>
    </xf>
    <xf numFmtId="0" fontId="206" fillId="49" borderId="48" xfId="0" applyFont="1" applyFill="1" applyBorder="1" applyAlignment="1" applyProtection="1">
      <alignment horizontal="center" vertical="center"/>
    </xf>
    <xf numFmtId="0" fontId="198" fillId="16" borderId="89" xfId="0" applyFont="1" applyFill="1" applyBorder="1" applyAlignment="1" applyProtection="1">
      <alignment horizontal="left" vertical="center"/>
      <protection locked="0"/>
    </xf>
    <xf numFmtId="0" fontId="138" fillId="47" borderId="22" xfId="0" applyFont="1" applyFill="1" applyBorder="1" applyAlignment="1" applyProtection="1">
      <alignment horizontal="center" vertical="center"/>
    </xf>
    <xf numFmtId="0" fontId="206" fillId="49" borderId="49" xfId="0" applyFont="1" applyFill="1" applyBorder="1" applyAlignment="1" applyProtection="1">
      <alignment horizontal="center" vertical="center"/>
    </xf>
    <xf numFmtId="0" fontId="138" fillId="49" borderId="22" xfId="0" applyFont="1" applyFill="1" applyBorder="1" applyAlignment="1" applyProtection="1">
      <alignment horizontal="center" vertical="center"/>
    </xf>
    <xf numFmtId="0" fontId="198" fillId="16" borderId="597" xfId="0" applyFont="1" applyFill="1" applyBorder="1" applyAlignment="1" applyProtection="1">
      <alignment horizontal="center" vertical="center"/>
      <protection locked="0"/>
    </xf>
    <xf numFmtId="0" fontId="198" fillId="16" borderId="598" xfId="0" applyFont="1" applyFill="1" applyBorder="1" applyAlignment="1" applyProtection="1">
      <alignment horizontal="center" vertical="center"/>
      <protection locked="0"/>
    </xf>
    <xf numFmtId="0" fontId="198" fillId="16" borderId="599" xfId="0" applyFont="1" applyFill="1" applyBorder="1" applyAlignment="1" applyProtection="1">
      <alignment horizontal="center" vertical="center"/>
      <protection locked="0"/>
    </xf>
    <xf numFmtId="0" fontId="128" fillId="16" borderId="88" xfId="0" applyFont="1" applyFill="1" applyBorder="1" applyAlignment="1" applyProtection="1">
      <alignment horizontal="center" vertical="center"/>
    </xf>
    <xf numFmtId="0" fontId="128" fillId="16" borderId="89" xfId="0" applyFont="1" applyFill="1" applyBorder="1" applyAlignment="1" applyProtection="1">
      <alignment horizontal="center" vertical="center"/>
    </xf>
    <xf numFmtId="0" fontId="128" fillId="16" borderId="92" xfId="0" applyFont="1" applyFill="1" applyBorder="1" applyAlignment="1" applyProtection="1">
      <alignment horizontal="center" vertical="center"/>
    </xf>
    <xf numFmtId="0" fontId="128" fillId="49" borderId="47" xfId="0" applyFont="1" applyFill="1" applyBorder="1" applyAlignment="1" applyProtection="1">
      <alignment horizontal="center" vertical="center"/>
    </xf>
    <xf numFmtId="0" fontId="128" fillId="49" borderId="48" xfId="0" applyFont="1" applyFill="1" applyBorder="1" applyAlignment="1" applyProtection="1">
      <alignment horizontal="center" vertical="center"/>
    </xf>
    <xf numFmtId="0" fontId="128" fillId="49" borderId="49" xfId="0" applyFont="1" applyFill="1" applyBorder="1" applyAlignment="1" applyProtection="1">
      <alignment horizontal="center" vertical="center"/>
    </xf>
    <xf numFmtId="0" fontId="127" fillId="16" borderId="47" xfId="0" applyFont="1" applyFill="1" applyBorder="1" applyAlignment="1" applyProtection="1">
      <alignment horizontal="center" vertical="center"/>
    </xf>
    <xf numFmtId="0" fontId="127" fillId="16" borderId="48" xfId="0" applyFont="1" applyFill="1" applyBorder="1" applyAlignment="1" applyProtection="1">
      <alignment horizontal="center" vertical="center"/>
    </xf>
    <xf numFmtId="0" fontId="127" fillId="16" borderId="49" xfId="0" applyFont="1" applyFill="1" applyBorder="1" applyAlignment="1" applyProtection="1">
      <alignment horizontal="center" vertical="center"/>
    </xf>
    <xf numFmtId="0" fontId="198" fillId="16" borderId="47" xfId="0" applyFont="1" applyFill="1" applyBorder="1" applyAlignment="1" applyProtection="1">
      <alignment horizontal="center" vertical="center"/>
      <protection locked="0"/>
    </xf>
    <xf numFmtId="0" fontId="198" fillId="16" borderId="48" xfId="0" applyFont="1" applyFill="1" applyBorder="1" applyAlignment="1" applyProtection="1">
      <alignment horizontal="center" vertical="center"/>
      <protection locked="0"/>
    </xf>
    <xf numFmtId="0" fontId="198" fillId="16" borderId="49" xfId="0" applyFont="1" applyFill="1" applyBorder="1" applyAlignment="1" applyProtection="1">
      <alignment horizontal="center" vertical="center"/>
      <protection locked="0"/>
    </xf>
    <xf numFmtId="0" fontId="198" fillId="16" borderId="594" xfId="0" applyFont="1" applyFill="1" applyBorder="1" applyAlignment="1" applyProtection="1">
      <alignment horizontal="center" vertical="center"/>
      <protection locked="0"/>
    </xf>
    <xf numFmtId="0" fontId="198" fillId="16" borderId="595" xfId="0" applyFont="1" applyFill="1" applyBorder="1" applyAlignment="1" applyProtection="1">
      <alignment horizontal="center" vertical="center"/>
      <protection locked="0"/>
    </xf>
    <xf numFmtId="0" fontId="198" fillId="16" borderId="596" xfId="0" applyFont="1" applyFill="1" applyBorder="1" applyAlignment="1" applyProtection="1">
      <alignment horizontal="center" vertical="center"/>
      <protection locked="0"/>
    </xf>
    <xf numFmtId="169" fontId="290" fillId="16" borderId="47" xfId="0" applyNumberFormat="1" applyFont="1" applyFill="1" applyBorder="1" applyAlignment="1" applyProtection="1">
      <alignment horizontal="center" vertical="center" wrapText="1"/>
    </xf>
    <xf numFmtId="169" fontId="290" fillId="16" borderId="48" xfId="0" applyNumberFormat="1" applyFont="1" applyFill="1" applyBorder="1" applyAlignment="1" applyProtection="1">
      <alignment horizontal="center" vertical="center" wrapText="1"/>
    </xf>
    <xf numFmtId="169" fontId="290" fillId="16" borderId="49" xfId="0" applyNumberFormat="1" applyFont="1" applyFill="1" applyBorder="1" applyAlignment="1" applyProtection="1">
      <alignment horizontal="center" vertical="center" wrapText="1"/>
    </xf>
    <xf numFmtId="169" fontId="289" fillId="16" borderId="22" xfId="0" applyNumberFormat="1" applyFont="1" applyFill="1" applyBorder="1" applyAlignment="1" applyProtection="1">
      <alignment horizontal="center" vertical="center"/>
    </xf>
    <xf numFmtId="0" fontId="393" fillId="16" borderId="89" xfId="0" applyFont="1" applyFill="1" applyBorder="1" applyAlignment="1" applyProtection="1">
      <alignment horizontal="left" vertical="center"/>
      <protection locked="0"/>
    </xf>
    <xf numFmtId="0" fontId="40" fillId="49" borderId="22" xfId="0" applyFont="1" applyFill="1" applyBorder="1" applyAlignment="1" applyProtection="1">
      <alignment horizontal="center" vertical="center" wrapText="1"/>
    </xf>
    <xf numFmtId="169" fontId="290" fillId="16" borderId="22" xfId="0" applyNumberFormat="1" applyFont="1" applyFill="1" applyBorder="1" applyAlignment="1" applyProtection="1">
      <alignment horizontal="center" vertical="center" wrapText="1"/>
    </xf>
    <xf numFmtId="0" fontId="181" fillId="16" borderId="300" xfId="0" applyFont="1" applyFill="1" applyBorder="1" applyAlignment="1" applyProtection="1">
      <alignment horizontal="center"/>
      <protection locked="0"/>
    </xf>
    <xf numFmtId="0" fontId="181" fillId="16" borderId="89" xfId="0" applyFont="1" applyFill="1" applyBorder="1" applyAlignment="1" applyProtection="1">
      <alignment horizontal="center"/>
      <protection locked="0"/>
    </xf>
    <xf numFmtId="0" fontId="276" fillId="49" borderId="47" xfId="0" applyFont="1" applyFill="1" applyBorder="1" applyAlignment="1" applyProtection="1">
      <alignment horizontal="center" vertical="center" wrapText="1" shrinkToFit="1"/>
    </xf>
    <xf numFmtId="0" fontId="276" fillId="49" borderId="48" xfId="0" applyFont="1" applyFill="1" applyBorder="1" applyAlignment="1" applyProtection="1">
      <alignment horizontal="center" vertical="center" wrapText="1" shrinkToFit="1"/>
    </xf>
    <xf numFmtId="0" fontId="276" fillId="49" borderId="49" xfId="0" applyFont="1" applyFill="1" applyBorder="1" applyAlignment="1" applyProtection="1">
      <alignment horizontal="center" vertical="center" wrapText="1" shrinkToFit="1"/>
    </xf>
    <xf numFmtId="169" fontId="198" fillId="16" borderId="47" xfId="0" applyNumberFormat="1" applyFont="1" applyFill="1" applyBorder="1" applyAlignment="1" applyProtection="1">
      <alignment horizontal="center" vertical="center"/>
    </xf>
    <xf numFmtId="169" fontId="198" fillId="16" borderId="48" xfId="0" applyNumberFormat="1" applyFont="1" applyFill="1" applyBorder="1" applyAlignment="1" applyProtection="1">
      <alignment horizontal="center" vertical="center"/>
    </xf>
    <xf numFmtId="169" fontId="198" fillId="16" borderId="49" xfId="0" applyNumberFormat="1" applyFont="1" applyFill="1" applyBorder="1" applyAlignment="1" applyProtection="1">
      <alignment horizontal="center" vertical="center"/>
    </xf>
    <xf numFmtId="0" fontId="376" fillId="49" borderId="22" xfId="0" applyFont="1" applyFill="1" applyBorder="1" applyAlignment="1" applyProtection="1">
      <alignment horizontal="center" vertical="center" wrapText="1"/>
    </xf>
    <xf numFmtId="0" fontId="376" fillId="49" borderId="47" xfId="0" applyFont="1" applyFill="1" applyBorder="1" applyAlignment="1" applyProtection="1">
      <alignment horizontal="center" vertical="center" wrapText="1"/>
    </xf>
    <xf numFmtId="0" fontId="376" fillId="49" borderId="48" xfId="0" applyFont="1" applyFill="1" applyBorder="1" applyAlignment="1" applyProtection="1">
      <alignment horizontal="center" vertical="center" wrapText="1"/>
    </xf>
    <xf numFmtId="0" fontId="376" fillId="49" borderId="49" xfId="0" applyFont="1" applyFill="1" applyBorder="1" applyAlignment="1" applyProtection="1">
      <alignment horizontal="center" vertical="center" wrapText="1"/>
    </xf>
    <xf numFmtId="0" fontId="198" fillId="16" borderId="22" xfId="0" applyFont="1" applyFill="1" applyBorder="1" applyAlignment="1" applyProtection="1">
      <alignment horizontal="left" vertical="top" wrapText="1" shrinkToFit="1"/>
    </xf>
    <xf numFmtId="0" fontId="128" fillId="16" borderId="309" xfId="0" applyFont="1" applyFill="1" applyBorder="1" applyAlignment="1" applyProtection="1">
      <alignment horizontal="center" vertical="center"/>
    </xf>
    <xf numFmtId="0" fontId="275" fillId="16" borderId="298" xfId="0" applyFont="1" applyFill="1" applyBorder="1" applyAlignment="1" applyProtection="1">
      <alignment horizontal="distributed" vertical="distributed"/>
    </xf>
    <xf numFmtId="0" fontId="275" fillId="16" borderId="0" xfId="0" applyFont="1" applyFill="1" applyAlignment="1" applyProtection="1">
      <alignment horizontal="distributed" vertical="distributed"/>
    </xf>
    <xf numFmtId="0" fontId="275" fillId="16" borderId="0" xfId="0" applyFont="1" applyFill="1" applyAlignment="1" applyProtection="1">
      <alignment horizontal="left" vertical="center"/>
    </xf>
    <xf numFmtId="0" fontId="128" fillId="16" borderId="0" xfId="0" applyFont="1" applyFill="1" applyBorder="1" applyAlignment="1" applyProtection="1">
      <alignment horizontal="distributed" vertical="center"/>
    </xf>
    <xf numFmtId="0" fontId="408" fillId="16" borderId="22" xfId="0" applyFont="1" applyFill="1" applyBorder="1" applyAlignment="1" applyProtection="1">
      <alignment horizontal="center" vertical="center" wrapText="1"/>
      <protection locked="0"/>
    </xf>
    <xf numFmtId="0" fontId="276" fillId="49" borderId="22" xfId="0" applyFont="1" applyFill="1" applyBorder="1" applyAlignment="1" applyProtection="1">
      <alignment horizontal="center" vertical="center" wrapText="1" shrinkToFit="1"/>
    </xf>
    <xf numFmtId="0" fontId="180" fillId="16" borderId="300" xfId="0" applyFont="1" applyFill="1" applyBorder="1" applyAlignment="1" applyProtection="1">
      <alignment horizontal="center"/>
    </xf>
    <xf numFmtId="0" fontId="180" fillId="16" borderId="89" xfId="0" applyFont="1" applyFill="1" applyBorder="1" applyAlignment="1" applyProtection="1">
      <alignment horizontal="center"/>
    </xf>
    <xf numFmtId="0" fontId="180" fillId="16" borderId="311" xfId="0" applyFont="1" applyFill="1" applyBorder="1" applyAlignment="1" applyProtection="1">
      <alignment horizontal="center"/>
    </xf>
    <xf numFmtId="0" fontId="42" fillId="0" borderId="183" xfId="0" applyFont="1" applyBorder="1" applyAlignment="1" applyProtection="1">
      <alignment horizontal="center" vertical="center"/>
    </xf>
    <xf numFmtId="0" fontId="42" fillId="0" borderId="86" xfId="0" applyFont="1" applyBorder="1" applyAlignment="1" applyProtection="1">
      <alignment horizontal="center" vertical="center"/>
    </xf>
    <xf numFmtId="0" fontId="42" fillId="0" borderId="189" xfId="0" applyFont="1" applyBorder="1" applyAlignment="1" applyProtection="1">
      <alignment horizontal="center" vertical="center"/>
    </xf>
    <xf numFmtId="0" fontId="42" fillId="0" borderId="136" xfId="0" applyFont="1" applyBorder="1" applyAlignment="1" applyProtection="1">
      <alignment horizontal="center" vertical="center"/>
    </xf>
    <xf numFmtId="0" fontId="42" fillId="0" borderId="0" xfId="0" applyFont="1" applyBorder="1" applyAlignment="1" applyProtection="1">
      <alignment horizontal="center" vertical="center"/>
    </xf>
    <xf numFmtId="0" fontId="42" fillId="0" borderId="135" xfId="0" applyFont="1" applyBorder="1" applyAlignment="1" applyProtection="1">
      <alignment horizontal="center" vertical="center"/>
    </xf>
    <xf numFmtId="1" fontId="43" fillId="0" borderId="102" xfId="0" applyNumberFormat="1" applyFont="1" applyBorder="1" applyAlignment="1" applyProtection="1">
      <alignment horizontal="center" vertical="center"/>
    </xf>
    <xf numFmtId="1" fontId="43" fillId="0" borderId="146" xfId="0" applyNumberFormat="1" applyFont="1" applyBorder="1" applyAlignment="1" applyProtection="1">
      <alignment horizontal="center" vertical="center"/>
    </xf>
    <xf numFmtId="0" fontId="31" fillId="0" borderId="65" xfId="0" applyFont="1" applyBorder="1" applyAlignment="1" applyProtection="1">
      <alignment horizontal="left"/>
    </xf>
    <xf numFmtId="0" fontId="31" fillId="0" borderId="188" xfId="0" applyFont="1" applyBorder="1" applyAlignment="1" applyProtection="1">
      <alignment horizontal="left"/>
    </xf>
    <xf numFmtId="0" fontId="31" fillId="0" borderId="63" xfId="0" applyFont="1" applyBorder="1" applyAlignment="1" applyProtection="1">
      <alignment horizontal="left"/>
    </xf>
    <xf numFmtId="0" fontId="26" fillId="0" borderId="1" xfId="0" applyFont="1" applyBorder="1" applyAlignment="1" applyProtection="1">
      <alignment horizontal="center"/>
    </xf>
    <xf numFmtId="0" fontId="47" fillId="0" borderId="231" xfId="0" applyFont="1" applyBorder="1" applyAlignment="1" applyProtection="1">
      <alignment horizontal="center"/>
    </xf>
    <xf numFmtId="0" fontId="6" fillId="0" borderId="1" xfId="0" applyFont="1" applyBorder="1" applyAlignment="1" applyProtection="1">
      <alignment horizontal="center"/>
    </xf>
    <xf numFmtId="0" fontId="6" fillId="0" borderId="46" xfId="0" applyFont="1" applyBorder="1" applyAlignment="1" applyProtection="1">
      <alignment horizontal="center"/>
    </xf>
    <xf numFmtId="0" fontId="22" fillId="0" borderId="60" xfId="0" applyFont="1" applyBorder="1" applyAlignment="1" applyProtection="1">
      <alignment horizontal="center" vertical="center"/>
    </xf>
    <xf numFmtId="0" fontId="22" fillId="0" borderId="59" xfId="0" applyFont="1" applyBorder="1" applyAlignment="1" applyProtection="1">
      <alignment horizontal="center" vertical="center"/>
    </xf>
    <xf numFmtId="1" fontId="43" fillId="0" borderId="22" xfId="0" applyNumberFormat="1" applyFont="1" applyBorder="1" applyAlignment="1" applyProtection="1">
      <alignment horizontal="center" vertical="center"/>
    </xf>
    <xf numFmtId="0" fontId="43" fillId="0" borderId="22" xfId="0" applyFont="1" applyBorder="1" applyAlignment="1" applyProtection="1">
      <alignment horizontal="center" vertical="center"/>
    </xf>
    <xf numFmtId="0" fontId="6" fillId="0" borderId="5" xfId="0" applyFont="1" applyBorder="1" applyAlignment="1" applyProtection="1">
      <alignment horizontal="center"/>
    </xf>
    <xf numFmtId="0" fontId="6" fillId="0" borderId="14" xfId="0" applyFont="1" applyBorder="1" applyAlignment="1" applyProtection="1">
      <alignment horizontal="center"/>
    </xf>
    <xf numFmtId="0" fontId="6" fillId="0" borderId="6" xfId="0" applyFont="1" applyBorder="1" applyAlignment="1" applyProtection="1">
      <alignment horizontal="center"/>
    </xf>
    <xf numFmtId="0" fontId="13" fillId="0" borderId="53" xfId="0" applyFont="1" applyBorder="1" applyAlignment="1" applyProtection="1">
      <alignment horizontal="left" vertical="center"/>
    </xf>
    <xf numFmtId="0" fontId="0" fillId="0" borderId="190" xfId="0" applyBorder="1" applyProtection="1"/>
    <xf numFmtId="0" fontId="0" fillId="0" borderId="191" xfId="0" applyBorder="1" applyProtection="1"/>
    <xf numFmtId="0" fontId="0" fillId="0" borderId="259" xfId="0" applyBorder="1" applyProtection="1"/>
    <xf numFmtId="0" fontId="0" fillId="0" borderId="66" xfId="0" applyBorder="1" applyProtection="1"/>
    <xf numFmtId="0" fontId="0" fillId="0" borderId="192" xfId="0" applyBorder="1" applyProtection="1"/>
    <xf numFmtId="1" fontId="42" fillId="0" borderId="22" xfId="0" applyNumberFormat="1" applyFont="1" applyBorder="1" applyAlignment="1" applyProtection="1">
      <alignment horizontal="center" vertical="center"/>
    </xf>
    <xf numFmtId="0" fontId="42" fillId="0" borderId="22" xfId="0" applyFont="1" applyBorder="1" applyAlignment="1" applyProtection="1">
      <alignment horizontal="center" vertical="center"/>
    </xf>
    <xf numFmtId="0" fontId="6" fillId="0" borderId="5" xfId="0" applyFont="1" applyBorder="1" applyAlignment="1" applyProtection="1">
      <alignment horizontal="left"/>
    </xf>
    <xf numFmtId="0" fontId="6" fillId="0" borderId="14" xfId="0" applyFont="1" applyBorder="1" applyAlignment="1" applyProtection="1">
      <alignment horizontal="left"/>
    </xf>
    <xf numFmtId="0" fontId="6" fillId="0" borderId="6" xfId="0" applyFont="1" applyBorder="1" applyAlignment="1" applyProtection="1">
      <alignment horizontal="left"/>
    </xf>
    <xf numFmtId="0" fontId="18" fillId="0" borderId="60" xfId="0" applyFont="1" applyBorder="1" applyAlignment="1" applyProtection="1">
      <alignment horizontal="center"/>
    </xf>
    <xf numFmtId="0" fontId="18" fillId="0" borderId="59" xfId="0" applyFont="1" applyBorder="1" applyAlignment="1" applyProtection="1">
      <alignment horizontal="center"/>
    </xf>
    <xf numFmtId="0" fontId="19" fillId="0" borderId="61" xfId="0" applyFont="1" applyBorder="1" applyAlignment="1" applyProtection="1">
      <alignment horizontal="center"/>
    </xf>
    <xf numFmtId="0" fontId="19" fillId="0" borderId="66" xfId="0" applyFont="1" applyBorder="1" applyAlignment="1" applyProtection="1">
      <alignment horizontal="center"/>
    </xf>
    <xf numFmtId="0" fontId="19" fillId="0" borderId="50" xfId="0" applyFont="1" applyBorder="1" applyAlignment="1" applyProtection="1">
      <alignment horizontal="center"/>
    </xf>
    <xf numFmtId="0" fontId="19" fillId="0" borderId="65" xfId="0" applyFont="1" applyBorder="1" applyAlignment="1" applyProtection="1">
      <alignment horizontal="center"/>
    </xf>
    <xf numFmtId="0" fontId="19" fillId="0" borderId="188" xfId="0" applyFont="1" applyBorder="1" applyAlignment="1" applyProtection="1">
      <alignment horizontal="center"/>
    </xf>
    <xf numFmtId="0" fontId="19" fillId="0" borderId="63" xfId="0" applyFont="1" applyBorder="1" applyAlignment="1" applyProtection="1">
      <alignment horizontal="center"/>
    </xf>
    <xf numFmtId="0" fontId="31" fillId="0" borderId="60" xfId="0" applyFont="1" applyBorder="1" applyAlignment="1" applyProtection="1">
      <alignment horizontal="center" wrapText="1"/>
    </xf>
    <xf numFmtId="0" fontId="31" fillId="0" borderId="132" xfId="0" applyFont="1" applyBorder="1" applyAlignment="1" applyProtection="1">
      <alignment horizontal="center" wrapText="1"/>
    </xf>
    <xf numFmtId="0" fontId="31" fillId="0" borderId="59" xfId="0" applyFont="1" applyBorder="1" applyAlignment="1" applyProtection="1">
      <alignment horizontal="center" wrapText="1"/>
    </xf>
    <xf numFmtId="0" fontId="31" fillId="0" borderId="53" xfId="0" applyFont="1" applyBorder="1" applyAlignment="1" applyProtection="1">
      <alignment horizontal="center" wrapText="1" shrinkToFit="1"/>
    </xf>
    <xf numFmtId="0" fontId="31" fillId="0" borderId="190" xfId="0" applyFont="1" applyBorder="1" applyAlignment="1" applyProtection="1">
      <alignment horizontal="center" wrapText="1" shrinkToFit="1"/>
    </xf>
    <xf numFmtId="0" fontId="31" fillId="0" borderId="51" xfId="0" applyFont="1" applyBorder="1" applyAlignment="1" applyProtection="1">
      <alignment horizontal="center" wrapText="1" shrinkToFit="1"/>
    </xf>
    <xf numFmtId="0" fontId="31" fillId="0" borderId="138" xfId="0" applyFont="1" applyBorder="1" applyAlignment="1" applyProtection="1">
      <alignment horizontal="center" wrapText="1" shrinkToFit="1"/>
    </xf>
    <xf numFmtId="0" fontId="31" fillId="0" borderId="89" xfId="0" applyFont="1" applyBorder="1" applyAlignment="1" applyProtection="1">
      <alignment horizontal="center" wrapText="1" shrinkToFit="1"/>
    </xf>
    <xf numFmtId="0" fontId="31" fillId="0" borderId="139" xfId="0" applyFont="1" applyBorder="1" applyAlignment="1" applyProtection="1">
      <alignment horizontal="center" wrapText="1" shrinkToFit="1"/>
    </xf>
    <xf numFmtId="0" fontId="31" fillId="0" borderId="570" xfId="0" applyFont="1" applyBorder="1" applyAlignment="1" applyProtection="1">
      <alignment horizontal="center" wrapText="1" shrinkToFit="1"/>
    </xf>
    <xf numFmtId="0" fontId="31" fillId="0" borderId="132" xfId="0" applyFont="1" applyBorder="1" applyAlignment="1" applyProtection="1">
      <alignment horizontal="center" wrapText="1" shrinkToFit="1"/>
    </xf>
    <xf numFmtId="0" fontId="18" fillId="0" borderId="132" xfId="0" applyFont="1" applyBorder="1" applyAlignment="1" applyProtection="1">
      <alignment horizontal="center"/>
    </xf>
    <xf numFmtId="0" fontId="14" fillId="0" borderId="190" xfId="0" applyFont="1" applyBorder="1" applyProtection="1"/>
    <xf numFmtId="0" fontId="14" fillId="0" borderId="191" xfId="0" applyFont="1" applyBorder="1" applyProtection="1"/>
    <xf numFmtId="0" fontId="14" fillId="0" borderId="259" xfId="0" applyFont="1" applyBorder="1" applyProtection="1"/>
    <xf numFmtId="0" fontId="14" fillId="0" borderId="66" xfId="0" applyFont="1" applyBorder="1" applyProtection="1"/>
    <xf numFmtId="0" fontId="14" fillId="0" borderId="192" xfId="0" applyFont="1" applyBorder="1" applyProtection="1"/>
    <xf numFmtId="0" fontId="0" fillId="0" borderId="0" xfId="0" applyAlignment="1" applyProtection="1">
      <alignment horizontal="center" vertical="center" shrinkToFit="1"/>
    </xf>
    <xf numFmtId="0" fontId="437" fillId="0" borderId="0" xfId="0" applyFont="1" applyFill="1" applyBorder="1" applyAlignment="1" applyProtection="1">
      <alignment horizontal="center" shrinkToFit="1"/>
    </xf>
    <xf numFmtId="0" fontId="450" fillId="0" borderId="0" xfId="0" applyFont="1" applyFill="1" applyBorder="1" applyAlignment="1" applyProtection="1">
      <alignment horizontal="center" vertical="center" shrinkToFit="1"/>
    </xf>
    <xf numFmtId="0" fontId="13" fillId="0" borderId="0" xfId="0" applyFont="1" applyAlignment="1" applyProtection="1">
      <alignment horizontal="center" vertical="top" shrinkToFit="1"/>
    </xf>
    <xf numFmtId="0" fontId="364" fillId="0" borderId="0" xfId="0" applyFont="1" applyAlignment="1" applyProtection="1">
      <alignment horizontal="center" vertical="top" shrinkToFit="1"/>
    </xf>
    <xf numFmtId="0" fontId="266" fillId="3" borderId="197" xfId="0" applyFont="1" applyFill="1" applyBorder="1" applyAlignment="1" applyProtection="1">
      <alignment horizontal="center" vertical="center"/>
    </xf>
    <xf numFmtId="0" fontId="12" fillId="3" borderId="197" xfId="0" applyFont="1" applyFill="1" applyBorder="1" applyAlignment="1" applyProtection="1">
      <alignment horizontal="center" vertical="center"/>
    </xf>
    <xf numFmtId="0" fontId="12" fillId="3" borderId="200" xfId="0" applyFont="1" applyFill="1" applyBorder="1" applyAlignment="1" applyProtection="1">
      <alignment horizontal="center" vertical="center"/>
    </xf>
    <xf numFmtId="0" fontId="222" fillId="16" borderId="26" xfId="0" applyFont="1" applyFill="1" applyBorder="1" applyAlignment="1" applyProtection="1">
      <alignment horizontal="left" vertical="center"/>
    </xf>
    <xf numFmtId="0" fontId="222" fillId="16" borderId="29" xfId="0" applyFont="1" applyFill="1" applyBorder="1" applyAlignment="1" applyProtection="1">
      <alignment horizontal="left" vertical="center"/>
    </xf>
    <xf numFmtId="0" fontId="67" fillId="0" borderId="33" xfId="0" applyFont="1" applyBorder="1" applyAlignment="1" applyProtection="1">
      <alignment horizontal="center" vertical="center"/>
    </xf>
    <xf numFmtId="0" fontId="67" fillId="0" borderId="93" xfId="0" applyFont="1" applyBorder="1" applyAlignment="1" applyProtection="1">
      <alignment horizontal="center" vertical="center"/>
    </xf>
    <xf numFmtId="0" fontId="67" fillId="0" borderId="58" xfId="0" applyFont="1" applyBorder="1" applyAlignment="1" applyProtection="1">
      <alignment horizontal="center" vertical="center"/>
    </xf>
    <xf numFmtId="0" fontId="68" fillId="0" borderId="33" xfId="0" applyFont="1" applyBorder="1" applyAlignment="1" applyProtection="1">
      <alignment horizontal="left" vertical="top" wrapText="1" shrinkToFit="1"/>
    </xf>
    <xf numFmtId="0" fontId="43" fillId="0" borderId="93" xfId="0" applyFont="1" applyBorder="1" applyAlignment="1" applyProtection="1">
      <alignment horizontal="left"/>
    </xf>
    <xf numFmtId="0" fontId="43" fillId="0" borderId="58" xfId="0" applyFont="1" applyBorder="1" applyAlignment="1" applyProtection="1">
      <alignment horizontal="left"/>
    </xf>
    <xf numFmtId="0" fontId="43" fillId="0" borderId="41" xfId="0" applyFont="1" applyBorder="1" applyAlignment="1" applyProtection="1">
      <alignment horizontal="left"/>
    </xf>
    <xf numFmtId="0" fontId="43" fillId="0" borderId="0" xfId="0" applyFont="1" applyAlignment="1" applyProtection="1">
      <alignment horizontal="left"/>
    </xf>
    <xf numFmtId="0" fontId="43" fillId="0" borderId="39" xfId="0" applyFont="1" applyBorder="1" applyAlignment="1" applyProtection="1">
      <alignment horizontal="left"/>
    </xf>
    <xf numFmtId="0" fontId="43" fillId="0" borderId="193" xfId="0" applyFont="1" applyBorder="1" applyAlignment="1" applyProtection="1">
      <alignment horizontal="left"/>
    </xf>
    <xf numFmtId="0" fontId="43" fillId="0" borderId="194" xfId="0" applyFont="1" applyBorder="1" applyAlignment="1" applyProtection="1">
      <alignment horizontal="left"/>
    </xf>
    <xf numFmtId="0" fontId="43" fillId="0" borderId="195" xfId="0" applyFont="1" applyBorder="1" applyAlignment="1" applyProtection="1">
      <alignment horizontal="left"/>
    </xf>
    <xf numFmtId="0" fontId="74" fillId="0" borderId="193" xfId="0" applyFont="1" applyBorder="1" applyAlignment="1" applyProtection="1">
      <alignment horizontal="center" vertical="center"/>
    </xf>
    <xf numFmtId="0" fontId="74" fillId="0" borderId="195" xfId="0" applyFont="1" applyBorder="1" applyAlignment="1" applyProtection="1">
      <alignment horizontal="center" vertical="center"/>
    </xf>
    <xf numFmtId="0" fontId="266" fillId="3" borderId="196" xfId="0" applyFont="1" applyFill="1" applyBorder="1" applyAlignment="1" applyProtection="1">
      <alignment horizontal="center" vertical="center" wrapText="1"/>
    </xf>
    <xf numFmtId="0" fontId="266" fillId="3" borderId="197" xfId="0" applyFont="1" applyFill="1" applyBorder="1" applyAlignment="1" applyProtection="1">
      <alignment horizontal="center" vertical="center" wrapText="1"/>
    </xf>
    <xf numFmtId="0" fontId="266" fillId="3" borderId="198" xfId="0" applyFont="1" applyFill="1" applyBorder="1" applyAlignment="1" applyProtection="1">
      <alignment horizontal="center" vertical="center" wrapText="1"/>
    </xf>
    <xf numFmtId="0" fontId="266" fillId="3" borderId="199" xfId="0" applyFont="1" applyFill="1" applyBorder="1" applyAlignment="1" applyProtection="1">
      <alignment horizontal="center" vertical="center" wrapText="1"/>
    </xf>
    <xf numFmtId="0" fontId="465" fillId="3" borderId="626" xfId="0" applyFont="1" applyFill="1" applyBorder="1" applyAlignment="1" applyProtection="1">
      <alignment horizontal="center" vertical="center" wrapText="1"/>
    </xf>
    <xf numFmtId="0" fontId="465" fillId="3" borderId="200" xfId="0" applyFont="1" applyFill="1" applyBorder="1" applyAlignment="1" applyProtection="1">
      <alignment horizontal="center" vertical="center" wrapText="1"/>
    </xf>
    <xf numFmtId="0" fontId="206" fillId="0" borderId="629" xfId="0" applyFont="1" applyBorder="1" applyAlignment="1" applyProtection="1">
      <alignment horizontal="left" vertical="center" wrapText="1"/>
    </xf>
    <xf numFmtId="0" fontId="206" fillId="0" borderId="630" xfId="0" applyFont="1" applyBorder="1" applyAlignment="1" applyProtection="1">
      <alignment horizontal="left" vertical="center" wrapText="1"/>
    </xf>
    <xf numFmtId="0" fontId="206" fillId="0" borderId="630" xfId="0" applyFont="1" applyBorder="1" applyAlignment="1" applyProtection="1">
      <alignment horizontal="center" vertical="center" wrapText="1"/>
    </xf>
    <xf numFmtId="0" fontId="268" fillId="0" borderId="630" xfId="0" applyFont="1" applyFill="1" applyBorder="1" applyAlignment="1" applyProtection="1">
      <alignment horizontal="center" vertical="center" wrapText="1"/>
    </xf>
    <xf numFmtId="0" fontId="268" fillId="0" borderId="631" xfId="0" applyFont="1" applyFill="1" applyBorder="1" applyAlignment="1" applyProtection="1">
      <alignment horizontal="center" vertical="center" wrapText="1"/>
    </xf>
    <xf numFmtId="0" fontId="184" fillId="0" borderId="631" xfId="0" applyNumberFormat="1" applyFont="1" applyFill="1" applyBorder="1" applyAlignment="1" applyProtection="1">
      <alignment horizontal="center" vertical="center"/>
    </xf>
    <xf numFmtId="0" fontId="184" fillId="0" borderId="632" xfId="0" applyNumberFormat="1" applyFont="1" applyFill="1" applyBorder="1" applyAlignment="1" applyProtection="1">
      <alignment horizontal="center" vertical="center"/>
    </xf>
    <xf numFmtId="0" fontId="206" fillId="0" borderId="201" xfId="0" applyFont="1" applyBorder="1" applyAlignment="1" applyProtection="1">
      <alignment horizontal="left" vertical="center" wrapText="1"/>
    </xf>
    <xf numFmtId="0" fontId="206" fillId="0" borderId="202" xfId="0" applyFont="1" applyBorder="1" applyAlignment="1" applyProtection="1">
      <alignment horizontal="left" vertical="center" wrapText="1"/>
    </xf>
    <xf numFmtId="0" fontId="206" fillId="0" borderId="202" xfId="0" applyFont="1" applyBorder="1" applyAlignment="1" applyProtection="1">
      <alignment horizontal="center" vertical="center" wrapText="1"/>
    </xf>
    <xf numFmtId="0" fontId="268" fillId="0" borderId="202" xfId="0" applyFont="1" applyFill="1" applyBorder="1" applyAlignment="1" applyProtection="1">
      <alignment horizontal="center" vertical="center" wrapText="1"/>
    </xf>
    <xf numFmtId="0" fontId="268" fillId="0" borderId="625" xfId="0" applyFont="1" applyFill="1" applyBorder="1" applyAlignment="1" applyProtection="1">
      <alignment horizontal="center" vertical="center" wrapText="1"/>
    </xf>
    <xf numFmtId="0" fontId="184" fillId="0" borderId="625" xfId="0" applyNumberFormat="1" applyFont="1" applyFill="1" applyBorder="1" applyAlignment="1" applyProtection="1">
      <alignment horizontal="center" vertical="center"/>
    </xf>
    <xf numFmtId="0" fontId="184" fillId="0" borderId="637" xfId="0" applyNumberFormat="1" applyFont="1" applyFill="1" applyBorder="1" applyAlignment="1" applyProtection="1">
      <alignment horizontal="center" vertical="center"/>
    </xf>
    <xf numFmtId="0" fontId="184" fillId="0" borderId="635" xfId="0" applyNumberFormat="1" applyFont="1" applyFill="1" applyBorder="1" applyAlignment="1" applyProtection="1">
      <alignment horizontal="center" vertical="center"/>
    </xf>
    <xf numFmtId="0" fontId="184" fillId="0" borderId="636" xfId="0" applyNumberFormat="1" applyFont="1" applyFill="1" applyBorder="1" applyAlignment="1" applyProtection="1">
      <alignment horizontal="center" vertical="center"/>
    </xf>
    <xf numFmtId="0" fontId="268" fillId="0" borderId="635" xfId="0" applyFont="1" applyFill="1" applyBorder="1" applyAlignment="1" applyProtection="1">
      <alignment horizontal="center" vertical="center" wrapText="1"/>
    </xf>
    <xf numFmtId="0" fontId="268" fillId="0" borderId="194" xfId="0" applyFont="1" applyFill="1" applyBorder="1" applyAlignment="1" applyProtection="1">
      <alignment horizontal="center" vertical="center" wrapText="1"/>
    </xf>
    <xf numFmtId="0" fontId="252" fillId="0" borderId="635" xfId="0" applyFont="1" applyBorder="1" applyAlignment="1" applyProtection="1">
      <alignment horizontal="center" vertical="center" wrapText="1"/>
    </xf>
    <xf numFmtId="0" fontId="252" fillId="0" borderId="194" xfId="0" applyFont="1" applyBorder="1" applyAlignment="1" applyProtection="1">
      <alignment horizontal="center" vertical="center" wrapText="1"/>
    </xf>
    <xf numFmtId="0" fontId="252" fillId="0" borderId="634" xfId="0" applyFont="1" applyBorder="1" applyAlignment="1" applyProtection="1">
      <alignment horizontal="center" vertical="center" wrapText="1"/>
    </xf>
    <xf numFmtId="49" fontId="252" fillId="0" borderId="635" xfId="0" applyNumberFormat="1" applyFont="1" applyBorder="1" applyAlignment="1" applyProtection="1">
      <alignment horizontal="center" vertical="center" wrapText="1"/>
    </xf>
    <xf numFmtId="49" fontId="206" fillId="0" borderId="633" xfId="0" applyNumberFormat="1" applyFont="1" applyBorder="1" applyAlignment="1" applyProtection="1">
      <alignment horizontal="left" vertical="center" wrapText="1"/>
    </xf>
    <xf numFmtId="0" fontId="206" fillId="0" borderId="194" xfId="0" applyFont="1" applyBorder="1" applyAlignment="1" applyProtection="1">
      <alignment horizontal="left" vertical="center" wrapText="1"/>
    </xf>
    <xf numFmtId="0" fontId="206" fillId="0" borderId="634" xfId="0" applyFont="1" applyBorder="1" applyAlignment="1" applyProtection="1">
      <alignment horizontal="left" vertical="center" wrapText="1"/>
    </xf>
    <xf numFmtId="0" fontId="6" fillId="16" borderId="0" xfId="0" applyFont="1" applyFill="1" applyBorder="1" applyAlignment="1">
      <alignment horizontal="center" vertical="center" wrapText="1"/>
    </xf>
    <xf numFmtId="0" fontId="226" fillId="20" borderId="47" xfId="0" applyFont="1" applyFill="1" applyBorder="1" applyAlignment="1">
      <alignment horizontal="center" vertical="center"/>
    </xf>
    <xf numFmtId="0" fontId="226" fillId="20" borderId="48" xfId="0" applyFont="1" applyFill="1" applyBorder="1" applyAlignment="1">
      <alignment horizontal="center" vertical="center"/>
    </xf>
    <xf numFmtId="0" fontId="226" fillId="20" borderId="49" xfId="0" applyFont="1" applyFill="1" applyBorder="1" applyAlignment="1">
      <alignment horizontal="center" vertical="center"/>
    </xf>
    <xf numFmtId="0" fontId="226" fillId="21" borderId="47" xfId="0" applyFont="1" applyFill="1" applyBorder="1" applyAlignment="1">
      <alignment horizontal="center" vertical="center"/>
    </xf>
    <xf numFmtId="0" fontId="226" fillId="21" borderId="48" xfId="0" applyFont="1" applyFill="1" applyBorder="1" applyAlignment="1">
      <alignment horizontal="center" vertical="center"/>
    </xf>
    <xf numFmtId="0" fontId="226" fillId="21" borderId="49" xfId="0" applyFont="1" applyFill="1" applyBorder="1" applyAlignment="1">
      <alignment horizontal="center" vertical="center"/>
    </xf>
    <xf numFmtId="0" fontId="39" fillId="0" borderId="0" xfId="0" applyFont="1" applyAlignment="1">
      <alignment horizontal="center" vertical="center"/>
    </xf>
    <xf numFmtId="0" fontId="226" fillId="18" borderId="85" xfId="0" applyFont="1" applyFill="1" applyBorder="1" applyAlignment="1">
      <alignment horizontal="center" vertical="center"/>
    </xf>
    <xf numFmtId="0" fontId="226" fillId="18" borderId="86" xfId="0" applyFont="1" applyFill="1" applyBorder="1" applyAlignment="1">
      <alignment horizontal="center" vertical="center"/>
    </xf>
    <xf numFmtId="0" fontId="226" fillId="18" borderId="48" xfId="0" applyFont="1" applyFill="1" applyBorder="1" applyAlignment="1">
      <alignment horizontal="center" vertical="center"/>
    </xf>
    <xf numFmtId="0" fontId="226" fillId="18" borderId="49" xfId="0" applyFont="1" applyFill="1" applyBorder="1" applyAlignment="1">
      <alignment horizontal="center" vertical="center"/>
    </xf>
    <xf numFmtId="0" fontId="9" fillId="0" borderId="203" xfId="0" applyFont="1" applyFill="1" applyBorder="1" applyAlignment="1" applyProtection="1">
      <alignment horizontal="center" vertical="center"/>
    </xf>
    <xf numFmtId="0" fontId="9" fillId="0" borderId="93" xfId="0" applyFont="1" applyFill="1" applyBorder="1" applyAlignment="1" applyProtection="1">
      <alignment horizontal="center" vertical="center"/>
    </xf>
    <xf numFmtId="0" fontId="9" fillId="0" borderId="204" xfId="0" applyFont="1" applyFill="1" applyBorder="1" applyAlignment="1" applyProtection="1">
      <alignment horizontal="center" vertical="center"/>
    </xf>
    <xf numFmtId="0" fontId="21" fillId="0" borderId="237" xfId="0" applyFont="1" applyBorder="1" applyAlignment="1" applyProtection="1">
      <alignment horizontal="center" vertical="center"/>
    </xf>
    <xf numFmtId="0" fontId="21" fillId="0" borderId="238" xfId="0" applyFont="1" applyBorder="1" applyAlignment="1" applyProtection="1">
      <alignment horizontal="center" vertical="center"/>
    </xf>
    <xf numFmtId="0" fontId="21" fillId="0" borderId="241" xfId="0" applyFont="1" applyBorder="1" applyAlignment="1" applyProtection="1">
      <alignment horizontal="center" vertical="center"/>
    </xf>
    <xf numFmtId="0" fontId="9" fillId="0" borderId="237" xfId="0" applyFont="1" applyFill="1" applyBorder="1" applyAlignment="1" applyProtection="1">
      <alignment horizontal="center" vertical="center"/>
    </xf>
    <xf numFmtId="0" fontId="9" fillId="0" borderId="238" xfId="0" applyFont="1" applyFill="1" applyBorder="1" applyAlignment="1" applyProtection="1">
      <alignment horizontal="center" vertical="center"/>
    </xf>
    <xf numFmtId="0" fontId="9" fillId="0" borderId="241" xfId="0" applyFont="1" applyFill="1" applyBorder="1" applyAlignment="1" applyProtection="1">
      <alignment horizontal="center" vertical="center"/>
    </xf>
    <xf numFmtId="0" fontId="77" fillId="0" borderId="205" xfId="0" applyFont="1" applyBorder="1" applyAlignment="1" applyProtection="1">
      <alignment horizontal="center" vertical="center" wrapText="1"/>
    </xf>
    <xf numFmtId="0" fontId="77" fillId="0" borderId="206" xfId="0" applyFont="1" applyBorder="1" applyAlignment="1" applyProtection="1">
      <alignment horizontal="center" vertical="center" wrapText="1"/>
    </xf>
    <xf numFmtId="0" fontId="77" fillId="0" borderId="207" xfId="0" applyFont="1" applyBorder="1" applyAlignment="1" applyProtection="1">
      <alignment horizontal="center" vertical="center" wrapText="1"/>
    </xf>
    <xf numFmtId="0" fontId="77" fillId="0" borderId="208" xfId="0" applyFont="1" applyBorder="1" applyAlignment="1" applyProtection="1">
      <alignment horizontal="center" vertical="center" wrapText="1"/>
    </xf>
    <xf numFmtId="0" fontId="77" fillId="0" borderId="0" xfId="0" applyFont="1" applyBorder="1" applyAlignment="1" applyProtection="1">
      <alignment horizontal="center" vertical="center" wrapText="1"/>
    </xf>
    <xf numFmtId="0" fontId="77" fillId="0" borderId="131" xfId="0" applyFont="1" applyBorder="1" applyAlignment="1" applyProtection="1">
      <alignment horizontal="center" vertical="center" wrapText="1"/>
    </xf>
    <xf numFmtId="0" fontId="77" fillId="0" borderId="209" xfId="0" applyFont="1" applyBorder="1" applyAlignment="1" applyProtection="1">
      <alignment horizontal="center" vertical="center" wrapText="1"/>
    </xf>
    <xf numFmtId="0" fontId="77" fillId="0" borderId="210" xfId="0" applyFont="1" applyBorder="1" applyAlignment="1" applyProtection="1">
      <alignment horizontal="center" vertical="center" wrapText="1"/>
    </xf>
    <xf numFmtId="0" fontId="77" fillId="0" borderId="211" xfId="0" applyFont="1" applyBorder="1" applyAlignment="1" applyProtection="1">
      <alignment horizontal="center" vertical="center" wrapText="1"/>
    </xf>
    <xf numFmtId="0" fontId="7" fillId="5" borderId="212" xfId="0" applyFont="1" applyFill="1" applyBorder="1" applyAlignment="1" applyProtection="1">
      <alignment horizontal="center" vertical="center" wrapText="1"/>
    </xf>
    <xf numFmtId="0" fontId="7" fillId="5" borderId="213" xfId="0" applyFont="1" applyFill="1" applyBorder="1" applyAlignment="1" applyProtection="1">
      <alignment horizontal="center" vertical="center" wrapText="1"/>
    </xf>
    <xf numFmtId="0" fontId="7" fillId="5" borderId="214" xfId="0" applyFont="1" applyFill="1" applyBorder="1" applyAlignment="1" applyProtection="1">
      <alignment horizontal="center" vertical="center" wrapText="1"/>
    </xf>
    <xf numFmtId="0" fontId="7" fillId="5" borderId="94" xfId="0" applyFont="1" applyFill="1" applyBorder="1" applyAlignment="1" applyProtection="1">
      <alignment horizontal="center" vertical="center" wrapText="1"/>
    </xf>
    <xf numFmtId="0" fontId="7" fillId="5" borderId="48" xfId="0" applyFont="1" applyFill="1" applyBorder="1" applyAlignment="1" applyProtection="1">
      <alignment horizontal="center" vertical="center" wrapText="1"/>
    </xf>
    <xf numFmtId="0" fontId="7" fillId="5" borderId="215" xfId="0" applyFont="1" applyFill="1" applyBorder="1" applyAlignment="1" applyProtection="1">
      <alignment horizontal="center" vertical="center" wrapText="1"/>
    </xf>
    <xf numFmtId="0" fontId="84" fillId="15" borderId="99" xfId="0" applyFont="1" applyFill="1" applyBorder="1" applyAlignment="1" applyProtection="1">
      <alignment horizontal="center" vertical="center"/>
    </xf>
    <xf numFmtId="0" fontId="84" fillId="15" borderId="22" xfId="0" applyFont="1" applyFill="1" applyBorder="1" applyAlignment="1" applyProtection="1">
      <alignment horizontal="center" vertical="center"/>
    </xf>
    <xf numFmtId="0" fontId="84" fillId="5" borderId="100" xfId="0" applyFont="1" applyFill="1" applyBorder="1" applyAlignment="1" applyProtection="1">
      <alignment horizontal="center" vertical="center"/>
    </xf>
    <xf numFmtId="0" fontId="7" fillId="5" borderId="94" xfId="0" applyFont="1" applyFill="1" applyBorder="1" applyAlignment="1" applyProtection="1">
      <alignment horizontal="right" vertical="center" wrapText="1"/>
    </xf>
    <xf numFmtId="0" fontId="7" fillId="5" borderId="48" xfId="0" applyFont="1" applyFill="1" applyBorder="1" applyAlignment="1" applyProtection="1">
      <alignment horizontal="right" vertical="center" wrapText="1"/>
    </xf>
    <xf numFmtId="0" fontId="7" fillId="5" borderId="215" xfId="0" applyFont="1" applyFill="1" applyBorder="1" applyAlignment="1" applyProtection="1">
      <alignment horizontal="right" vertical="center" wrapText="1"/>
    </xf>
    <xf numFmtId="0" fontId="84" fillId="5" borderId="146" xfId="0" applyFont="1" applyFill="1" applyBorder="1" applyAlignment="1" applyProtection="1">
      <alignment horizontal="center" vertical="center"/>
    </xf>
    <xf numFmtId="1" fontId="7" fillId="5" borderId="111" xfId="0" applyNumberFormat="1" applyFont="1" applyFill="1" applyBorder="1" applyAlignment="1" applyProtection="1">
      <alignment horizontal="left" vertical="center" justifyLastLine="1"/>
    </xf>
    <xf numFmtId="1" fontId="7" fillId="5" borderId="112" xfId="0" applyNumberFormat="1" applyFont="1" applyFill="1" applyBorder="1" applyAlignment="1" applyProtection="1">
      <alignment horizontal="left" vertical="center" justifyLastLine="1"/>
    </xf>
    <xf numFmtId="1" fontId="7" fillId="5" borderId="216" xfId="0" applyNumberFormat="1" applyFont="1" applyFill="1" applyBorder="1" applyAlignment="1" applyProtection="1">
      <alignment horizontal="left" vertical="center" justifyLastLine="1"/>
    </xf>
    <xf numFmtId="0" fontId="7" fillId="0" borderId="112" xfId="0" applyFont="1" applyBorder="1" applyAlignment="1" applyProtection="1">
      <alignment horizontal="left" vertical="center" justifyLastLine="1"/>
    </xf>
    <xf numFmtId="0" fontId="7" fillId="0" borderId="216" xfId="0" applyFont="1" applyBorder="1" applyAlignment="1" applyProtection="1">
      <alignment horizontal="left" vertical="center" justifyLastLine="1"/>
    </xf>
    <xf numFmtId="1" fontId="7" fillId="5" borderId="111" xfId="0" applyNumberFormat="1" applyFont="1" applyFill="1" applyBorder="1" applyAlignment="1" applyProtection="1">
      <alignment horizontal="left" vertical="center" wrapText="1"/>
    </xf>
    <xf numFmtId="1" fontId="7" fillId="5" borderId="112" xfId="0" applyNumberFormat="1" applyFont="1" applyFill="1" applyBorder="1" applyAlignment="1" applyProtection="1">
      <alignment horizontal="left" vertical="center" wrapText="1"/>
    </xf>
    <xf numFmtId="1" fontId="7" fillId="5" borderId="216" xfId="0" applyNumberFormat="1" applyFont="1" applyFill="1" applyBorder="1" applyAlignment="1" applyProtection="1">
      <alignment horizontal="left" vertical="center" wrapText="1"/>
    </xf>
    <xf numFmtId="0" fontId="7" fillId="5" borderId="111" xfId="0" applyFont="1" applyFill="1" applyBorder="1" applyAlignment="1" applyProtection="1">
      <alignment horizontal="left" vertical="center" justifyLastLine="1"/>
    </xf>
    <xf numFmtId="0" fontId="7" fillId="5" borderId="112" xfId="0" applyFont="1" applyFill="1" applyBorder="1" applyAlignment="1" applyProtection="1">
      <alignment horizontal="left" vertical="center" justifyLastLine="1"/>
    </xf>
    <xf numFmtId="0" fontId="7" fillId="5" borderId="216" xfId="0" applyFont="1" applyFill="1" applyBorder="1" applyAlignment="1" applyProtection="1">
      <alignment horizontal="left" vertical="center" justifyLastLine="1"/>
    </xf>
    <xf numFmtId="0" fontId="91" fillId="0" borderId="227" xfId="0" applyFont="1" applyFill="1" applyBorder="1" applyAlignment="1" applyProtection="1">
      <alignment horizontal="center" vertical="center" shrinkToFit="1"/>
    </xf>
    <xf numFmtId="0" fontId="91" fillId="0" borderId="228" xfId="0" applyFont="1" applyFill="1" applyBorder="1" applyAlignment="1" applyProtection="1">
      <alignment horizontal="center" vertical="center" shrinkToFit="1"/>
    </xf>
    <xf numFmtId="0" fontId="91" fillId="0" borderId="229" xfId="0" applyFont="1" applyFill="1" applyBorder="1" applyAlignment="1" applyProtection="1">
      <alignment horizontal="center" vertical="center" shrinkToFit="1"/>
    </xf>
    <xf numFmtId="164" fontId="7" fillId="0" borderId="315" xfId="0" applyNumberFormat="1" applyFont="1" applyFill="1" applyBorder="1" applyAlignment="1" applyProtection="1">
      <alignment horizontal="center"/>
    </xf>
    <xf numFmtId="0" fontId="7" fillId="0" borderId="259" xfId="0" applyFont="1" applyFill="1" applyBorder="1" applyAlignment="1" applyProtection="1">
      <alignment horizontal="center" vertical="top"/>
    </xf>
    <xf numFmtId="0" fontId="7" fillId="0" borderId="316" xfId="0" applyFont="1" applyFill="1" applyBorder="1" applyAlignment="1" applyProtection="1">
      <alignment horizontal="center" vertical="top"/>
    </xf>
    <xf numFmtId="0" fontId="7" fillId="0" borderId="242" xfId="0" applyFont="1" applyFill="1" applyBorder="1" applyAlignment="1" applyProtection="1">
      <alignment horizontal="center" vertical="top"/>
    </xf>
    <xf numFmtId="0" fontId="7" fillId="5" borderId="217" xfId="0" applyFont="1" applyFill="1" applyBorder="1" applyAlignment="1" applyProtection="1">
      <alignment horizontal="center" vertical="center" wrapText="1"/>
    </xf>
    <xf numFmtId="0" fontId="7" fillId="5" borderId="89" xfId="0" applyFont="1" applyFill="1" applyBorder="1" applyAlignment="1" applyProtection="1">
      <alignment horizontal="center" vertical="center" wrapText="1"/>
    </xf>
    <xf numFmtId="0" fontId="7" fillId="5" borderId="218" xfId="0" applyFont="1" applyFill="1" applyBorder="1" applyAlignment="1" applyProtection="1">
      <alignment horizontal="center" vertical="center" wrapText="1"/>
    </xf>
    <xf numFmtId="1" fontId="93" fillId="0" borderId="285" xfId="0" applyNumberFormat="1" applyFont="1" applyFill="1" applyBorder="1" applyAlignment="1" applyProtection="1">
      <alignment horizontal="center" vertical="top"/>
    </xf>
    <xf numFmtId="0" fontId="9" fillId="0" borderId="284" xfId="0" applyFont="1" applyFill="1" applyBorder="1" applyAlignment="1" applyProtection="1">
      <alignment horizontal="center" vertical="center"/>
    </xf>
    <xf numFmtId="0" fontId="9" fillId="0" borderId="232" xfId="0" applyFont="1" applyFill="1" applyBorder="1" applyAlignment="1" applyProtection="1">
      <alignment horizontal="center" vertical="center"/>
    </xf>
    <xf numFmtId="0" fontId="77" fillId="0" borderId="0" xfId="0" applyFont="1" applyBorder="1" applyAlignment="1" applyProtection="1">
      <alignment horizontal="left" wrapText="1"/>
    </xf>
    <xf numFmtId="0" fontId="77" fillId="0" borderId="131" xfId="0" applyFont="1" applyBorder="1" applyAlignment="1" applyProtection="1">
      <alignment horizontal="left" wrapText="1"/>
    </xf>
    <xf numFmtId="0" fontId="77" fillId="0" borderId="210" xfId="0" applyFont="1" applyBorder="1" applyAlignment="1" applyProtection="1">
      <alignment horizontal="left" wrapText="1"/>
    </xf>
    <xf numFmtId="0" fontId="77" fillId="0" borderId="211" xfId="0" applyFont="1" applyBorder="1" applyAlignment="1" applyProtection="1">
      <alignment horizontal="left" wrapText="1"/>
    </xf>
    <xf numFmtId="0" fontId="91" fillId="0" borderId="205" xfId="0" applyFont="1" applyFill="1" applyBorder="1" applyAlignment="1" applyProtection="1">
      <alignment horizontal="center" vertical="center" shrinkToFit="1"/>
    </xf>
    <xf numFmtId="0" fontId="91" fillId="0" borderId="206" xfId="0" applyFont="1" applyFill="1" applyBorder="1" applyAlignment="1" applyProtection="1">
      <alignment horizontal="center" vertical="center" shrinkToFit="1"/>
    </xf>
    <xf numFmtId="1" fontId="7" fillId="0" borderId="56" xfId="0" applyNumberFormat="1" applyFont="1" applyFill="1" applyBorder="1" applyAlignment="1" applyProtection="1">
      <alignment horizontal="center" vertical="top"/>
    </xf>
    <xf numFmtId="1" fontId="7" fillId="0" borderId="54" xfId="0" applyNumberFormat="1" applyFont="1" applyFill="1" applyBorder="1" applyAlignment="1" applyProtection="1">
      <alignment horizontal="center" vertical="top"/>
    </xf>
    <xf numFmtId="0" fontId="7" fillId="0" borderId="56" xfId="0" applyFont="1" applyFill="1" applyBorder="1" applyAlignment="1" applyProtection="1">
      <alignment horizontal="center" vertical="top"/>
    </xf>
    <xf numFmtId="0" fontId="7" fillId="0" borderId="54" xfId="0" applyFont="1" applyFill="1" applyBorder="1" applyAlignment="1" applyProtection="1">
      <alignment horizontal="center" vertical="top"/>
    </xf>
    <xf numFmtId="1" fontId="93" fillId="0" borderId="219" xfId="0" applyNumberFormat="1" applyFont="1" applyFill="1" applyBorder="1" applyAlignment="1" applyProtection="1">
      <alignment horizontal="center" vertical="top"/>
    </xf>
    <xf numFmtId="1" fontId="93" fillId="0" borderId="86" xfId="0" applyNumberFormat="1" applyFont="1" applyFill="1" applyBorder="1" applyAlignment="1" applyProtection="1">
      <alignment horizontal="center" vertical="top"/>
    </xf>
    <xf numFmtId="1" fontId="93" fillId="0" borderId="220" xfId="0" applyNumberFormat="1" applyFont="1" applyFill="1" applyBorder="1" applyAlignment="1" applyProtection="1">
      <alignment horizontal="center" vertical="top"/>
    </xf>
    <xf numFmtId="1" fontId="93" fillId="0" borderId="221" xfId="0" applyNumberFormat="1" applyFont="1" applyFill="1" applyBorder="1" applyAlignment="1" applyProtection="1">
      <alignment horizontal="center" vertical="top"/>
    </xf>
    <xf numFmtId="1" fontId="93" fillId="0" borderId="222" xfId="0" applyNumberFormat="1" applyFont="1" applyFill="1" applyBorder="1" applyAlignment="1" applyProtection="1">
      <alignment horizontal="center" vertical="top"/>
    </xf>
    <xf numFmtId="1" fontId="93" fillId="0" borderId="223" xfId="0" applyNumberFormat="1" applyFont="1" applyFill="1" applyBorder="1" applyAlignment="1" applyProtection="1">
      <alignment horizontal="center" vertical="top"/>
    </xf>
    <xf numFmtId="0" fontId="21" fillId="0" borderId="237" xfId="0" applyFont="1" applyFill="1" applyBorder="1" applyAlignment="1" applyProtection="1">
      <alignment horizontal="center" vertical="center"/>
    </xf>
    <xf numFmtId="0" fontId="21" fillId="0" borderId="238" xfId="0" applyFont="1" applyFill="1" applyBorder="1" applyAlignment="1" applyProtection="1">
      <alignment horizontal="center" vertical="center"/>
    </xf>
    <xf numFmtId="0" fontId="21" fillId="0" borderId="241" xfId="0" applyFont="1" applyFill="1" applyBorder="1" applyAlignment="1" applyProtection="1">
      <alignment horizontal="center" vertical="center"/>
    </xf>
    <xf numFmtId="0" fontId="21" fillId="0" borderId="317" xfId="0" applyFont="1" applyFill="1" applyBorder="1" applyAlignment="1" applyProtection="1">
      <alignment horizontal="center" vertical="center"/>
    </xf>
    <xf numFmtId="14" fontId="9" fillId="0" borderId="237" xfId="0" applyNumberFormat="1" applyFont="1" applyFill="1" applyBorder="1" applyAlignment="1" applyProtection="1">
      <alignment horizontal="center" vertical="center"/>
    </xf>
    <xf numFmtId="14" fontId="9" fillId="0" borderId="238" xfId="0" applyNumberFormat="1" applyFont="1" applyFill="1" applyBorder="1" applyAlignment="1" applyProtection="1">
      <alignment horizontal="center" vertical="center"/>
    </xf>
    <xf numFmtId="14" fontId="9" fillId="0" borderId="241" xfId="0" applyNumberFormat="1" applyFont="1" applyFill="1" applyBorder="1" applyAlignment="1" applyProtection="1">
      <alignment horizontal="center" vertical="center"/>
    </xf>
    <xf numFmtId="0" fontId="9" fillId="0" borderId="237" xfId="0" applyFont="1" applyBorder="1" applyAlignment="1" applyProtection="1">
      <alignment horizontal="center" vertical="center"/>
    </xf>
    <xf numFmtId="0" fontId="9" fillId="0" borderId="238" xfId="0" applyFont="1" applyBorder="1" applyAlignment="1" applyProtection="1">
      <alignment horizontal="center" vertical="center"/>
    </xf>
    <xf numFmtId="0" fontId="9" fillId="0" borderId="241" xfId="0" applyFont="1" applyBorder="1" applyAlignment="1" applyProtection="1">
      <alignment horizontal="center" vertical="center"/>
    </xf>
    <xf numFmtId="0" fontId="91" fillId="0" borderId="207" xfId="0" applyFont="1" applyFill="1" applyBorder="1" applyAlignment="1" applyProtection="1">
      <alignment horizontal="center" vertical="center" shrinkToFit="1"/>
    </xf>
    <xf numFmtId="164" fontId="7" fillId="0" borderId="47" xfId="0" applyNumberFormat="1" applyFont="1" applyFill="1" applyBorder="1" applyAlignment="1" applyProtection="1">
      <alignment horizontal="center"/>
    </xf>
    <xf numFmtId="164" fontId="7" fillId="0" borderId="49" xfId="0" applyNumberFormat="1" applyFont="1" applyFill="1" applyBorder="1" applyAlignment="1" applyProtection="1">
      <alignment horizontal="center"/>
    </xf>
    <xf numFmtId="0" fontId="19" fillId="0" borderId="237" xfId="0" applyNumberFormat="1" applyFont="1" applyFill="1" applyBorder="1" applyAlignment="1" applyProtection="1">
      <alignment horizontal="center" vertical="center"/>
    </xf>
    <xf numFmtId="0" fontId="19" fillId="0" borderId="238" xfId="0" applyNumberFormat="1" applyFont="1" applyFill="1" applyBorder="1" applyAlignment="1" applyProtection="1">
      <alignment horizontal="center" vertical="center"/>
    </xf>
    <xf numFmtId="0" fontId="19" fillId="0" borderId="241" xfId="0" applyNumberFormat="1" applyFont="1" applyFill="1" applyBorder="1" applyAlignment="1" applyProtection="1">
      <alignment horizontal="center" vertical="center"/>
    </xf>
    <xf numFmtId="0" fontId="19" fillId="0" borderId="237" xfId="0" applyFont="1" applyFill="1" applyBorder="1" applyAlignment="1" applyProtection="1">
      <alignment horizontal="center" vertical="center"/>
    </xf>
    <xf numFmtId="0" fontId="19" fillId="0" borderId="238" xfId="0" applyFont="1" applyFill="1" applyBorder="1" applyAlignment="1" applyProtection="1">
      <alignment horizontal="center" vertical="center"/>
    </xf>
    <xf numFmtId="0" fontId="19" fillId="0" borderId="241" xfId="0" applyFont="1" applyFill="1" applyBorder="1" applyAlignment="1" applyProtection="1">
      <alignment horizontal="center" vertical="center"/>
    </xf>
    <xf numFmtId="0" fontId="19" fillId="0" borderId="237" xfId="0" applyFont="1" applyBorder="1" applyAlignment="1" applyProtection="1">
      <alignment horizontal="center" vertical="center"/>
    </xf>
    <xf numFmtId="0" fontId="19" fillId="0" borderId="238" xfId="0" applyFont="1" applyBorder="1" applyAlignment="1" applyProtection="1">
      <alignment horizontal="center" vertical="center"/>
    </xf>
    <xf numFmtId="0" fontId="19" fillId="0" borderId="241" xfId="0" applyFont="1" applyBorder="1" applyAlignment="1" applyProtection="1">
      <alignment horizontal="center" vertical="center"/>
    </xf>
    <xf numFmtId="0" fontId="77" fillId="0" borderId="206" xfId="0" applyFont="1" applyBorder="1" applyAlignment="1" applyProtection="1">
      <alignment horizontal="left" vertical="center" wrapText="1"/>
    </xf>
    <xf numFmtId="0" fontId="77" fillId="0" borderId="207" xfId="0" applyFont="1" applyBorder="1" applyAlignment="1" applyProtection="1">
      <alignment horizontal="left" vertical="center" wrapText="1"/>
    </xf>
    <xf numFmtId="0" fontId="77" fillId="0" borderId="0" xfId="0" applyFont="1" applyBorder="1" applyAlignment="1" applyProtection="1">
      <alignment horizontal="left" vertical="center" wrapText="1"/>
    </xf>
    <xf numFmtId="0" fontId="77" fillId="0" borderId="131" xfId="0" applyFont="1" applyBorder="1" applyAlignment="1" applyProtection="1">
      <alignment horizontal="left" vertical="center" wrapText="1"/>
    </xf>
    <xf numFmtId="0" fontId="133" fillId="0" borderId="58" xfId="0" applyFont="1" applyFill="1" applyBorder="1" applyAlignment="1" applyProtection="1">
      <alignment horizontal="center" vertical="center"/>
    </xf>
    <xf numFmtId="0" fontId="133" fillId="0" borderId="39" xfId="0" applyFont="1" applyFill="1" applyBorder="1" applyAlignment="1" applyProtection="1">
      <alignment horizontal="center" vertical="center"/>
    </xf>
    <xf numFmtId="0" fontId="133" fillId="0" borderId="54" xfId="0" applyFont="1" applyFill="1" applyBorder="1" applyAlignment="1" applyProtection="1">
      <alignment horizontal="center" vertical="center"/>
    </xf>
    <xf numFmtId="0" fontId="9" fillId="0" borderId="237" xfId="0" applyNumberFormat="1" applyFont="1" applyFill="1" applyBorder="1" applyAlignment="1" applyProtection="1">
      <alignment horizontal="center" vertical="center"/>
    </xf>
    <xf numFmtId="0" fontId="9" fillId="0" borderId="238" xfId="0" applyNumberFormat="1" applyFont="1" applyFill="1" applyBorder="1" applyAlignment="1" applyProtection="1">
      <alignment horizontal="center" vertical="center"/>
    </xf>
    <xf numFmtId="0" fontId="9" fillId="0" borderId="241" xfId="0" applyNumberFormat="1" applyFont="1" applyFill="1" applyBorder="1" applyAlignment="1" applyProtection="1">
      <alignment horizontal="center" vertical="center"/>
    </xf>
    <xf numFmtId="14" fontId="21" fillId="0" borderId="237" xfId="0" applyNumberFormat="1" applyFont="1" applyFill="1" applyBorder="1" applyAlignment="1" applyProtection="1">
      <alignment horizontal="center" vertical="center"/>
    </xf>
    <xf numFmtId="14" fontId="21" fillId="0" borderId="238" xfId="0" applyNumberFormat="1" applyFont="1" applyFill="1" applyBorder="1" applyAlignment="1" applyProtection="1">
      <alignment horizontal="center" vertical="center"/>
    </xf>
    <xf numFmtId="14" fontId="21" fillId="0" borderId="241" xfId="0" applyNumberFormat="1" applyFont="1" applyFill="1" applyBorder="1" applyAlignment="1" applyProtection="1">
      <alignment horizontal="center" vertical="center"/>
    </xf>
    <xf numFmtId="0" fontId="43" fillId="2" borderId="18" xfId="0" applyFont="1" applyFill="1" applyBorder="1" applyAlignment="1" applyProtection="1">
      <alignment horizontal="center" vertical="center"/>
    </xf>
    <xf numFmtId="0" fontId="43" fillId="2" borderId="48" xfId="0" applyFont="1" applyFill="1" applyBorder="1" applyAlignment="1" applyProtection="1">
      <alignment horizontal="center" vertical="center"/>
    </xf>
    <xf numFmtId="0" fontId="43" fillId="2" borderId="215" xfId="0" applyFont="1" applyFill="1" applyBorder="1" applyAlignment="1" applyProtection="1">
      <alignment horizontal="center" vertical="center"/>
    </xf>
    <xf numFmtId="0" fontId="15" fillId="35" borderId="99" xfId="0" applyFont="1" applyFill="1" applyBorder="1" applyAlignment="1" applyProtection="1">
      <alignment horizontal="left" vertical="center"/>
    </xf>
    <xf numFmtId="0" fontId="15" fillId="35" borderId="22" xfId="0" applyFont="1" applyFill="1" applyBorder="1" applyAlignment="1" applyProtection="1">
      <alignment horizontal="left" vertical="center"/>
    </xf>
    <xf numFmtId="0" fontId="15" fillId="35" borderId="47" xfId="0" applyFont="1" applyFill="1" applyBorder="1" applyAlignment="1" applyProtection="1">
      <alignment horizontal="left" vertical="center"/>
    </xf>
    <xf numFmtId="0" fontId="15" fillId="35" borderId="103" xfId="0" applyFont="1" applyFill="1" applyBorder="1" applyAlignment="1" applyProtection="1">
      <alignment horizontal="left" vertical="center"/>
    </xf>
    <xf numFmtId="0" fontId="15" fillId="35" borderId="104" xfId="0" applyFont="1" applyFill="1" applyBorder="1" applyAlignment="1" applyProtection="1">
      <alignment horizontal="left" vertical="center"/>
    </xf>
    <xf numFmtId="0" fontId="15" fillId="35" borderId="117" xfId="0" applyFont="1" applyFill="1" applyBorder="1" applyAlignment="1" applyProtection="1">
      <alignment horizontal="left" vertical="center"/>
    </xf>
    <xf numFmtId="0" fontId="43" fillId="2" borderId="89" xfId="0" applyFont="1" applyFill="1" applyBorder="1" applyAlignment="1" applyProtection="1">
      <alignment horizontal="left" vertical="center"/>
    </xf>
    <xf numFmtId="0" fontId="14" fillId="2" borderId="89" xfId="0" applyFont="1" applyFill="1" applyBorder="1" applyAlignment="1" applyProtection="1">
      <alignment horizontal="center" vertical="center"/>
    </xf>
    <xf numFmtId="0" fontId="6" fillId="2" borderId="0" xfId="0" applyFont="1" applyFill="1" applyBorder="1" applyAlignment="1" applyProtection="1">
      <alignment horizontal="center" vertical="center"/>
    </xf>
    <xf numFmtId="0" fontId="43" fillId="2" borderId="185" xfId="0" applyFont="1" applyFill="1" applyBorder="1" applyAlignment="1" applyProtection="1">
      <alignment horizontal="center" vertical="center"/>
    </xf>
    <xf numFmtId="0" fontId="6" fillId="36" borderId="532" xfId="0" applyFont="1" applyFill="1" applyBorder="1" applyAlignment="1" applyProtection="1">
      <alignment horizontal="center" vertical="center"/>
    </xf>
    <xf numFmtId="0" fontId="6" fillId="36" borderId="97" xfId="0" applyFont="1" applyFill="1" applyBorder="1" applyAlignment="1" applyProtection="1">
      <alignment horizontal="center" vertical="center"/>
    </xf>
    <xf numFmtId="0" fontId="6" fillId="36" borderId="533" xfId="0" applyFont="1" applyFill="1" applyBorder="1" applyAlignment="1" applyProtection="1">
      <alignment horizontal="center" vertical="center"/>
    </xf>
    <xf numFmtId="0" fontId="6" fillId="36" borderId="534" xfId="0" applyFont="1" applyFill="1" applyBorder="1" applyAlignment="1" applyProtection="1">
      <alignment horizontal="center" vertical="center"/>
    </xf>
    <xf numFmtId="0" fontId="6" fillId="36" borderId="325" xfId="0" applyFont="1" applyFill="1" applyBorder="1" applyAlignment="1" applyProtection="1">
      <alignment horizontal="center" vertical="center"/>
    </xf>
    <xf numFmtId="0" fontId="6" fillId="36" borderId="98" xfId="0" applyFont="1" applyFill="1" applyBorder="1" applyAlignment="1" applyProtection="1">
      <alignment horizontal="center" vertical="center"/>
    </xf>
    <xf numFmtId="0" fontId="15" fillId="35" borderId="335" xfId="0" applyFont="1" applyFill="1" applyBorder="1" applyAlignment="1" applyProtection="1">
      <alignment horizontal="left" vertical="center"/>
    </xf>
    <xf numFmtId="0" fontId="15" fillId="35" borderId="146" xfId="0" applyFont="1" applyFill="1" applyBorder="1" applyAlignment="1" applyProtection="1">
      <alignment horizontal="left" vertical="center"/>
    </xf>
    <xf numFmtId="0" fontId="15" fillId="35" borderId="88" xfId="0" applyFont="1" applyFill="1" applyBorder="1" applyAlignment="1" applyProtection="1">
      <alignment horizontal="left" vertical="center"/>
    </xf>
    <xf numFmtId="0" fontId="14" fillId="2" borderId="0" xfId="0" applyFont="1" applyFill="1" applyBorder="1" applyAlignment="1" applyProtection="1">
      <alignment horizontal="left" vertical="center"/>
    </xf>
    <xf numFmtId="0" fontId="6" fillId="35" borderId="96" xfId="0" applyFont="1" applyFill="1" applyBorder="1" applyAlignment="1" applyProtection="1">
      <alignment horizontal="center" vertical="center"/>
    </xf>
    <xf numFmtId="0" fontId="6" fillId="35" borderId="97" xfId="0" applyFont="1" applyFill="1" applyBorder="1" applyAlignment="1" applyProtection="1">
      <alignment horizontal="center" vertical="center"/>
    </xf>
    <xf numFmtId="0" fontId="6" fillId="35" borderId="325" xfId="0" applyFont="1" applyFill="1" applyBorder="1" applyAlignment="1" applyProtection="1">
      <alignment horizontal="center" vertical="center"/>
    </xf>
    <xf numFmtId="0" fontId="6" fillId="35" borderId="331" xfId="0" applyFont="1" applyFill="1" applyBorder="1" applyAlignment="1" applyProtection="1">
      <alignment horizontal="center" vertical="center"/>
    </xf>
    <xf numFmtId="0" fontId="6" fillId="35" borderId="23" xfId="0" applyFont="1" applyFill="1" applyBorder="1" applyAlignment="1" applyProtection="1">
      <alignment horizontal="center" vertical="center"/>
    </xf>
    <xf numFmtId="0" fontId="6" fillId="35" borderId="147" xfId="0" applyFont="1" applyFill="1" applyBorder="1" applyAlignment="1" applyProtection="1">
      <alignment horizontal="center" vertical="center"/>
    </xf>
    <xf numFmtId="0" fontId="15" fillId="2" borderId="0" xfId="0" applyFont="1" applyFill="1" applyBorder="1" applyAlignment="1" applyProtection="1">
      <alignment horizontal="left" vertical="center"/>
    </xf>
    <xf numFmtId="0" fontId="39" fillId="2" borderId="0" xfId="0" applyFont="1" applyFill="1" applyAlignment="1" applyProtection="1">
      <alignment horizontal="center" vertical="center"/>
    </xf>
    <xf numFmtId="0" fontId="6" fillId="2" borderId="0" xfId="0" applyFont="1" applyFill="1" applyAlignment="1" applyProtection="1">
      <alignment horizontal="right" vertical="center"/>
    </xf>
    <xf numFmtId="0" fontId="43" fillId="2" borderId="48" xfId="0" applyNumberFormat="1" applyFont="1" applyFill="1" applyBorder="1" applyAlignment="1" applyProtection="1">
      <alignment horizontal="center" vertical="center"/>
    </xf>
    <xf numFmtId="0" fontId="6" fillId="2" borderId="210" xfId="0" applyFont="1" applyFill="1" applyBorder="1" applyAlignment="1" applyProtection="1">
      <alignment horizontal="center" vertical="center"/>
    </xf>
    <xf numFmtId="0" fontId="235" fillId="2" borderId="210" xfId="0" applyFont="1" applyFill="1" applyBorder="1" applyAlignment="1" applyProtection="1">
      <alignment horizontal="left" vertical="center"/>
    </xf>
    <xf numFmtId="0" fontId="309" fillId="2" borderId="210" xfId="1" applyFont="1" applyFill="1" applyBorder="1" applyAlignment="1" applyProtection="1">
      <alignment horizontal="center" vertical="center" shrinkToFit="1"/>
    </xf>
    <xf numFmtId="0" fontId="6" fillId="2" borderId="0" xfId="0" applyFont="1" applyFill="1" applyAlignment="1" applyProtection="1">
      <alignment horizontal="left" vertical="center"/>
    </xf>
    <xf numFmtId="0" fontId="43" fillId="2" borderId="89" xfId="0" applyFont="1" applyFill="1" applyBorder="1" applyAlignment="1" applyProtection="1">
      <alignment horizontal="center" vertical="center"/>
    </xf>
    <xf numFmtId="49" fontId="43" fillId="2" borderId="48" xfId="0" applyNumberFormat="1" applyFont="1" applyFill="1" applyBorder="1" applyAlignment="1" applyProtection="1">
      <alignment horizontal="center" vertical="center"/>
    </xf>
    <xf numFmtId="0" fontId="159" fillId="0" borderId="62" xfId="0" applyFont="1" applyBorder="1" applyAlignment="1" applyProtection="1">
      <alignment horizontal="center" vertical="center"/>
    </xf>
    <xf numFmtId="0" fontId="159" fillId="0" borderId="37" xfId="0" applyFont="1" applyBorder="1" applyAlignment="1" applyProtection="1">
      <alignment horizontal="center" vertical="center"/>
    </xf>
    <xf numFmtId="0" fontId="159" fillId="0" borderId="436" xfId="0" applyFont="1" applyBorder="1" applyAlignment="1" applyProtection="1">
      <alignment horizontal="center" vertical="center"/>
    </xf>
    <xf numFmtId="0" fontId="31" fillId="0" borderId="445" xfId="0" applyFont="1" applyBorder="1" applyAlignment="1" applyProtection="1">
      <alignment horizontal="center" vertical="center"/>
    </xf>
    <xf numFmtId="0" fontId="31" fillId="0" borderId="4" xfId="0" applyFont="1" applyBorder="1" applyAlignment="1" applyProtection="1">
      <alignment horizontal="center" vertical="center"/>
    </xf>
    <xf numFmtId="0" fontId="31" fillId="0" borderId="446" xfId="0" applyFont="1" applyBorder="1" applyAlignment="1" applyProtection="1">
      <alignment horizontal="center" vertical="center"/>
    </xf>
    <xf numFmtId="0" fontId="19" fillId="16" borderId="48" xfId="0" applyFont="1" applyFill="1" applyBorder="1" applyAlignment="1" applyProtection="1">
      <alignment horizontal="center" vertical="center"/>
    </xf>
    <xf numFmtId="0" fontId="14" fillId="16" borderId="48" xfId="0" applyFont="1" applyFill="1" applyBorder="1" applyAlignment="1" applyProtection="1">
      <alignment horizontal="center" vertical="center"/>
    </xf>
    <xf numFmtId="0" fontId="14" fillId="0" borderId="137" xfId="0" applyFont="1" applyBorder="1" applyAlignment="1" applyProtection="1">
      <alignment horizontal="center" vertical="center"/>
    </xf>
    <xf numFmtId="0" fontId="14" fillId="0" borderId="1" xfId="0" applyFont="1" applyBorder="1" applyAlignment="1" applyProtection="1">
      <alignment horizontal="center" vertical="center"/>
    </xf>
    <xf numFmtId="0" fontId="14" fillId="0" borderId="439" xfId="0" applyFont="1" applyBorder="1" applyAlignment="1" applyProtection="1">
      <alignment horizontal="center" vertical="center"/>
    </xf>
    <xf numFmtId="0" fontId="14" fillId="0" borderId="440" xfId="0" applyFont="1" applyBorder="1" applyAlignment="1" applyProtection="1">
      <alignment horizontal="center" vertical="center"/>
    </xf>
    <xf numFmtId="0" fontId="14" fillId="0" borderId="2" xfId="0" applyFont="1" applyBorder="1" applyAlignment="1" applyProtection="1">
      <alignment horizontal="center" vertical="center"/>
    </xf>
    <xf numFmtId="0" fontId="14" fillId="0" borderId="441" xfId="0" applyFont="1" applyBorder="1" applyAlignment="1" applyProtection="1">
      <alignment horizontal="center" vertical="center"/>
    </xf>
    <xf numFmtId="0" fontId="6" fillId="0" borderId="62" xfId="0" applyFont="1" applyBorder="1" applyAlignment="1" applyProtection="1">
      <alignment horizontal="center" vertical="center"/>
    </xf>
    <xf numFmtId="0" fontId="6" fillId="0" borderId="37" xfId="0" applyFont="1" applyBorder="1" applyAlignment="1" applyProtection="1">
      <alignment horizontal="center" vertical="center"/>
    </xf>
    <xf numFmtId="0" fontId="6" fillId="0" borderId="436" xfId="0" applyFont="1" applyBorder="1" applyAlignment="1" applyProtection="1">
      <alignment horizontal="center" vertical="center"/>
    </xf>
    <xf numFmtId="0" fontId="31" fillId="2" borderId="403" xfId="0" applyFont="1" applyFill="1" applyBorder="1" applyAlignment="1" applyProtection="1">
      <alignment horizontal="center" vertical="center"/>
    </xf>
    <xf numFmtId="0" fontId="245" fillId="0" borderId="46" xfId="0" applyFont="1" applyBorder="1" applyAlignment="1" applyProtection="1">
      <alignment horizontal="center" vertical="center"/>
    </xf>
    <xf numFmtId="0" fontId="14" fillId="0" borderId="437" xfId="0" applyFont="1" applyBorder="1" applyAlignment="1" applyProtection="1">
      <alignment horizontal="center" vertical="center"/>
    </xf>
    <xf numFmtId="0" fontId="14" fillId="0" borderId="64" xfId="0" applyFont="1" applyBorder="1" applyAlignment="1" applyProtection="1">
      <alignment horizontal="center" vertical="center"/>
    </xf>
    <xf numFmtId="0" fontId="14" fillId="0" borderId="438" xfId="0" applyFont="1" applyBorder="1" applyAlignment="1" applyProtection="1">
      <alignment horizontal="center" vertical="center"/>
    </xf>
    <xf numFmtId="0" fontId="240" fillId="2" borderId="394" xfId="0" applyFont="1" applyFill="1" applyBorder="1" applyAlignment="1" applyProtection="1">
      <alignment horizontal="center" vertical="center"/>
    </xf>
    <xf numFmtId="0" fontId="240" fillId="2" borderId="389" xfId="0" applyFont="1" applyFill="1" applyBorder="1" applyAlignment="1" applyProtection="1">
      <alignment horizontal="center" vertical="center"/>
    </xf>
    <xf numFmtId="0" fontId="240" fillId="2" borderId="389" xfId="0" applyFont="1" applyFill="1" applyBorder="1" applyAlignment="1" applyProtection="1">
      <alignment horizontal="center" vertical="top"/>
    </xf>
    <xf numFmtId="0" fontId="240" fillId="2" borderId="394" xfId="0" applyFont="1" applyFill="1" applyBorder="1" applyAlignment="1" applyProtection="1">
      <alignment horizontal="center" vertical="top"/>
    </xf>
    <xf numFmtId="0" fontId="240" fillId="2" borderId="395" xfId="0" applyFont="1" applyFill="1" applyBorder="1" applyAlignment="1" applyProtection="1">
      <alignment horizontal="center" vertical="center"/>
    </xf>
    <xf numFmtId="0" fontId="31" fillId="2" borderId="394" xfId="0" applyFont="1" applyFill="1" applyBorder="1" applyAlignment="1" applyProtection="1">
      <alignment horizontal="center" vertical="center"/>
    </xf>
    <xf numFmtId="0" fontId="240" fillId="2" borderId="391" xfId="0" applyFont="1" applyFill="1" applyBorder="1" applyAlignment="1" applyProtection="1">
      <alignment horizontal="center" vertical="center"/>
    </xf>
    <xf numFmtId="164" fontId="240" fillId="2" borderId="399" xfId="0" applyNumberFormat="1" applyFont="1" applyFill="1" applyBorder="1" applyAlignment="1" applyProtection="1">
      <alignment horizontal="center"/>
    </xf>
    <xf numFmtId="164" fontId="240" fillId="2" borderId="392" xfId="0" applyNumberFormat="1" applyFont="1" applyFill="1" applyBorder="1" applyAlignment="1" applyProtection="1">
      <alignment horizontal="center"/>
    </xf>
    <xf numFmtId="164" fontId="240" fillId="2" borderId="393" xfId="0" applyNumberFormat="1" applyFont="1" applyFill="1" applyBorder="1" applyAlignment="1" applyProtection="1">
      <alignment horizontal="center"/>
    </xf>
    <xf numFmtId="164" fontId="240" fillId="2" borderId="400" xfId="0" applyNumberFormat="1" applyFont="1" applyFill="1" applyBorder="1" applyAlignment="1" applyProtection="1">
      <alignment horizontal="center"/>
    </xf>
    <xf numFmtId="164" fontId="240" fillId="2" borderId="89" xfId="0" applyNumberFormat="1" applyFont="1" applyFill="1" applyBorder="1" applyAlignment="1" applyProtection="1">
      <alignment horizontal="center"/>
    </xf>
    <xf numFmtId="164" fontId="240" fillId="2" borderId="401" xfId="0" applyNumberFormat="1" applyFont="1" applyFill="1" applyBorder="1" applyAlignment="1" applyProtection="1">
      <alignment horizontal="center"/>
    </xf>
    <xf numFmtId="49" fontId="240" fillId="2" borderId="394" xfId="0" applyNumberFormat="1" applyFont="1" applyFill="1" applyBorder="1" applyAlignment="1" applyProtection="1">
      <alignment horizontal="center" vertical="center"/>
    </xf>
    <xf numFmtId="164" fontId="131" fillId="2" borderId="399" xfId="0" applyNumberFormat="1" applyFont="1" applyFill="1" applyBorder="1" applyAlignment="1" applyProtection="1">
      <alignment horizontal="center"/>
    </xf>
    <xf numFmtId="164" fontId="131" fillId="2" borderId="392" xfId="0" applyNumberFormat="1" applyFont="1" applyFill="1" applyBorder="1" applyAlignment="1" applyProtection="1">
      <alignment horizontal="center"/>
    </xf>
    <xf numFmtId="164" fontId="131" fillId="2" borderId="393" xfId="0" applyNumberFormat="1" applyFont="1" applyFill="1" applyBorder="1" applyAlignment="1" applyProtection="1">
      <alignment horizontal="center"/>
    </xf>
    <xf numFmtId="164" fontId="131" fillId="2" borderId="400" xfId="0" applyNumberFormat="1" applyFont="1" applyFill="1" applyBorder="1" applyAlignment="1" applyProtection="1">
      <alignment horizontal="center"/>
    </xf>
    <xf numFmtId="164" fontId="131" fillId="2" borderId="89" xfId="0" applyNumberFormat="1" applyFont="1" applyFill="1" applyBorder="1" applyAlignment="1" applyProtection="1">
      <alignment horizontal="center"/>
    </xf>
    <xf numFmtId="164" fontId="131" fillId="2" borderId="401" xfId="0" applyNumberFormat="1" applyFont="1" applyFill="1" applyBorder="1" applyAlignment="1" applyProtection="1">
      <alignment horizontal="center"/>
    </xf>
    <xf numFmtId="0" fontId="240" fillId="2" borderId="432" xfId="0" applyFont="1" applyFill="1" applyBorder="1" applyAlignment="1" applyProtection="1">
      <alignment horizontal="center"/>
    </xf>
    <xf numFmtId="0" fontId="240" fillId="2" borderId="392" xfId="0" applyFont="1" applyFill="1" applyBorder="1" applyAlignment="1" applyProtection="1">
      <alignment horizontal="center"/>
    </xf>
    <xf numFmtId="0" fontId="240" fillId="2" borderId="393" xfId="0" applyFont="1" applyFill="1" applyBorder="1" applyAlignment="1" applyProtection="1">
      <alignment horizontal="center"/>
    </xf>
    <xf numFmtId="0" fontId="240" fillId="2" borderId="434" xfId="0" applyFont="1" applyFill="1" applyBorder="1" applyAlignment="1" applyProtection="1">
      <alignment horizontal="center"/>
    </xf>
    <xf numFmtId="0" fontId="240" fillId="2" borderId="89" xfId="0" applyFont="1" applyFill="1" applyBorder="1" applyAlignment="1" applyProtection="1">
      <alignment horizontal="center"/>
    </xf>
    <xf numFmtId="0" fontId="240" fillId="2" borderId="401" xfId="0" applyFont="1" applyFill="1" applyBorder="1" applyAlignment="1" applyProtection="1">
      <alignment horizontal="center"/>
    </xf>
    <xf numFmtId="0" fontId="240" fillId="2" borderId="394" xfId="0" applyFont="1" applyFill="1" applyBorder="1" applyAlignment="1" applyProtection="1">
      <alignment horizontal="center"/>
    </xf>
    <xf numFmtId="0" fontId="240" fillId="2" borderId="399" xfId="0" applyFont="1" applyFill="1" applyBorder="1" applyAlignment="1" applyProtection="1">
      <alignment horizontal="center"/>
    </xf>
    <xf numFmtId="0" fontId="240" fillId="2" borderId="400" xfId="0" applyFont="1" applyFill="1" applyBorder="1" applyAlignment="1" applyProtection="1">
      <alignment horizontal="center"/>
    </xf>
    <xf numFmtId="0" fontId="240" fillId="2" borderId="433" xfId="0" applyFont="1" applyFill="1" applyBorder="1" applyAlignment="1" applyProtection="1">
      <alignment horizontal="center"/>
    </xf>
    <xf numFmtId="0" fontId="240" fillId="2" borderId="435" xfId="0" applyFont="1" applyFill="1" applyBorder="1" applyAlignment="1" applyProtection="1">
      <alignment horizontal="center"/>
    </xf>
    <xf numFmtId="0" fontId="240" fillId="2" borderId="385" xfId="0" applyFont="1" applyFill="1" applyBorder="1" applyAlignment="1" applyProtection="1">
      <alignment horizontal="center" vertical="top"/>
    </xf>
    <xf numFmtId="0" fontId="240" fillId="2" borderId="391" xfId="0" applyFont="1" applyFill="1" applyBorder="1" applyAlignment="1" applyProtection="1">
      <alignment horizontal="center" vertical="top"/>
    </xf>
    <xf numFmtId="0" fontId="240" fillId="2" borderId="390" xfId="0" applyFont="1" applyFill="1" applyBorder="1" applyAlignment="1" applyProtection="1">
      <alignment horizontal="center" vertical="top"/>
    </xf>
    <xf numFmtId="0" fontId="240" fillId="2" borderId="395" xfId="0" applyFont="1" applyFill="1" applyBorder="1" applyAlignment="1" applyProtection="1">
      <alignment horizontal="center" vertical="top"/>
    </xf>
    <xf numFmtId="0" fontId="240" fillId="2" borderId="391" xfId="0" applyFont="1" applyFill="1" applyBorder="1" applyAlignment="1" applyProtection="1">
      <alignment horizontal="center"/>
    </xf>
    <xf numFmtId="0" fontId="240" fillId="2" borderId="430" xfId="0" applyFont="1" applyFill="1" applyBorder="1" applyAlignment="1" applyProtection="1">
      <alignment horizontal="center"/>
    </xf>
    <xf numFmtId="0" fontId="240" fillId="2" borderId="396" xfId="0" applyFont="1" applyFill="1" applyBorder="1" applyAlignment="1" applyProtection="1">
      <alignment horizontal="center"/>
    </xf>
    <xf numFmtId="0" fontId="240" fillId="2" borderId="395" xfId="0" applyFont="1" applyFill="1" applyBorder="1" applyAlignment="1" applyProtection="1">
      <alignment horizontal="center"/>
    </xf>
    <xf numFmtId="0" fontId="240" fillId="2" borderId="431" xfId="0" applyFont="1" applyFill="1" applyBorder="1" applyAlignment="1" applyProtection="1">
      <alignment horizontal="center"/>
    </xf>
    <xf numFmtId="0" fontId="240" fillId="2" borderId="399" xfId="0" applyFont="1" applyFill="1" applyBorder="1" applyAlignment="1" applyProtection="1">
      <alignment horizontal="center" vertical="top"/>
    </xf>
    <xf numFmtId="0" fontId="240" fillId="2" borderId="392" xfId="0" applyFont="1" applyFill="1" applyBorder="1" applyAlignment="1" applyProtection="1">
      <alignment horizontal="center" vertical="top"/>
    </xf>
    <xf numFmtId="0" fontId="240" fillId="2" borderId="393" xfId="0" applyFont="1" applyFill="1" applyBorder="1" applyAlignment="1" applyProtection="1">
      <alignment horizontal="center" vertical="top"/>
    </xf>
    <xf numFmtId="0" fontId="240" fillId="2" borderId="386" xfId="0" applyFont="1" applyFill="1" applyBorder="1" applyAlignment="1" applyProtection="1">
      <alignment horizontal="center" vertical="top"/>
    </xf>
    <xf numFmtId="0" fontId="240" fillId="2" borderId="387" xfId="0" applyFont="1" applyFill="1" applyBorder="1" applyAlignment="1" applyProtection="1">
      <alignment horizontal="center" vertical="top"/>
    </xf>
    <xf numFmtId="0" fontId="240" fillId="2" borderId="388" xfId="0" applyFont="1" applyFill="1" applyBorder="1" applyAlignment="1" applyProtection="1">
      <alignment horizontal="center" vertical="top"/>
    </xf>
    <xf numFmtId="0" fontId="133" fillId="0" borderId="374" xfId="0" applyFont="1" applyFill="1" applyBorder="1" applyAlignment="1" applyProtection="1">
      <alignment horizontal="center" vertical="center"/>
    </xf>
    <xf numFmtId="0" fontId="133" fillId="0" borderId="375" xfId="0" applyFont="1" applyFill="1" applyBorder="1" applyAlignment="1" applyProtection="1">
      <alignment horizontal="center" vertical="center"/>
    </xf>
    <xf numFmtId="0" fontId="133" fillId="0" borderId="369" xfId="0" applyFont="1" applyFill="1" applyBorder="1" applyAlignment="1" applyProtection="1">
      <alignment horizontal="center" vertical="center"/>
    </xf>
    <xf numFmtId="0" fontId="133" fillId="0" borderId="371" xfId="0" applyFont="1" applyFill="1" applyBorder="1" applyAlignment="1" applyProtection="1">
      <alignment horizontal="center" vertical="center"/>
    </xf>
    <xf numFmtId="0" fontId="133" fillId="0" borderId="368" xfId="0" applyFont="1" applyFill="1" applyBorder="1" applyAlignment="1" applyProtection="1">
      <alignment horizontal="center" vertical="center"/>
    </xf>
    <xf numFmtId="0" fontId="130" fillId="2" borderId="383" xfId="0" applyFont="1" applyFill="1" applyBorder="1" applyAlignment="1" applyProtection="1">
      <alignment horizontal="center" vertical="center"/>
    </xf>
    <xf numFmtId="0" fontId="130" fillId="2" borderId="389" xfId="0" applyFont="1" applyFill="1" applyBorder="1" applyAlignment="1" applyProtection="1">
      <alignment horizontal="center" vertical="center"/>
    </xf>
    <xf numFmtId="0" fontId="14" fillId="0" borderId="368" xfId="0" applyFont="1" applyFill="1" applyBorder="1" applyAlignment="1" applyProtection="1">
      <alignment horizontal="center" vertical="center"/>
    </xf>
    <xf numFmtId="0" fontId="19" fillId="2" borderId="383" xfId="0" applyFont="1" applyFill="1" applyBorder="1" applyAlignment="1" applyProtection="1">
      <alignment horizontal="center" vertical="center"/>
    </xf>
    <xf numFmtId="0" fontId="19" fillId="2" borderId="389" xfId="0" applyFont="1" applyFill="1" applyBorder="1" applyAlignment="1" applyProtection="1">
      <alignment horizontal="center" vertical="center"/>
    </xf>
    <xf numFmtId="0" fontId="14" fillId="0" borderId="365" xfId="0" applyFont="1" applyFill="1" applyBorder="1" applyAlignment="1" applyProtection="1">
      <alignment horizontal="center" vertical="center"/>
    </xf>
    <xf numFmtId="0" fontId="133" fillId="0" borderId="377" xfId="0" applyFont="1" applyFill="1" applyBorder="1" applyAlignment="1" applyProtection="1">
      <alignment horizontal="center" vertical="center"/>
    </xf>
    <xf numFmtId="0" fontId="133" fillId="0" borderId="378" xfId="0" applyFont="1" applyFill="1" applyBorder="1" applyAlignment="1" applyProtection="1">
      <alignment horizontal="center" vertical="center"/>
    </xf>
    <xf numFmtId="0" fontId="14" fillId="0" borderId="377" xfId="0" applyFont="1" applyFill="1" applyBorder="1" applyAlignment="1" applyProtection="1">
      <alignment horizontal="center" vertical="center"/>
    </xf>
    <xf numFmtId="0" fontId="14" fillId="0" borderId="378" xfId="0" applyFont="1" applyFill="1" applyBorder="1" applyAlignment="1" applyProtection="1">
      <alignment horizontal="center" vertical="center"/>
    </xf>
    <xf numFmtId="0" fontId="14" fillId="0" borderId="376" xfId="0" applyFont="1" applyFill="1" applyBorder="1" applyAlignment="1" applyProtection="1">
      <alignment horizontal="center" vertical="center"/>
    </xf>
    <xf numFmtId="0" fontId="14" fillId="0" borderId="374" xfId="0" applyFont="1" applyFill="1" applyBorder="1" applyAlignment="1" applyProtection="1">
      <alignment horizontal="center" vertical="center"/>
    </xf>
    <xf numFmtId="0" fontId="14" fillId="0" borderId="381" xfId="0" applyFont="1" applyFill="1" applyBorder="1" applyAlignment="1" applyProtection="1">
      <alignment horizontal="center" vertical="center"/>
    </xf>
    <xf numFmtId="0" fontId="14" fillId="0" borderId="375" xfId="0" applyFont="1" applyFill="1" applyBorder="1" applyAlignment="1" applyProtection="1">
      <alignment horizontal="center" vertical="center"/>
    </xf>
    <xf numFmtId="0" fontId="14" fillId="0" borderId="369" xfId="0" applyFont="1" applyFill="1" applyBorder="1" applyAlignment="1" applyProtection="1">
      <alignment horizontal="center" vertical="center"/>
    </xf>
    <xf numFmtId="0" fontId="14" fillId="0" borderId="370" xfId="0" applyFont="1" applyFill="1" applyBorder="1" applyAlignment="1" applyProtection="1">
      <alignment horizontal="center" vertical="center"/>
    </xf>
    <xf numFmtId="0" fontId="14" fillId="0" borderId="371" xfId="0" applyFont="1" applyFill="1" applyBorder="1" applyAlignment="1" applyProtection="1">
      <alignment horizontal="center" vertical="center"/>
    </xf>
    <xf numFmtId="0" fontId="133" fillId="0" borderId="525" xfId="0" applyFont="1" applyFill="1" applyBorder="1" applyAlignment="1" applyProtection="1">
      <alignment horizontal="center" vertical="center"/>
    </xf>
    <xf numFmtId="0" fontId="133" fillId="0" borderId="365" xfId="0" applyFont="1" applyFill="1" applyBorder="1" applyAlignment="1" applyProtection="1">
      <alignment horizontal="center" vertical="center"/>
    </xf>
    <xf numFmtId="0" fontId="133" fillId="0" borderId="366" xfId="0" applyFont="1" applyFill="1" applyBorder="1" applyAlignment="1" applyProtection="1">
      <alignment horizontal="center" vertical="center"/>
    </xf>
    <xf numFmtId="0" fontId="133" fillId="0" borderId="367" xfId="0" applyFont="1" applyFill="1" applyBorder="1" applyAlignment="1" applyProtection="1">
      <alignment horizontal="center" vertical="center"/>
    </xf>
    <xf numFmtId="0" fontId="240" fillId="0" borderId="357" xfId="0" applyFont="1" applyFill="1" applyBorder="1" applyAlignment="1" applyProtection="1">
      <alignment horizontal="center" vertical="center"/>
    </xf>
    <xf numFmtId="0" fontId="240" fillId="0" borderId="364" xfId="0" applyFont="1" applyFill="1" applyBorder="1" applyAlignment="1" applyProtection="1">
      <alignment horizontal="center" vertical="center"/>
    </xf>
    <xf numFmtId="0" fontId="240" fillId="0" borderId="349" xfId="0" applyFont="1" applyFill="1" applyBorder="1" applyAlignment="1" applyProtection="1">
      <alignment horizontal="right" vertical="center" wrapText="1"/>
    </xf>
    <xf numFmtId="0" fontId="240" fillId="0" borderId="417" xfId="0" applyFont="1" applyFill="1" applyBorder="1" applyAlignment="1" applyProtection="1">
      <alignment horizontal="right" vertical="center" wrapText="1"/>
    </xf>
    <xf numFmtId="0" fontId="240" fillId="0" borderId="421" xfId="0" applyFont="1" applyFill="1" applyBorder="1" applyAlignment="1" applyProtection="1">
      <alignment horizontal="right" vertical="center" wrapText="1"/>
    </xf>
    <xf numFmtId="0" fontId="240" fillId="0" borderId="424" xfId="0" applyFont="1" applyFill="1" applyBorder="1" applyAlignment="1" applyProtection="1">
      <alignment horizontal="right" vertical="center" wrapText="1"/>
    </xf>
    <xf numFmtId="0" fontId="240" fillId="0" borderId="354" xfId="0" applyFont="1" applyFill="1" applyBorder="1" applyAlignment="1" applyProtection="1">
      <alignment horizontal="right" vertical="center" wrapText="1"/>
    </xf>
    <xf numFmtId="0" fontId="240" fillId="0" borderId="426" xfId="0" applyFont="1" applyFill="1" applyBorder="1" applyAlignment="1" applyProtection="1">
      <alignment horizontal="right" vertical="center" wrapText="1"/>
    </xf>
    <xf numFmtId="0" fontId="240" fillId="0" borderId="418" xfId="0" applyFont="1" applyFill="1" applyBorder="1" applyAlignment="1" applyProtection="1">
      <alignment horizontal="left" vertical="center" wrapText="1"/>
    </xf>
    <xf numFmtId="0" fontId="240" fillId="0" borderId="86" xfId="0" applyFont="1" applyFill="1" applyBorder="1" applyAlignment="1" applyProtection="1">
      <alignment horizontal="left" vertical="center" wrapText="1"/>
    </xf>
    <xf numFmtId="0" fontId="240" fillId="0" borderId="90" xfId="0" applyFont="1" applyFill="1" applyBorder="1" applyAlignment="1" applyProtection="1">
      <alignment horizontal="left" vertical="center" wrapText="1"/>
    </xf>
    <xf numFmtId="0" fontId="240" fillId="0" borderId="425" xfId="0" applyFont="1" applyFill="1" applyBorder="1" applyAlignment="1" applyProtection="1">
      <alignment horizontal="left" vertical="center" wrapText="1"/>
    </xf>
    <xf numFmtId="0" fontId="240" fillId="0" borderId="0" xfId="0" applyFont="1" applyFill="1" applyBorder="1" applyAlignment="1" applyProtection="1">
      <alignment horizontal="left" vertical="center" wrapText="1"/>
    </xf>
    <xf numFmtId="0" fontId="240" fillId="0" borderId="91" xfId="0" applyFont="1" applyFill="1" applyBorder="1" applyAlignment="1" applyProtection="1">
      <alignment horizontal="left" vertical="center" wrapText="1"/>
    </xf>
    <xf numFmtId="0" fontId="240" fillId="0" borderId="427" xfId="0" applyFont="1" applyFill="1" applyBorder="1" applyAlignment="1" applyProtection="1">
      <alignment horizontal="left" vertical="center" wrapText="1"/>
    </xf>
    <xf numFmtId="0" fontId="240" fillId="0" borderId="355" xfId="0" applyFont="1" applyFill="1" applyBorder="1" applyAlignment="1" applyProtection="1">
      <alignment horizontal="left" vertical="center" wrapText="1"/>
    </xf>
    <xf numFmtId="0" fontId="240" fillId="0" borderId="428" xfId="0" applyFont="1" applyFill="1" applyBorder="1" applyAlignment="1" applyProtection="1">
      <alignment horizontal="left" vertical="center" wrapText="1"/>
    </xf>
    <xf numFmtId="0" fontId="240" fillId="0" borderId="353" xfId="0" applyFont="1" applyFill="1" applyBorder="1" applyAlignment="1" applyProtection="1">
      <alignment horizontal="center" vertical="center"/>
    </xf>
    <xf numFmtId="0" fontId="240" fillId="0" borderId="361" xfId="0" applyFont="1" applyFill="1" applyBorder="1" applyAlignment="1" applyProtection="1">
      <alignment horizontal="center" vertical="center"/>
    </xf>
    <xf numFmtId="0" fontId="161" fillId="2" borderId="136" xfId="0" applyFont="1" applyFill="1" applyBorder="1" applyAlignment="1" applyProtection="1">
      <alignment horizontal="left"/>
    </xf>
    <xf numFmtId="0" fontId="161" fillId="2" borderId="0" xfId="0" applyFont="1" applyFill="1" applyBorder="1" applyAlignment="1" applyProtection="1">
      <alignment horizontal="left"/>
    </xf>
    <xf numFmtId="0" fontId="161" fillId="2" borderId="0" xfId="0" applyFont="1" applyFill="1" applyBorder="1" applyAlignment="1" applyProtection="1">
      <alignment horizontal="center"/>
    </xf>
    <xf numFmtId="0" fontId="240" fillId="0" borderId="347" xfId="0" applyFont="1" applyFill="1" applyBorder="1" applyAlignment="1" applyProtection="1">
      <alignment horizontal="center" vertical="center" wrapText="1"/>
    </xf>
    <xf numFmtId="0" fontId="240" fillId="0" borderId="419" xfId="0" applyFont="1" applyFill="1" applyBorder="1" applyAlignment="1" applyProtection="1">
      <alignment horizontal="center" vertical="center" wrapText="1"/>
    </xf>
    <xf numFmtId="0" fontId="240" fillId="0" borderId="352" xfId="0" applyFont="1" applyFill="1" applyBorder="1" applyProtection="1"/>
    <xf numFmtId="0" fontId="240" fillId="0" borderId="360" xfId="0" applyFont="1" applyFill="1" applyBorder="1" applyProtection="1"/>
    <xf numFmtId="0" fontId="240" fillId="0" borderId="348" xfId="0" applyFont="1" applyFill="1" applyBorder="1" applyAlignment="1" applyProtection="1">
      <alignment horizontal="center" vertical="center"/>
    </xf>
    <xf numFmtId="0" fontId="240" fillId="0" borderId="420" xfId="0" applyFont="1" applyFill="1" applyBorder="1" applyAlignment="1" applyProtection="1">
      <alignment horizontal="center" vertical="center"/>
    </xf>
    <xf numFmtId="0" fontId="240" fillId="0" borderId="349" xfId="0" applyFont="1" applyFill="1" applyBorder="1" applyAlignment="1" applyProtection="1">
      <alignment horizontal="left" vertical="center" wrapText="1"/>
    </xf>
    <xf numFmtId="0" fontId="240" fillId="0" borderId="350" xfId="0" applyFont="1" applyFill="1" applyBorder="1" applyAlignment="1" applyProtection="1">
      <alignment horizontal="left" vertical="center" wrapText="1"/>
    </xf>
    <xf numFmtId="0" fontId="240" fillId="0" borderId="421" xfId="0" applyFont="1" applyFill="1" applyBorder="1" applyAlignment="1" applyProtection="1">
      <alignment horizontal="left" vertical="center" wrapText="1"/>
    </xf>
    <xf numFmtId="0" fontId="240" fillId="0" borderId="422" xfId="0" applyFont="1" applyFill="1" applyBorder="1" applyAlignment="1" applyProtection="1">
      <alignment horizontal="left" vertical="center" wrapText="1"/>
    </xf>
    <xf numFmtId="0" fontId="240" fillId="0" borderId="354" xfId="0" applyFont="1" applyFill="1" applyBorder="1" applyAlignment="1" applyProtection="1">
      <alignment horizontal="left" vertical="center" wrapText="1"/>
    </xf>
    <xf numFmtId="0" fontId="240" fillId="0" borderId="356" xfId="0" applyFont="1" applyFill="1" applyBorder="1" applyAlignment="1" applyProtection="1">
      <alignment horizontal="left" vertical="center" wrapText="1"/>
    </xf>
    <xf numFmtId="0" fontId="0" fillId="0" borderId="350" xfId="0" applyBorder="1" applyProtection="1"/>
    <xf numFmtId="0" fontId="0" fillId="0" borderId="421" xfId="0" applyBorder="1" applyProtection="1"/>
    <xf numFmtId="0" fontId="0" fillId="0" borderId="422" xfId="0" applyBorder="1" applyProtection="1"/>
    <xf numFmtId="0" fontId="0" fillId="0" borderId="354" xfId="0" applyBorder="1" applyProtection="1"/>
    <xf numFmtId="0" fontId="0" fillId="0" borderId="356" xfId="0" applyBorder="1" applyProtection="1"/>
    <xf numFmtId="0" fontId="240" fillId="0" borderId="416" xfId="0" applyFont="1" applyFill="1" applyBorder="1" applyAlignment="1" applyProtection="1">
      <alignment horizontal="center" vertical="center" wrapText="1"/>
    </xf>
    <xf numFmtId="0" fontId="240" fillId="0" borderId="423" xfId="0" applyFont="1" applyFill="1" applyBorder="1" applyAlignment="1" applyProtection="1">
      <alignment horizontal="center" vertical="center" wrapText="1"/>
    </xf>
    <xf numFmtId="0" fontId="240" fillId="0" borderId="429" xfId="0" applyFont="1" applyFill="1" applyBorder="1" applyAlignment="1" applyProtection="1">
      <alignment horizontal="center" vertical="center" wrapText="1"/>
    </xf>
    <xf numFmtId="0" fontId="31" fillId="0" borderId="394" xfId="0" applyFont="1" applyFill="1" applyBorder="1" applyAlignment="1" applyProtection="1">
      <alignment horizontal="center" vertical="center"/>
    </xf>
    <xf numFmtId="0" fontId="31" fillId="0" borderId="403" xfId="0" applyFont="1" applyFill="1" applyBorder="1" applyAlignment="1" applyProtection="1">
      <alignment horizontal="center" vertical="center"/>
    </xf>
    <xf numFmtId="0" fontId="31" fillId="0" borderId="395" xfId="0" applyFont="1" applyFill="1" applyBorder="1" applyAlignment="1" applyProtection="1">
      <alignment horizontal="center" vertical="center"/>
    </xf>
    <xf numFmtId="0" fontId="31" fillId="0" borderId="404" xfId="0" applyFont="1" applyFill="1" applyBorder="1" applyAlignment="1" applyProtection="1">
      <alignment horizontal="center" vertical="center"/>
    </xf>
    <xf numFmtId="0" fontId="31" fillId="0" borderId="391" xfId="0" applyFont="1" applyFill="1" applyBorder="1" applyAlignment="1" applyProtection="1">
      <alignment horizontal="center" vertical="center"/>
    </xf>
    <xf numFmtId="0" fontId="31" fillId="0" borderId="402" xfId="0" applyFont="1" applyFill="1" applyBorder="1" applyAlignment="1" applyProtection="1">
      <alignment horizontal="center" vertical="center"/>
    </xf>
    <xf numFmtId="0" fontId="240" fillId="0" borderId="358" xfId="0" applyFont="1" applyFill="1" applyBorder="1" applyAlignment="1" applyProtection="1">
      <alignment horizontal="center" vertical="center"/>
    </xf>
    <xf numFmtId="0" fontId="240" fillId="0" borderId="359" xfId="0" applyFont="1" applyFill="1" applyBorder="1" applyAlignment="1" applyProtection="1">
      <alignment horizontal="center" vertical="center"/>
    </xf>
    <xf numFmtId="0" fontId="240" fillId="0" borderId="362" xfId="0" applyFont="1" applyFill="1" applyBorder="1" applyAlignment="1" applyProtection="1">
      <alignment horizontal="center" vertical="center"/>
    </xf>
    <xf numFmtId="0" fontId="240" fillId="0" borderId="363" xfId="0" applyFont="1" applyFill="1" applyBorder="1" applyAlignment="1" applyProtection="1">
      <alignment horizontal="center" vertical="center"/>
    </xf>
    <xf numFmtId="0" fontId="240" fillId="0" borderId="394" xfId="0" applyFont="1" applyFill="1" applyBorder="1" applyAlignment="1" applyProtection="1">
      <alignment horizontal="center" vertical="center"/>
    </xf>
    <xf numFmtId="0" fontId="240" fillId="0" borderId="389" xfId="0" applyFont="1" applyFill="1" applyBorder="1" applyAlignment="1" applyProtection="1">
      <alignment horizontal="center" vertical="center"/>
    </xf>
    <xf numFmtId="0" fontId="240" fillId="0" borderId="389" xfId="0" applyFont="1" applyFill="1" applyBorder="1" applyAlignment="1" applyProtection="1">
      <alignment horizontal="center" vertical="top"/>
    </xf>
    <xf numFmtId="0" fontId="240" fillId="0" borderId="394" xfId="0" applyFont="1" applyFill="1" applyBorder="1" applyAlignment="1" applyProtection="1">
      <alignment horizontal="center" vertical="top"/>
    </xf>
    <xf numFmtId="49" fontId="240" fillId="0" borderId="394" xfId="0" applyNumberFormat="1" applyFont="1" applyFill="1" applyBorder="1" applyAlignment="1" applyProtection="1">
      <alignment horizontal="center" vertical="center"/>
    </xf>
    <xf numFmtId="164" fontId="131" fillId="0" borderId="399" xfId="0" applyNumberFormat="1" applyFont="1" applyFill="1" applyBorder="1" applyAlignment="1" applyProtection="1">
      <alignment horizontal="center"/>
    </xf>
    <xf numFmtId="164" fontId="131" fillId="0" borderId="392" xfId="0" applyNumberFormat="1" applyFont="1" applyFill="1" applyBorder="1" applyAlignment="1" applyProtection="1">
      <alignment horizontal="center"/>
    </xf>
    <xf numFmtId="164" fontId="131" fillId="0" borderId="393" xfId="0" applyNumberFormat="1" applyFont="1" applyFill="1" applyBorder="1" applyAlignment="1" applyProtection="1">
      <alignment horizontal="center"/>
    </xf>
    <xf numFmtId="164" fontId="131" fillId="0" borderId="400" xfId="0" applyNumberFormat="1" applyFont="1" applyFill="1" applyBorder="1" applyAlignment="1" applyProtection="1">
      <alignment horizontal="center"/>
    </xf>
    <xf numFmtId="164" fontId="131" fillId="0" borderId="89" xfId="0" applyNumberFormat="1" applyFont="1" applyFill="1" applyBorder="1" applyAlignment="1" applyProtection="1">
      <alignment horizontal="center"/>
    </xf>
    <xf numFmtId="164" fontId="131" fillId="0" borderId="401" xfId="0" applyNumberFormat="1" applyFont="1" applyFill="1" applyBorder="1" applyAlignment="1" applyProtection="1">
      <alignment horizontal="center"/>
    </xf>
    <xf numFmtId="164" fontId="240" fillId="0" borderId="399" xfId="0" applyNumberFormat="1" applyFont="1" applyFill="1" applyBorder="1" applyAlignment="1" applyProtection="1">
      <alignment horizontal="center"/>
    </xf>
    <xf numFmtId="164" fontId="240" fillId="0" borderId="392" xfId="0" applyNumberFormat="1" applyFont="1" applyFill="1" applyBorder="1" applyAlignment="1" applyProtection="1">
      <alignment horizontal="center"/>
    </xf>
    <xf numFmtId="164" fontId="240" fillId="0" borderId="393" xfId="0" applyNumberFormat="1" applyFont="1" applyFill="1" applyBorder="1" applyAlignment="1" applyProtection="1">
      <alignment horizontal="center"/>
    </xf>
    <xf numFmtId="164" fontId="240" fillId="0" borderId="400" xfId="0" applyNumberFormat="1" applyFont="1" applyFill="1" applyBorder="1" applyAlignment="1" applyProtection="1">
      <alignment horizontal="center"/>
    </xf>
    <xf numFmtId="164" fontId="240" fillId="0" borderId="89" xfId="0" applyNumberFormat="1" applyFont="1" applyFill="1" applyBorder="1" applyAlignment="1" applyProtection="1">
      <alignment horizontal="center"/>
    </xf>
    <xf numFmtId="164" fontId="240" fillId="0" borderId="401" xfId="0" applyNumberFormat="1" applyFont="1" applyFill="1" applyBorder="1" applyAlignment="1" applyProtection="1">
      <alignment horizontal="center"/>
    </xf>
    <xf numFmtId="0" fontId="240" fillId="0" borderId="399" xfId="0" applyFont="1" applyFill="1" applyBorder="1" applyAlignment="1" applyProtection="1">
      <alignment horizontal="center"/>
    </xf>
    <xf numFmtId="0" fontId="240" fillId="0" borderId="392" xfId="0" applyFont="1" applyFill="1" applyBorder="1" applyAlignment="1" applyProtection="1">
      <alignment horizontal="center"/>
    </xf>
    <xf numFmtId="0" fontId="240" fillId="0" borderId="393" xfId="0" applyFont="1" applyFill="1" applyBorder="1" applyAlignment="1" applyProtection="1">
      <alignment horizontal="center"/>
    </xf>
    <xf numFmtId="0" fontId="240" fillId="0" borderId="400" xfId="0" applyFont="1" applyFill="1" applyBorder="1" applyAlignment="1" applyProtection="1">
      <alignment horizontal="center"/>
    </xf>
    <xf numFmtId="0" fontId="240" fillId="0" borderId="89" xfId="0" applyFont="1" applyFill="1" applyBorder="1" applyAlignment="1" applyProtection="1">
      <alignment horizontal="center"/>
    </xf>
    <xf numFmtId="0" fontId="240" fillId="0" borderId="401" xfId="0" applyFont="1" applyFill="1" applyBorder="1" applyAlignment="1" applyProtection="1">
      <alignment horizontal="center"/>
    </xf>
    <xf numFmtId="0" fontId="240" fillId="0" borderId="394" xfId="0" applyFont="1" applyFill="1" applyBorder="1" applyAlignment="1" applyProtection="1">
      <alignment horizontal="center"/>
    </xf>
    <xf numFmtId="0" fontId="240" fillId="0" borderId="396" xfId="0" applyFont="1" applyFill="1" applyBorder="1" applyAlignment="1" applyProtection="1">
      <alignment horizontal="center"/>
    </xf>
    <xf numFmtId="0" fontId="240" fillId="0" borderId="415" xfId="0" applyFont="1" applyFill="1" applyBorder="1" applyAlignment="1" applyProtection="1">
      <alignment horizontal="center" vertical="center"/>
    </xf>
    <xf numFmtId="0" fontId="240" fillId="0" borderId="392" xfId="0" applyFont="1" applyFill="1" applyBorder="1" applyAlignment="1" applyProtection="1">
      <alignment horizontal="center" vertical="top"/>
    </xf>
    <xf numFmtId="0" fontId="240" fillId="0" borderId="393" xfId="0" applyFont="1" applyFill="1" applyBorder="1" applyAlignment="1" applyProtection="1">
      <alignment horizontal="center" vertical="top"/>
    </xf>
    <xf numFmtId="0" fontId="240" fillId="0" borderId="387" xfId="0" applyFont="1" applyFill="1" applyBorder="1" applyAlignment="1" applyProtection="1">
      <alignment horizontal="center" vertical="top"/>
    </xf>
    <xf numFmtId="0" fontId="240" fillId="0" borderId="388" xfId="0" applyFont="1" applyFill="1" applyBorder="1" applyAlignment="1" applyProtection="1">
      <alignment horizontal="center" vertical="top"/>
    </xf>
    <xf numFmtId="0" fontId="240" fillId="0" borderId="392" xfId="0" applyFont="1" applyFill="1" applyBorder="1" applyAlignment="1" applyProtection="1">
      <alignment horizontal="center" vertical="center"/>
    </xf>
    <xf numFmtId="0" fontId="240" fillId="0" borderId="393" xfId="0" applyFont="1" applyFill="1" applyBorder="1" applyAlignment="1" applyProtection="1">
      <alignment horizontal="center" vertical="center"/>
    </xf>
    <xf numFmtId="0" fontId="240" fillId="0" borderId="387" xfId="0" applyFont="1" applyFill="1" applyBorder="1" applyAlignment="1" applyProtection="1">
      <alignment horizontal="center" vertical="center"/>
    </xf>
    <xf numFmtId="0" fontId="240" fillId="0" borderId="388" xfId="0" applyFont="1" applyFill="1" applyBorder="1" applyAlignment="1" applyProtection="1">
      <alignment horizontal="center" vertical="center"/>
    </xf>
    <xf numFmtId="0" fontId="240" fillId="0" borderId="387" xfId="0" applyFont="1" applyFill="1" applyBorder="1" applyAlignment="1" applyProtection="1">
      <alignment horizontal="center"/>
    </xf>
    <xf numFmtId="0" fontId="240" fillId="0" borderId="388" xfId="0" applyFont="1" applyFill="1" applyBorder="1" applyAlignment="1" applyProtection="1">
      <alignment horizontal="center"/>
    </xf>
    <xf numFmtId="0" fontId="19" fillId="2" borderId="380" xfId="0" applyFont="1" applyFill="1" applyBorder="1" applyAlignment="1" applyProtection="1">
      <alignment horizontal="center" vertical="center"/>
    </xf>
    <xf numFmtId="0" fontId="19" fillId="2" borderId="382" xfId="0" applyFont="1" applyFill="1" applyBorder="1" applyAlignment="1" applyProtection="1">
      <alignment horizontal="center" vertical="center"/>
    </xf>
    <xf numFmtId="0" fontId="19" fillId="2" borderId="386" xfId="0" applyFont="1" applyFill="1" applyBorder="1" applyAlignment="1" applyProtection="1">
      <alignment horizontal="center" vertical="center"/>
    </xf>
    <xf numFmtId="0" fontId="19" fillId="2" borderId="388" xfId="0" applyFont="1" applyFill="1" applyBorder="1" applyAlignment="1" applyProtection="1">
      <alignment horizontal="center" vertical="center"/>
    </xf>
    <xf numFmtId="0" fontId="19" fillId="2" borderId="384" xfId="0" applyFont="1" applyFill="1" applyBorder="1" applyAlignment="1" applyProtection="1">
      <alignment horizontal="center" vertical="center"/>
    </xf>
    <xf numFmtId="0" fontId="19" fillId="2" borderId="390" xfId="0" applyFont="1" applyFill="1" applyBorder="1" applyAlignment="1" applyProtection="1">
      <alignment horizontal="center" vertical="center"/>
    </xf>
    <xf numFmtId="0" fontId="14" fillId="0" borderId="368" xfId="0" applyNumberFormat="1" applyFont="1" applyFill="1" applyBorder="1" applyAlignment="1" applyProtection="1">
      <alignment horizontal="center" vertical="center"/>
    </xf>
    <xf numFmtId="0" fontId="14" fillId="0" borderId="377" xfId="0" applyNumberFormat="1" applyFont="1" applyFill="1" applyBorder="1" applyAlignment="1" applyProtection="1">
      <alignment horizontal="center" vertical="center"/>
    </xf>
    <xf numFmtId="0" fontId="14" fillId="0" borderId="378" xfId="0" applyNumberFormat="1" applyFont="1" applyFill="1" applyBorder="1" applyAlignment="1" applyProtection="1">
      <alignment horizontal="center" vertical="center"/>
    </xf>
    <xf numFmtId="0" fontId="14" fillId="0" borderId="376" xfId="0" applyNumberFormat="1" applyFont="1" applyFill="1" applyBorder="1" applyAlignment="1" applyProtection="1">
      <alignment horizontal="center" vertical="center"/>
    </xf>
    <xf numFmtId="0" fontId="14" fillId="0" borderId="365" xfId="0" applyNumberFormat="1" applyFont="1" applyFill="1" applyBorder="1" applyAlignment="1" applyProtection="1">
      <alignment horizontal="center" vertical="center"/>
    </xf>
    <xf numFmtId="0" fontId="14" fillId="0" borderId="374" xfId="0" applyNumberFormat="1" applyFont="1" applyFill="1" applyBorder="1" applyAlignment="1" applyProtection="1">
      <alignment horizontal="center" vertical="center"/>
    </xf>
    <xf numFmtId="0" fontId="14" fillId="0" borderId="381" xfId="0" applyNumberFormat="1" applyFont="1" applyFill="1" applyBorder="1" applyAlignment="1" applyProtection="1">
      <alignment horizontal="center" vertical="center"/>
    </xf>
    <xf numFmtId="0" fontId="14" fillId="0" borderId="375" xfId="0" applyNumberFormat="1" applyFont="1" applyFill="1" applyBorder="1" applyAlignment="1" applyProtection="1">
      <alignment horizontal="center" vertical="center"/>
    </xf>
    <xf numFmtId="0" fontId="14" fillId="0" borderId="369" xfId="0" applyNumberFormat="1" applyFont="1" applyFill="1" applyBorder="1" applyAlignment="1" applyProtection="1">
      <alignment horizontal="center" vertical="center"/>
    </xf>
    <xf numFmtId="0" fontId="14" fillId="0" borderId="370" xfId="0" applyNumberFormat="1" applyFont="1" applyFill="1" applyBorder="1" applyAlignment="1" applyProtection="1">
      <alignment horizontal="center" vertical="center"/>
    </xf>
    <xf numFmtId="0" fontId="14" fillId="0" borderId="371" xfId="0" applyNumberFormat="1" applyFont="1" applyFill="1" applyBorder="1" applyAlignment="1" applyProtection="1">
      <alignment horizontal="center" vertical="center"/>
    </xf>
    <xf numFmtId="0" fontId="14" fillId="0" borderId="525" xfId="0" applyFont="1" applyFill="1" applyBorder="1" applyAlignment="1" applyProtection="1">
      <alignment horizontal="center" vertical="center"/>
    </xf>
    <xf numFmtId="0" fontId="240" fillId="2" borderId="353" xfId="0" applyFont="1" applyFill="1" applyBorder="1" applyAlignment="1" applyProtection="1">
      <alignment horizontal="center" vertical="center"/>
    </xf>
    <xf numFmtId="0" fontId="240" fillId="2" borderId="361" xfId="0" applyFont="1" applyFill="1" applyBorder="1" applyAlignment="1" applyProtection="1">
      <alignment horizontal="center" vertical="center"/>
    </xf>
    <xf numFmtId="0" fontId="240" fillId="2" borderId="357" xfId="0" applyFont="1" applyFill="1" applyBorder="1" applyAlignment="1" applyProtection="1">
      <alignment horizontal="center" vertical="center"/>
    </xf>
    <xf numFmtId="0" fontId="240" fillId="2" borderId="364" xfId="0" applyFont="1" applyFill="1" applyBorder="1" applyAlignment="1" applyProtection="1">
      <alignment horizontal="center" vertical="center"/>
    </xf>
    <xf numFmtId="0" fontId="240" fillId="2" borderId="348" xfId="0" applyFont="1" applyFill="1" applyBorder="1" applyAlignment="1" applyProtection="1">
      <alignment horizontal="center" vertical="center"/>
    </xf>
    <xf numFmtId="0" fontId="240" fillId="2" borderId="349" xfId="0" applyFont="1" applyFill="1" applyBorder="1" applyAlignment="1" applyProtection="1">
      <alignment horizontal="center" vertical="center"/>
    </xf>
    <xf numFmtId="0" fontId="240" fillId="2" borderId="86" xfId="0" applyFont="1" applyFill="1" applyBorder="1" applyAlignment="1" applyProtection="1">
      <alignment horizontal="center" vertical="center"/>
    </xf>
    <xf numFmtId="0" fontId="240" fillId="2" borderId="350" xfId="0" applyFont="1" applyFill="1" applyBorder="1" applyAlignment="1" applyProtection="1">
      <alignment horizontal="center" vertical="center"/>
    </xf>
    <xf numFmtId="0" fontId="240" fillId="2" borderId="354" xfId="0" applyFont="1" applyFill="1" applyBorder="1" applyAlignment="1" applyProtection="1">
      <alignment horizontal="center" vertical="center"/>
    </xf>
    <xf numFmtId="0" fontId="240" fillId="2" borderId="355" xfId="0" applyFont="1" applyFill="1" applyBorder="1" applyAlignment="1" applyProtection="1">
      <alignment horizontal="center" vertical="center"/>
    </xf>
    <xf numFmtId="0" fontId="240" fillId="2" borderId="356" xfId="0" applyFont="1" applyFill="1" applyBorder="1" applyAlignment="1" applyProtection="1">
      <alignment horizontal="center" vertical="center"/>
    </xf>
    <xf numFmtId="0" fontId="240" fillId="2" borderId="351" xfId="0" applyFont="1" applyFill="1" applyBorder="1" applyAlignment="1" applyProtection="1">
      <alignment horizontal="center" vertical="center"/>
    </xf>
    <xf numFmtId="0" fontId="240" fillId="2" borderId="358" xfId="0" applyFont="1" applyFill="1" applyBorder="1" applyAlignment="1" applyProtection="1">
      <alignment horizontal="center" vertical="center"/>
    </xf>
    <xf numFmtId="0" fontId="240" fillId="2" borderId="359" xfId="0" applyFont="1" applyFill="1" applyBorder="1" applyAlignment="1" applyProtection="1">
      <alignment horizontal="center" vertical="center"/>
    </xf>
    <xf numFmtId="0" fontId="240" fillId="2" borderId="362" xfId="0" applyFont="1" applyFill="1" applyBorder="1" applyAlignment="1" applyProtection="1">
      <alignment horizontal="center" vertical="center"/>
    </xf>
    <xf numFmtId="0" fontId="240" fillId="2" borderId="363" xfId="0" applyFont="1" applyFill="1" applyBorder="1" applyAlignment="1" applyProtection="1">
      <alignment horizontal="center" vertical="center"/>
    </xf>
    <xf numFmtId="0" fontId="240" fillId="2" borderId="348" xfId="0" applyFont="1" applyFill="1" applyBorder="1" applyAlignment="1" applyProtection="1">
      <alignment horizontal="center" vertical="center" wrapText="1"/>
    </xf>
    <xf numFmtId="0" fontId="240" fillId="2" borderId="353" xfId="0" applyFont="1" applyFill="1" applyBorder="1" applyAlignment="1" applyProtection="1">
      <alignment horizontal="center" vertical="center" wrapText="1"/>
    </xf>
    <xf numFmtId="0" fontId="240" fillId="2" borderId="361" xfId="0" applyFont="1" applyFill="1" applyBorder="1" applyAlignment="1" applyProtection="1">
      <alignment horizontal="center" vertical="center" wrapText="1"/>
    </xf>
    <xf numFmtId="0" fontId="133" fillId="0" borderId="368" xfId="0" applyNumberFormat="1" applyFont="1" applyFill="1" applyBorder="1" applyAlignment="1" applyProtection="1">
      <alignment horizontal="center" vertical="center"/>
    </xf>
    <xf numFmtId="0" fontId="161" fillId="2" borderId="414" xfId="0" applyFont="1" applyFill="1" applyBorder="1" applyAlignment="1" applyProtection="1">
      <alignment horizontal="left"/>
    </xf>
    <xf numFmtId="49" fontId="240" fillId="0" borderId="394" xfId="0" applyNumberFormat="1" applyFont="1" applyFill="1" applyBorder="1" applyAlignment="1" applyProtection="1">
      <alignment vertical="center"/>
    </xf>
    <xf numFmtId="0" fontId="240" fillId="0" borderId="397" xfId="0" applyFont="1" applyFill="1" applyBorder="1" applyAlignment="1" applyProtection="1">
      <alignment horizontal="center" vertical="top"/>
    </xf>
    <xf numFmtId="0" fontId="240" fillId="0" borderId="86" xfId="0" applyFont="1" applyFill="1" applyBorder="1" applyAlignment="1" applyProtection="1">
      <alignment horizontal="center" vertical="top"/>
    </xf>
    <xf numFmtId="0" fontId="240" fillId="0" borderId="398" xfId="0" applyFont="1" applyFill="1" applyBorder="1" applyAlignment="1" applyProtection="1">
      <alignment horizontal="center" vertical="top"/>
    </xf>
    <xf numFmtId="0" fontId="240" fillId="0" borderId="386" xfId="0" applyFont="1" applyFill="1" applyBorder="1" applyAlignment="1" applyProtection="1">
      <alignment horizontal="center" vertical="top"/>
    </xf>
    <xf numFmtId="0" fontId="130" fillId="2" borderId="380" xfId="0" applyFont="1" applyFill="1" applyBorder="1" applyAlignment="1" applyProtection="1">
      <alignment horizontal="center" vertical="center"/>
    </xf>
    <xf numFmtId="0" fontId="130" fillId="2" borderId="382" xfId="0" applyFont="1" applyFill="1" applyBorder="1" applyAlignment="1" applyProtection="1">
      <alignment horizontal="center" vertical="center"/>
    </xf>
    <xf numFmtId="0" fontId="130" fillId="2" borderId="386" xfId="0" applyFont="1" applyFill="1" applyBorder="1" applyAlignment="1" applyProtection="1">
      <alignment horizontal="center" vertical="center"/>
    </xf>
    <xf numFmtId="0" fontId="130" fillId="2" borderId="388" xfId="0" applyFont="1" applyFill="1" applyBorder="1" applyAlignment="1" applyProtection="1">
      <alignment horizontal="center" vertical="center"/>
    </xf>
    <xf numFmtId="0" fontId="240" fillId="0" borderId="399" xfId="0" applyFont="1" applyFill="1" applyBorder="1" applyAlignment="1" applyProtection="1">
      <alignment horizontal="center" vertical="top"/>
    </xf>
    <xf numFmtId="0" fontId="31" fillId="2" borderId="391" xfId="0" applyFont="1" applyFill="1" applyBorder="1" applyAlignment="1" applyProtection="1">
      <alignment horizontal="center" vertical="center"/>
    </xf>
    <xf numFmtId="0" fontId="161" fillId="2" borderId="0" xfId="0" applyFont="1" applyFill="1" applyBorder="1" applyAlignment="1" applyProtection="1">
      <alignment horizontal="left" vertical="top"/>
    </xf>
    <xf numFmtId="0" fontId="240" fillId="2" borderId="347" xfId="0" applyFont="1" applyFill="1" applyBorder="1" applyAlignment="1" applyProtection="1">
      <alignment horizontal="center" vertical="center" wrapText="1"/>
    </xf>
    <xf numFmtId="0" fontId="240" fillId="2" borderId="352" xfId="0" applyFont="1" applyFill="1" applyBorder="1" applyProtection="1"/>
    <xf numFmtId="0" fontId="240" fillId="2" borderId="360" xfId="0" applyFont="1" applyFill="1" applyBorder="1" applyProtection="1"/>
    <xf numFmtId="0" fontId="31" fillId="2" borderId="395" xfId="0" applyFont="1" applyFill="1" applyBorder="1" applyAlignment="1" applyProtection="1">
      <alignment horizontal="center" vertical="center"/>
    </xf>
    <xf numFmtId="0" fontId="31" fillId="2" borderId="404" xfId="0" applyFont="1" applyFill="1" applyBorder="1" applyAlignment="1" applyProtection="1">
      <alignment horizontal="center" vertical="center"/>
    </xf>
    <xf numFmtId="0" fontId="31" fillId="2" borderId="402" xfId="0" applyFont="1" applyFill="1" applyBorder="1" applyAlignment="1" applyProtection="1">
      <alignment horizontal="center" vertical="center"/>
    </xf>
    <xf numFmtId="164" fontId="240" fillId="2" borderId="399" xfId="0" applyNumberFormat="1" applyFont="1" applyFill="1" applyBorder="1" applyAlignment="1" applyProtection="1">
      <alignment horizontal="center"/>
      <protection locked="0"/>
    </xf>
    <xf numFmtId="164" fontId="240" fillId="2" borderId="392" xfId="0" applyNumberFormat="1" applyFont="1" applyFill="1" applyBorder="1" applyAlignment="1" applyProtection="1">
      <alignment horizontal="center"/>
      <protection locked="0"/>
    </xf>
    <xf numFmtId="164" fontId="240" fillId="2" borderId="393" xfId="0" applyNumberFormat="1" applyFont="1" applyFill="1" applyBorder="1" applyAlignment="1" applyProtection="1">
      <alignment horizontal="center"/>
      <protection locked="0"/>
    </xf>
    <xf numFmtId="164" fontId="240" fillId="2" borderId="400" xfId="0" applyNumberFormat="1" applyFont="1" applyFill="1" applyBorder="1" applyAlignment="1" applyProtection="1">
      <alignment horizontal="center"/>
      <protection locked="0"/>
    </xf>
    <xf numFmtId="164" fontId="240" fillId="2" borderId="89" xfId="0" applyNumberFormat="1" applyFont="1" applyFill="1" applyBorder="1" applyAlignment="1" applyProtection="1">
      <alignment horizontal="center"/>
      <protection locked="0"/>
    </xf>
    <xf numFmtId="164" fontId="240" fillId="2" borderId="401" xfId="0" applyNumberFormat="1" applyFont="1" applyFill="1" applyBorder="1" applyAlignment="1" applyProtection="1">
      <alignment horizontal="center"/>
      <protection locked="0"/>
    </xf>
    <xf numFmtId="164" fontId="131" fillId="2" borderId="399" xfId="0" applyNumberFormat="1" applyFont="1" applyFill="1" applyBorder="1" applyAlignment="1" applyProtection="1">
      <alignment horizontal="center"/>
      <protection locked="0"/>
    </xf>
    <xf numFmtId="164" fontId="131" fillId="2" borderId="392" xfId="0" applyNumberFormat="1" applyFont="1" applyFill="1" applyBorder="1" applyAlignment="1" applyProtection="1">
      <alignment horizontal="center"/>
      <protection locked="0"/>
    </xf>
    <xf numFmtId="164" fontId="131" fillId="2" borderId="393" xfId="0" applyNumberFormat="1" applyFont="1" applyFill="1" applyBorder="1" applyAlignment="1" applyProtection="1">
      <alignment horizontal="center"/>
      <protection locked="0"/>
    </xf>
    <xf numFmtId="164" fontId="131" fillId="2" borderId="400" xfId="0" applyNumberFormat="1" applyFont="1" applyFill="1" applyBorder="1" applyAlignment="1" applyProtection="1">
      <alignment horizontal="center"/>
      <protection locked="0"/>
    </xf>
    <xf numFmtId="164" fontId="131" fillId="2" borderId="89" xfId="0" applyNumberFormat="1" applyFont="1" applyFill="1" applyBorder="1" applyAlignment="1" applyProtection="1">
      <alignment horizontal="center"/>
      <protection locked="0"/>
    </xf>
    <xf numFmtId="164" fontId="131" fillId="2" borderId="401" xfId="0" applyNumberFormat="1" applyFont="1" applyFill="1" applyBorder="1" applyAlignment="1" applyProtection="1">
      <alignment horizontal="center"/>
      <protection locked="0"/>
    </xf>
    <xf numFmtId="0" fontId="240" fillId="2" borderId="397" xfId="0" applyFont="1" applyFill="1" applyBorder="1" applyAlignment="1" applyProtection="1">
      <alignment horizontal="center" vertical="top"/>
    </xf>
    <xf numFmtId="0" fontId="240" fillId="2" borderId="86" xfId="0" applyFont="1" applyFill="1" applyBorder="1" applyAlignment="1" applyProtection="1">
      <alignment horizontal="center" vertical="top"/>
    </xf>
    <xf numFmtId="0" fontId="240" fillId="2" borderId="398" xfId="0" applyFont="1" applyFill="1" applyBorder="1" applyAlignment="1" applyProtection="1">
      <alignment horizontal="center" vertical="top"/>
    </xf>
    <xf numFmtId="0" fontId="240" fillId="2" borderId="392" xfId="0" applyFont="1" applyFill="1" applyBorder="1" applyAlignment="1" applyProtection="1">
      <alignment horizontal="center" vertical="center"/>
    </xf>
    <xf numFmtId="0" fontId="240" fillId="2" borderId="393" xfId="0" applyFont="1" applyFill="1" applyBorder="1" applyAlignment="1" applyProtection="1">
      <alignment horizontal="center" vertical="center"/>
    </xf>
    <xf numFmtId="0" fontId="240" fillId="2" borderId="387" xfId="0" applyFont="1" applyFill="1" applyBorder="1" applyAlignment="1" applyProtection="1">
      <alignment horizontal="center" vertical="center"/>
    </xf>
    <xf numFmtId="0" fontId="240" fillId="2" borderId="388" xfId="0" applyFont="1" applyFill="1" applyBorder="1" applyAlignment="1" applyProtection="1">
      <alignment horizontal="center" vertical="center"/>
    </xf>
    <xf numFmtId="0" fontId="240" fillId="2" borderId="387" xfId="0" applyFont="1" applyFill="1" applyBorder="1" applyAlignment="1" applyProtection="1">
      <alignment horizontal="center"/>
    </xf>
    <xf numFmtId="0" fontId="240" fillId="2" borderId="388" xfId="0" applyFont="1" applyFill="1" applyBorder="1" applyAlignment="1" applyProtection="1">
      <alignment horizontal="center"/>
    </xf>
    <xf numFmtId="0" fontId="14" fillId="0" borderId="372" xfId="0" applyFont="1" applyFill="1" applyBorder="1" applyAlignment="1" applyProtection="1">
      <alignment horizontal="center" vertical="center"/>
    </xf>
    <xf numFmtId="0" fontId="14" fillId="0" borderId="0" xfId="0" applyFont="1" applyFill="1" applyBorder="1" applyAlignment="1" applyProtection="1">
      <alignment horizontal="center" vertical="center"/>
    </xf>
    <xf numFmtId="0" fontId="14" fillId="0" borderId="373" xfId="0" applyFont="1" applyFill="1" applyBorder="1" applyAlignment="1" applyProtection="1">
      <alignment horizontal="center" vertical="center"/>
    </xf>
    <xf numFmtId="0" fontId="14" fillId="0" borderId="529" xfId="0" applyFont="1" applyFill="1" applyBorder="1" applyAlignment="1" applyProtection="1">
      <alignment horizontal="center" vertical="center"/>
    </xf>
    <xf numFmtId="0" fontId="14" fillId="0" borderId="530" xfId="0" applyFont="1" applyFill="1" applyBorder="1" applyAlignment="1" applyProtection="1">
      <alignment horizontal="center" vertical="center"/>
    </xf>
    <xf numFmtId="0" fontId="14" fillId="0" borderId="531" xfId="0" applyFont="1" applyFill="1" applyBorder="1" applyAlignment="1" applyProtection="1">
      <alignment horizontal="center" vertical="center"/>
    </xf>
    <xf numFmtId="0" fontId="14" fillId="0" borderId="524" xfId="0" applyFont="1" applyFill="1" applyBorder="1" applyAlignment="1" applyProtection="1">
      <alignment horizontal="center" vertical="center"/>
    </xf>
    <xf numFmtId="0" fontId="14" fillId="0" borderId="526" xfId="0" applyFont="1" applyFill="1" applyBorder="1" applyAlignment="1" applyProtection="1">
      <alignment horizontal="center" vertical="center"/>
    </xf>
    <xf numFmtId="0" fontId="14" fillId="0" borderId="527" xfId="0" applyFont="1" applyFill="1" applyBorder="1" applyAlignment="1" applyProtection="1">
      <alignment horizontal="center" vertical="center"/>
    </xf>
    <xf numFmtId="0" fontId="14" fillId="0" borderId="528" xfId="0" applyFont="1" applyFill="1" applyBorder="1" applyAlignment="1" applyProtection="1">
      <alignment horizontal="center" vertical="center"/>
    </xf>
    <xf numFmtId="0" fontId="31" fillId="16" borderId="0" xfId="0" applyFont="1" applyFill="1" applyBorder="1" applyAlignment="1" applyProtection="1">
      <alignment horizontal="center" vertical="center"/>
    </xf>
    <xf numFmtId="0" fontId="240" fillId="16" borderId="0" xfId="0" applyFont="1" applyFill="1" applyBorder="1" applyAlignment="1" applyProtection="1">
      <alignment horizontal="center"/>
    </xf>
    <xf numFmtId="0" fontId="240" fillId="16" borderId="0" xfId="0" applyFont="1" applyFill="1" applyBorder="1" applyAlignment="1" applyProtection="1">
      <alignment horizontal="center" vertical="center"/>
    </xf>
    <xf numFmtId="0" fontId="240" fillId="16" borderId="0" xfId="0" applyFont="1" applyFill="1" applyBorder="1" applyAlignment="1" applyProtection="1">
      <alignment horizontal="center" vertical="top"/>
    </xf>
    <xf numFmtId="0" fontId="240" fillId="16" borderId="89" xfId="0" applyFont="1" applyFill="1" applyBorder="1" applyAlignment="1" applyProtection="1">
      <alignment horizontal="center"/>
    </xf>
    <xf numFmtId="49" fontId="240" fillId="16" borderId="0" xfId="0" applyNumberFormat="1" applyFont="1" applyFill="1" applyBorder="1" applyAlignment="1" applyProtection="1">
      <alignment horizontal="center" vertical="center"/>
    </xf>
    <xf numFmtId="164" fontId="240" fillId="16" borderId="0" xfId="0" applyNumberFormat="1" applyFont="1" applyFill="1" applyBorder="1" applyAlignment="1" applyProtection="1">
      <alignment horizontal="center"/>
    </xf>
    <xf numFmtId="164" fontId="240" fillId="16" borderId="89" xfId="0" applyNumberFormat="1" applyFont="1" applyFill="1" applyBorder="1" applyAlignment="1" applyProtection="1">
      <alignment horizontal="center"/>
    </xf>
    <xf numFmtId="0" fontId="242" fillId="16" borderId="0" xfId="0" applyFont="1" applyFill="1" applyBorder="1" applyAlignment="1" applyProtection="1">
      <alignment horizontal="center" vertical="center"/>
    </xf>
    <xf numFmtId="0" fontId="244" fillId="2" borderId="0" xfId="0" applyNumberFormat="1" applyFont="1" applyFill="1" applyBorder="1" applyAlignment="1" applyProtection="1">
      <alignment horizontal="left" vertical="center"/>
    </xf>
    <xf numFmtId="0" fontId="244" fillId="2" borderId="0" xfId="0" applyNumberFormat="1" applyFont="1" applyFill="1" applyBorder="1" applyAlignment="1" applyProtection="1">
      <alignment horizontal="center" vertical="center"/>
    </xf>
    <xf numFmtId="0" fontId="244" fillId="2" borderId="0" xfId="0" applyFont="1" applyFill="1" applyBorder="1" applyAlignment="1" applyProtection="1">
      <alignment horizontal="left" vertical="center"/>
    </xf>
    <xf numFmtId="0" fontId="244" fillId="2" borderId="0" xfId="0" applyFont="1" applyFill="1" applyBorder="1" applyAlignment="1" applyProtection="1">
      <alignment horizontal="center" vertical="center"/>
    </xf>
    <xf numFmtId="0" fontId="10" fillId="2" borderId="0" xfId="0" applyFont="1" applyFill="1" applyBorder="1" applyAlignment="1" applyProtection="1">
      <alignment horizontal="left" vertical="center"/>
    </xf>
    <xf numFmtId="0" fontId="131" fillId="0" borderId="0" xfId="0" applyFont="1" applyAlignment="1" applyProtection="1">
      <alignment horizontal="left" vertical="top"/>
    </xf>
    <xf numFmtId="0" fontId="131" fillId="0" borderId="89" xfId="0" applyFont="1" applyBorder="1" applyAlignment="1" applyProtection="1">
      <alignment horizontal="left" vertical="top"/>
    </xf>
    <xf numFmtId="0" fontId="43" fillId="2" borderId="89" xfId="0" applyNumberFormat="1" applyFont="1" applyFill="1" applyBorder="1" applyAlignment="1" applyProtection="1">
      <alignment horizontal="center" vertical="center"/>
    </xf>
    <xf numFmtId="0" fontId="15" fillId="37" borderId="103" xfId="0" applyFont="1" applyFill="1" applyBorder="1" applyAlignment="1" applyProtection="1">
      <alignment horizontal="left" vertical="center"/>
    </xf>
    <xf numFmtId="0" fontId="15" fillId="37" borderId="104" xfId="0" applyFont="1" applyFill="1" applyBorder="1" applyAlignment="1" applyProtection="1">
      <alignment horizontal="left" vertical="center"/>
    </xf>
    <xf numFmtId="0" fontId="15" fillId="37" borderId="117" xfId="0" applyFont="1" applyFill="1" applyBorder="1" applyAlignment="1" applyProtection="1">
      <alignment horizontal="left" vertical="center"/>
    </xf>
    <xf numFmtId="0" fontId="15" fillId="37" borderId="99" xfId="0" applyFont="1" applyFill="1" applyBorder="1" applyAlignment="1" applyProtection="1">
      <alignment horizontal="left" vertical="center"/>
    </xf>
    <xf numFmtId="0" fontId="15" fillId="37" borderId="22" xfId="0" applyFont="1" applyFill="1" applyBorder="1" applyAlignment="1" applyProtection="1">
      <alignment horizontal="left" vertical="center"/>
    </xf>
    <xf numFmtId="0" fontId="15" fillId="37" borderId="47" xfId="0" applyFont="1" applyFill="1" applyBorder="1" applyAlignment="1" applyProtection="1">
      <alignment horizontal="left" vertical="center"/>
    </xf>
    <xf numFmtId="0" fontId="15" fillId="37" borderId="335" xfId="0" applyFont="1" applyFill="1" applyBorder="1" applyAlignment="1" applyProtection="1">
      <alignment horizontal="left" vertical="center"/>
    </xf>
    <xf numFmtId="0" fontId="15" fillId="37" borderId="146" xfId="0" applyFont="1" applyFill="1" applyBorder="1" applyAlignment="1" applyProtection="1">
      <alignment horizontal="left" vertical="center"/>
    </xf>
    <xf numFmtId="0" fontId="15" fillId="37" borderId="88" xfId="0" applyFont="1" applyFill="1" applyBorder="1" applyAlignment="1" applyProtection="1">
      <alignment horizontal="left" vertical="center"/>
    </xf>
    <xf numFmtId="0" fontId="6" fillId="37" borderId="96" xfId="0" applyFont="1" applyFill="1" applyBorder="1" applyAlignment="1" applyProtection="1">
      <alignment horizontal="center" vertical="center"/>
    </xf>
    <xf numFmtId="0" fontId="6" fillId="37" borderId="97" xfId="0" applyFont="1" applyFill="1" applyBorder="1" applyAlignment="1" applyProtection="1">
      <alignment horizontal="center" vertical="center"/>
    </xf>
    <xf numFmtId="0" fontId="6" fillId="37" borderId="325" xfId="0" applyFont="1" applyFill="1" applyBorder="1" applyAlignment="1" applyProtection="1">
      <alignment horizontal="center" vertical="center"/>
    </xf>
    <xf numFmtId="0" fontId="6" fillId="37" borderId="331" xfId="0" applyFont="1" applyFill="1" applyBorder="1" applyAlignment="1" applyProtection="1">
      <alignment horizontal="center" vertical="center"/>
    </xf>
    <xf numFmtId="0" fontId="6" fillId="37" borderId="23" xfId="0" applyFont="1" applyFill="1" applyBorder="1" applyAlignment="1" applyProtection="1">
      <alignment horizontal="center" vertical="center"/>
    </xf>
    <xf numFmtId="0" fontId="6" fillId="37" borderId="147" xfId="0" applyFont="1" applyFill="1" applyBorder="1" applyAlignment="1" applyProtection="1">
      <alignment horizontal="center" vertical="center"/>
    </xf>
    <xf numFmtId="0" fontId="135" fillId="16" borderId="85" xfId="0" applyFont="1" applyFill="1" applyBorder="1" applyAlignment="1" applyProtection="1">
      <alignment horizontal="center" vertical="center"/>
    </xf>
    <xf numFmtId="0" fontId="135" fillId="16" borderId="86" xfId="0" applyFont="1" applyFill="1" applyBorder="1" applyAlignment="1" applyProtection="1">
      <alignment horizontal="center" vertical="center"/>
    </xf>
    <xf numFmtId="0" fontId="14" fillId="16" borderId="86" xfId="0" applyFont="1" applyFill="1" applyBorder="1" applyAlignment="1" applyProtection="1">
      <alignment horizontal="center" vertical="center"/>
    </xf>
    <xf numFmtId="0" fontId="14" fillId="16" borderId="90" xfId="0" applyFont="1" applyFill="1" applyBorder="1" applyAlignment="1" applyProtection="1">
      <alignment horizontal="center" vertical="center"/>
    </xf>
    <xf numFmtId="0" fontId="6" fillId="16" borderId="86" xfId="0" applyFont="1" applyFill="1" applyBorder="1" applyAlignment="1" applyProtection="1">
      <alignment horizontal="center" vertical="center"/>
    </xf>
    <xf numFmtId="0" fontId="6" fillId="16" borderId="90" xfId="0" applyFont="1" applyFill="1" applyBorder="1" applyAlignment="1" applyProtection="1">
      <alignment horizontal="center" vertical="center"/>
    </xf>
    <xf numFmtId="0" fontId="212" fillId="16" borderId="87" xfId="0" applyFont="1" applyFill="1" applyBorder="1" applyAlignment="1" applyProtection="1">
      <alignment horizontal="center" vertical="center"/>
    </xf>
    <xf numFmtId="0" fontId="212" fillId="16" borderId="0" xfId="0" applyFont="1" applyFill="1" applyBorder="1" applyAlignment="1" applyProtection="1">
      <alignment horizontal="center" vertical="center"/>
    </xf>
    <xf numFmtId="0" fontId="212" fillId="16" borderId="86" xfId="0" applyFont="1" applyFill="1" applyBorder="1" applyAlignment="1" applyProtection="1">
      <alignment horizontal="center" vertical="center"/>
    </xf>
    <xf numFmtId="0" fontId="213" fillId="16" borderId="85" xfId="0" applyFont="1" applyFill="1" applyBorder="1" applyAlignment="1" applyProtection="1">
      <alignment horizontal="center" vertical="center"/>
    </xf>
    <xf numFmtId="0" fontId="213" fillId="16" borderId="86" xfId="0" applyFont="1" applyFill="1" applyBorder="1" applyAlignment="1" applyProtection="1">
      <alignment horizontal="center" vertical="center"/>
    </xf>
    <xf numFmtId="0" fontId="212" fillId="16" borderId="85" xfId="0" applyFont="1" applyFill="1" applyBorder="1" applyAlignment="1" applyProtection="1">
      <alignment horizontal="center" vertical="center"/>
    </xf>
    <xf numFmtId="0" fontId="6" fillId="16" borderId="85" xfId="0" applyFont="1" applyFill="1" applyBorder="1" applyAlignment="1" applyProtection="1">
      <alignment horizontal="center" vertical="center"/>
    </xf>
    <xf numFmtId="0" fontId="15" fillId="16" borderId="86" xfId="0" applyFont="1" applyFill="1" applyBorder="1" applyAlignment="1" applyProtection="1">
      <alignment horizontal="center" vertical="center"/>
    </xf>
    <xf numFmtId="0" fontId="15" fillId="16" borderId="90" xfId="0" applyFont="1" applyFill="1" applyBorder="1" applyAlignment="1" applyProtection="1">
      <alignment horizontal="center" vertical="center"/>
    </xf>
    <xf numFmtId="0" fontId="436" fillId="16" borderId="85" xfId="0" applyFont="1" applyFill="1" applyBorder="1" applyAlignment="1" applyProtection="1">
      <alignment horizontal="center" vertical="center"/>
    </xf>
    <xf numFmtId="0" fontId="436" fillId="16" borderId="86" xfId="0" applyFont="1" applyFill="1" applyBorder="1" applyAlignment="1" applyProtection="1">
      <alignment horizontal="center" vertical="center"/>
    </xf>
    <xf numFmtId="0" fontId="14" fillId="16" borderId="85" xfId="0" applyFont="1" applyFill="1" applyBorder="1" applyAlignment="1" applyProtection="1">
      <alignment horizontal="center" vertical="center"/>
    </xf>
    <xf numFmtId="0" fontId="174" fillId="16" borderId="85" xfId="0" applyFont="1" applyFill="1" applyBorder="1" applyAlignment="1" applyProtection="1">
      <alignment horizontal="center" vertical="center"/>
    </xf>
    <xf numFmtId="0" fontId="174" fillId="16" borderId="86" xfId="0" applyFont="1" applyFill="1" applyBorder="1" applyAlignment="1" applyProtection="1">
      <alignment horizontal="center" vertical="center"/>
    </xf>
    <xf numFmtId="0" fontId="130" fillId="2" borderId="112" xfId="0" applyFont="1" applyFill="1" applyBorder="1" applyAlignment="1" applyProtection="1">
      <alignment horizontal="left" vertical="center"/>
    </xf>
    <xf numFmtId="0" fontId="22" fillId="2" borderId="0" xfId="0" applyFont="1" applyFill="1" applyAlignment="1" applyProtection="1">
      <alignment horizontal="right"/>
    </xf>
    <xf numFmtId="49" fontId="43" fillId="2" borderId="89" xfId="0" applyNumberFormat="1" applyFont="1" applyFill="1" applyBorder="1" applyAlignment="1" applyProtection="1">
      <alignment horizontal="center"/>
    </xf>
    <xf numFmtId="0" fontId="43" fillId="2" borderId="89" xfId="0" applyFont="1" applyFill="1" applyBorder="1" applyAlignment="1" applyProtection="1">
      <alignment horizontal="center"/>
    </xf>
    <xf numFmtId="0" fontId="43" fillId="2" borderId="48" xfId="0" applyNumberFormat="1" applyFont="1" applyFill="1" applyBorder="1" applyAlignment="1" applyProtection="1">
      <alignment horizontal="center"/>
    </xf>
    <xf numFmtId="0" fontId="14" fillId="16" borderId="0" xfId="0" applyFont="1" applyFill="1" applyBorder="1" applyAlignment="1" applyProtection="1">
      <alignment horizontal="center" vertical="center"/>
    </xf>
    <xf numFmtId="0" fontId="0" fillId="2" borderId="0" xfId="0" applyFill="1" applyBorder="1" applyAlignment="1" applyProtection="1">
      <alignment horizontal="right" vertical="center"/>
    </xf>
    <xf numFmtId="0" fontId="0" fillId="2" borderId="0" xfId="0" applyFill="1" applyBorder="1" applyAlignment="1" applyProtection="1">
      <alignment horizontal="center" vertical="center"/>
    </xf>
    <xf numFmtId="0" fontId="14" fillId="2" borderId="89" xfId="0" applyFont="1" applyFill="1" applyBorder="1" applyAlignment="1" applyProtection="1">
      <alignment horizontal="left"/>
    </xf>
    <xf numFmtId="166" fontId="464" fillId="2" borderId="89" xfId="0" applyNumberFormat="1" applyFont="1" applyFill="1" applyBorder="1" applyAlignment="1" applyProtection="1">
      <alignment horizontal="center" vertical="center"/>
    </xf>
    <xf numFmtId="0" fontId="6" fillId="19" borderId="455" xfId="0" applyFont="1" applyFill="1" applyBorder="1" applyAlignment="1" applyProtection="1">
      <alignment horizontal="center" vertical="center"/>
    </xf>
    <xf numFmtId="0" fontId="6" fillId="19" borderId="456" xfId="0" applyFont="1" applyFill="1" applyBorder="1" applyAlignment="1" applyProtection="1">
      <alignment horizontal="center" vertical="center"/>
    </xf>
    <xf numFmtId="0" fontId="6" fillId="19" borderId="457" xfId="0" applyFont="1" applyFill="1" applyBorder="1" applyAlignment="1" applyProtection="1">
      <alignment horizontal="center" vertical="center"/>
    </xf>
    <xf numFmtId="0" fontId="43" fillId="2" borderId="89" xfId="0" applyFont="1" applyFill="1" applyBorder="1" applyAlignment="1" applyProtection="1">
      <alignment horizontal="left"/>
    </xf>
    <xf numFmtId="0" fontId="31" fillId="2" borderId="0" xfId="0" applyFont="1" applyFill="1" applyBorder="1" applyAlignment="1" applyProtection="1">
      <alignment horizontal="center" vertical="center"/>
    </xf>
    <xf numFmtId="0" fontId="235" fillId="2" borderId="0" xfId="0" applyFont="1" applyFill="1" applyAlignment="1" applyProtection="1">
      <alignment horizontal="center" vertical="center"/>
    </xf>
    <xf numFmtId="0" fontId="235" fillId="2" borderId="210" xfId="0" applyFont="1" applyFill="1" applyBorder="1" applyAlignment="1" applyProtection="1">
      <alignment horizontal="center" vertical="center"/>
    </xf>
    <xf numFmtId="0" fontId="15" fillId="19" borderId="335" xfId="0" applyFont="1" applyFill="1" applyBorder="1" applyAlignment="1" applyProtection="1">
      <alignment horizontal="left" vertical="center"/>
    </xf>
    <xf numFmtId="0" fontId="15" fillId="19" borderId="146" xfId="0" applyFont="1" applyFill="1" applyBorder="1" applyAlignment="1" applyProtection="1">
      <alignment horizontal="left" vertical="center"/>
    </xf>
    <xf numFmtId="0" fontId="15" fillId="19" borderId="88" xfId="0" applyFont="1" applyFill="1" applyBorder="1" applyAlignment="1" applyProtection="1">
      <alignment horizontal="left" vertical="center"/>
    </xf>
    <xf numFmtId="0" fontId="15" fillId="19" borderId="99" xfId="0" applyFont="1" applyFill="1" applyBorder="1" applyAlignment="1" applyProtection="1">
      <alignment horizontal="left" vertical="center"/>
    </xf>
    <xf numFmtId="0" fontId="15" fillId="19" borderId="22" xfId="0" applyFont="1" applyFill="1" applyBorder="1" applyAlignment="1" applyProtection="1">
      <alignment horizontal="left" vertical="center"/>
    </xf>
    <xf numFmtId="0" fontId="15" fillId="19" borderId="47" xfId="0" applyFont="1" applyFill="1" applyBorder="1" applyAlignment="1" applyProtection="1">
      <alignment horizontal="left" vertical="center"/>
    </xf>
    <xf numFmtId="0" fontId="0" fillId="2" borderId="208" xfId="0" applyFill="1" applyBorder="1" applyAlignment="1" applyProtection="1">
      <alignment horizontal="center" vertical="center"/>
    </xf>
    <xf numFmtId="0" fontId="6" fillId="2" borderId="208" xfId="0" applyFont="1" applyFill="1" applyBorder="1" applyAlignment="1" applyProtection="1">
      <alignment vertical="center"/>
    </xf>
    <xf numFmtId="0" fontId="6" fillId="2" borderId="0" xfId="0" applyFont="1" applyFill="1" applyBorder="1" applyAlignment="1" applyProtection="1">
      <alignment vertical="center"/>
    </xf>
    <xf numFmtId="0" fontId="6" fillId="19" borderId="96" xfId="0" applyFont="1" applyFill="1" applyBorder="1" applyAlignment="1" applyProtection="1">
      <alignment horizontal="center" vertical="center"/>
    </xf>
    <xf numFmtId="0" fontId="6" fillId="19" borderId="97" xfId="0" applyFont="1" applyFill="1" applyBorder="1" applyAlignment="1" applyProtection="1">
      <alignment horizontal="center" vertical="center"/>
    </xf>
    <xf numFmtId="0" fontId="6" fillId="19" borderId="325" xfId="0" applyFont="1" applyFill="1" applyBorder="1" applyAlignment="1" applyProtection="1">
      <alignment horizontal="center" vertical="center"/>
    </xf>
    <xf numFmtId="0" fontId="6" fillId="19" borderId="331" xfId="0" applyFont="1" applyFill="1" applyBorder="1" applyAlignment="1" applyProtection="1">
      <alignment horizontal="center" vertical="center"/>
    </xf>
    <xf numFmtId="0" fontId="6" fillId="19" borderId="23" xfId="0" applyFont="1" applyFill="1" applyBorder="1" applyAlignment="1" applyProtection="1">
      <alignment horizontal="center" vertical="center"/>
    </xf>
    <xf numFmtId="0" fontId="6" fillId="19" borderId="147" xfId="0" applyFont="1" applyFill="1" applyBorder="1" applyAlignment="1" applyProtection="1">
      <alignment horizontal="center" vertical="center"/>
    </xf>
    <xf numFmtId="0" fontId="6" fillId="19" borderId="326" xfId="0" applyFont="1" applyFill="1" applyBorder="1" applyAlignment="1" applyProtection="1">
      <alignment horizontal="center" vertical="center"/>
    </xf>
    <xf numFmtId="0" fontId="6" fillId="19" borderId="327" xfId="0" applyFont="1" applyFill="1" applyBorder="1" applyAlignment="1" applyProtection="1">
      <alignment horizontal="center" vertical="center"/>
    </xf>
    <xf numFmtId="0" fontId="6" fillId="19" borderId="328" xfId="0" applyFont="1" applyFill="1" applyBorder="1" applyAlignment="1" applyProtection="1">
      <alignment horizontal="center" vertical="center"/>
    </xf>
    <xf numFmtId="0" fontId="6" fillId="19" borderId="329" xfId="0" applyFont="1" applyFill="1" applyBorder="1" applyAlignment="1" applyProtection="1">
      <alignment horizontal="center" vertical="center"/>
    </xf>
    <xf numFmtId="0" fontId="6" fillId="19" borderId="330" xfId="0" applyFont="1" applyFill="1" applyBorder="1" applyAlignment="1" applyProtection="1">
      <alignment horizontal="center" vertical="center"/>
    </xf>
    <xf numFmtId="0" fontId="15" fillId="19" borderId="103" xfId="0" applyFont="1" applyFill="1" applyBorder="1" applyAlignment="1" applyProtection="1">
      <alignment horizontal="left" vertical="center"/>
    </xf>
    <xf numFmtId="0" fontId="15" fillId="19" borderId="104" xfId="0" applyFont="1" applyFill="1" applyBorder="1" applyAlignment="1" applyProtection="1">
      <alignment horizontal="left" vertical="center"/>
    </xf>
    <xf numFmtId="0" fontId="15" fillId="19" borderId="117" xfId="0" applyFont="1" applyFill="1" applyBorder="1" applyAlignment="1" applyProtection="1">
      <alignment horizontal="left" vertical="center"/>
    </xf>
    <xf numFmtId="0" fontId="26" fillId="2" borderId="0" xfId="0" applyFont="1" applyFill="1" applyAlignment="1" applyProtection="1">
      <alignment horizontal="right" vertical="center"/>
    </xf>
    <xf numFmtId="0" fontId="47" fillId="2" borderId="89" xfId="0" applyFont="1" applyFill="1" applyBorder="1" applyAlignment="1" applyProtection="1">
      <alignment horizontal="center" vertical="center"/>
    </xf>
    <xf numFmtId="0" fontId="26" fillId="2" borderId="0" xfId="0" applyFont="1" applyFill="1" applyBorder="1" applyAlignment="1" applyProtection="1">
      <alignment horizontal="right" vertical="center"/>
    </xf>
    <xf numFmtId="0" fontId="22" fillId="16" borderId="0" xfId="0" applyFont="1" applyFill="1" applyAlignment="1" applyProtection="1">
      <alignment horizontal="center" vertical="center"/>
    </xf>
    <xf numFmtId="0" fontId="22" fillId="41" borderId="89" xfId="0" applyFont="1" applyFill="1" applyBorder="1" applyAlignment="1" applyProtection="1">
      <alignment horizontal="center" vertical="center"/>
    </xf>
    <xf numFmtId="49" fontId="22" fillId="16" borderId="0" xfId="0" applyNumberFormat="1" applyFont="1" applyFill="1" applyBorder="1" applyAlignment="1" applyProtection="1">
      <alignment horizontal="center" vertical="center" shrinkToFit="1"/>
    </xf>
    <xf numFmtId="0" fontId="22" fillId="0" borderId="0" xfId="0" applyFont="1" applyBorder="1" applyAlignment="1" applyProtection="1">
      <alignment horizontal="center"/>
    </xf>
    <xf numFmtId="0" fontId="22" fillId="16" borderId="0" xfId="0" applyFont="1" applyFill="1" applyAlignment="1" applyProtection="1"/>
    <xf numFmtId="167" fontId="22" fillId="16" borderId="89" xfId="0" applyNumberFormat="1" applyFont="1" applyFill="1" applyBorder="1" applyAlignment="1" applyProtection="1">
      <alignment horizontal="center"/>
    </xf>
    <xf numFmtId="0" fontId="43" fillId="16" borderId="0" xfId="0" applyFont="1" applyFill="1" applyAlignment="1" applyProtection="1"/>
    <xf numFmtId="0" fontId="22" fillId="16" borderId="89" xfId="0" applyFont="1" applyFill="1" applyBorder="1" applyAlignment="1" applyProtection="1">
      <alignment horizontal="right"/>
    </xf>
    <xf numFmtId="0" fontId="22" fillId="16" borderId="89" xfId="0" applyFont="1" applyFill="1" applyBorder="1" applyAlignment="1" applyProtection="1">
      <alignment horizontal="left"/>
    </xf>
    <xf numFmtId="0" fontId="22" fillId="16" borderId="89" xfId="0" applyFont="1" applyFill="1" applyBorder="1" applyAlignment="1" applyProtection="1">
      <alignment horizontal="center"/>
    </xf>
    <xf numFmtId="167" fontId="22" fillId="16" borderId="89" xfId="0" applyNumberFormat="1" applyFont="1" applyFill="1" applyBorder="1" applyAlignment="1" applyProtection="1">
      <alignment horizontal="right"/>
    </xf>
    <xf numFmtId="1" fontId="22" fillId="16" borderId="89" xfId="0" applyNumberFormat="1" applyFont="1" applyFill="1" applyBorder="1" applyAlignment="1" applyProtection="1">
      <alignment horizontal="center"/>
    </xf>
    <xf numFmtId="0" fontId="43" fillId="16" borderId="0" xfId="0" applyFont="1" applyFill="1" applyAlignment="1" applyProtection="1">
      <alignment wrapText="1"/>
    </xf>
    <xf numFmtId="0" fontId="22" fillId="16" borderId="89" xfId="0" applyNumberFormat="1" applyFont="1" applyFill="1" applyBorder="1" applyAlignment="1" applyProtection="1">
      <alignment horizontal="center"/>
    </xf>
    <xf numFmtId="0" fontId="43" fillId="16" borderId="0" xfId="0" applyFont="1" applyFill="1" applyBorder="1" applyAlignment="1" applyProtection="1">
      <alignment horizontal="right"/>
    </xf>
    <xf numFmtId="0" fontId="43" fillId="16" borderId="0" xfId="0" applyFont="1" applyFill="1" applyAlignment="1" applyProtection="1">
      <alignment horizontal="center"/>
    </xf>
    <xf numFmtId="0" fontId="22" fillId="41" borderId="86" xfId="0" applyNumberFormat="1" applyFont="1" applyFill="1" applyBorder="1" applyAlignment="1" applyProtection="1">
      <alignment horizontal="center" vertical="center" shrinkToFit="1"/>
    </xf>
    <xf numFmtId="0" fontId="22" fillId="16" borderId="89" xfId="0" applyFont="1" applyFill="1" applyBorder="1" applyAlignment="1" applyProtection="1">
      <alignment horizontal="center" shrinkToFit="1"/>
    </xf>
    <xf numFmtId="167" fontId="22" fillId="16" borderId="48" xfId="0" applyNumberFormat="1" applyFont="1" applyFill="1" applyBorder="1" applyAlignment="1" applyProtection="1">
      <alignment horizontal="right"/>
    </xf>
    <xf numFmtId="0" fontId="43" fillId="16" borderId="0" xfId="0" applyFont="1" applyFill="1" applyAlignment="1" applyProtection="1">
      <alignment horizontal="left"/>
    </xf>
    <xf numFmtId="0" fontId="13" fillId="31" borderId="47" xfId="0" applyFont="1" applyFill="1" applyBorder="1" applyAlignment="1">
      <alignment horizontal="center" vertical="center"/>
    </xf>
    <xf numFmtId="0" fontId="13" fillId="31" borderId="48" xfId="0" applyFont="1" applyFill="1" applyBorder="1" applyAlignment="1">
      <alignment horizontal="center" vertical="center"/>
    </xf>
    <xf numFmtId="0" fontId="13" fillId="31" borderId="49" xfId="0" applyFont="1" applyFill="1" applyBorder="1" applyAlignment="1">
      <alignment horizontal="center" vertical="center"/>
    </xf>
    <xf numFmtId="0" fontId="57" fillId="16" borderId="0" xfId="0" applyFont="1" applyFill="1" applyAlignment="1">
      <alignment horizontal="distributed" vertical="justify" wrapText="1"/>
    </xf>
    <xf numFmtId="0" fontId="107" fillId="16" borderId="0" xfId="0" applyFont="1" applyFill="1" applyAlignment="1">
      <alignment horizontal="center" vertical="center"/>
    </xf>
    <xf numFmtId="0" fontId="397" fillId="31" borderId="47" xfId="0" applyFont="1" applyFill="1" applyBorder="1" applyAlignment="1">
      <alignment horizontal="center" vertical="center"/>
    </xf>
    <xf numFmtId="0" fontId="397" fillId="31" borderId="48" xfId="0" applyFont="1" applyFill="1" applyBorder="1" applyAlignment="1">
      <alignment horizontal="center" vertical="center"/>
    </xf>
    <xf numFmtId="0" fontId="255" fillId="16" borderId="0" xfId="0" applyFont="1" applyFill="1" applyAlignment="1" applyProtection="1">
      <alignment horizontal="center"/>
    </xf>
    <xf numFmtId="0" fontId="433" fillId="16" borderId="89" xfId="0" applyFont="1" applyFill="1" applyBorder="1" applyAlignment="1" applyProtection="1">
      <alignment horizontal="center" vertical="center"/>
    </xf>
    <xf numFmtId="0" fontId="255" fillId="16" borderId="86" xfId="0" applyFont="1" applyFill="1" applyBorder="1" applyAlignment="1" applyProtection="1">
      <alignment horizontal="center"/>
    </xf>
    <xf numFmtId="0" fontId="428" fillId="16" borderId="89" xfId="0" applyFont="1" applyFill="1" applyBorder="1" applyAlignment="1" applyProtection="1">
      <alignment horizontal="center" vertical="center"/>
    </xf>
    <xf numFmtId="0" fontId="431" fillId="16" borderId="22" xfId="0" applyFont="1" applyFill="1" applyBorder="1" applyAlignment="1" applyProtection="1">
      <alignment horizontal="right" vertical="center"/>
    </xf>
    <xf numFmtId="0" fontId="430" fillId="16" borderId="22" xfId="0" applyFont="1" applyFill="1" applyBorder="1" applyAlignment="1" applyProtection="1">
      <alignment horizontal="right" vertical="center"/>
    </xf>
    <xf numFmtId="0" fontId="428" fillId="16" borderId="22" xfId="0" applyFont="1" applyFill="1" applyBorder="1" applyAlignment="1" applyProtection="1">
      <alignment horizontal="right" vertical="center"/>
    </xf>
    <xf numFmtId="0" fontId="432" fillId="16" borderId="22" xfId="0" applyFont="1" applyFill="1" applyBorder="1" applyAlignment="1" applyProtection="1">
      <alignment horizontal="right" vertical="center"/>
    </xf>
    <xf numFmtId="0" fontId="429" fillId="16" borderId="22" xfId="0" applyFont="1" applyFill="1" applyBorder="1" applyAlignment="1" applyProtection="1">
      <alignment horizontal="center" vertical="center"/>
    </xf>
    <xf numFmtId="0" fontId="429" fillId="16" borderId="22" xfId="0" applyFont="1" applyFill="1" applyBorder="1" applyAlignment="1" applyProtection="1">
      <alignment horizontal="right" vertical="center"/>
    </xf>
    <xf numFmtId="166" fontId="344" fillId="16" borderId="0" xfId="0" applyNumberFormat="1" applyFont="1" applyFill="1" applyBorder="1" applyAlignment="1" applyProtection="1">
      <alignment horizontal="left" vertical="center"/>
    </xf>
    <xf numFmtId="14" fontId="409" fillId="19" borderId="0" xfId="0" applyNumberFormat="1" applyFont="1" applyFill="1" applyBorder="1" applyAlignment="1" applyProtection="1">
      <alignment horizontal="left" vertical="center"/>
    </xf>
    <xf numFmtId="14" fontId="409" fillId="19" borderId="0" xfId="0" applyNumberFormat="1" applyFont="1" applyFill="1" applyBorder="1" applyAlignment="1" applyProtection="1">
      <alignment horizontal="center" vertical="center"/>
    </xf>
    <xf numFmtId="0" fontId="409" fillId="19" borderId="0" xfId="0" applyFont="1" applyFill="1" applyBorder="1" applyAlignment="1" applyProtection="1">
      <alignment horizontal="center" vertical="center"/>
    </xf>
    <xf numFmtId="0" fontId="291" fillId="16" borderId="0" xfId="0" applyFont="1" applyFill="1" applyBorder="1" applyAlignment="1" applyProtection="1">
      <alignment horizontal="center" vertical="center"/>
    </xf>
    <xf numFmtId="0" fontId="291" fillId="16" borderId="0" xfId="0" applyFont="1" applyFill="1" applyBorder="1" applyAlignment="1" applyProtection="1">
      <alignment horizontal="center" vertical="center" shrinkToFit="1"/>
    </xf>
    <xf numFmtId="0" fontId="429" fillId="16" borderId="47" xfId="0" applyFont="1" applyFill="1" applyBorder="1" applyAlignment="1" applyProtection="1">
      <alignment horizontal="center" vertical="center"/>
    </xf>
    <xf numFmtId="0" fontId="429" fillId="16" borderId="49" xfId="0" applyFont="1" applyFill="1" applyBorder="1" applyAlignment="1" applyProtection="1">
      <alignment horizontal="center" vertical="center"/>
    </xf>
    <xf numFmtId="0" fontId="282" fillId="16" borderId="0" xfId="0" applyFont="1" applyFill="1" applyBorder="1" applyAlignment="1" applyProtection="1">
      <alignment horizontal="center"/>
    </xf>
    <xf numFmtId="0" fontId="269" fillId="16" borderId="0" xfId="0" applyFont="1" applyFill="1" applyBorder="1" applyAlignment="1" applyProtection="1">
      <alignment horizontal="center"/>
    </xf>
    <xf numFmtId="0" fontId="456" fillId="16" borderId="0" xfId="0" applyFont="1" applyFill="1" applyAlignment="1" applyProtection="1">
      <alignment horizontal="center" vertical="top"/>
    </xf>
    <xf numFmtId="0" fontId="255" fillId="16" borderId="0" xfId="0" applyFont="1" applyFill="1" applyAlignment="1" applyProtection="1">
      <alignment horizontal="left" shrinkToFit="1"/>
    </xf>
    <xf numFmtId="0" fontId="455" fillId="16" borderId="89" xfId="0" applyFont="1" applyFill="1" applyBorder="1" applyAlignment="1" applyProtection="1">
      <alignment horizontal="center" vertical="center"/>
    </xf>
    <xf numFmtId="0" fontId="432" fillId="16" borderId="47" xfId="0" applyFont="1" applyFill="1" applyBorder="1" applyAlignment="1" applyProtection="1">
      <alignment horizontal="right" vertical="center"/>
    </xf>
    <xf numFmtId="0" fontId="432" fillId="16" borderId="49" xfId="0" applyFont="1" applyFill="1" applyBorder="1" applyAlignment="1" applyProtection="1">
      <alignment horizontal="right" vertical="center"/>
    </xf>
    <xf numFmtId="0" fontId="428" fillId="16" borderId="47" xfId="0" applyFont="1" applyFill="1" applyBorder="1" applyAlignment="1" applyProtection="1">
      <alignment horizontal="right" vertical="center"/>
    </xf>
    <xf numFmtId="0" fontId="428" fillId="16" borderId="49" xfId="0" applyFont="1" applyFill="1" applyBorder="1" applyAlignment="1" applyProtection="1">
      <alignment horizontal="right" vertical="center"/>
    </xf>
    <xf numFmtId="0" fontId="255" fillId="16" borderId="0" xfId="0" applyFont="1" applyFill="1" applyAlignment="1" applyProtection="1">
      <alignment horizontal="left"/>
    </xf>
    <xf numFmtId="0" fontId="341" fillId="16" borderId="0" xfId="6" applyFont="1" applyFill="1" applyBorder="1" applyAlignment="1" applyProtection="1">
      <alignment horizontal="left" vertical="top" wrapText="1" shrinkToFit="1"/>
    </xf>
    <xf numFmtId="0" fontId="430" fillId="16" borderId="47" xfId="0" applyFont="1" applyFill="1" applyBorder="1" applyAlignment="1" applyProtection="1">
      <alignment horizontal="right" vertical="center"/>
    </xf>
    <xf numFmtId="0" fontId="430" fillId="16" borderId="49" xfId="0" applyFont="1" applyFill="1" applyBorder="1" applyAlignment="1" applyProtection="1">
      <alignment horizontal="right" vertical="center"/>
    </xf>
    <xf numFmtId="0" fontId="431" fillId="16" borderId="47" xfId="0" applyFont="1" applyFill="1" applyBorder="1" applyAlignment="1" applyProtection="1">
      <alignment horizontal="right" vertical="center"/>
    </xf>
    <xf numFmtId="0" fontId="431" fillId="16" borderId="49" xfId="0" applyFont="1" applyFill="1" applyBorder="1" applyAlignment="1" applyProtection="1">
      <alignment horizontal="right" vertical="center"/>
    </xf>
    <xf numFmtId="0" fontId="429" fillId="16" borderId="47" xfId="0" applyFont="1" applyFill="1" applyBorder="1" applyAlignment="1" applyProtection="1">
      <alignment horizontal="right" vertical="center"/>
    </xf>
    <xf numFmtId="0" fontId="429" fillId="16" borderId="49" xfId="0" applyFont="1" applyFill="1" applyBorder="1" applyAlignment="1" applyProtection="1">
      <alignment horizontal="right" vertical="center"/>
    </xf>
    <xf numFmtId="0" fontId="253" fillId="16" borderId="0" xfId="0" applyFont="1" applyFill="1" applyBorder="1" applyAlignment="1" applyProtection="1">
      <alignment horizontal="center"/>
    </xf>
    <xf numFmtId="0" fontId="206" fillId="16" borderId="0" xfId="0" applyFont="1" applyFill="1" applyBorder="1" applyAlignment="1" applyProtection="1">
      <alignment horizontal="center" vertical="top"/>
    </xf>
    <xf numFmtId="0" fontId="258" fillId="16" borderId="22" xfId="0" applyFont="1" applyFill="1" applyBorder="1" applyAlignment="1" applyProtection="1">
      <alignment horizontal="center" vertical="center"/>
    </xf>
    <xf numFmtId="0" fontId="254" fillId="16" borderId="0" xfId="0" applyFont="1" applyFill="1" applyBorder="1" applyAlignment="1" applyProtection="1">
      <alignment horizontal="right" vertical="top"/>
    </xf>
    <xf numFmtId="170" fontId="43" fillId="0" borderId="47" xfId="0" applyNumberFormat="1" applyFont="1" applyFill="1" applyBorder="1" applyAlignment="1" applyProtection="1">
      <alignment horizontal="center" vertical="center"/>
    </xf>
    <xf numFmtId="170" fontId="43" fillId="0" borderId="48" xfId="0" applyNumberFormat="1" applyFont="1" applyFill="1" applyBorder="1" applyAlignment="1" applyProtection="1">
      <alignment horizontal="center" vertical="center"/>
    </xf>
    <xf numFmtId="170" fontId="43" fillId="0" borderId="49" xfId="0" applyNumberFormat="1" applyFont="1" applyFill="1" applyBorder="1" applyAlignment="1" applyProtection="1">
      <alignment horizontal="center" vertical="center"/>
    </xf>
    <xf numFmtId="0" fontId="348" fillId="0" borderId="22" xfId="0" applyFont="1" applyBorder="1" applyAlignment="1" applyProtection="1">
      <alignment horizontal="left" vertical="center"/>
    </xf>
    <xf numFmtId="0" fontId="348" fillId="0" borderId="22" xfId="0" applyFont="1" applyBorder="1" applyAlignment="1" applyProtection="1">
      <alignment horizontal="center" vertical="center"/>
    </xf>
    <xf numFmtId="0" fontId="352" fillId="0" borderId="22" xfId="0" applyFont="1" applyFill="1" applyBorder="1" applyAlignment="1" applyProtection="1">
      <alignment horizontal="center" vertical="center" wrapText="1"/>
    </xf>
    <xf numFmtId="0" fontId="349" fillId="16" borderId="86" xfId="0" applyFont="1" applyFill="1" applyBorder="1" applyAlignment="1" applyProtection="1">
      <alignment horizontal="center" vertical="center"/>
    </xf>
    <xf numFmtId="0" fontId="349" fillId="0" borderId="86" xfId="0" applyFont="1" applyBorder="1" applyAlignment="1" applyProtection="1">
      <alignment horizontal="center" vertical="center"/>
    </xf>
    <xf numFmtId="0" fontId="306" fillId="2" borderId="47" xfId="0" applyFont="1" applyFill="1" applyBorder="1" applyAlignment="1" applyProtection="1">
      <alignment horizontal="center" vertical="center"/>
    </xf>
    <xf numFmtId="0" fontId="306" fillId="2" borderId="49" xfId="0" applyFont="1" applyFill="1" applyBorder="1" applyAlignment="1" applyProtection="1">
      <alignment horizontal="center" vertical="center"/>
    </xf>
    <xf numFmtId="0" fontId="306" fillId="16" borderId="47" xfId="0" applyFont="1" applyFill="1" applyBorder="1" applyAlignment="1" applyProtection="1">
      <alignment horizontal="center" vertical="center"/>
    </xf>
    <xf numFmtId="0" fontId="306" fillId="16" borderId="49" xfId="0" applyFont="1" applyFill="1" applyBorder="1" applyAlignment="1" applyProtection="1">
      <alignment horizontal="center" vertical="center"/>
    </xf>
    <xf numFmtId="0" fontId="349" fillId="16" borderId="22" xfId="0" applyFont="1" applyFill="1" applyBorder="1" applyAlignment="1" applyProtection="1">
      <alignment horizontal="center" vertical="center" wrapText="1"/>
    </xf>
    <xf numFmtId="0" fontId="350" fillId="0" borderId="22" xfId="0" applyFont="1" applyFill="1" applyBorder="1" applyAlignment="1" applyProtection="1">
      <alignment horizontal="center" vertical="center" wrapText="1"/>
    </xf>
    <xf numFmtId="0" fontId="351" fillId="0" borderId="86" xfId="0" applyFont="1" applyBorder="1" applyAlignment="1" applyProtection="1">
      <alignment horizontal="center" vertical="center"/>
    </xf>
    <xf numFmtId="0" fontId="351" fillId="0" borderId="22" xfId="0" applyFont="1" applyFill="1" applyBorder="1" applyAlignment="1" applyProtection="1">
      <alignment horizontal="center" vertical="center" wrapText="1"/>
    </xf>
    <xf numFmtId="0" fontId="350" fillId="0" borderId="47" xfId="0" applyFont="1" applyFill="1" applyBorder="1" applyAlignment="1" applyProtection="1">
      <alignment horizontal="center" vertical="center" wrapText="1"/>
    </xf>
    <xf numFmtId="0" fontId="350" fillId="0" borderId="49" xfId="0" applyFont="1" applyFill="1" applyBorder="1" applyAlignment="1" applyProtection="1">
      <alignment horizontal="center" vertical="center" wrapText="1"/>
    </xf>
    <xf numFmtId="0" fontId="351" fillId="0" borderId="47" xfId="0" applyFont="1" applyFill="1" applyBorder="1" applyAlignment="1" applyProtection="1">
      <alignment horizontal="center" vertical="center" wrapText="1"/>
    </xf>
    <xf numFmtId="0" fontId="351" fillId="0" borderId="49" xfId="0" applyFont="1" applyFill="1" applyBorder="1" applyAlignment="1" applyProtection="1">
      <alignment horizontal="center" vertical="center" wrapText="1"/>
    </xf>
    <xf numFmtId="0" fontId="353" fillId="0" borderId="86" xfId="0" applyFont="1" applyBorder="1" applyAlignment="1" applyProtection="1">
      <alignment horizontal="center" vertical="center"/>
    </xf>
    <xf numFmtId="0" fontId="305" fillId="16" borderId="22" xfId="0" applyFont="1" applyFill="1" applyBorder="1" applyAlignment="1" applyProtection="1">
      <alignment horizontal="center" vertical="center"/>
    </xf>
    <xf numFmtId="0" fontId="305" fillId="2" borderId="22" xfId="0" applyFont="1" applyFill="1" applyBorder="1" applyAlignment="1" applyProtection="1">
      <alignment horizontal="center" vertical="center"/>
    </xf>
    <xf numFmtId="49" fontId="305" fillId="2" borderId="22" xfId="0" applyNumberFormat="1" applyFont="1" applyFill="1" applyBorder="1" applyAlignment="1" applyProtection="1">
      <alignment horizontal="center" vertical="center"/>
    </xf>
    <xf numFmtId="0" fontId="306" fillId="16" borderId="22" xfId="0" applyFont="1" applyFill="1" applyBorder="1" applyAlignment="1" applyProtection="1">
      <alignment horizontal="center" vertical="center"/>
    </xf>
    <xf numFmtId="0" fontId="305" fillId="0" borderId="22" xfId="0" applyFont="1" applyFill="1" applyBorder="1" applyAlignment="1" applyProtection="1">
      <alignment horizontal="center" vertical="center"/>
    </xf>
    <xf numFmtId="0" fontId="305" fillId="16" borderId="47" xfId="0" applyFont="1" applyFill="1" applyBorder="1" applyAlignment="1" applyProtection="1">
      <alignment horizontal="center" vertical="center"/>
    </xf>
    <xf numFmtId="0" fontId="305" fillId="16" borderId="49" xfId="0" applyFont="1" applyFill="1" applyBorder="1" applyAlignment="1" applyProtection="1">
      <alignment horizontal="center" vertical="center"/>
    </xf>
    <xf numFmtId="0" fontId="22" fillId="2" borderId="0" xfId="0" applyFont="1" applyFill="1" applyBorder="1" applyAlignment="1" applyProtection="1">
      <alignment horizontal="left"/>
    </xf>
    <xf numFmtId="0" fontId="43" fillId="16" borderId="89" xfId="1" applyNumberFormat="1" applyFont="1" applyFill="1" applyBorder="1" applyAlignment="1" applyProtection="1">
      <alignment horizontal="center"/>
    </xf>
    <xf numFmtId="0" fontId="43" fillId="0" borderId="48" xfId="0" applyFont="1" applyBorder="1" applyAlignment="1" applyProtection="1">
      <alignment horizontal="center"/>
    </xf>
    <xf numFmtId="0" fontId="26" fillId="22" borderId="22" xfId="0" applyFont="1" applyFill="1" applyBorder="1" applyAlignment="1" applyProtection="1">
      <alignment horizontal="center" vertical="center" wrapText="1"/>
    </xf>
    <xf numFmtId="0" fontId="305" fillId="2" borderId="47" xfId="0" applyFont="1" applyFill="1" applyBorder="1" applyAlignment="1" applyProtection="1">
      <alignment horizontal="center" vertical="center" wrapText="1"/>
    </xf>
    <xf numFmtId="0" fontId="305" fillId="2" borderId="49" xfId="0" applyFont="1" applyFill="1" applyBorder="1" applyAlignment="1" applyProtection="1">
      <alignment horizontal="center" vertical="center" wrapText="1"/>
    </xf>
    <xf numFmtId="0" fontId="355" fillId="2" borderId="22" xfId="0" applyFont="1" applyFill="1" applyBorder="1" applyAlignment="1" applyProtection="1">
      <alignment horizontal="center" vertical="center"/>
    </xf>
    <xf numFmtId="14" fontId="305" fillId="2" borderId="22" xfId="0" applyNumberFormat="1" applyFont="1" applyFill="1" applyBorder="1" applyAlignment="1" applyProtection="1">
      <alignment horizontal="center" vertical="center"/>
    </xf>
    <xf numFmtId="0" fontId="232" fillId="2" borderId="22" xfId="0" applyFont="1" applyFill="1" applyBorder="1" applyAlignment="1" applyProtection="1">
      <alignment horizontal="center" vertical="center"/>
    </xf>
    <xf numFmtId="0" fontId="234" fillId="2" borderId="22" xfId="0" applyFont="1" applyFill="1" applyBorder="1" applyAlignment="1" applyProtection="1">
      <alignment horizontal="center" vertical="center"/>
    </xf>
    <xf numFmtId="14" fontId="355" fillId="2" borderId="22" xfId="0" applyNumberFormat="1" applyFont="1" applyFill="1" applyBorder="1" applyAlignment="1" applyProtection="1">
      <alignment horizontal="center" vertical="center"/>
    </xf>
    <xf numFmtId="0" fontId="232" fillId="2" borderId="22" xfId="0" applyFont="1" applyFill="1" applyBorder="1" applyAlignment="1" applyProtection="1">
      <alignment horizontal="center" vertical="center" wrapText="1"/>
    </xf>
    <xf numFmtId="0" fontId="232" fillId="2" borderId="47" xfId="0" applyFont="1" applyFill="1" applyBorder="1" applyAlignment="1" applyProtection="1">
      <alignment horizontal="center" vertical="center" wrapText="1"/>
    </xf>
    <xf numFmtId="0" fontId="232" fillId="2" borderId="49" xfId="0" applyFont="1" applyFill="1" applyBorder="1" applyAlignment="1" applyProtection="1">
      <alignment horizontal="center" vertical="center" wrapText="1"/>
    </xf>
    <xf numFmtId="0" fontId="43" fillId="2" borderId="89" xfId="0" applyNumberFormat="1" applyFont="1" applyFill="1" applyBorder="1" applyAlignment="1" applyProtection="1">
      <alignment horizontal="center"/>
    </xf>
    <xf numFmtId="0" fontId="22" fillId="2" borderId="0" xfId="0" applyFont="1" applyFill="1" applyAlignment="1" applyProtection="1">
      <alignment horizontal="center" vertical="center"/>
    </xf>
    <xf numFmtId="0" fontId="162" fillId="2" borderId="0" xfId="0" applyFont="1" applyFill="1" applyBorder="1" applyAlignment="1" applyProtection="1">
      <alignment horizontal="left" vertical="center"/>
    </xf>
    <xf numFmtId="49" fontId="43" fillId="2" borderId="89" xfId="1" applyNumberFormat="1" applyFont="1" applyFill="1" applyBorder="1" applyAlignment="1" applyProtection="1">
      <alignment horizontal="center"/>
    </xf>
    <xf numFmtId="0" fontId="26" fillId="22" borderId="447" xfId="0" applyFont="1" applyFill="1" applyBorder="1" applyAlignment="1" applyProtection="1">
      <alignment horizontal="center" wrapText="1"/>
    </xf>
    <xf numFmtId="0" fontId="26" fillId="22" borderId="448" xfId="0" applyFont="1" applyFill="1" applyBorder="1" applyAlignment="1" applyProtection="1">
      <alignment horizontal="center" wrapText="1"/>
    </xf>
    <xf numFmtId="0" fontId="26" fillId="22" borderId="449" xfId="0" applyFont="1" applyFill="1" applyBorder="1" applyAlignment="1" applyProtection="1">
      <alignment horizontal="center" wrapText="1"/>
    </xf>
    <xf numFmtId="0" fontId="26" fillId="22" borderId="450" xfId="0" applyFont="1" applyFill="1" applyBorder="1" applyAlignment="1" applyProtection="1">
      <alignment horizontal="center" vertical="top" wrapText="1"/>
    </xf>
    <xf numFmtId="0" fontId="26" fillId="22" borderId="451" xfId="0" applyFont="1" applyFill="1" applyBorder="1" applyAlignment="1" applyProtection="1">
      <alignment horizontal="center" vertical="top" wrapText="1"/>
    </xf>
    <xf numFmtId="0" fontId="26" fillId="22" borderId="452" xfId="0" applyFont="1" applyFill="1" applyBorder="1" applyAlignment="1" applyProtection="1">
      <alignment horizontal="center" vertical="top" wrapText="1"/>
    </xf>
    <xf numFmtId="0" fontId="26" fillId="22" borderId="85" xfId="0" applyFont="1" applyFill="1" applyBorder="1" applyAlignment="1" applyProtection="1">
      <alignment horizontal="center" wrapText="1"/>
    </xf>
    <xf numFmtId="0" fontId="26" fillId="22" borderId="90" xfId="0" applyFont="1" applyFill="1" applyBorder="1" applyAlignment="1" applyProtection="1">
      <alignment horizontal="center" wrapText="1"/>
    </xf>
    <xf numFmtId="0" fontId="26" fillId="22" borderId="88" xfId="0" applyFont="1" applyFill="1" applyBorder="1" applyAlignment="1" applyProtection="1">
      <alignment horizontal="center" vertical="top" wrapText="1"/>
    </xf>
    <xf numFmtId="0" fontId="26" fillId="22" borderId="92" xfId="0" applyFont="1" applyFill="1" applyBorder="1" applyAlignment="1" applyProtection="1">
      <alignment horizontal="center" vertical="top" wrapText="1"/>
    </xf>
    <xf numFmtId="0" fontId="305" fillId="2" borderId="47" xfId="0" applyFont="1" applyFill="1" applyBorder="1" applyAlignment="1" applyProtection="1">
      <alignment horizontal="center" vertical="center" wrapText="1" shrinkToFit="1"/>
    </xf>
    <xf numFmtId="0" fontId="305" fillId="2" borderId="49" xfId="0" applyFont="1" applyFill="1" applyBorder="1" applyAlignment="1" applyProtection="1">
      <alignment horizontal="center" vertical="center" wrapText="1" shrinkToFit="1"/>
    </xf>
    <xf numFmtId="0" fontId="6" fillId="22" borderId="22" xfId="0" applyFont="1" applyFill="1" applyBorder="1" applyAlignment="1" applyProtection="1">
      <alignment horizontal="center" vertical="center" wrapText="1"/>
    </xf>
    <xf numFmtId="168" fontId="234" fillId="2" borderId="86" xfId="0" applyNumberFormat="1" applyFont="1" applyFill="1" applyBorder="1" applyAlignment="1" applyProtection="1">
      <alignment horizontal="center" vertical="center"/>
    </xf>
    <xf numFmtId="1" fontId="26" fillId="2" borderId="89" xfId="0" applyNumberFormat="1" applyFont="1" applyFill="1" applyBorder="1" applyAlignment="1" applyProtection="1">
      <alignment horizontal="center" vertical="center"/>
    </xf>
    <xf numFmtId="0" fontId="43" fillId="2" borderId="89" xfId="1" applyNumberFormat="1" applyFont="1" applyFill="1" applyBorder="1" applyAlignment="1" applyProtection="1">
      <alignment horizontal="center"/>
    </xf>
    <xf numFmtId="0" fontId="22" fillId="2" borderId="0" xfId="0" applyFont="1" applyFill="1" applyBorder="1" applyAlignment="1" applyProtection="1">
      <alignment horizontal="right"/>
    </xf>
    <xf numFmtId="49" fontId="43" fillId="2" borderId="48" xfId="0" applyNumberFormat="1" applyFont="1" applyFill="1" applyBorder="1" applyAlignment="1" applyProtection="1">
      <alignment horizontal="center"/>
    </xf>
    <xf numFmtId="1" fontId="306" fillId="0" borderId="47" xfId="0" applyNumberFormat="1" applyFont="1" applyFill="1" applyBorder="1" applyAlignment="1" applyProtection="1">
      <alignment horizontal="center" vertical="center"/>
    </xf>
    <xf numFmtId="1" fontId="306" fillId="0" borderId="49" xfId="0" applyNumberFormat="1" applyFont="1" applyFill="1" applyBorder="1" applyAlignment="1" applyProtection="1">
      <alignment horizontal="center" vertical="center"/>
    </xf>
    <xf numFmtId="49" fontId="305" fillId="2" borderId="102" xfId="0" applyNumberFormat="1" applyFont="1" applyFill="1" applyBorder="1" applyAlignment="1" applyProtection="1">
      <alignment horizontal="center" vertical="center"/>
    </xf>
    <xf numFmtId="1" fontId="306" fillId="2" borderId="22" xfId="0" applyNumberFormat="1" applyFont="1" applyFill="1" applyBorder="1" applyAlignment="1" applyProtection="1">
      <alignment horizontal="center" vertical="center"/>
    </xf>
    <xf numFmtId="0" fontId="306" fillId="2" borderId="22" xfId="0" applyFont="1" applyFill="1" applyBorder="1" applyAlignment="1" applyProtection="1">
      <alignment horizontal="center" vertical="center"/>
    </xf>
    <xf numFmtId="0" fontId="259" fillId="2" borderId="22" xfId="0" applyFont="1" applyFill="1" applyBorder="1" applyAlignment="1" applyProtection="1">
      <alignment horizontal="center" vertical="center"/>
    </xf>
    <xf numFmtId="0" fontId="43" fillId="2" borderId="22" xfId="0" applyFont="1" applyFill="1" applyBorder="1" applyAlignment="1" applyProtection="1">
      <alignment horizontal="center" vertical="center"/>
    </xf>
    <xf numFmtId="49" fontId="259" fillId="2" borderId="22" xfId="0" applyNumberFormat="1" applyFont="1" applyFill="1" applyBorder="1" applyAlignment="1" applyProtection="1">
      <alignment horizontal="center" vertical="center"/>
    </xf>
    <xf numFmtId="1" fontId="306" fillId="2" borderId="47" xfId="0" applyNumberFormat="1" applyFont="1" applyFill="1" applyBorder="1" applyAlignment="1" applyProtection="1">
      <alignment horizontal="center" vertical="center"/>
    </xf>
    <xf numFmtId="1" fontId="306" fillId="2" borderId="49" xfId="0" applyNumberFormat="1" applyFont="1" applyFill="1" applyBorder="1" applyAlignment="1" applyProtection="1">
      <alignment horizontal="center" vertical="center"/>
    </xf>
    <xf numFmtId="0" fontId="305" fillId="2" borderId="22" xfId="0" applyFont="1" applyFill="1" applyBorder="1" applyAlignment="1" applyProtection="1">
      <alignment horizontal="center" vertical="center" wrapText="1"/>
    </xf>
    <xf numFmtId="0" fontId="259" fillId="2" borderId="22" xfId="0" applyFont="1" applyFill="1" applyBorder="1" applyAlignment="1" applyProtection="1">
      <alignment horizontal="center" vertical="center" wrapText="1"/>
    </xf>
    <xf numFmtId="0" fontId="466" fillId="16" borderId="0" xfId="0" applyFont="1" applyFill="1" applyBorder="1" applyAlignment="1" applyProtection="1">
      <alignment horizontal="center"/>
    </xf>
    <xf numFmtId="0" fontId="466" fillId="16" borderId="86" xfId="0" applyFont="1" applyFill="1" applyBorder="1" applyAlignment="1" applyProtection="1">
      <alignment horizontal="center"/>
    </xf>
    <xf numFmtId="0" fontId="355" fillId="2" borderId="47" xfId="0" applyFont="1" applyFill="1" applyBorder="1" applyAlignment="1" applyProtection="1">
      <alignment horizontal="center" vertical="center" wrapText="1"/>
    </xf>
    <xf numFmtId="0" fontId="355" fillId="2" borderId="49" xfId="0" applyFont="1" applyFill="1" applyBorder="1" applyAlignment="1" applyProtection="1">
      <alignment horizontal="center" vertical="center" wrapText="1"/>
    </xf>
    <xf numFmtId="49" fontId="355" fillId="2" borderId="22" xfId="0" applyNumberFormat="1" applyFont="1" applyFill="1" applyBorder="1" applyAlignment="1" applyProtection="1">
      <alignment horizontal="center" vertical="center"/>
    </xf>
    <xf numFmtId="0" fontId="306" fillId="2" borderId="146" xfId="0" applyFont="1" applyFill="1" applyBorder="1" applyAlignment="1" applyProtection="1">
      <alignment horizontal="center" vertical="center"/>
    </xf>
    <xf numFmtId="1" fontId="306" fillId="0" borderId="22" xfId="0" applyNumberFormat="1" applyFont="1" applyFill="1" applyBorder="1" applyAlignment="1" applyProtection="1">
      <alignment horizontal="center" vertical="center"/>
    </xf>
    <xf numFmtId="0" fontId="306" fillId="0" borderId="22" xfId="0" applyFont="1" applyFill="1" applyBorder="1" applyAlignment="1" applyProtection="1">
      <alignment horizontal="center" vertical="center"/>
    </xf>
    <xf numFmtId="0" fontId="466" fillId="16" borderId="0" xfId="0" applyFont="1" applyFill="1" applyAlignment="1" applyProtection="1">
      <alignment horizontal="center"/>
    </xf>
    <xf numFmtId="0" fontId="466" fillId="16" borderId="0" xfId="0" applyFont="1" applyFill="1" applyAlignment="1" applyProtection="1">
      <alignment horizontal="center" vertical="center"/>
    </xf>
    <xf numFmtId="0" fontId="466" fillId="16" borderId="0" xfId="0" applyFont="1" applyFill="1" applyAlignment="1" applyProtection="1">
      <alignment horizontal="center" vertical="top"/>
    </xf>
    <xf numFmtId="0" fontId="22" fillId="22" borderId="22" xfId="0" applyFont="1" applyFill="1" applyBorder="1" applyAlignment="1" applyProtection="1">
      <alignment horizontal="center" vertical="center" wrapText="1"/>
    </xf>
    <xf numFmtId="0" fontId="39" fillId="22" borderId="22" xfId="0" applyFont="1" applyFill="1" applyBorder="1" applyAlignment="1" applyProtection="1">
      <alignment horizontal="center" vertical="center" wrapText="1"/>
    </xf>
    <xf numFmtId="0" fontId="21" fillId="22" borderId="22" xfId="0" applyFont="1" applyFill="1" applyBorder="1" applyAlignment="1" applyProtection="1">
      <alignment horizontal="center" vertical="center" wrapText="1"/>
    </xf>
    <xf numFmtId="0" fontId="305" fillId="2" borderId="49" xfId="0" applyFont="1" applyFill="1" applyBorder="1" applyAlignment="1" applyProtection="1">
      <alignment horizontal="center" vertical="center"/>
    </xf>
    <xf numFmtId="0" fontId="305" fillId="2" borderId="47" xfId="0" applyFont="1" applyFill="1" applyBorder="1" applyAlignment="1" applyProtection="1">
      <alignment horizontal="center" vertical="center"/>
    </xf>
    <xf numFmtId="49" fontId="305" fillId="2" borderId="47" xfId="0" applyNumberFormat="1" applyFont="1" applyFill="1" applyBorder="1" applyAlignment="1" applyProtection="1">
      <alignment horizontal="center" vertical="center"/>
    </xf>
    <xf numFmtId="49" fontId="305" fillId="2" borderId="49" xfId="0" applyNumberFormat="1" applyFont="1" applyFill="1" applyBorder="1" applyAlignment="1" applyProtection="1">
      <alignment horizontal="center" vertical="center"/>
    </xf>
    <xf numFmtId="49" fontId="305" fillId="16" borderId="22" xfId="0" applyNumberFormat="1" applyFont="1" applyFill="1" applyBorder="1" applyAlignment="1" applyProtection="1">
      <alignment horizontal="center" vertical="center"/>
    </xf>
    <xf numFmtId="0" fontId="466" fillId="2" borderId="0" xfId="0" applyFont="1" applyFill="1" applyBorder="1" applyAlignment="1" applyProtection="1">
      <alignment horizontal="center"/>
    </xf>
    <xf numFmtId="0" fontId="22" fillId="22" borderId="102" xfId="0" applyFont="1" applyFill="1" applyBorder="1" applyAlignment="1" applyProtection="1">
      <alignment horizontal="center" vertical="center" wrapText="1"/>
    </xf>
    <xf numFmtId="0" fontId="39" fillId="22" borderId="102" xfId="0" applyFont="1" applyFill="1" applyBorder="1" applyAlignment="1" applyProtection="1">
      <alignment horizontal="center" vertical="center" wrapText="1"/>
    </xf>
    <xf numFmtId="0" fontId="21" fillId="22" borderId="102" xfId="0" applyFont="1" applyFill="1" applyBorder="1" applyAlignment="1" applyProtection="1">
      <alignment horizontal="center" vertical="center" wrapText="1"/>
    </xf>
    <xf numFmtId="49" fontId="305" fillId="0" borderId="22" xfId="0" applyNumberFormat="1" applyFont="1" applyFill="1" applyBorder="1" applyAlignment="1" applyProtection="1">
      <alignment horizontal="center" vertical="center"/>
    </xf>
    <xf numFmtId="0" fontId="347" fillId="2" borderId="0" xfId="0" applyFont="1" applyFill="1" applyBorder="1" applyAlignment="1" applyProtection="1">
      <alignment horizontal="center" vertical="center"/>
    </xf>
    <xf numFmtId="49" fontId="43" fillId="2" borderId="22" xfId="0" applyNumberFormat="1" applyFont="1" applyFill="1" applyBorder="1" applyAlignment="1" applyProtection="1">
      <alignment horizontal="center" vertical="center"/>
    </xf>
    <xf numFmtId="0" fontId="43" fillId="16" borderId="22" xfId="0" applyFont="1" applyFill="1" applyBorder="1" applyAlignment="1" applyProtection="1">
      <alignment horizontal="center" vertical="center"/>
    </xf>
    <xf numFmtId="49" fontId="43" fillId="2" borderId="102" xfId="0" applyNumberFormat="1" applyFont="1" applyFill="1" applyBorder="1" applyAlignment="1" applyProtection="1">
      <alignment horizontal="center" vertical="center"/>
    </xf>
    <xf numFmtId="49" fontId="347" fillId="2" borderId="22" xfId="0" applyNumberFormat="1" applyFont="1" applyFill="1" applyBorder="1" applyAlignment="1" applyProtection="1">
      <alignment horizontal="center" vertical="center"/>
    </xf>
    <xf numFmtId="0" fontId="43" fillId="16" borderId="47" xfId="0" applyFont="1" applyFill="1" applyBorder="1" applyAlignment="1" applyProtection="1">
      <alignment horizontal="center" vertical="center"/>
    </xf>
    <xf numFmtId="0" fontId="43" fillId="16" borderId="49" xfId="0" applyFont="1" applyFill="1" applyBorder="1" applyAlignment="1" applyProtection="1">
      <alignment horizontal="center" vertical="center"/>
    </xf>
    <xf numFmtId="49" fontId="347" fillId="2" borderId="47" xfId="0" applyNumberFormat="1" applyFont="1" applyFill="1" applyBorder="1" applyAlignment="1" applyProtection="1">
      <alignment horizontal="center" vertical="center"/>
    </xf>
    <xf numFmtId="49" fontId="347" fillId="2" borderId="49" xfId="0" applyNumberFormat="1" applyFont="1" applyFill="1" applyBorder="1" applyAlignment="1" applyProtection="1">
      <alignment horizontal="center" vertical="center"/>
    </xf>
    <xf numFmtId="0" fontId="347" fillId="16" borderId="22" xfId="0" applyFont="1" applyFill="1" applyBorder="1" applyAlignment="1" applyProtection="1">
      <alignment horizontal="center" vertical="center"/>
    </xf>
    <xf numFmtId="0" fontId="347" fillId="2" borderId="22" xfId="0" applyFont="1" applyFill="1" applyBorder="1" applyAlignment="1" applyProtection="1">
      <alignment horizontal="center" vertical="center"/>
    </xf>
    <xf numFmtId="49" fontId="347" fillId="16" borderId="22" xfId="0" applyNumberFormat="1" applyFont="1" applyFill="1" applyBorder="1" applyAlignment="1" applyProtection="1">
      <alignment horizontal="center" vertical="center"/>
    </xf>
    <xf numFmtId="1" fontId="22" fillId="0" borderId="22" xfId="0" applyNumberFormat="1" applyFont="1" applyFill="1" applyBorder="1" applyAlignment="1" applyProtection="1">
      <alignment horizontal="center" vertical="center"/>
    </xf>
    <xf numFmtId="0" fontId="22" fillId="0" borderId="22" xfId="0" applyFont="1" applyFill="1" applyBorder="1" applyAlignment="1" applyProtection="1">
      <alignment horizontal="center" vertical="center"/>
    </xf>
    <xf numFmtId="0" fontId="98" fillId="2" borderId="89" xfId="0" applyNumberFormat="1" applyFont="1" applyFill="1" applyBorder="1" applyAlignment="1" applyProtection="1">
      <alignment horizontal="center"/>
    </xf>
    <xf numFmtId="49" fontId="305" fillId="16" borderId="47" xfId="0" applyNumberFormat="1" applyFont="1" applyFill="1" applyBorder="1" applyAlignment="1" applyProtection="1">
      <alignment horizontal="center" vertical="center"/>
    </xf>
    <xf numFmtId="49" fontId="305" fillId="16" borderId="49" xfId="0" applyNumberFormat="1" applyFont="1" applyFill="1" applyBorder="1" applyAlignment="1" applyProtection="1">
      <alignment horizontal="center" vertical="center"/>
    </xf>
    <xf numFmtId="0" fontId="466" fillId="2" borderId="0" xfId="0" applyFont="1" applyFill="1" applyBorder="1" applyAlignment="1" applyProtection="1">
      <alignment horizontal="center" vertical="center"/>
    </xf>
    <xf numFmtId="0" fontId="22" fillId="2" borderId="0" xfId="0" applyFont="1" applyFill="1" applyBorder="1" applyAlignment="1" applyProtection="1">
      <alignment horizontal="left" vertical="center"/>
    </xf>
    <xf numFmtId="0" fontId="22" fillId="2" borderId="0" xfId="0" applyFont="1" applyFill="1" applyBorder="1" applyAlignment="1" applyProtection="1">
      <alignment horizontal="right" vertical="center"/>
    </xf>
    <xf numFmtId="49" fontId="305" fillId="16" borderId="102" xfId="0" applyNumberFormat="1" applyFont="1" applyFill="1" applyBorder="1" applyAlignment="1" applyProtection="1">
      <alignment horizontal="center" vertical="center"/>
    </xf>
    <xf numFmtId="0" fontId="305" fillId="16" borderId="22" xfId="0" applyFont="1" applyFill="1" applyBorder="1" applyAlignment="1" applyProtection="1">
      <alignment horizontal="center" vertical="center" wrapText="1"/>
    </xf>
    <xf numFmtId="0" fontId="347" fillId="16" borderId="0" xfId="0" applyFont="1" applyFill="1" applyAlignment="1" applyProtection="1">
      <alignment horizontal="center"/>
    </xf>
    <xf numFmtId="0" fontId="347" fillId="16" borderId="0" xfId="0" applyFont="1" applyFill="1" applyAlignment="1" applyProtection="1">
      <alignment horizontal="center" vertical="center"/>
    </xf>
    <xf numFmtId="0" fontId="347" fillId="16" borderId="0" xfId="0" applyFont="1" applyFill="1" applyAlignment="1" applyProtection="1">
      <alignment horizontal="center" vertical="top"/>
    </xf>
    <xf numFmtId="1" fontId="306" fillId="16" borderId="22" xfId="0" applyNumberFormat="1" applyFont="1" applyFill="1" applyBorder="1" applyAlignment="1" applyProtection="1">
      <alignment horizontal="center" vertical="center"/>
    </xf>
    <xf numFmtId="0" fontId="305" fillId="2" borderId="47" xfId="0" applyFont="1" applyFill="1" applyBorder="1" applyAlignment="1" applyProtection="1">
      <alignment horizontal="left" vertical="center"/>
    </xf>
    <xf numFmtId="0" fontId="305" fillId="2" borderId="49" xfId="0" applyFont="1" applyFill="1" applyBorder="1" applyAlignment="1" applyProtection="1">
      <alignment horizontal="left" vertical="center"/>
    </xf>
    <xf numFmtId="0" fontId="306" fillId="2" borderId="48" xfId="0" applyFont="1" applyFill="1" applyBorder="1" applyAlignment="1" applyProtection="1">
      <alignment horizontal="center" vertical="center"/>
    </xf>
    <xf numFmtId="49" fontId="47" fillId="2" borderId="48" xfId="0" applyNumberFormat="1" applyFont="1" applyFill="1" applyBorder="1" applyAlignment="1" applyProtection="1">
      <alignment horizontal="center"/>
    </xf>
    <xf numFmtId="49" fontId="47" fillId="2" borderId="89" xfId="0" applyNumberFormat="1" applyFont="1" applyFill="1" applyBorder="1" applyAlignment="1" applyProtection="1">
      <alignment horizontal="center"/>
    </xf>
    <xf numFmtId="0" fontId="47" fillId="0" borderId="48" xfId="0" applyFont="1" applyBorder="1" applyAlignment="1" applyProtection="1">
      <alignment horizontal="center"/>
    </xf>
    <xf numFmtId="0" fontId="316" fillId="2" borderId="22" xfId="0" applyFont="1" applyFill="1" applyBorder="1" applyAlignment="1" applyProtection="1">
      <alignment horizontal="center" vertical="center" wrapText="1"/>
    </xf>
    <xf numFmtId="0" fontId="316" fillId="2" borderId="22" xfId="0" applyFont="1" applyFill="1" applyBorder="1" applyAlignment="1" applyProtection="1">
      <alignment horizontal="center" vertical="center"/>
    </xf>
    <xf numFmtId="49" fontId="316" fillId="2" borderId="102" xfId="0" applyNumberFormat="1" applyFont="1" applyFill="1" applyBorder="1" applyAlignment="1" applyProtection="1">
      <alignment horizontal="center" vertical="center"/>
    </xf>
    <xf numFmtId="0" fontId="348" fillId="16" borderId="22" xfId="0" applyFont="1" applyFill="1" applyBorder="1" applyAlignment="1" applyProtection="1">
      <alignment horizontal="center" vertical="center"/>
    </xf>
    <xf numFmtId="0" fontId="232" fillId="2" borderId="0" xfId="0" applyFont="1" applyFill="1" applyBorder="1" applyAlignment="1" applyProtection="1">
      <alignment horizontal="center" vertical="center"/>
    </xf>
    <xf numFmtId="0" fontId="232" fillId="16" borderId="0" xfId="0" applyFont="1" applyFill="1" applyAlignment="1" applyProtection="1">
      <alignment horizontal="center"/>
    </xf>
    <xf numFmtId="0" fontId="232" fillId="16" borderId="0" xfId="0" applyFont="1" applyFill="1" applyAlignment="1" applyProtection="1">
      <alignment horizontal="center" vertical="center"/>
    </xf>
    <xf numFmtId="0" fontId="232" fillId="16" borderId="0" xfId="0" applyFont="1" applyFill="1" applyAlignment="1" applyProtection="1">
      <alignment horizontal="center" vertical="top"/>
    </xf>
    <xf numFmtId="49" fontId="233" fillId="2" borderId="89" xfId="1" applyNumberFormat="1" applyFont="1" applyFill="1" applyBorder="1" applyAlignment="1" applyProtection="1">
      <alignment horizontal="center" vertical="center"/>
    </xf>
    <xf numFmtId="0" fontId="14" fillId="0" borderId="48" xfId="0" applyFont="1" applyBorder="1" applyAlignment="1" applyProtection="1">
      <alignment horizontal="center" vertical="center"/>
    </xf>
    <xf numFmtId="0" fontId="9" fillId="2" borderId="0" xfId="0" applyFont="1" applyFill="1" applyBorder="1" applyAlignment="1" applyProtection="1">
      <alignment horizontal="left"/>
    </xf>
    <xf numFmtId="0" fontId="22" fillId="2" borderId="89" xfId="0" applyFont="1" applyFill="1" applyBorder="1" applyAlignment="1" applyProtection="1">
      <alignment horizontal="center" vertical="center"/>
    </xf>
    <xf numFmtId="49" fontId="43" fillId="2" borderId="89" xfId="0" applyNumberFormat="1" applyFont="1" applyFill="1" applyBorder="1" applyAlignment="1" applyProtection="1">
      <alignment horizontal="center" vertical="center"/>
    </xf>
    <xf numFmtId="0" fontId="43" fillId="2" borderId="47" xfId="0" applyFont="1" applyFill="1" applyBorder="1" applyAlignment="1" applyProtection="1">
      <alignment horizontal="center" vertical="center"/>
    </xf>
    <xf numFmtId="0" fontId="43" fillId="2" borderId="49" xfId="0" applyFont="1" applyFill="1" applyBorder="1" applyAlignment="1" applyProtection="1">
      <alignment horizontal="center" vertical="center"/>
    </xf>
    <xf numFmtId="0" fontId="43" fillId="2" borderId="0" xfId="0" quotePrefix="1" applyFont="1" applyFill="1" applyBorder="1" applyAlignment="1" applyProtection="1">
      <alignment horizontal="center" vertical="center"/>
    </xf>
    <xf numFmtId="0" fontId="43" fillId="2" borderId="0" xfId="0" applyFont="1" applyFill="1" applyBorder="1" applyAlignment="1" applyProtection="1">
      <alignment horizontal="center" vertical="center"/>
    </xf>
    <xf numFmtId="0" fontId="22" fillId="2" borderId="146" xfId="0" applyFont="1" applyFill="1" applyBorder="1" applyAlignment="1" applyProtection="1">
      <alignment horizontal="center" vertical="center"/>
    </xf>
    <xf numFmtId="0" fontId="43" fillId="2" borderId="22" xfId="0" applyFont="1" applyFill="1" applyBorder="1" applyAlignment="1" applyProtection="1">
      <alignment horizontal="left" vertical="center"/>
    </xf>
    <xf numFmtId="0" fontId="130" fillId="16" borderId="0" xfId="0" applyFont="1" applyFill="1" applyBorder="1" applyAlignment="1" applyProtection="1">
      <alignment horizontal="center" vertical="center"/>
    </xf>
    <xf numFmtId="0" fontId="153" fillId="16" borderId="0" xfId="0" applyFont="1" applyFill="1" applyBorder="1" applyAlignment="1">
      <alignment horizontal="center" vertical="center"/>
    </xf>
    <xf numFmtId="0" fontId="366" fillId="16" borderId="0" xfId="0" applyFont="1" applyFill="1" applyBorder="1" applyAlignment="1" applyProtection="1">
      <alignment horizontal="center"/>
    </xf>
    <xf numFmtId="0" fontId="386" fillId="16" borderId="582" xfId="0" applyFont="1" applyFill="1" applyBorder="1" applyAlignment="1" applyProtection="1">
      <alignment horizontal="left" vertical="center" shrinkToFit="1"/>
    </xf>
    <xf numFmtId="0" fontId="386" fillId="16" borderId="581" xfId="0" applyFont="1" applyFill="1" applyBorder="1" applyAlignment="1" applyProtection="1">
      <alignment horizontal="left" vertical="center" shrinkToFit="1"/>
    </xf>
    <xf numFmtId="0" fontId="386" fillId="16" borderId="583" xfId="0" applyFont="1" applyFill="1" applyBorder="1" applyAlignment="1" applyProtection="1">
      <alignment horizontal="left" vertical="center" shrinkToFit="1"/>
    </xf>
    <xf numFmtId="0" fontId="358" fillId="46" borderId="591" xfId="0" applyFont="1" applyFill="1" applyBorder="1" applyAlignment="1">
      <alignment horizontal="center" vertical="center" wrapText="1"/>
    </xf>
    <xf numFmtId="0" fontId="358" fillId="46" borderId="590" xfId="0" applyFont="1" applyFill="1" applyBorder="1" applyAlignment="1">
      <alignment horizontal="center" vertical="center" wrapText="1"/>
    </xf>
    <xf numFmtId="0" fontId="386" fillId="16" borderId="585" xfId="0" applyFont="1" applyFill="1" applyBorder="1" applyAlignment="1" applyProtection="1">
      <alignment horizontal="left" vertical="center" shrinkToFit="1"/>
    </xf>
    <xf numFmtId="0" fontId="386" fillId="16" borderId="586" xfId="0" applyFont="1" applyFill="1" applyBorder="1" applyAlignment="1" applyProtection="1">
      <alignment horizontal="left" vertical="center" shrinkToFit="1"/>
    </xf>
    <xf numFmtId="0" fontId="386" fillId="16" borderId="587" xfId="0" applyFont="1" applyFill="1" applyBorder="1" applyAlignment="1" applyProtection="1">
      <alignment horizontal="left" vertical="center" shrinkToFit="1"/>
    </xf>
    <xf numFmtId="0" fontId="359" fillId="46" borderId="590" xfId="0" applyFont="1" applyFill="1" applyBorder="1" applyAlignment="1">
      <alignment horizontal="center" vertical="center" wrapText="1"/>
    </xf>
    <xf numFmtId="0" fontId="359" fillId="46" borderId="591" xfId="0" applyFont="1" applyFill="1" applyBorder="1" applyAlignment="1">
      <alignment horizontal="center" vertical="center" wrapText="1"/>
    </xf>
    <xf numFmtId="0" fontId="6" fillId="16" borderId="0" xfId="0" applyFont="1" applyFill="1" applyBorder="1" applyAlignment="1" applyProtection="1">
      <alignment horizontal="center"/>
    </xf>
    <xf numFmtId="0" fontId="360" fillId="46" borderId="591" xfId="0" applyFont="1" applyFill="1" applyBorder="1" applyAlignment="1">
      <alignment horizontal="center" vertical="center" wrapText="1"/>
    </xf>
    <xf numFmtId="0" fontId="360" fillId="46" borderId="590" xfId="0" applyFont="1" applyFill="1" applyBorder="1" applyAlignment="1">
      <alignment horizontal="center" vertical="center" wrapText="1"/>
    </xf>
    <xf numFmtId="0" fontId="381" fillId="46" borderId="592" xfId="0" applyFont="1" applyFill="1" applyBorder="1" applyAlignment="1">
      <alignment horizontal="center" vertical="center" wrapText="1"/>
    </xf>
    <xf numFmtId="0" fontId="381" fillId="46" borderId="593" xfId="0" applyFont="1" applyFill="1" applyBorder="1" applyAlignment="1">
      <alignment horizontal="center" vertical="center" wrapText="1"/>
    </xf>
    <xf numFmtId="0" fontId="363" fillId="46" borderId="591" xfId="0" applyFont="1" applyFill="1" applyBorder="1" applyAlignment="1">
      <alignment horizontal="center" vertical="center" wrapText="1"/>
    </xf>
    <xf numFmtId="0" fontId="295" fillId="50" borderId="47" xfId="0" applyFont="1" applyFill="1" applyBorder="1" applyAlignment="1" applyProtection="1">
      <alignment horizontal="center"/>
    </xf>
    <xf numFmtId="0" fontId="295" fillId="50" borderId="49" xfId="0" applyFont="1" applyFill="1" applyBorder="1" applyAlignment="1" applyProtection="1">
      <alignment horizontal="center"/>
    </xf>
    <xf numFmtId="0" fontId="19" fillId="0" borderId="0" xfId="0" applyFont="1" applyBorder="1" applyAlignment="1" applyProtection="1">
      <alignment horizontal="center" vertical="center" wrapText="1"/>
    </xf>
    <xf numFmtId="1" fontId="19" fillId="0" borderId="0" xfId="0" applyNumberFormat="1" applyFont="1" applyBorder="1" applyAlignment="1" applyProtection="1">
      <alignment horizontal="center" vertical="center" wrapText="1"/>
    </xf>
    <xf numFmtId="1" fontId="162" fillId="16" borderId="0" xfId="0" applyNumberFormat="1" applyFont="1" applyFill="1" applyBorder="1" applyAlignment="1" applyProtection="1">
      <alignment horizontal="distributed" wrapText="1"/>
    </xf>
    <xf numFmtId="1" fontId="364" fillId="16" borderId="0" xfId="0" applyNumberFormat="1" applyFont="1" applyFill="1" applyBorder="1" applyAlignment="1" applyProtection="1">
      <alignment horizontal="left" vertical="center" wrapText="1"/>
    </xf>
    <xf numFmtId="1" fontId="162" fillId="16" borderId="0" xfId="0" applyNumberFormat="1" applyFont="1" applyFill="1" applyBorder="1" applyAlignment="1" applyProtection="1">
      <alignment horizontal="left" wrapText="1"/>
    </xf>
    <xf numFmtId="0" fontId="328" fillId="16" borderId="0" xfId="0" applyFont="1" applyFill="1" applyBorder="1" applyAlignment="1" applyProtection="1">
      <alignment horizontal="center"/>
    </xf>
    <xf numFmtId="0" fontId="365" fillId="16" borderId="86" xfId="0" applyFont="1" applyFill="1" applyBorder="1" applyAlignment="1">
      <alignment horizontal="center" vertical="center"/>
    </xf>
    <xf numFmtId="0" fontId="366" fillId="16" borderId="0" xfId="0" applyFont="1" applyFill="1" applyBorder="1" applyAlignment="1" applyProtection="1">
      <alignment horizontal="center" vertical="top"/>
    </xf>
    <xf numFmtId="0" fontId="365" fillId="16" borderId="86" xfId="0" applyFont="1" applyFill="1" applyBorder="1" applyAlignment="1">
      <alignment horizontal="center"/>
    </xf>
    <xf numFmtId="0" fontId="366" fillId="16" borderId="86" xfId="0" applyFont="1" applyFill="1" applyBorder="1" applyAlignment="1" applyProtection="1">
      <alignment horizontal="center"/>
    </xf>
    <xf numFmtId="0" fontId="417" fillId="16" borderId="0" xfId="0" applyFont="1" applyFill="1" applyBorder="1" applyAlignment="1" applyProtection="1">
      <alignment horizontal="center"/>
    </xf>
    <xf numFmtId="0" fontId="31" fillId="53" borderId="582" xfId="0" applyFont="1" applyFill="1" applyBorder="1" applyAlignment="1" applyProtection="1">
      <alignment horizontal="center" vertical="center" shrinkToFit="1"/>
    </xf>
    <xf numFmtId="0" fontId="31" fillId="53" borderId="583" xfId="0" applyFont="1" applyFill="1" applyBorder="1" applyAlignment="1" applyProtection="1">
      <alignment horizontal="center" vertical="center" shrinkToFit="1"/>
    </xf>
    <xf numFmtId="0" fontId="31" fillId="16" borderId="582" xfId="0" applyFont="1" applyFill="1" applyBorder="1" applyAlignment="1" applyProtection="1">
      <alignment horizontal="center" vertical="center" shrinkToFit="1"/>
    </xf>
    <xf numFmtId="0" fontId="31" fillId="16" borderId="583" xfId="0" applyFont="1" applyFill="1" applyBorder="1" applyAlignment="1" applyProtection="1">
      <alignment horizontal="center" vertical="center" shrinkToFit="1"/>
    </xf>
    <xf numFmtId="0" fontId="31" fillId="53" borderId="582" xfId="0" applyFont="1" applyFill="1" applyBorder="1" applyAlignment="1" applyProtection="1">
      <alignment horizontal="center" vertical="center"/>
    </xf>
    <xf numFmtId="0" fontId="31" fillId="53" borderId="583" xfId="0" applyFont="1" applyFill="1" applyBorder="1" applyAlignment="1" applyProtection="1">
      <alignment horizontal="center" vertical="center"/>
    </xf>
    <xf numFmtId="0" fontId="31" fillId="0" borderId="582" xfId="0" applyFont="1" applyBorder="1" applyAlignment="1" applyProtection="1">
      <alignment horizontal="center" vertical="center"/>
    </xf>
    <xf numFmtId="0" fontId="31" fillId="0" borderId="583" xfId="0" applyFont="1" applyBorder="1" applyAlignment="1" applyProtection="1">
      <alignment horizontal="center" vertical="center"/>
    </xf>
    <xf numFmtId="0" fontId="45" fillId="16" borderId="644" xfId="0" applyFont="1" applyFill="1" applyBorder="1" applyAlignment="1">
      <alignment horizontal="center" vertical="center" wrapText="1"/>
    </xf>
    <xf numFmtId="0" fontId="45" fillId="16" borderId="645" xfId="0" applyFont="1" applyFill="1" applyBorder="1" applyAlignment="1">
      <alignment horizontal="center" vertical="center" wrapText="1"/>
    </xf>
    <xf numFmtId="0" fontId="45" fillId="16" borderId="646" xfId="0" applyFont="1" applyFill="1" applyBorder="1" applyAlignment="1">
      <alignment horizontal="center" vertical="center" wrapText="1"/>
    </xf>
    <xf numFmtId="0" fontId="45" fillId="16" borderId="647" xfId="0" applyFont="1" applyFill="1" applyBorder="1" applyAlignment="1">
      <alignment horizontal="center" vertical="center" wrapText="1"/>
    </xf>
    <xf numFmtId="0" fontId="31" fillId="16" borderId="580" xfId="0" applyFont="1" applyFill="1" applyBorder="1" applyAlignment="1" applyProtection="1">
      <alignment horizontal="left" vertical="center" shrinkToFit="1"/>
    </xf>
    <xf numFmtId="0" fontId="31" fillId="53" borderId="580" xfId="0" applyFont="1" applyFill="1" applyBorder="1" applyAlignment="1" applyProtection="1">
      <alignment horizontal="left" vertical="center" shrinkToFit="1"/>
    </xf>
    <xf numFmtId="0" fontId="295" fillId="16" borderId="0" xfId="0" applyFont="1" applyFill="1" applyBorder="1" applyAlignment="1" applyProtection="1">
      <alignment horizontal="center"/>
    </xf>
    <xf numFmtId="0" fontId="411" fillId="16" borderId="591" xfId="0" applyFont="1" applyFill="1" applyBorder="1" applyAlignment="1">
      <alignment horizontal="center" vertical="center" wrapText="1"/>
    </xf>
    <xf numFmtId="0" fontId="411" fillId="16" borderId="592" xfId="0" applyFont="1" applyFill="1" applyBorder="1" applyAlignment="1">
      <alignment horizontal="center" vertical="center" wrapText="1"/>
    </xf>
    <xf numFmtId="0" fontId="412" fillId="16" borderId="641" xfId="0" applyFont="1" applyFill="1" applyBorder="1" applyAlignment="1">
      <alignment horizontal="center" vertical="center" wrapText="1"/>
    </xf>
    <xf numFmtId="0" fontId="412" fillId="16" borderId="591" xfId="0" applyFont="1" applyFill="1" applyBorder="1" applyAlignment="1">
      <alignment horizontal="center" vertical="center" wrapText="1"/>
    </xf>
    <xf numFmtId="0" fontId="412" fillId="16" borderId="638" xfId="0" applyFont="1" applyFill="1" applyBorder="1" applyAlignment="1">
      <alignment horizontal="center" vertical="center" wrapText="1"/>
    </xf>
    <xf numFmtId="0" fontId="412" fillId="16" borderId="592" xfId="0" applyFont="1" applyFill="1" applyBorder="1" applyAlignment="1">
      <alignment horizontal="center" vertical="center" wrapText="1"/>
    </xf>
    <xf numFmtId="0" fontId="418" fillId="16" borderId="580" xfId="0" applyFont="1" applyFill="1" applyBorder="1" applyAlignment="1" applyProtection="1">
      <alignment horizontal="center" vertical="center"/>
    </xf>
    <xf numFmtId="0" fontId="281" fillId="16" borderId="0" xfId="0" applyFont="1" applyFill="1" applyBorder="1" applyAlignment="1">
      <alignment horizontal="center"/>
    </xf>
    <xf numFmtId="0" fontId="281" fillId="16" borderId="86" xfId="0" applyFont="1" applyFill="1" applyBorder="1" applyAlignment="1">
      <alignment horizontal="center"/>
    </xf>
    <xf numFmtId="0" fontId="281" fillId="16" borderId="0" xfId="0" applyFont="1" applyFill="1" applyBorder="1" applyAlignment="1" applyProtection="1">
      <alignment horizontal="center"/>
    </xf>
    <xf numFmtId="0" fontId="281" fillId="16" borderId="0" xfId="0" applyFont="1" applyFill="1" applyBorder="1" applyAlignment="1" applyProtection="1">
      <alignment horizontal="center" vertical="top"/>
    </xf>
    <xf numFmtId="0" fontId="45" fillId="16" borderId="580" xfId="0" applyFont="1" applyFill="1" applyBorder="1" applyAlignment="1">
      <alignment horizontal="center" vertical="center" wrapText="1"/>
    </xf>
    <xf numFmtId="0" fontId="335" fillId="17" borderId="22" xfId="0" applyFont="1" applyFill="1" applyBorder="1" applyAlignment="1">
      <alignment horizontal="center" vertical="center" wrapText="1"/>
    </xf>
    <xf numFmtId="0" fontId="279" fillId="42" borderId="22" xfId="0" applyFont="1" applyFill="1" applyBorder="1" applyAlignment="1">
      <alignment horizontal="center" vertical="center" wrapText="1"/>
    </xf>
    <xf numFmtId="0" fontId="284" fillId="45" borderId="22" xfId="0" applyFont="1" applyFill="1" applyBorder="1" applyAlignment="1">
      <alignment horizontal="center" vertical="center" wrapText="1"/>
    </xf>
    <xf numFmtId="0" fontId="265" fillId="45" borderId="22" xfId="0" applyFont="1" applyFill="1" applyBorder="1" applyAlignment="1">
      <alignment horizontal="center" vertical="center" wrapText="1"/>
    </xf>
    <xf numFmtId="0" fontId="8" fillId="42" borderId="22" xfId="1" applyFill="1" applyBorder="1" applyAlignment="1" applyProtection="1">
      <alignment horizontal="center" vertical="center" wrapText="1"/>
    </xf>
    <xf numFmtId="0" fontId="282" fillId="44" borderId="22" xfId="0" applyFont="1" applyFill="1" applyBorder="1" applyAlignment="1">
      <alignment horizontal="center" vertical="center" wrapText="1"/>
    </xf>
    <xf numFmtId="0" fontId="334" fillId="43" borderId="22" xfId="0" applyFont="1" applyFill="1" applyBorder="1" applyAlignment="1">
      <alignment horizontal="center" vertical="center" wrapText="1"/>
    </xf>
    <xf numFmtId="0" fontId="265" fillId="30" borderId="22" xfId="0" applyFont="1" applyFill="1" applyBorder="1" applyAlignment="1">
      <alignment horizontal="center" vertical="center" wrapText="1"/>
    </xf>
    <xf numFmtId="0" fontId="134" fillId="0" borderId="237" xfId="0" applyFont="1" applyBorder="1" applyAlignment="1">
      <alignment horizontal="center" vertical="center"/>
    </xf>
    <xf numFmtId="0" fontId="134" fillId="0" borderId="238" xfId="0" applyFont="1" applyBorder="1" applyAlignment="1">
      <alignment horizontal="center" vertical="center"/>
    </xf>
    <xf numFmtId="0" fontId="134" fillId="0" borderId="241" xfId="0" applyFont="1" applyBorder="1" applyAlignment="1">
      <alignment horizontal="center" vertical="center"/>
    </xf>
    <xf numFmtId="0" fontId="153" fillId="0" borderId="47" xfId="0" applyFont="1" applyBorder="1" applyAlignment="1">
      <alignment horizontal="center" vertical="center" shrinkToFit="1"/>
    </xf>
    <xf numFmtId="0" fontId="153" fillId="0" borderId="48" xfId="0" applyFont="1" applyBorder="1" applyAlignment="1">
      <alignment horizontal="center" vertical="center" shrinkToFit="1"/>
    </xf>
    <xf numFmtId="0" fontId="153" fillId="0" borderId="49" xfId="0" applyFont="1" applyBorder="1" applyAlignment="1">
      <alignment horizontal="center" vertical="center" shrinkToFit="1"/>
    </xf>
    <xf numFmtId="0" fontId="127" fillId="0" borderId="237" xfId="0" applyFont="1" applyBorder="1" applyAlignment="1">
      <alignment horizontal="left" vertical="center"/>
    </xf>
    <xf numFmtId="0" fontId="127" fillId="0" borderId="314" xfId="0" applyFont="1" applyBorder="1" applyAlignment="1">
      <alignment horizontal="left" vertical="center"/>
    </xf>
    <xf numFmtId="0" fontId="127" fillId="0" borderId="238" xfId="0" applyFont="1" applyBorder="1" applyAlignment="1">
      <alignment horizontal="left" vertical="center"/>
    </xf>
    <xf numFmtId="0" fontId="153" fillId="19" borderId="85" xfId="0" applyFont="1" applyFill="1" applyBorder="1" applyAlignment="1" applyProtection="1">
      <alignment horizontal="justify" vertical="center"/>
      <protection locked="0"/>
    </xf>
    <xf numFmtId="0" fontId="6" fillId="0" borderId="86" xfId="0" applyFont="1" applyBorder="1" applyAlignment="1">
      <alignment horizontal="justify" vertical="center"/>
    </xf>
    <xf numFmtId="0" fontId="6" fillId="0" borderId="90" xfId="0" applyFont="1" applyBorder="1" applyAlignment="1">
      <alignment horizontal="justify" vertical="center"/>
    </xf>
    <xf numFmtId="0" fontId="6" fillId="0" borderId="87" xfId="0" applyFont="1" applyBorder="1" applyAlignment="1">
      <alignment horizontal="justify" vertical="center"/>
    </xf>
    <xf numFmtId="0" fontId="6" fillId="0" borderId="0" xfId="0" applyFont="1" applyBorder="1" applyAlignment="1">
      <alignment horizontal="justify" vertical="center"/>
    </xf>
    <xf numFmtId="0" fontId="6" fillId="0" borderId="91" xfId="0" applyFont="1" applyBorder="1" applyAlignment="1">
      <alignment horizontal="justify" vertical="center"/>
    </xf>
    <xf numFmtId="0" fontId="6" fillId="0" borderId="88" xfId="0" applyFont="1" applyBorder="1" applyAlignment="1">
      <alignment horizontal="justify" vertical="center"/>
    </xf>
    <xf numFmtId="0" fontId="6" fillId="0" borderId="89" xfId="0" applyFont="1" applyBorder="1" applyAlignment="1">
      <alignment horizontal="justify" vertical="center"/>
    </xf>
    <xf numFmtId="0" fontId="6" fillId="0" borderId="92" xfId="0" applyFont="1" applyBorder="1" applyAlignment="1">
      <alignment horizontal="justify" vertical="center"/>
    </xf>
    <xf numFmtId="0" fontId="138" fillId="16" borderId="174" xfId="0" applyFont="1" applyFill="1" applyBorder="1" applyAlignment="1">
      <alignment horizontal="center" vertical="center"/>
    </xf>
    <xf numFmtId="0" fontId="138" fillId="16" borderId="166" xfId="0" applyFont="1" applyFill="1" applyBorder="1" applyAlignment="1">
      <alignment horizontal="center" vertical="center"/>
    </xf>
    <xf numFmtId="0" fontId="354" fillId="16" borderId="163" xfId="0" applyFont="1" applyFill="1" applyBorder="1" applyAlignment="1">
      <alignment horizontal="center" vertical="center"/>
    </xf>
    <xf numFmtId="0" fontId="288" fillId="16" borderId="484" xfId="0" applyFont="1" applyFill="1" applyBorder="1" applyAlignment="1">
      <alignment horizontal="center" vertical="center"/>
    </xf>
    <xf numFmtId="0" fontId="288" fillId="16" borderId="171" xfId="0" applyFont="1" applyFill="1" applyBorder="1" applyAlignment="1">
      <alignment horizontal="center" vertical="center"/>
    </xf>
    <xf numFmtId="0" fontId="288" fillId="16" borderId="486" xfId="0" applyFont="1" applyFill="1" applyBorder="1" applyAlignment="1">
      <alignment horizontal="center" vertical="center"/>
    </xf>
    <xf numFmtId="0" fontId="288" fillId="16" borderId="159" xfId="0" applyFont="1" applyFill="1" applyBorder="1" applyAlignment="1">
      <alignment horizontal="center" vertical="center"/>
    </xf>
    <xf numFmtId="0" fontId="445" fillId="16" borderId="169" xfId="0" applyFont="1" applyFill="1" applyBorder="1" applyAlignment="1">
      <alignment horizontal="center" vertical="center"/>
    </xf>
    <xf numFmtId="0" fontId="445" fillId="16" borderId="162" xfId="0" applyFont="1" applyFill="1" applyBorder="1" applyAlignment="1">
      <alignment horizontal="center" vertical="center"/>
    </xf>
    <xf numFmtId="0" fontId="445" fillId="16" borderId="164" xfId="0" applyFont="1" applyFill="1" applyBorder="1" applyAlignment="1">
      <alignment horizontal="center" vertical="center"/>
    </xf>
    <xf numFmtId="0" fontId="19" fillId="0" borderId="472" xfId="0" applyFont="1" applyBorder="1" applyAlignment="1" applyProtection="1">
      <alignment horizontal="center" vertical="center"/>
    </xf>
    <xf numFmtId="0" fontId="19" fillId="0" borderId="21" xfId="0" applyFont="1" applyBorder="1" applyAlignment="1" applyProtection="1">
      <alignment horizontal="center" vertical="center"/>
    </xf>
    <xf numFmtId="0" fontId="19" fillId="0" borderId="473" xfId="0" applyFont="1" applyBorder="1" applyAlignment="1" applyProtection="1">
      <alignment horizontal="center" vertical="center"/>
    </xf>
    <xf numFmtId="0" fontId="19" fillId="0" borderId="168" xfId="0" applyFont="1" applyBorder="1" applyAlignment="1" applyProtection="1">
      <alignment horizontal="center" vertical="center"/>
    </xf>
    <xf numFmtId="0" fontId="19" fillId="0" borderId="167" xfId="0" applyFont="1" applyBorder="1" applyAlignment="1" applyProtection="1">
      <alignment horizontal="center" vertical="center"/>
    </xf>
    <xf numFmtId="0" fontId="348" fillId="20" borderId="18" xfId="0" applyFont="1" applyFill="1" applyBorder="1" applyAlignment="1" applyProtection="1">
      <alignment horizontal="center" vertical="center"/>
    </xf>
    <xf numFmtId="0" fontId="348" fillId="20" borderId="48" xfId="0" applyFont="1" applyFill="1" applyBorder="1" applyAlignment="1" applyProtection="1">
      <alignment horizontal="center" vertical="center"/>
    </xf>
    <xf numFmtId="0" fontId="348" fillId="20" borderId="49" xfId="0" applyFont="1" applyFill="1" applyBorder="1" applyAlignment="1" applyProtection="1">
      <alignment horizontal="center" vertical="center"/>
    </xf>
    <xf numFmtId="0" fontId="348" fillId="20" borderId="47" xfId="0" applyFont="1" applyFill="1" applyBorder="1" applyAlignment="1" applyProtection="1">
      <alignment horizontal="center" vertical="center"/>
    </xf>
    <xf numFmtId="0" fontId="348" fillId="18" borderId="515" xfId="0" applyFont="1" applyFill="1" applyBorder="1" applyAlignment="1" applyProtection="1">
      <alignment horizontal="center" vertical="center"/>
    </xf>
    <xf numFmtId="0" fontId="348" fillId="18" borderId="337" xfId="0" applyFont="1" applyFill="1" applyBorder="1" applyAlignment="1" applyProtection="1">
      <alignment horizontal="center" vertical="center"/>
    </xf>
    <xf numFmtId="0" fontId="270" fillId="51" borderId="167" xfId="0" applyFont="1" applyFill="1" applyBorder="1" applyAlignment="1" applyProtection="1">
      <alignment horizontal="center" vertical="center"/>
    </xf>
    <xf numFmtId="0" fontId="270" fillId="51" borderId="589" xfId="0" applyFont="1" applyFill="1" applyBorder="1" applyAlignment="1" applyProtection="1">
      <alignment horizontal="center" vertical="center"/>
    </xf>
    <xf numFmtId="0" fontId="270" fillId="51" borderId="487" xfId="0" applyFont="1" applyFill="1" applyBorder="1" applyAlignment="1" applyProtection="1">
      <alignment horizontal="center" vertical="center"/>
    </xf>
    <xf numFmtId="0" fontId="19" fillId="0" borderId="47" xfId="0" applyFont="1" applyBorder="1" applyAlignment="1" applyProtection="1">
      <alignment horizontal="left" vertical="center"/>
    </xf>
    <xf numFmtId="0" fontId="19" fillId="0" borderId="48" xfId="0" applyFont="1" applyBorder="1" applyAlignment="1" applyProtection="1">
      <alignment horizontal="left" vertical="center"/>
    </xf>
    <xf numFmtId="0" fontId="279" fillId="42" borderId="47" xfId="0" applyFont="1" applyFill="1" applyBorder="1" applyAlignment="1">
      <alignment horizontal="center" vertical="center" wrapText="1"/>
    </xf>
    <xf numFmtId="0" fontId="279" fillId="42" borderId="48" xfId="0" applyFont="1" applyFill="1" applyBorder="1" applyAlignment="1">
      <alignment horizontal="center" vertical="center" wrapText="1"/>
    </xf>
    <xf numFmtId="0" fontId="279" fillId="42" borderId="49" xfId="0" applyFont="1" applyFill="1" applyBorder="1" applyAlignment="1">
      <alignment horizontal="center" vertical="center" wrapText="1"/>
    </xf>
    <xf numFmtId="0" fontId="449" fillId="42" borderId="22" xfId="1" applyFont="1" applyFill="1" applyBorder="1" applyAlignment="1" applyProtection="1">
      <alignment horizontal="center" vertical="center" wrapText="1"/>
    </xf>
    <xf numFmtId="0" fontId="259" fillId="16" borderId="0" xfId="0" applyFont="1" applyFill="1" applyAlignment="1" applyProtection="1">
      <alignment horizontal="center"/>
    </xf>
    <xf numFmtId="0" fontId="128" fillId="16" borderId="301" xfId="0" applyFont="1" applyFill="1" applyBorder="1" applyAlignment="1" applyProtection="1">
      <alignment vertical="center"/>
      <protection locked="0"/>
    </xf>
  </cellXfs>
  <cellStyles count="8">
    <cellStyle name="Hipervínculo" xfId="1" builtinId="8"/>
    <cellStyle name="Millares" xfId="4" builtinId="3"/>
    <cellStyle name="Normal" xfId="0" builtinId="0"/>
    <cellStyle name="Normal 2" xfId="3"/>
    <cellStyle name="Normal 3" xfId="5"/>
    <cellStyle name="Normal 4" xfId="7"/>
    <cellStyle name="Normal_Hoja1" xfId="2"/>
    <cellStyle name="Texto explicativo" xfId="6" builtinId="53"/>
  </cellStyles>
  <dxfs count="980">
    <dxf>
      <font>
        <color theme="0" tint="-0.14996795556505021"/>
      </font>
    </dxf>
    <dxf>
      <font>
        <color rgb="FFFFFF99"/>
      </font>
    </dxf>
    <dxf>
      <font>
        <color theme="0"/>
      </font>
    </dxf>
    <dxf>
      <font>
        <color theme="2" tint="-9.9948118533890809E-2"/>
      </font>
    </dxf>
    <dxf>
      <font>
        <color theme="2" tint="-9.9948118533890809E-2"/>
      </font>
    </dxf>
    <dxf>
      <font>
        <color theme="2" tint="-9.9948118533890809E-2"/>
      </font>
    </dxf>
    <dxf>
      <font>
        <color theme="2" tint="-9.9948118533890809E-2"/>
      </font>
    </dxf>
    <dxf>
      <font>
        <color theme="0"/>
      </font>
    </dxf>
    <dxf>
      <font>
        <color theme="0"/>
      </font>
    </dxf>
    <dxf>
      <font>
        <color theme="0"/>
      </font>
    </dxf>
    <dxf>
      <font>
        <color rgb="FFCCFFCC"/>
      </font>
    </dxf>
    <dxf>
      <font>
        <color rgb="FFCCFFCC"/>
      </font>
      <fill>
        <patternFill>
          <bgColor rgb="FFCCFFCC"/>
        </patternFill>
      </fill>
    </dxf>
    <dxf>
      <font>
        <color theme="9" tint="0.79998168889431442"/>
      </font>
    </dxf>
    <dxf>
      <font>
        <color auto="1"/>
      </font>
    </dxf>
    <dxf>
      <font>
        <color theme="9" tint="0.79998168889431442"/>
      </font>
    </dxf>
    <dxf>
      <font>
        <color theme="0"/>
      </font>
    </dxf>
    <dxf>
      <font>
        <color theme="0"/>
      </font>
    </dxf>
    <dxf>
      <font>
        <color theme="0"/>
      </font>
    </dxf>
    <dxf>
      <font>
        <color theme="0"/>
      </font>
      <fill>
        <patternFill patternType="none">
          <bgColor indexed="65"/>
        </patternFill>
      </fill>
    </dxf>
    <dxf>
      <font>
        <color theme="0"/>
      </font>
    </dxf>
    <dxf>
      <fill>
        <patternFill>
          <bgColor rgb="FFDDDDDD"/>
        </patternFill>
      </fill>
    </dxf>
    <dxf>
      <font>
        <color theme="0"/>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fill>
        <patternFill patternType="none">
          <bgColor indexed="65"/>
        </patternFill>
      </fill>
    </dxf>
    <dxf>
      <font>
        <color theme="0"/>
      </font>
    </dxf>
    <dxf>
      <fill>
        <patternFill>
          <bgColor rgb="FFDDDDDD"/>
        </patternFill>
      </fill>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lor rgb="FF0000CC"/>
      </font>
    </dxf>
    <dxf>
      <font>
        <color rgb="FFFF000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34998626667073579"/>
      </font>
    </dxf>
    <dxf>
      <font>
        <color rgb="FFB6B6B6"/>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tint="-0.34998626667073579"/>
      </font>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ont>
        <condense val="0"/>
        <extend val="0"/>
        <color indexed="9"/>
      </font>
    </dxf>
    <dxf>
      <fill>
        <patternFill>
          <bgColor rgb="FFFF00FF"/>
        </patternFill>
      </fill>
    </dxf>
    <dxf>
      <fill>
        <patternFill>
          <bgColor rgb="FFFF00FF"/>
        </patternFill>
      </fill>
    </dxf>
    <dxf>
      <font>
        <color theme="0"/>
      </font>
      <fill>
        <patternFill patternType="none">
          <bgColor auto="1"/>
        </patternFill>
      </fill>
    </dxf>
    <dxf>
      <fill>
        <patternFill>
          <bgColor indexed="14"/>
        </patternFill>
      </fill>
    </dxf>
    <dxf>
      <font>
        <condense val="0"/>
        <extend val="0"/>
        <color indexed="9"/>
      </font>
      <fill>
        <patternFill patternType="none">
          <bgColor indexed="65"/>
        </patternFill>
      </fill>
    </dxf>
    <dxf>
      <fill>
        <patternFill>
          <bgColor indexed="14"/>
        </patternFill>
      </fill>
    </dxf>
    <dxf>
      <font>
        <condense val="0"/>
        <extend val="0"/>
        <color indexed="9"/>
      </font>
    </dxf>
    <dxf>
      <fill>
        <patternFill>
          <bgColor indexed="14"/>
        </patternFill>
      </fill>
    </dxf>
    <dxf>
      <font>
        <condense val="0"/>
        <extend val="0"/>
        <color indexed="9"/>
      </font>
    </dxf>
    <dxf>
      <fill>
        <patternFill>
          <bgColor rgb="FFFF00FF"/>
        </patternFill>
      </fill>
    </dxf>
    <dxf>
      <fill>
        <patternFill>
          <bgColor indexed="14"/>
        </patternFill>
      </fill>
    </dxf>
    <dxf>
      <font>
        <condense val="0"/>
        <extend val="0"/>
        <color indexed="9"/>
      </font>
    </dxf>
    <dxf>
      <fill>
        <patternFill>
          <bgColor rgb="FFFF00FF"/>
        </patternFill>
      </fill>
    </dxf>
    <dxf>
      <fill>
        <patternFill>
          <bgColor rgb="FFFF00FF"/>
        </patternFill>
      </fill>
    </dxf>
    <dxf>
      <fill>
        <patternFill>
          <bgColor indexed="14"/>
        </patternFill>
      </fill>
    </dxf>
    <dxf>
      <font>
        <condense val="0"/>
        <extend val="0"/>
        <color indexed="9"/>
      </font>
    </dxf>
    <dxf>
      <fill>
        <patternFill>
          <bgColor indexed="14"/>
        </patternFill>
      </fill>
    </dxf>
    <dxf>
      <font>
        <condense val="0"/>
        <extend val="0"/>
        <color indexed="9"/>
      </font>
    </dxf>
    <dxf>
      <font>
        <color rgb="FFB6B6B6"/>
      </font>
    </dxf>
    <dxf>
      <fill>
        <patternFill>
          <bgColor rgb="FFFF00FF"/>
        </patternFill>
      </fill>
    </dxf>
    <dxf>
      <fill>
        <patternFill>
          <bgColor rgb="FFFF00FF"/>
        </patternFill>
      </fill>
    </dxf>
    <dxf>
      <fill>
        <patternFill>
          <bgColor rgb="FFFF00FF"/>
        </patternFill>
      </fill>
    </dxf>
    <dxf>
      <font>
        <condense val="0"/>
        <extend val="0"/>
        <color indexed="9"/>
      </font>
    </dxf>
    <dxf>
      <font>
        <color theme="0"/>
        <name val="Cambria"/>
        <scheme val="none"/>
      </font>
      <fill>
        <patternFill patternType="none">
          <bgColor indexed="65"/>
        </patternFill>
      </fill>
    </dxf>
    <dxf>
      <font>
        <color theme="0"/>
      </font>
    </dxf>
    <dxf>
      <fill>
        <patternFill>
          <bgColor indexed="14"/>
        </patternFill>
      </fill>
    </dxf>
    <dxf>
      <font>
        <condense val="0"/>
        <extend val="0"/>
        <color indexed="9"/>
      </font>
    </dxf>
    <dxf>
      <fill>
        <patternFill>
          <bgColor indexed="14"/>
        </patternFill>
      </fill>
    </dxf>
    <dxf>
      <font>
        <condense val="0"/>
        <extend val="0"/>
        <color indexed="9"/>
      </font>
    </dxf>
    <dxf>
      <fill>
        <patternFill patternType="none">
          <bgColor indexed="65"/>
        </patternFill>
      </fill>
    </dxf>
    <dxf>
      <font>
        <condense val="0"/>
        <extend val="0"/>
        <color indexed="9"/>
      </font>
    </dxf>
    <dxf>
      <font>
        <color theme="0"/>
        <name val="Cambria"/>
        <scheme val="none"/>
      </font>
      <fill>
        <patternFill patternType="none">
          <bgColor indexed="65"/>
        </patternFill>
      </fill>
    </dxf>
    <dxf>
      <font>
        <condense val="0"/>
        <extend val="0"/>
        <color indexed="9"/>
      </font>
      <fill>
        <patternFill patternType="none">
          <fgColor indexed="64"/>
          <bgColor indexed="65"/>
        </patternFill>
      </fill>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ont>
        <condense val="0"/>
        <extend val="0"/>
        <color indexed="9"/>
      </font>
      <fill>
        <patternFill patternType="none">
          <bgColor indexed="65"/>
        </patternFill>
      </fill>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ill>
        <patternFill>
          <bgColor indexed="14"/>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i val="0"/>
        <color auto="1"/>
      </font>
    </dxf>
    <dxf>
      <font>
        <b/>
        <i val="0"/>
        <color rgb="FFFF0000"/>
      </font>
    </dxf>
    <dxf>
      <font>
        <b/>
        <i val="0"/>
        <color rgb="FF0000CC"/>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tint="-0.34998626667073579"/>
      </font>
    </dxf>
    <dxf>
      <font>
        <color rgb="FFB6B6B6"/>
      </font>
    </dxf>
    <dxf>
      <font>
        <color theme="0"/>
      </font>
    </dxf>
    <dxf>
      <font>
        <color theme="0"/>
      </font>
    </dxf>
    <dxf>
      <font>
        <color theme="0"/>
      </font>
    </dxf>
    <dxf>
      <font>
        <color theme="0"/>
      </font>
      <fill>
        <patternFill patternType="none">
          <bgColor auto="1"/>
        </patternFill>
      </fill>
    </dxf>
    <dxf>
      <font>
        <color theme="0" tint="-0.34998626667073579"/>
      </font>
    </dxf>
    <dxf>
      <font>
        <color auto="1"/>
      </font>
    </dxf>
    <dxf>
      <font>
        <color theme="0"/>
      </font>
    </dxf>
    <dxf>
      <font>
        <color theme="0" tint="-0.14996795556505021"/>
      </font>
    </dxf>
    <dxf>
      <font>
        <color theme="0"/>
      </font>
    </dxf>
    <dxf>
      <font>
        <color theme="0"/>
      </font>
    </dxf>
    <dxf>
      <font>
        <color theme="0" tint="-0.14996795556505021"/>
      </font>
    </dxf>
    <dxf>
      <font>
        <color theme="0"/>
      </font>
    </dxf>
    <dxf>
      <font>
        <color theme="0" tint="-0.14996795556505021"/>
      </font>
    </dxf>
    <dxf>
      <font>
        <color theme="0"/>
      </font>
    </dxf>
    <dxf>
      <font>
        <color theme="0"/>
      </font>
    </dxf>
    <dxf>
      <font>
        <color theme="0"/>
      </font>
    </dxf>
    <dxf>
      <fill>
        <patternFill>
          <bgColor indexed="14"/>
        </patternFill>
      </fill>
    </dxf>
    <dxf>
      <font>
        <condense val="0"/>
        <extend val="0"/>
        <color indexed="45"/>
      </font>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bgColor indexed="45"/>
        </patternFill>
      </fill>
    </dxf>
    <dxf>
      <fill>
        <patternFill patternType="none">
          <bgColor auto="1"/>
        </patternFill>
      </fill>
    </dxf>
    <dxf>
      <font>
        <condense val="0"/>
        <extend val="0"/>
        <color indexed="8"/>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ill>
        <patternFill patternType="solid">
          <bgColor indexed="14"/>
        </patternFill>
      </fill>
    </dxf>
    <dxf>
      <fill>
        <patternFill>
          <bgColor indexed="45"/>
        </patternFill>
      </fill>
    </dxf>
    <dxf>
      <font>
        <condense val="0"/>
        <extend val="0"/>
        <color indexed="8"/>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ill>
        <patternFill>
          <bgColor indexed="14"/>
        </patternFill>
      </fill>
    </dxf>
    <dxf>
      <font>
        <condense val="0"/>
        <extend val="0"/>
        <color indexed="9"/>
      </font>
      <fill>
        <patternFill>
          <bgColor indexed="45"/>
        </patternFill>
      </fill>
    </dxf>
    <dxf>
      <fill>
        <patternFill>
          <bgColor indexed="45"/>
        </patternFill>
      </fill>
    </dxf>
    <dxf>
      <font>
        <condense val="0"/>
        <extend val="0"/>
        <color indexed="8"/>
      </font>
    </dxf>
    <dxf>
      <font>
        <condense val="0"/>
        <extend val="0"/>
        <color indexed="8"/>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lor theme="0"/>
      </font>
    </dxf>
    <dxf>
      <font>
        <color theme="0"/>
      </font>
    </dxf>
    <dxf>
      <font>
        <color theme="0"/>
      </font>
    </dxf>
    <dxf>
      <font>
        <color theme="0"/>
      </font>
    </dxf>
    <dxf>
      <font>
        <color theme="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theme="0"/>
      </font>
    </dxf>
    <dxf>
      <font>
        <condense val="0"/>
        <extend val="0"/>
        <color indexed="55"/>
      </font>
    </dxf>
    <dxf>
      <font>
        <condense val="0"/>
        <extend val="0"/>
        <color indexed="9"/>
      </font>
    </dxf>
    <dxf>
      <font>
        <color theme="0"/>
      </font>
    </dxf>
    <dxf>
      <font>
        <color theme="0"/>
      </font>
    </dxf>
    <dxf>
      <font>
        <color theme="0"/>
      </font>
    </dxf>
    <dxf>
      <font>
        <color theme="0"/>
      </font>
    </dxf>
    <dxf>
      <font>
        <strike val="0"/>
        <color theme="0"/>
      </font>
    </dxf>
    <dxf>
      <font>
        <condense val="0"/>
        <extend val="0"/>
        <color indexed="9"/>
      </font>
    </dxf>
    <dxf>
      <font>
        <color rgb="FFCCFFCC"/>
      </font>
      <fill>
        <patternFill>
          <bgColor rgb="FFCCFFCC"/>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color rgb="FFFFFFCC"/>
      </font>
    </dxf>
    <dxf>
      <fill>
        <patternFill patternType="none">
          <bgColor indexed="65"/>
        </patternFill>
      </fill>
    </dxf>
    <dxf>
      <font>
        <color rgb="FF99FFCC"/>
      </font>
      <fill>
        <patternFill>
          <bgColor rgb="FFCCFFCC"/>
        </patternFill>
      </fill>
    </dxf>
    <dxf>
      <font>
        <color rgb="FFCCFFCC"/>
      </font>
      <fill>
        <patternFill>
          <bgColor rgb="FFCCFFCC"/>
        </patternFill>
      </fill>
    </dxf>
    <dxf>
      <fill>
        <patternFill>
          <bgColor rgb="FFCCFFCC"/>
        </patternFill>
      </fill>
    </dxf>
    <dxf>
      <font>
        <color theme="0"/>
      </font>
    </dxf>
    <dxf>
      <font>
        <b/>
        <i val="0"/>
        <condense val="0"/>
        <extend val="0"/>
        <u val="none"/>
        <color indexed="12"/>
      </font>
      <fill>
        <patternFill patternType="none">
          <fgColor indexed="64"/>
          <bgColor indexed="65"/>
        </patternFill>
      </fill>
    </dxf>
    <dxf>
      <font>
        <condense val="0"/>
        <extend val="0"/>
        <color rgb="FF9C0006"/>
      </font>
      <fill>
        <patternFill>
          <bgColor rgb="FFFFC7CE"/>
        </patternFill>
      </fill>
    </dxf>
    <dxf>
      <font>
        <color theme="0"/>
      </font>
    </dxf>
    <dxf>
      <font>
        <color rgb="FFCCFFCC"/>
      </font>
      <fill>
        <patternFill>
          <bgColor rgb="FFCCFFCC"/>
        </patternFill>
      </fill>
    </dxf>
    <dxf>
      <font>
        <color theme="0"/>
      </font>
    </dxf>
    <dxf>
      <font>
        <condense val="0"/>
        <extend val="0"/>
        <color indexed="9"/>
      </font>
    </dxf>
    <dxf>
      <font>
        <condense val="0"/>
        <extend val="0"/>
        <color indexed="9"/>
      </font>
    </dxf>
    <dxf>
      <font>
        <b/>
        <i val="0"/>
        <condense val="0"/>
        <extend val="0"/>
        <u val="none"/>
        <color indexed="12"/>
      </font>
      <fill>
        <patternFill patternType="none">
          <fgColor indexed="64"/>
          <bgColor indexed="65"/>
        </patternFill>
      </fill>
    </dxf>
    <dxf>
      <font>
        <condense val="0"/>
        <extend val="0"/>
        <color indexed="43"/>
      </font>
    </dxf>
    <dxf>
      <font>
        <condense val="0"/>
        <extend val="0"/>
        <color indexed="9"/>
      </font>
      <fill>
        <patternFill patternType="lightTrellis">
          <fgColor indexed="9"/>
          <bgColor indexed="9"/>
        </patternFill>
      </fill>
    </dxf>
    <dxf>
      <font>
        <condense val="0"/>
        <extend val="0"/>
        <u val="none"/>
        <color indexed="9"/>
      </font>
      <fill>
        <patternFill patternType="solid">
          <bgColor indexed="9"/>
        </patternFill>
      </fill>
    </dxf>
    <dxf>
      <font>
        <condense val="0"/>
        <extend val="0"/>
        <color indexed="9"/>
      </font>
    </dxf>
    <dxf>
      <fill>
        <patternFill>
          <bgColor indexed="9"/>
        </patternFill>
      </fill>
    </dxf>
    <dxf>
      <font>
        <b val="0"/>
        <i val="0"/>
        <strike val="0"/>
        <condense val="0"/>
        <extend val="0"/>
        <u val="none"/>
        <color auto="1"/>
      </font>
      <fill>
        <patternFill patternType="none">
          <fgColor indexed="64"/>
          <bgColor indexed="65"/>
        </patternFill>
      </fill>
    </dxf>
    <dxf>
      <fill>
        <patternFill>
          <bgColor indexed="9"/>
        </patternFill>
      </fill>
    </dxf>
    <dxf>
      <font>
        <b/>
        <i val="0"/>
        <strike val="0"/>
        <condense val="0"/>
        <extend val="0"/>
        <u val="none"/>
        <color indexed="12"/>
      </font>
      <fill>
        <patternFill patternType="none">
          <fgColor indexed="64"/>
          <bgColor indexed="65"/>
        </patternFill>
      </fill>
    </dxf>
    <dxf>
      <font>
        <b/>
        <i val="0"/>
        <condense val="0"/>
        <extend val="0"/>
        <u val="none"/>
        <color indexed="12"/>
      </font>
      <fill>
        <patternFill patternType="none">
          <fgColor indexed="64"/>
          <bgColor indexed="65"/>
        </patternFill>
      </fill>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fill>
        <patternFill>
          <bgColor rgb="FFCCFFCC"/>
        </patternFill>
      </fill>
    </dxf>
    <dxf>
      <font>
        <color theme="0"/>
      </font>
    </dxf>
    <dxf>
      <font>
        <color theme="0"/>
      </font>
      <fill>
        <patternFill patternType="none">
          <bgColor auto="1"/>
        </patternFill>
      </fill>
    </dxf>
    <dxf>
      <font>
        <color theme="0"/>
      </font>
    </dxf>
    <dxf>
      <font>
        <condense val="0"/>
        <extend val="0"/>
        <color indexed="9"/>
      </font>
    </dxf>
    <dxf>
      <font>
        <color theme="0"/>
      </font>
    </dxf>
    <dxf>
      <font>
        <color theme="0"/>
      </font>
    </dxf>
    <dxf>
      <font>
        <color theme="0"/>
      </font>
    </dxf>
    <dxf>
      <font>
        <color theme="0"/>
      </font>
    </dxf>
    <dxf>
      <font>
        <condense val="0"/>
        <extend val="0"/>
        <color indexed="9"/>
      </font>
    </dxf>
    <dxf>
      <font>
        <color theme="0"/>
      </font>
    </dxf>
    <dxf>
      <font>
        <color theme="0"/>
      </font>
    </dxf>
    <dxf>
      <font>
        <color theme="0"/>
      </font>
    </dxf>
    <dxf>
      <font>
        <color theme="0"/>
      </font>
      <fill>
        <patternFill patternType="none">
          <bgColor indexed="65"/>
        </patternFill>
      </fill>
    </dxf>
    <dxf>
      <font>
        <color theme="0"/>
      </font>
    </dxf>
    <dxf>
      <font>
        <condense val="0"/>
        <extend val="0"/>
        <color rgb="FF9C0006"/>
      </font>
      <fill>
        <patternFill>
          <bgColor rgb="FFFFC7CE"/>
        </patternFill>
      </fill>
    </dxf>
    <dxf>
      <font>
        <color theme="0"/>
      </font>
    </dxf>
    <dxf>
      <font>
        <condense val="0"/>
        <extend val="0"/>
        <color indexed="9"/>
      </font>
    </dxf>
    <dxf>
      <font>
        <color theme="0"/>
      </font>
    </dxf>
    <dxf>
      <font>
        <b/>
        <i val="0"/>
        <color rgb="FF33CC33"/>
      </font>
    </dxf>
    <dxf>
      <font>
        <b/>
        <i val="0"/>
        <color rgb="FF008000"/>
      </font>
    </dxf>
    <dxf>
      <font>
        <color rgb="FFFF0000"/>
      </font>
    </dxf>
    <dxf>
      <font>
        <color rgb="FF0000CC"/>
      </font>
    </dxf>
    <dxf>
      <font>
        <color rgb="FFCC0000"/>
      </font>
    </dxf>
    <dxf>
      <font>
        <color rgb="FF0066FF"/>
      </font>
    </dxf>
    <dxf>
      <font>
        <color theme="0"/>
      </font>
    </dxf>
    <dxf>
      <font>
        <color theme="0"/>
      </font>
    </dxf>
    <dxf>
      <font>
        <color theme="0"/>
      </font>
    </dxf>
    <dxf>
      <font>
        <color theme="0" tint="-4.9989318521683403E-2"/>
      </font>
    </dxf>
    <dxf>
      <font>
        <color theme="0" tint="-4.9989318521683403E-2"/>
      </font>
    </dxf>
    <dxf>
      <font>
        <color theme="0"/>
      </font>
    </dxf>
    <dxf>
      <font>
        <color theme="0"/>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fill>
        <patternFill patternType="none">
          <bgColor indexed="65"/>
        </patternFill>
      </fill>
    </dxf>
    <dxf>
      <font>
        <color theme="0"/>
      </font>
    </dxf>
    <dxf>
      <font>
        <condense val="0"/>
        <extend val="0"/>
        <color indexed="9"/>
      </font>
    </dxf>
    <dxf>
      <font>
        <condense val="0"/>
        <extend val="0"/>
        <color indexed="9"/>
      </font>
    </dxf>
    <dxf>
      <font>
        <color theme="0"/>
      </font>
    </dxf>
    <dxf>
      <font>
        <color theme="0"/>
      </font>
    </dxf>
    <dxf>
      <font>
        <condense val="0"/>
        <extend val="0"/>
        <color indexed="9"/>
      </font>
    </dxf>
    <dxf>
      <font>
        <color theme="0"/>
      </font>
    </dxf>
    <dxf>
      <font>
        <color theme="0"/>
      </font>
    </dxf>
    <dxf>
      <font>
        <color theme="0"/>
      </font>
    </dxf>
    <dxf>
      <font>
        <color theme="0"/>
      </font>
    </dxf>
    <dxf>
      <font>
        <color theme="0"/>
      </font>
    </dxf>
    <dxf>
      <font>
        <color theme="0"/>
      </font>
    </dxf>
    <dxf>
      <font>
        <color theme="0"/>
      </font>
    </dxf>
    <dxf>
      <font>
        <color auto="1"/>
      </font>
    </dxf>
    <dxf>
      <font>
        <color theme="0"/>
      </font>
      <fill>
        <patternFill patternType="none">
          <bgColor indexed="65"/>
        </patternFill>
      </fill>
    </dxf>
    <dxf>
      <font>
        <color theme="0"/>
      </font>
    </dxf>
    <dxf>
      <font>
        <color auto="1"/>
      </font>
    </dxf>
    <dxf>
      <font>
        <color theme="0"/>
      </font>
    </dxf>
    <dxf>
      <font>
        <condense val="0"/>
        <extend val="0"/>
        <color indexed="9"/>
      </font>
    </dxf>
    <dxf>
      <font>
        <condense val="0"/>
        <extend val="0"/>
        <color indexed="9"/>
      </font>
    </dxf>
    <dxf>
      <font>
        <color theme="0"/>
      </font>
    </dxf>
    <dxf>
      <font>
        <color theme="0"/>
      </font>
    </dxf>
    <dxf>
      <font>
        <color theme="0"/>
      </font>
    </dxf>
    <dxf>
      <font>
        <condense val="0"/>
        <extend val="0"/>
        <color indexed="9"/>
      </font>
    </dxf>
    <dxf>
      <font>
        <color theme="0" tint="-0.14996795556505021"/>
      </font>
    </dxf>
    <dxf>
      <font>
        <color rgb="FFFF0000"/>
      </font>
    </dxf>
    <dxf>
      <font>
        <color rgb="FF0000CC"/>
      </font>
    </dxf>
    <dxf>
      <font>
        <color rgb="FF0000CC"/>
      </font>
    </dxf>
    <dxf>
      <font>
        <color rgb="FFFF0000"/>
      </font>
    </dxf>
    <dxf>
      <font>
        <color theme="0"/>
      </font>
    </dxf>
    <dxf>
      <font>
        <color theme="0" tint="-0.14996795556505021"/>
      </font>
    </dxf>
    <dxf>
      <font>
        <color theme="0" tint="-0.14996795556505021"/>
      </font>
    </dxf>
    <dxf>
      <font>
        <color theme="0" tint="-0.14996795556505021"/>
      </font>
    </dxf>
    <dxf>
      <font>
        <color theme="0" tint="-0.14996795556505021"/>
      </font>
    </dxf>
    <dxf>
      <font>
        <color theme="0" tint="-0.14996795556505021"/>
      </font>
    </dxf>
    <dxf>
      <font>
        <color theme="0" tint="-0.34998626667073579"/>
      </font>
    </dxf>
    <dxf>
      <font>
        <color theme="0" tint="-0.34998626667073579"/>
      </font>
    </dxf>
    <dxf>
      <font>
        <color theme="0" tint="-0.34998626667073579"/>
      </font>
    </dxf>
    <dxf>
      <font>
        <color theme="0" tint="-0.34998626667073579"/>
      </font>
    </dxf>
    <dxf>
      <font>
        <color theme="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2"/>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tint="-0.34998626667073579"/>
      </font>
    </dxf>
    <dxf>
      <font>
        <color theme="0"/>
      </font>
    </dxf>
    <dxf>
      <font>
        <color theme="0" tint="-0.34998626667073579"/>
      </font>
    </dxf>
    <dxf>
      <font>
        <color theme="0" tint="-0.34998626667073579"/>
      </font>
    </dxf>
    <dxf>
      <font>
        <color theme="0"/>
      </font>
    </dxf>
    <dxf>
      <font>
        <color theme="0" tint="-0.34998626667073579"/>
      </font>
    </dxf>
    <dxf>
      <font>
        <color theme="0" tint="-0.34998626667073579"/>
      </font>
    </dxf>
    <dxf>
      <font>
        <color theme="0"/>
      </font>
    </dxf>
    <dxf>
      <font>
        <color theme="0" tint="-0.34998626667073579"/>
      </font>
    </dxf>
    <dxf>
      <font>
        <color theme="0" tint="-0.34998626667073579"/>
      </font>
    </dxf>
    <dxf>
      <font>
        <color theme="0"/>
      </font>
    </dxf>
    <dxf>
      <font>
        <color theme="0" tint="-0.34998626667073579"/>
      </font>
    </dxf>
    <dxf>
      <font>
        <color theme="0" tint="-0.34998626667073579"/>
      </font>
    </dxf>
    <dxf>
      <font>
        <color theme="0"/>
      </font>
    </dxf>
    <dxf>
      <font>
        <color theme="0" tint="-0.34998626667073579"/>
      </font>
    </dxf>
    <dxf>
      <font>
        <color theme="0"/>
      </font>
    </dxf>
    <dxf>
      <font>
        <color theme="0" tint="-0.34998626667073579"/>
      </font>
    </dxf>
    <dxf>
      <font>
        <color theme="0" tint="-0.34998626667073579"/>
      </font>
    </dxf>
    <dxf>
      <font>
        <color theme="0"/>
      </font>
    </dxf>
    <dxf>
      <font>
        <color theme="0" tint="-0.34998626667073579"/>
      </font>
    </dxf>
    <dxf>
      <font>
        <color theme="0"/>
      </font>
    </dxf>
    <dxf>
      <font>
        <color theme="0" tint="-0.34998626667073579"/>
      </font>
    </dxf>
    <dxf>
      <font>
        <color theme="0"/>
      </font>
    </dxf>
    <dxf>
      <font>
        <color theme="0" tint="-0.34998626667073579"/>
      </font>
    </dxf>
    <dxf>
      <font>
        <color theme="0" tint="-0.24994659260841701"/>
      </font>
    </dxf>
    <dxf>
      <font>
        <color theme="0" tint="-0.34998626667073579"/>
      </font>
    </dxf>
    <dxf>
      <font>
        <color theme="0"/>
      </font>
    </dxf>
    <dxf>
      <font>
        <color theme="0" tint="-0.34998626667073579"/>
      </font>
    </dxf>
    <dxf>
      <font>
        <color theme="0"/>
      </font>
    </dxf>
    <dxf>
      <font>
        <color theme="0"/>
      </font>
    </dxf>
    <dxf>
      <font>
        <color theme="0" tint="-0.34998626667073579"/>
      </font>
    </dxf>
    <dxf>
      <font>
        <color theme="0"/>
      </font>
    </dxf>
    <dxf>
      <font>
        <color theme="0" tint="-0.34998626667073579"/>
      </font>
    </dxf>
    <dxf>
      <font>
        <color theme="0"/>
      </font>
    </dxf>
    <dxf>
      <font>
        <b/>
        <i val="0"/>
        <color rgb="FF008000"/>
      </font>
      <fill>
        <patternFill patternType="none">
          <bgColor auto="1"/>
        </patternFill>
      </fill>
    </dxf>
    <dxf>
      <font>
        <b/>
        <i val="0"/>
        <color rgb="FFC00000"/>
      </font>
      <fill>
        <patternFill patternType="none">
          <bgColor auto="1"/>
        </patternFill>
      </fill>
    </dxf>
    <dxf>
      <font>
        <b/>
        <i val="0"/>
        <color theme="1" tint="0.34998626667073579"/>
      </font>
      <fill>
        <patternFill patternType="none">
          <bgColor auto="1"/>
        </patternFill>
      </fill>
    </dxf>
    <dxf>
      <fill>
        <patternFill>
          <bgColor rgb="FFCCFFCC"/>
        </patternFill>
      </fill>
    </dxf>
    <dxf>
      <font>
        <color theme="0"/>
      </font>
    </dxf>
    <dxf>
      <font>
        <color theme="0" tint="-0.34998626667073579"/>
      </font>
    </dxf>
    <dxf>
      <font>
        <color theme="0"/>
      </font>
    </dxf>
    <dxf>
      <font>
        <b/>
        <i val="0"/>
        <condense val="0"/>
        <extend val="0"/>
        <color indexed="10"/>
      </font>
    </dxf>
    <dxf>
      <font>
        <b/>
        <i val="0"/>
        <condense val="0"/>
        <extend val="0"/>
        <color indexed="52"/>
      </font>
    </dxf>
    <dxf>
      <font>
        <b/>
        <i val="0"/>
        <condense val="0"/>
        <extend val="0"/>
        <color indexed="17"/>
      </font>
    </dxf>
    <dxf>
      <font>
        <condense val="0"/>
        <extend val="0"/>
        <color indexed="9"/>
      </font>
    </dxf>
  </dxfs>
  <tableStyles count="0" defaultTableStyle="TableStyleMedium9" defaultPivotStyle="PivotStyleLight16"/>
  <colors>
    <mruColors>
      <color rgb="FFFFFF99"/>
      <color rgb="FF0000CC"/>
      <color rgb="FF66FF66"/>
      <color rgb="FFFF0000"/>
      <color rgb="FFE0E0E0"/>
      <color rgb="FFCBCBCB"/>
      <color rgb="FFD9D9D9"/>
      <color rgb="FF008000"/>
      <color rgb="FFE4DFEC"/>
      <color rgb="FF2A63A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2.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5.xml"/><Relationship Id="rId47"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1.xml"/><Relationship Id="rId46"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externalLink" Target="externalLinks/externalLink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3.xml"/><Relationship Id="rId45" Type="http://schemas.openxmlformats.org/officeDocument/2006/relationships/externalLink" Target="externalLinks/externalLink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externalLink" Target="externalLinks/externalLink7.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6.xml"/><Relationship Id="rId48" Type="http://schemas.openxmlformats.org/officeDocument/2006/relationships/sharedStrings" Target="sharedStrings.xml"/><Relationship Id="rId8" Type="http://schemas.openxmlformats.org/officeDocument/2006/relationships/worksheet" Target="worksheets/sheet8.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s-MX"/>
  <c:roundedCorners val="0"/>
  <mc:AlternateContent xmlns:mc="http://schemas.openxmlformats.org/markup-compatibility/2006">
    <mc:Choice xmlns:c14="http://schemas.microsoft.com/office/drawing/2007/8/2/chart" Requires="c14">
      <c14:style val="132"/>
    </mc:Choice>
    <mc:Fallback>
      <c:style val="32"/>
    </mc:Fallback>
  </mc:AlternateContent>
  <c:chart>
    <c:autoTitleDeleted val="0"/>
    <c:plotArea>
      <c:layout/>
      <c:barChart>
        <c:barDir val="col"/>
        <c:grouping val="clustered"/>
        <c:varyColors val="0"/>
        <c:ser>
          <c:idx val="0"/>
          <c:order val="0"/>
          <c:invertIfNegative val="0"/>
          <c:val>
            <c:numRef>
              <c:f>Graficas!$AD$2:$AD$26</c:f>
              <c:numCache>
                <c:formatCode>0.0</c:formatCode>
                <c:ptCount val="25"/>
                <c:pt idx="0">
                  <c:v>7.2</c:v>
                </c:pt>
                <c:pt idx="1">
                  <c:v>6.8</c:v>
                </c:pt>
                <c:pt idx="2">
                  <c:v>6.9</c:v>
                </c:pt>
                <c:pt idx="3">
                  <c:v>7.6</c:v>
                </c:pt>
                <c:pt idx="4">
                  <c:v>6.1</c:v>
                </c:pt>
                <c:pt idx="5">
                  <c:v>6.8</c:v>
                </c:pt>
                <c:pt idx="6">
                  <c:v>6.8</c:v>
                </c:pt>
                <c:pt idx="7">
                  <c:v>6.2</c:v>
                </c:pt>
                <c:pt idx="8">
                  <c:v>6</c:v>
                </c:pt>
                <c:pt idx="9">
                  <c:v>6</c:v>
                </c:pt>
                <c:pt idx="10">
                  <c:v>6.9</c:v>
                </c:pt>
                <c:pt idx="11">
                  <c:v>7</c:v>
                </c:pt>
                <c:pt idx="12">
                  <c:v>6.69</c:v>
                </c:pt>
                <c:pt idx="13">
                  <c:v>6.4</c:v>
                </c:pt>
                <c:pt idx="14">
                  <c:v>0</c:v>
                </c:pt>
                <c:pt idx="15">
                  <c:v>0</c:v>
                </c:pt>
                <c:pt idx="16">
                  <c:v>0</c:v>
                </c:pt>
                <c:pt idx="17">
                  <c:v>0</c:v>
                </c:pt>
                <c:pt idx="18">
                  <c:v>0</c:v>
                </c:pt>
                <c:pt idx="19">
                  <c:v>0</c:v>
                </c:pt>
                <c:pt idx="20">
                  <c:v>0</c:v>
                </c:pt>
                <c:pt idx="21">
                  <c:v>0</c:v>
                </c:pt>
                <c:pt idx="22">
                  <c:v>0</c:v>
                </c:pt>
                <c:pt idx="23">
                  <c:v>0</c:v>
                </c:pt>
                <c:pt idx="24">
                  <c:v>0</c:v>
                </c:pt>
              </c:numCache>
            </c:numRef>
          </c:val>
        </c:ser>
        <c:dLbls>
          <c:showLegendKey val="0"/>
          <c:showVal val="0"/>
          <c:showCatName val="0"/>
          <c:showSerName val="0"/>
          <c:showPercent val="0"/>
          <c:showBubbleSize val="0"/>
        </c:dLbls>
        <c:gapWidth val="150"/>
        <c:axId val="246470528"/>
        <c:axId val="246472064"/>
      </c:barChart>
      <c:catAx>
        <c:axId val="246470528"/>
        <c:scaling>
          <c:orientation val="minMax"/>
        </c:scaling>
        <c:delete val="1"/>
        <c:axPos val="b"/>
        <c:majorTickMark val="out"/>
        <c:minorTickMark val="none"/>
        <c:tickLblPos val="nextTo"/>
        <c:crossAx val="246472064"/>
        <c:crosses val="autoZero"/>
        <c:auto val="1"/>
        <c:lblAlgn val="ctr"/>
        <c:lblOffset val="100"/>
        <c:noMultiLvlLbl val="0"/>
      </c:catAx>
      <c:valAx>
        <c:axId val="246472064"/>
        <c:scaling>
          <c:orientation val="minMax"/>
        </c:scaling>
        <c:delete val="0"/>
        <c:axPos val="l"/>
        <c:majorGridlines/>
        <c:numFmt formatCode="0.0" sourceLinked="1"/>
        <c:majorTickMark val="out"/>
        <c:minorTickMark val="none"/>
        <c:tickLblPos val="nextTo"/>
        <c:txPr>
          <a:bodyPr/>
          <a:lstStyle/>
          <a:p>
            <a:pPr>
              <a:defRPr lang="es-MX"/>
            </a:pPr>
            <a:endParaRPr lang="es-MX"/>
          </a:p>
        </c:txPr>
        <c:crossAx val="246470528"/>
        <c:crosses val="autoZero"/>
        <c:crossBetween val="between"/>
      </c:valAx>
      <c:spPr>
        <a:noFill/>
      </c:spPr>
    </c:plotArea>
    <c:legend>
      <c:legendPos val="r"/>
      <c:legendEntry>
        <c:idx val="0"/>
        <c:txPr>
          <a:bodyPr/>
          <a:lstStyle/>
          <a:p>
            <a:pPr>
              <a:defRPr lang="es-MX" sz="1100"/>
            </a:pPr>
            <a:endParaRPr lang="es-MX"/>
          </a:p>
        </c:txPr>
      </c:legendEntry>
      <c:layout>
        <c:manualLayout>
          <c:xMode val="edge"/>
          <c:yMode val="edge"/>
          <c:x val="0.93824654923501438"/>
          <c:y val="0.39209398747745738"/>
          <c:w val="5.4667496023004934E-2"/>
          <c:h val="0.11419633443255522"/>
        </c:manualLayout>
      </c:layout>
      <c:overlay val="0"/>
      <c:txPr>
        <a:bodyPr/>
        <a:lstStyle/>
        <a:p>
          <a:pPr>
            <a:defRPr lang="es-MX"/>
          </a:pPr>
          <a:endParaRPr lang="es-MX"/>
        </a:p>
      </c:txPr>
    </c:legend>
    <c:plotVisOnly val="1"/>
    <c:dispBlanksAs val="gap"/>
    <c:showDLblsOverMax val="0"/>
  </c:chart>
  <c:spPr>
    <a:noFill/>
  </c:spPr>
  <c:printSettings>
    <c:headerFooter/>
    <c:pageMargins b="0.75000000000000544" l="0.70000000000000062" r="0.70000000000000062" t="0.75000000000000544" header="0.30000000000000032" footer="0.30000000000000032"/>
    <c:pageSetup/>
  </c:printSettings>
</c:chartSpace>
</file>

<file path=xl/drawings/_rels/drawing1.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http://www.sep.gob.mx/work/appsite/imagenes/banner1.gif" TargetMode="External"/><Relationship Id="rId7" Type="http://schemas.openxmlformats.org/officeDocument/2006/relationships/image" Target="../media/image6.png"/><Relationship Id="rId2" Type="http://schemas.openxmlformats.org/officeDocument/2006/relationships/image" Target="../media/image2.gif"/><Relationship Id="rId1" Type="http://schemas.openxmlformats.org/officeDocument/2006/relationships/image" Target="../media/image1.jpeg"/><Relationship Id="rId6" Type="http://schemas.openxmlformats.org/officeDocument/2006/relationships/image" Target="../media/image5.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3.png"/><Relationship Id="rId9" Type="http://schemas.openxmlformats.org/officeDocument/2006/relationships/image" Target="../media/image8.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4.jpeg"/><Relationship Id="rId2" Type="http://schemas.openxmlformats.org/officeDocument/2006/relationships/image" Target="../media/image23.png"/><Relationship Id="rId1" Type="http://schemas.openxmlformats.org/officeDocument/2006/relationships/image" Target="../media/image3.png"/><Relationship Id="rId5" Type="http://schemas.openxmlformats.org/officeDocument/2006/relationships/image" Target="../media/image26.jpeg"/><Relationship Id="rId4" Type="http://schemas.openxmlformats.org/officeDocument/2006/relationships/image" Target="../media/image25.jpeg"/></Relationships>
</file>

<file path=xl/drawings/_rels/drawing11.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6" Type="http://schemas.openxmlformats.org/officeDocument/2006/relationships/image" Target="../media/image32.jpeg"/><Relationship Id="rId5" Type="http://schemas.openxmlformats.org/officeDocument/2006/relationships/image" Target="../media/image31.jpeg"/><Relationship Id="rId4" Type="http://schemas.openxmlformats.org/officeDocument/2006/relationships/image" Target="../media/image3.png"/></Relationships>
</file>

<file path=xl/drawings/_rels/drawing1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3.png"/><Relationship Id="rId1" Type="http://schemas.openxmlformats.org/officeDocument/2006/relationships/image" Target="../media/image4.jpeg"/></Relationships>
</file>

<file path=xl/drawings/_rels/drawing1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34.pn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8" Type="http://schemas.openxmlformats.org/officeDocument/2006/relationships/image" Target="../media/image42.png"/><Relationship Id="rId3" Type="http://schemas.openxmlformats.org/officeDocument/2006/relationships/image" Target="../media/image37.jpeg"/><Relationship Id="rId7" Type="http://schemas.openxmlformats.org/officeDocument/2006/relationships/image" Target="../media/image41.png"/><Relationship Id="rId2" Type="http://schemas.openxmlformats.org/officeDocument/2006/relationships/image" Target="../media/image36.jpeg"/><Relationship Id="rId1" Type="http://schemas.openxmlformats.org/officeDocument/2006/relationships/image" Target="../media/image35.emf"/><Relationship Id="rId6" Type="http://schemas.openxmlformats.org/officeDocument/2006/relationships/image" Target="../media/image40.png"/><Relationship Id="rId5" Type="http://schemas.openxmlformats.org/officeDocument/2006/relationships/image" Target="../media/image39.jpeg"/><Relationship Id="rId4" Type="http://schemas.openxmlformats.org/officeDocument/2006/relationships/image" Target="../media/image38.jpeg"/><Relationship Id="rId9" Type="http://schemas.openxmlformats.org/officeDocument/2006/relationships/image" Target="../media/image43.png"/></Relationships>
</file>

<file path=xl/drawings/_rels/drawing16.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3.png"/><Relationship Id="rId4" Type="http://schemas.openxmlformats.org/officeDocument/2006/relationships/image" Target="../media/image44.png"/></Relationships>
</file>

<file path=xl/drawings/_rels/drawing17.xml.rels><?xml version="1.0" encoding="UTF-8" standalone="yes"?>
<Relationships xmlns="http://schemas.openxmlformats.org/package/2006/relationships"><Relationship Id="rId3" Type="http://schemas.openxmlformats.org/officeDocument/2006/relationships/image" Target="../media/image47.png"/><Relationship Id="rId2" Type="http://schemas.openxmlformats.org/officeDocument/2006/relationships/image" Target="../media/image46.png"/><Relationship Id="rId1" Type="http://schemas.openxmlformats.org/officeDocument/2006/relationships/image" Target="../media/image45.png"/><Relationship Id="rId4"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3" Type="http://schemas.openxmlformats.org/officeDocument/2006/relationships/image" Target="../media/image48.png"/><Relationship Id="rId2" Type="http://schemas.openxmlformats.org/officeDocument/2006/relationships/image" Target="../media/image5.jpeg"/><Relationship Id="rId1" Type="http://schemas.openxmlformats.org/officeDocument/2006/relationships/image" Target="../media/image4.jpeg"/><Relationship Id="rId4" Type="http://schemas.openxmlformats.org/officeDocument/2006/relationships/image" Target="../media/image4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http://www.sep.gob.mx/work/appsite/imagenes/banner1.gif" TargetMode="External"/><Relationship Id="rId1" Type="http://schemas.openxmlformats.org/officeDocument/2006/relationships/image" Target="../media/image2.gif"/><Relationship Id="rId5" Type="http://schemas.openxmlformats.org/officeDocument/2006/relationships/image" Target="../media/image29.jpeg"/><Relationship Id="rId4" Type="http://schemas.openxmlformats.org/officeDocument/2006/relationships/image" Target="../media/image28.jpeg"/></Relationships>
</file>

<file path=xl/drawings/_rels/drawing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11.jpeg"/><Relationship Id="rId4" Type="http://schemas.openxmlformats.org/officeDocument/2006/relationships/image" Target="../media/image12.png"/></Relationships>
</file>

<file path=xl/drawings/_rels/drawing20.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hyperlink" Target="Estadistica%20ZE%20042.xlsx" TargetMode="External"/><Relationship Id="rId1" Type="http://schemas.openxmlformats.org/officeDocument/2006/relationships/image" Target="../media/image50.png"/><Relationship Id="rId5" Type="http://schemas.openxmlformats.org/officeDocument/2006/relationships/image" Target="../media/image5.jpeg"/><Relationship Id="rId4" Type="http://schemas.openxmlformats.org/officeDocument/2006/relationships/hyperlink" Target="Vta.%20de%20Inspeccion.xlsx" TargetMode="External"/></Relationships>
</file>

<file path=xl/drawings/_rels/drawing21.xml.rels><?xml version="1.0" encoding="UTF-8" standalone="yes"?>
<Relationships xmlns="http://schemas.openxmlformats.org/package/2006/relationships"><Relationship Id="rId3" Type="http://schemas.openxmlformats.org/officeDocument/2006/relationships/hyperlink" Target="Estadistica%20ZE%20042.xlsx" TargetMode="External"/><Relationship Id="rId2" Type="http://schemas.openxmlformats.org/officeDocument/2006/relationships/image" Target="../media/image5.jpeg"/><Relationship Id="rId1" Type="http://schemas.openxmlformats.org/officeDocument/2006/relationships/image" Target="../media/image4.jpeg"/><Relationship Id="rId5" Type="http://schemas.openxmlformats.org/officeDocument/2006/relationships/image" Target="../media/image51.jpeg"/><Relationship Id="rId4" Type="http://schemas.openxmlformats.org/officeDocument/2006/relationships/image" Target="../media/image44.png"/></Relationships>
</file>

<file path=xl/drawings/_rels/drawing22.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50.png"/></Relationships>
</file>

<file path=xl/drawings/_rels/drawing23.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4.jpeg"/><Relationship Id="rId1" Type="http://schemas.openxmlformats.org/officeDocument/2006/relationships/image" Target="../media/image50.png"/></Relationships>
</file>

<file path=xl/drawings/_rels/drawing24.xml.rels><?xml version="1.0" encoding="UTF-8" standalone="yes"?>
<Relationships xmlns="http://schemas.openxmlformats.org/package/2006/relationships"><Relationship Id="rId3" Type="http://schemas.openxmlformats.org/officeDocument/2006/relationships/image" Target="../media/image4.jpeg"/><Relationship Id="rId7" Type="http://schemas.openxmlformats.org/officeDocument/2006/relationships/image" Target="../media/image54.png"/><Relationship Id="rId2" Type="http://schemas.openxmlformats.org/officeDocument/2006/relationships/hyperlink" Target="Estadistica%20ZE%20042.xlsx" TargetMode="External"/><Relationship Id="rId1" Type="http://schemas.openxmlformats.org/officeDocument/2006/relationships/image" Target="../media/image52.png"/><Relationship Id="rId6" Type="http://schemas.openxmlformats.org/officeDocument/2006/relationships/image" Target="../media/image53.png"/><Relationship Id="rId5" Type="http://schemas.openxmlformats.org/officeDocument/2006/relationships/image" Target="../media/image5.jpeg"/><Relationship Id="rId4" Type="http://schemas.openxmlformats.org/officeDocument/2006/relationships/hyperlink" Target="Vta.%20de%20Inspeccion.xlsx" TargetMode="External"/></Relationships>
</file>

<file path=xl/drawings/_rels/drawing25.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image" Target="../media/image55.jpeg"/><Relationship Id="rId1" Type="http://schemas.openxmlformats.org/officeDocument/2006/relationships/image" Target="../media/image12.png"/><Relationship Id="rId4" Type="http://schemas.openxmlformats.org/officeDocument/2006/relationships/image" Target="../media/image57.jpeg"/></Relationships>
</file>

<file path=xl/drawings/_rels/drawing26.xml.rels><?xml version="1.0" encoding="UTF-8" standalone="yes"?>
<Relationships xmlns="http://schemas.openxmlformats.org/package/2006/relationships"><Relationship Id="rId3" Type="http://schemas.openxmlformats.org/officeDocument/2006/relationships/image" Target="../media/image56.jpeg"/><Relationship Id="rId2" Type="http://schemas.openxmlformats.org/officeDocument/2006/relationships/hyperlink" Target="T.E.%20Zona%20042.xlsx" TargetMode="External"/><Relationship Id="rId1" Type="http://schemas.openxmlformats.org/officeDocument/2006/relationships/image" Target="../media/image55.jpeg"/><Relationship Id="rId4" Type="http://schemas.openxmlformats.org/officeDocument/2006/relationships/image" Target="../media/image57.jpeg"/></Relationships>
</file>

<file path=xl/drawings/_rels/drawing27.xml.rels><?xml version="1.0" encoding="UTF-8" standalone="yes"?>
<Relationships xmlns="http://schemas.openxmlformats.org/package/2006/relationships"><Relationship Id="rId3" Type="http://schemas.openxmlformats.org/officeDocument/2006/relationships/image" Target="../media/image60.png"/><Relationship Id="rId2" Type="http://schemas.openxmlformats.org/officeDocument/2006/relationships/image" Target="../media/image59.jpeg"/><Relationship Id="rId1" Type="http://schemas.openxmlformats.org/officeDocument/2006/relationships/image" Target="../media/image58.jpeg"/></Relationships>
</file>

<file path=xl/drawings/_rels/drawing28.xml.rels><?xml version="1.0" encoding="UTF-8" standalone="yes"?>
<Relationships xmlns="http://schemas.openxmlformats.org/package/2006/relationships"><Relationship Id="rId8" Type="http://schemas.openxmlformats.org/officeDocument/2006/relationships/image" Target="../media/image66.png"/><Relationship Id="rId3" Type="http://schemas.openxmlformats.org/officeDocument/2006/relationships/image" Target="../media/image63.png"/><Relationship Id="rId7" Type="http://schemas.openxmlformats.org/officeDocument/2006/relationships/image" Target="../media/image65.png"/><Relationship Id="rId2" Type="http://schemas.openxmlformats.org/officeDocument/2006/relationships/image" Target="../media/image62.png"/><Relationship Id="rId1" Type="http://schemas.openxmlformats.org/officeDocument/2006/relationships/image" Target="../media/image61.png"/><Relationship Id="rId6" Type="http://schemas.openxmlformats.org/officeDocument/2006/relationships/image" Target="../media/image64.png"/><Relationship Id="rId5" Type="http://schemas.openxmlformats.org/officeDocument/2006/relationships/image" Target="../media/image44.png"/><Relationship Id="rId4" Type="http://schemas.openxmlformats.org/officeDocument/2006/relationships/image" Target="../media/image5.jpeg"/><Relationship Id="rId9" Type="http://schemas.openxmlformats.org/officeDocument/2006/relationships/image" Target="../media/image4.jpeg"/></Relationships>
</file>

<file path=xl/drawings/_rels/drawing29.xml.rels><?xml version="1.0" encoding="UTF-8" standalone="yes"?>
<Relationships xmlns="http://schemas.openxmlformats.org/package/2006/relationships"><Relationship Id="rId8" Type="http://schemas.openxmlformats.org/officeDocument/2006/relationships/image" Target="../media/image71.jpeg"/><Relationship Id="rId13" Type="http://schemas.openxmlformats.org/officeDocument/2006/relationships/image" Target="../media/image76.png"/><Relationship Id="rId18" Type="http://schemas.openxmlformats.org/officeDocument/2006/relationships/image" Target="../media/image9.jpeg"/><Relationship Id="rId26" Type="http://schemas.openxmlformats.org/officeDocument/2006/relationships/image" Target="../media/image84.png"/><Relationship Id="rId3" Type="http://schemas.openxmlformats.org/officeDocument/2006/relationships/hyperlink" Target="#'VISITA DE INSP.'!&#193;rea_de_impresi&#243;n"/><Relationship Id="rId21" Type="http://schemas.openxmlformats.org/officeDocument/2006/relationships/image" Target="../media/image4.jpeg"/><Relationship Id="rId7" Type="http://schemas.openxmlformats.org/officeDocument/2006/relationships/hyperlink" Target="T.E.%20Zona%20042.xlsx" TargetMode="External"/><Relationship Id="rId12" Type="http://schemas.openxmlformats.org/officeDocument/2006/relationships/image" Target="../media/image75.png"/><Relationship Id="rId17" Type="http://schemas.openxmlformats.org/officeDocument/2006/relationships/image" Target="../media/image8.png"/><Relationship Id="rId25" Type="http://schemas.openxmlformats.org/officeDocument/2006/relationships/image" Target="../media/image83.png"/><Relationship Id="rId2" Type="http://schemas.openxmlformats.org/officeDocument/2006/relationships/image" Target="../media/image68.jpeg"/><Relationship Id="rId16" Type="http://schemas.openxmlformats.org/officeDocument/2006/relationships/image" Target="../media/image7.png"/><Relationship Id="rId20" Type="http://schemas.openxmlformats.org/officeDocument/2006/relationships/image" Target="../media/image79.jpeg"/><Relationship Id="rId29" Type="http://schemas.openxmlformats.org/officeDocument/2006/relationships/image" Target="../media/image51.jpeg"/><Relationship Id="rId1" Type="http://schemas.openxmlformats.org/officeDocument/2006/relationships/image" Target="../media/image67.jpeg"/><Relationship Id="rId6" Type="http://schemas.openxmlformats.org/officeDocument/2006/relationships/image" Target="../media/image70.jpeg"/><Relationship Id="rId11" Type="http://schemas.openxmlformats.org/officeDocument/2006/relationships/image" Target="../media/image74.jpeg"/><Relationship Id="rId24" Type="http://schemas.openxmlformats.org/officeDocument/2006/relationships/image" Target="../media/image82.png"/><Relationship Id="rId5" Type="http://schemas.openxmlformats.org/officeDocument/2006/relationships/hyperlink" Target="Estadistica%20ZE%20042.xlsx" TargetMode="External"/><Relationship Id="rId15" Type="http://schemas.openxmlformats.org/officeDocument/2006/relationships/image" Target="../media/image6.png"/><Relationship Id="rId23" Type="http://schemas.openxmlformats.org/officeDocument/2006/relationships/image" Target="../media/image81.png"/><Relationship Id="rId28" Type="http://schemas.openxmlformats.org/officeDocument/2006/relationships/image" Target="../media/image86.png"/><Relationship Id="rId10" Type="http://schemas.openxmlformats.org/officeDocument/2006/relationships/image" Target="../media/image73.png"/><Relationship Id="rId19" Type="http://schemas.openxmlformats.org/officeDocument/2006/relationships/image" Target="../media/image78.jpeg"/><Relationship Id="rId4" Type="http://schemas.openxmlformats.org/officeDocument/2006/relationships/image" Target="../media/image69.jpeg"/><Relationship Id="rId9" Type="http://schemas.openxmlformats.org/officeDocument/2006/relationships/image" Target="../media/image72.png"/><Relationship Id="rId14" Type="http://schemas.openxmlformats.org/officeDocument/2006/relationships/image" Target="../media/image77.png"/><Relationship Id="rId22" Type="http://schemas.openxmlformats.org/officeDocument/2006/relationships/image" Target="../media/image80.png"/><Relationship Id="rId27" Type="http://schemas.openxmlformats.org/officeDocument/2006/relationships/image" Target="../media/image85.png"/></Relationships>
</file>

<file path=xl/drawings/_rels/drawing3.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30.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http://www.sep.gob.mx/work/appsite/imagenes/banner1.gif" TargetMode="External"/><Relationship Id="rId1" Type="http://schemas.openxmlformats.org/officeDocument/2006/relationships/image" Target="../media/image2.gif"/><Relationship Id="rId6" Type="http://schemas.openxmlformats.org/officeDocument/2006/relationships/image" Target="../media/image88.png"/><Relationship Id="rId5" Type="http://schemas.openxmlformats.org/officeDocument/2006/relationships/image" Target="../media/image87.png"/><Relationship Id="rId4" Type="http://schemas.openxmlformats.org/officeDocument/2006/relationships/image" Target="../media/image4.jpeg"/></Relationships>
</file>

<file path=xl/drawings/_rels/drawing31.xml.rels><?xml version="1.0" encoding="UTF-8" standalone="yes"?>
<Relationships xmlns="http://schemas.openxmlformats.org/package/2006/relationships"><Relationship Id="rId3" Type="http://schemas.openxmlformats.org/officeDocument/2006/relationships/image" Target="../media/image87.png"/><Relationship Id="rId2" Type="http://schemas.openxmlformats.org/officeDocument/2006/relationships/image" Target="../media/image4.jpeg"/><Relationship Id="rId1" Type="http://schemas.openxmlformats.org/officeDocument/2006/relationships/image" Target="../media/image5.jpeg"/><Relationship Id="rId4" Type="http://schemas.openxmlformats.org/officeDocument/2006/relationships/image" Target="../media/image88.png"/></Relationships>
</file>

<file path=xl/drawings/_rels/drawing33.xml.rels><?xml version="1.0" encoding="UTF-8" standalone="yes"?>
<Relationships xmlns="http://schemas.openxmlformats.org/package/2006/relationships"><Relationship Id="rId8" Type="http://schemas.openxmlformats.org/officeDocument/2006/relationships/image" Target="../media/image7.png"/><Relationship Id="rId3" Type="http://schemas.openxmlformats.org/officeDocument/2006/relationships/image" Target="../media/image89.jpeg"/><Relationship Id="rId7" Type="http://schemas.openxmlformats.org/officeDocument/2006/relationships/image" Target="../media/image6.png"/><Relationship Id="rId2" Type="http://schemas.openxmlformats.org/officeDocument/2006/relationships/image" Target="http://www.sep.gob.mx/work/appsite/imagenes/banner1.gif" TargetMode="External"/><Relationship Id="rId1" Type="http://schemas.openxmlformats.org/officeDocument/2006/relationships/image" Target="../media/image2.gif"/><Relationship Id="rId6" Type="http://schemas.openxmlformats.org/officeDocument/2006/relationships/image" Target="../media/image5.jpeg"/><Relationship Id="rId5" Type="http://schemas.openxmlformats.org/officeDocument/2006/relationships/image" Target="../media/image4.jpeg"/><Relationship Id="rId10" Type="http://schemas.openxmlformats.org/officeDocument/2006/relationships/image" Target="../media/image9.jpeg"/><Relationship Id="rId4" Type="http://schemas.openxmlformats.org/officeDocument/2006/relationships/image" Target="../media/image90.png"/><Relationship Id="rId9" Type="http://schemas.openxmlformats.org/officeDocument/2006/relationships/image" Target="../media/image8.png"/></Relationships>
</file>

<file path=xl/drawings/_rels/drawing35.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3" Type="http://schemas.openxmlformats.org/officeDocument/2006/relationships/image" Target="../media/image12.png"/><Relationship Id="rId2" Type="http://schemas.openxmlformats.org/officeDocument/2006/relationships/image" Target="../media/image5.jpeg"/><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13.png"/><Relationship Id="rId1" Type="http://schemas.openxmlformats.org/officeDocument/2006/relationships/image" Target="../media/image4.jpeg"/><Relationship Id="rId4" Type="http://schemas.openxmlformats.org/officeDocument/2006/relationships/image" Target="../media/image12.png"/></Relationships>
</file>

<file path=xl/drawings/_rels/drawing6.xml.rels><?xml version="1.0" encoding="UTF-8" standalone="yes"?>
<Relationships xmlns="http://schemas.openxmlformats.org/package/2006/relationships"><Relationship Id="rId3" Type="http://schemas.openxmlformats.org/officeDocument/2006/relationships/image" Target="../media/image5.jpeg"/><Relationship Id="rId7" Type="http://schemas.openxmlformats.org/officeDocument/2006/relationships/image" Target="../media/image18.png"/><Relationship Id="rId2" Type="http://schemas.openxmlformats.org/officeDocument/2006/relationships/image" Target="../media/image4.jpeg"/><Relationship Id="rId1" Type="http://schemas.openxmlformats.org/officeDocument/2006/relationships/image" Target="../media/image3.png"/><Relationship Id="rId6" Type="http://schemas.openxmlformats.org/officeDocument/2006/relationships/image" Target="../media/image17.jpeg"/><Relationship Id="rId5" Type="http://schemas.openxmlformats.org/officeDocument/2006/relationships/image" Target="../media/image16.png"/><Relationship Id="rId4"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4.jpeg"/></Relationships>
</file>

<file path=xl/drawings/_rels/drawing8.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0.png"/><Relationship Id="rId1"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image" Target="../media/image5.jpeg"/><Relationship Id="rId2" Type="http://schemas.openxmlformats.org/officeDocument/2006/relationships/image" Target="../media/image22.png"/><Relationship Id="rId1" Type="http://schemas.openxmlformats.org/officeDocument/2006/relationships/image" Target="../media/image4.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13.vml.rels><?xml version="1.0" encoding="UTF-8" standalone="yes"?>
<Relationships xmlns="http://schemas.openxmlformats.org/package/2006/relationships"><Relationship Id="rId1" Type="http://schemas.openxmlformats.org/officeDocument/2006/relationships/image" Target="../media/image19.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2.vml.rels><?xml version="1.0" encoding="UTF-8" standalone="yes"?>
<Relationships xmlns="http://schemas.openxmlformats.org/package/2006/relationships"><Relationship Id="rId2" Type="http://schemas.openxmlformats.org/officeDocument/2006/relationships/image" Target="../media/image19.jpeg"/><Relationship Id="rId1" Type="http://schemas.openxmlformats.org/officeDocument/2006/relationships/image" Target="../media/image14.png"/></Relationships>
</file>

<file path=xl/drawings/_rels/vmlDrawing20.vml.rels><?xml version="1.0" encoding="UTF-8" standalone="yes"?>
<Relationships xmlns="http://schemas.openxmlformats.org/package/2006/relationships"><Relationship Id="rId1" Type="http://schemas.openxmlformats.org/officeDocument/2006/relationships/image" Target="../media/image14.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0.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2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27.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0.png"/></Relationships>
</file>

<file path=xl/drawings/drawing1.xml><?xml version="1.0" encoding="utf-8"?>
<xdr:wsDr xmlns:xdr="http://schemas.openxmlformats.org/drawingml/2006/spreadsheetDrawing" xmlns:a="http://schemas.openxmlformats.org/drawingml/2006/main">
  <xdr:twoCellAnchor editAs="absolute">
    <xdr:from>
      <xdr:col>43</xdr:col>
      <xdr:colOff>106964</xdr:colOff>
      <xdr:row>0</xdr:row>
      <xdr:rowOff>38101</xdr:rowOff>
    </xdr:from>
    <xdr:to>
      <xdr:col>47</xdr:col>
      <xdr:colOff>105835</xdr:colOff>
      <xdr:row>4</xdr:row>
      <xdr:rowOff>84176</xdr:rowOff>
    </xdr:to>
    <xdr:pic>
      <xdr:nvPicPr>
        <xdr:cNvPr id="64504" name="Picture 14" descr="libro"/>
        <xdr:cNvPicPr>
          <a:picLocks noChangeAspect="1" noChangeArrowheads="1"/>
        </xdr:cNvPicPr>
      </xdr:nvPicPr>
      <xdr:blipFill>
        <a:blip xmlns:r="http://schemas.openxmlformats.org/officeDocument/2006/relationships" r:embed="rId1" cstate="print"/>
        <a:srcRect/>
        <a:stretch>
          <a:fillRect/>
        </a:stretch>
      </xdr:blipFill>
      <xdr:spPr bwMode="auto">
        <a:xfrm>
          <a:off x="9113381" y="38101"/>
          <a:ext cx="803204" cy="681075"/>
        </a:xfrm>
        <a:prstGeom prst="rect">
          <a:avLst/>
        </a:prstGeom>
        <a:noFill/>
        <a:ln w="9525">
          <a:noFill/>
          <a:miter lim="800000"/>
          <a:headEnd/>
          <a:tailEnd/>
        </a:ln>
      </xdr:spPr>
    </xdr:pic>
    <xdr:clientData/>
  </xdr:twoCellAnchor>
  <xdr:twoCellAnchor editAs="absolute">
    <xdr:from>
      <xdr:col>39</xdr:col>
      <xdr:colOff>11114</xdr:colOff>
      <xdr:row>0</xdr:row>
      <xdr:rowOff>35718</xdr:rowOff>
    </xdr:from>
    <xdr:to>
      <xdr:col>43</xdr:col>
      <xdr:colOff>20639</xdr:colOff>
      <xdr:row>4</xdr:row>
      <xdr:rowOff>73818</xdr:rowOff>
    </xdr:to>
    <xdr:pic>
      <xdr:nvPicPr>
        <xdr:cNvPr id="64505" name="Picture 20" descr="Becas de Apoyo"/>
        <xdr:cNvPicPr preferRelativeResize="0">
          <a:picLocks noChangeArrowheads="1"/>
        </xdr:cNvPicPr>
      </xdr:nvPicPr>
      <xdr:blipFill>
        <a:blip xmlns:r="http://schemas.openxmlformats.org/officeDocument/2006/relationships" r:embed="rId2" r:link="rId3" cstate="print"/>
        <a:srcRect/>
        <a:stretch>
          <a:fillRect/>
        </a:stretch>
      </xdr:blipFill>
      <xdr:spPr bwMode="auto">
        <a:xfrm>
          <a:off x="8213197" y="35718"/>
          <a:ext cx="813859" cy="673100"/>
        </a:xfrm>
        <a:prstGeom prst="rect">
          <a:avLst/>
        </a:prstGeom>
        <a:noFill/>
        <a:ln w="9525">
          <a:noFill/>
          <a:miter lim="800000"/>
          <a:headEnd/>
          <a:tailEnd/>
        </a:ln>
      </xdr:spPr>
    </xdr:pic>
    <xdr:clientData/>
  </xdr:twoCellAnchor>
  <xdr:twoCellAnchor editAs="absolute">
    <xdr:from>
      <xdr:col>17</xdr:col>
      <xdr:colOff>147637</xdr:colOff>
      <xdr:row>35</xdr:row>
      <xdr:rowOff>118854</xdr:rowOff>
    </xdr:from>
    <xdr:to>
      <xdr:col>27</xdr:col>
      <xdr:colOff>111918</xdr:colOff>
      <xdr:row>41</xdr:row>
      <xdr:rowOff>156955</xdr:rowOff>
    </xdr:to>
    <xdr:sp macro="" textlink="">
      <xdr:nvSpPr>
        <xdr:cNvPr id="5" name="4 Rectángulo"/>
        <xdr:cNvSpPr/>
      </xdr:nvSpPr>
      <xdr:spPr>
        <a:xfrm>
          <a:off x="4687887" y="5855021"/>
          <a:ext cx="1763448" cy="1022351"/>
        </a:xfrm>
        <a:prstGeom prst="rect">
          <a:avLst/>
        </a:prstGeom>
        <a:noFill/>
      </xdr:spPr>
      <xdr:txBody>
        <a:bodyPr wrap="square" lIns="91440" tIns="45720" rIns="91440" bIns="45720">
          <a:noAutofit/>
        </a:bodyPr>
        <a:lstStyle/>
        <a:p>
          <a:pPr algn="ctr"/>
          <a:endParaRPr lang="es-ES" sz="1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200" b="0" cap="none" spc="0">
            <a:ln>
              <a:noFill/>
            </a:ln>
            <a:solidFill>
              <a:schemeClr val="bg1"/>
            </a:solidFill>
            <a:effectLst/>
            <a:cs typeface="MV Boli" pitchFamily="2"/>
          </a:endParaRPr>
        </a:p>
        <a:p>
          <a:pPr algn="ctr"/>
          <a:endParaRPr lang="es-ES" sz="300" b="0" cap="none" spc="0">
            <a:ln>
              <a:noFill/>
            </a:ln>
            <a:solidFill>
              <a:schemeClr val="bg1"/>
            </a:solidFill>
            <a:effectLst/>
            <a:cs typeface="MV Boli" pitchFamily="2"/>
          </a:endParaRPr>
        </a:p>
        <a:p>
          <a:pPr algn="ctr"/>
          <a:r>
            <a:rPr lang="es-ES" sz="800" b="0" cap="none" spc="0">
              <a:ln>
                <a:noFill/>
              </a:ln>
              <a:solidFill>
                <a:schemeClr val="bg1"/>
              </a:solidFill>
              <a:effectLst/>
            </a:rPr>
            <a:t>Servicios</a:t>
          </a:r>
          <a:r>
            <a:rPr lang="es-ES" sz="800" b="0" cap="none" spc="0" baseline="0">
              <a:ln>
                <a:noFill/>
              </a:ln>
              <a:solidFill>
                <a:schemeClr val="bg1"/>
              </a:solidFill>
              <a:effectLst/>
            </a:rPr>
            <a:t> Educativos deQuintana  Roo</a:t>
          </a:r>
        </a:p>
        <a:p>
          <a:pPr algn="ctr"/>
          <a:r>
            <a:rPr lang="es-ES" sz="800" b="0" cap="none" spc="0">
              <a:ln>
                <a:noFill/>
              </a:ln>
              <a:solidFill>
                <a:schemeClr val="bg1"/>
              </a:solidFill>
              <a:effectLst/>
            </a:rPr>
            <a:t>Escuela Primaria Urbana Federal</a:t>
          </a:r>
        </a:p>
        <a:p>
          <a:pPr algn="ctr"/>
          <a:r>
            <a:rPr lang="es-ES" sz="800" b="0" cap="none" spc="0">
              <a:ln>
                <a:noFill/>
              </a:ln>
              <a:solidFill>
                <a:schemeClr val="bg1"/>
              </a:solidFill>
              <a:effectLst/>
            </a:rPr>
            <a:t>" ANTONIO MEDIZ BOLIO "</a:t>
          </a:r>
        </a:p>
        <a:p>
          <a:pPr algn="ctr"/>
          <a:r>
            <a:rPr lang="es-ES" sz="800" b="0" cap="none" spc="0">
              <a:ln>
                <a:noFill/>
              </a:ln>
              <a:solidFill>
                <a:schemeClr val="bg1"/>
              </a:solidFill>
              <a:effectLst/>
            </a:rPr>
            <a:t>C.</a:t>
          </a:r>
          <a:r>
            <a:rPr lang="es-ES" sz="800" b="0" cap="none" spc="0" baseline="0">
              <a:ln>
                <a:noFill/>
              </a:ln>
              <a:solidFill>
                <a:schemeClr val="bg1"/>
              </a:solidFill>
              <a:effectLst/>
            </a:rPr>
            <a:t> C. T.  23DPR0640 C</a:t>
          </a:r>
        </a:p>
        <a:p>
          <a:pPr algn="ctr"/>
          <a:r>
            <a:rPr lang="es-ES" sz="800" b="0" cap="none" spc="0" baseline="0">
              <a:ln>
                <a:noFill/>
              </a:ln>
              <a:solidFill>
                <a:schemeClr val="bg1"/>
              </a:solidFill>
              <a:effectLst/>
            </a:rPr>
            <a:t>TURNO: MATUTINO</a:t>
          </a:r>
        </a:p>
        <a:p>
          <a:pPr algn="ctr"/>
          <a:r>
            <a:rPr lang="es-ES" sz="800" b="0" cap="none" spc="0" baseline="0">
              <a:ln>
                <a:noFill/>
              </a:ln>
              <a:solidFill>
                <a:schemeClr val="bg1"/>
              </a:solidFill>
              <a:effectLst/>
            </a:rPr>
            <a:t>Cancún  Benito  Juarez</a:t>
          </a:r>
          <a:endParaRPr lang="es-ES" sz="800" b="0" cap="none" spc="0">
            <a:ln>
              <a:noFill/>
            </a:ln>
            <a:solidFill>
              <a:schemeClr val="bg1"/>
            </a:solidFill>
            <a:effectLst/>
          </a:endParaRPr>
        </a:p>
      </xdr:txBody>
    </xdr:sp>
    <xdr:clientData fPrintsWithSheet="0"/>
  </xdr:twoCellAnchor>
  <xdr:twoCellAnchor editAs="absolute">
    <xdr:from>
      <xdr:col>6</xdr:col>
      <xdr:colOff>441398</xdr:colOff>
      <xdr:row>2</xdr:row>
      <xdr:rowOff>102394</xdr:rowOff>
    </xdr:from>
    <xdr:to>
      <xdr:col>7</xdr:col>
      <xdr:colOff>263454</xdr:colOff>
      <xdr:row>4</xdr:row>
      <xdr:rowOff>85401</xdr:rowOff>
    </xdr:to>
    <xdr:pic>
      <xdr:nvPicPr>
        <xdr:cNvPr id="64508" name="Picture 39"/>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2441648" y="435769"/>
          <a:ext cx="322119" cy="316382"/>
        </a:xfrm>
        <a:prstGeom prst="rect">
          <a:avLst/>
        </a:prstGeom>
        <a:noFill/>
        <a:ln w="9525">
          <a:noFill/>
          <a:miter lim="800000"/>
          <a:headEnd/>
          <a:tailEnd/>
        </a:ln>
      </xdr:spPr>
    </xdr:pic>
    <xdr:clientData/>
  </xdr:twoCellAnchor>
  <xdr:twoCellAnchor editAs="oneCell">
    <xdr:from>
      <xdr:col>1</xdr:col>
      <xdr:colOff>28574</xdr:colOff>
      <xdr:row>0</xdr:row>
      <xdr:rowOff>0</xdr:rowOff>
    </xdr:from>
    <xdr:to>
      <xdr:col>4</xdr:col>
      <xdr:colOff>285750</xdr:colOff>
      <xdr:row>4</xdr:row>
      <xdr:rowOff>123825</xdr:rowOff>
    </xdr:to>
    <xdr:pic>
      <xdr:nvPicPr>
        <xdr:cNvPr id="64509" name="7 Imagen" descr="Gobierno horizontal.jpg"/>
        <xdr:cNvPicPr>
          <a:picLocks noChangeAspect="1" noChangeArrowheads="1"/>
        </xdr:cNvPicPr>
      </xdr:nvPicPr>
      <xdr:blipFill>
        <a:blip xmlns:r="http://schemas.openxmlformats.org/officeDocument/2006/relationships" r:embed="rId5" cstate="print">
          <a:clrChange>
            <a:clrFrom>
              <a:srgbClr val="FDFDFD"/>
            </a:clrFrom>
            <a:clrTo>
              <a:srgbClr val="FDFDFD">
                <a:alpha val="0"/>
              </a:srgbClr>
            </a:clrTo>
          </a:clrChange>
        </a:blip>
        <a:srcRect l="2698" r="3052" b="10001"/>
        <a:stretch>
          <a:fillRect/>
        </a:stretch>
      </xdr:blipFill>
      <xdr:spPr bwMode="auto">
        <a:xfrm>
          <a:off x="52387" y="0"/>
          <a:ext cx="1233488" cy="790575"/>
        </a:xfrm>
        <a:prstGeom prst="rect">
          <a:avLst/>
        </a:prstGeom>
        <a:noFill/>
        <a:ln w="9525">
          <a:noFill/>
          <a:miter lim="800000"/>
          <a:headEnd/>
          <a:tailEnd/>
        </a:ln>
      </xdr:spPr>
    </xdr:pic>
    <xdr:clientData/>
  </xdr:twoCellAnchor>
  <xdr:twoCellAnchor editAs="oneCell">
    <xdr:from>
      <xdr:col>4</xdr:col>
      <xdr:colOff>321469</xdr:colOff>
      <xdr:row>0</xdr:row>
      <xdr:rowOff>0</xdr:rowOff>
    </xdr:from>
    <xdr:to>
      <xdr:col>6</xdr:col>
      <xdr:colOff>392905</xdr:colOff>
      <xdr:row>4</xdr:row>
      <xdr:rowOff>123825</xdr:rowOff>
    </xdr:to>
    <xdr:pic>
      <xdr:nvPicPr>
        <xdr:cNvPr id="64510" name="8 Imagen" descr="logoresultados.jpg"/>
        <xdr:cNvPicPr>
          <a:picLocks noChangeAspect="1" noChangeArrowheads="1"/>
        </xdr:cNvPicPr>
      </xdr:nvPicPr>
      <xdr:blipFill>
        <a:blip xmlns:r="http://schemas.openxmlformats.org/officeDocument/2006/relationships" r:embed="rId6" cstate="print">
          <a:clrChange>
            <a:clrFrom>
              <a:srgbClr val="FDFDFD"/>
            </a:clrFrom>
            <a:clrTo>
              <a:srgbClr val="FDFDFD">
                <a:alpha val="0"/>
              </a:srgbClr>
            </a:clrTo>
          </a:clrChange>
        </a:blip>
        <a:srcRect l="4242" r="5455"/>
        <a:stretch>
          <a:fillRect/>
        </a:stretch>
      </xdr:blipFill>
      <xdr:spPr bwMode="auto">
        <a:xfrm>
          <a:off x="1321594" y="0"/>
          <a:ext cx="1071561" cy="790575"/>
        </a:xfrm>
        <a:prstGeom prst="rect">
          <a:avLst/>
        </a:prstGeom>
        <a:noFill/>
        <a:ln w="9525">
          <a:noFill/>
          <a:miter lim="800000"/>
          <a:headEnd/>
          <a:tailEnd/>
        </a:ln>
      </xdr:spPr>
    </xdr:pic>
    <xdr:clientData/>
  </xdr:twoCellAnchor>
  <xdr:twoCellAnchor>
    <xdr:from>
      <xdr:col>35</xdr:col>
      <xdr:colOff>10106</xdr:colOff>
      <xdr:row>0</xdr:row>
      <xdr:rowOff>38101</xdr:rowOff>
    </xdr:from>
    <xdr:to>
      <xdr:col>38</xdr:col>
      <xdr:colOff>79164</xdr:colOff>
      <xdr:row>4</xdr:row>
      <xdr:rowOff>95251</xdr:rowOff>
    </xdr:to>
    <xdr:grpSp>
      <xdr:nvGrpSpPr>
        <xdr:cNvPr id="10" name="Group 1668"/>
        <xdr:cNvGrpSpPr>
          <a:grpSpLocks/>
        </xdr:cNvGrpSpPr>
      </xdr:nvGrpSpPr>
      <xdr:grpSpPr bwMode="auto">
        <a:xfrm>
          <a:off x="7429023" y="38101"/>
          <a:ext cx="651141" cy="692150"/>
          <a:chOff x="1356" y="947"/>
          <a:chExt cx="10139" cy="12108"/>
        </a:xfrm>
      </xdr:grpSpPr>
      <xdr:pic>
        <xdr:nvPicPr>
          <xdr:cNvPr id="11" name="Imagen 6"/>
          <xdr:cNvPicPr>
            <a:picLocks noChangeAspect="1" noChangeArrowheads="1"/>
          </xdr:cNvPicPr>
        </xdr:nvPicPr>
        <xdr:blipFill>
          <a:blip xmlns:r="http://schemas.openxmlformats.org/officeDocument/2006/relationships" r:embed="rId7" cstate="print">
            <a:clrChange>
              <a:clrFrom>
                <a:srgbClr val="00FF80"/>
              </a:clrFrom>
              <a:clrTo>
                <a:srgbClr val="00FF80">
                  <a:alpha val="0"/>
                </a:srgbClr>
              </a:clrTo>
            </a:clrChange>
          </a:blip>
          <a:srcRect/>
          <a:stretch>
            <a:fillRect/>
          </a:stretch>
        </xdr:blipFill>
        <xdr:spPr bwMode="auto">
          <a:xfrm>
            <a:off x="1356" y="947"/>
            <a:ext cx="10139" cy="12108"/>
          </a:xfrm>
          <a:prstGeom prst="rect">
            <a:avLst/>
          </a:prstGeom>
          <a:noFill/>
          <a:ln w="9525">
            <a:noFill/>
            <a:miter lim="800000"/>
            <a:headEnd/>
            <a:tailEnd/>
          </a:ln>
        </xdr:spPr>
      </xdr:pic>
      <xdr:grpSp>
        <xdr:nvGrpSpPr>
          <xdr:cNvPr id="12" name="Group 1670"/>
          <xdr:cNvGrpSpPr>
            <a:grpSpLocks/>
          </xdr:cNvGrpSpPr>
        </xdr:nvGrpSpPr>
        <xdr:grpSpPr bwMode="auto">
          <a:xfrm>
            <a:off x="1740" y="2268"/>
            <a:ext cx="9255" cy="9085"/>
            <a:chOff x="1740" y="2268"/>
            <a:chExt cx="9255" cy="9085"/>
          </a:xfrm>
        </xdr:grpSpPr>
        <xdr:pic>
          <xdr:nvPicPr>
            <xdr:cNvPr id="13" name="Imagen 11"/>
            <xdr:cNvPicPr>
              <a:picLocks noChangeAspect="1" noChangeArrowheads="1"/>
            </xdr:cNvPicPr>
          </xdr:nvPicPr>
          <xdr:blipFill>
            <a:blip xmlns:r="http://schemas.openxmlformats.org/officeDocument/2006/relationships" r:embed="rId8" cstate="print">
              <a:clrChange>
                <a:clrFrom>
                  <a:srgbClr val="00FFFF"/>
                </a:clrFrom>
                <a:clrTo>
                  <a:srgbClr val="00FFFF">
                    <a:alpha val="0"/>
                  </a:srgbClr>
                </a:clrTo>
              </a:clrChange>
            </a:blip>
            <a:srcRect/>
            <a:stretch>
              <a:fillRect/>
            </a:stretch>
          </xdr:blipFill>
          <xdr:spPr bwMode="auto">
            <a:xfrm>
              <a:off x="1740" y="4388"/>
              <a:ext cx="2880" cy="2116"/>
            </a:xfrm>
            <a:prstGeom prst="rect">
              <a:avLst/>
            </a:prstGeom>
            <a:noFill/>
            <a:ln w="9525">
              <a:noFill/>
              <a:miter lim="800000"/>
              <a:headEnd/>
              <a:tailEnd/>
            </a:ln>
          </xdr:spPr>
        </xdr:pic>
        <xdr:pic>
          <xdr:nvPicPr>
            <xdr:cNvPr id="14" name="Imagen 12"/>
            <xdr:cNvPicPr>
              <a:picLocks noChangeAspect="1" noChangeArrowheads="1"/>
            </xdr:cNvPicPr>
          </xdr:nvPicPr>
          <xdr:blipFill>
            <a:blip xmlns:r="http://schemas.openxmlformats.org/officeDocument/2006/relationships" r:embed="rId9" cstate="print">
              <a:clrChange>
                <a:clrFrom>
                  <a:srgbClr val="00FFFF"/>
                </a:clrFrom>
                <a:clrTo>
                  <a:srgbClr val="00FFFF">
                    <a:alpha val="0"/>
                  </a:srgbClr>
                </a:clrTo>
              </a:clrChange>
            </a:blip>
            <a:srcRect t="6712" b="9375"/>
            <a:stretch>
              <a:fillRect/>
            </a:stretch>
          </xdr:blipFill>
          <xdr:spPr bwMode="auto">
            <a:xfrm>
              <a:off x="8086" y="4646"/>
              <a:ext cx="2909" cy="2057"/>
            </a:xfrm>
            <a:prstGeom prst="rect">
              <a:avLst/>
            </a:prstGeom>
            <a:noFill/>
            <a:ln w="9525">
              <a:noFill/>
              <a:miter lim="800000"/>
              <a:headEnd/>
              <a:tailEnd/>
            </a:ln>
          </xdr:spPr>
        </xdr:pic>
        <xdr:sp macro="" textlink="">
          <xdr:nvSpPr>
            <xdr:cNvPr id="15" name="WordArt 1673"/>
            <xdr:cNvSpPr>
              <a:spLocks noChangeArrowheads="1" noChangeShapeType="1" noTextEdit="1"/>
            </xdr:cNvSpPr>
          </xdr:nvSpPr>
          <xdr:spPr bwMode="auto">
            <a:xfrm>
              <a:off x="3306" y="2268"/>
              <a:ext cx="6044" cy="1761"/>
            </a:xfrm>
            <a:prstGeom prst="rect">
              <a:avLst/>
            </a:prstGeom>
          </xdr:spPr>
          <xdr:txBody>
            <a:bodyPr wrap="none" fromWordArt="1">
              <a:prstTxWarp prst="textDeflate">
                <a:avLst>
                  <a:gd name="adj" fmla="val 17681"/>
                </a:avLst>
              </a:prstTxWarp>
            </a:bodyPr>
            <a:lstStyle/>
            <a:p>
              <a:pPr algn="ctr" rtl="0"/>
              <a:r>
                <a:rPr lang="es-ES" sz="3600" kern="10" spc="0">
                  <a:ln w="9525">
                    <a:solidFill>
                      <a:srgbClr val="000000"/>
                    </a:solidFill>
                    <a:round/>
                    <a:headEnd/>
                    <a:tailEnd/>
                  </a:ln>
                  <a:solidFill>
                    <a:srgbClr val="548DD4"/>
                  </a:solidFill>
                  <a:effectLst/>
                  <a:latin typeface="Impact"/>
                </a:rPr>
                <a:t>I  N  S  P  E  C  C  I  O  N</a:t>
              </a:r>
            </a:p>
          </xdr:txBody>
        </xdr:sp>
        <xdr:sp macro="" textlink="">
          <xdr:nvSpPr>
            <xdr:cNvPr id="16" name="WordArt 1674"/>
            <xdr:cNvSpPr>
              <a:spLocks noChangeArrowheads="1" noChangeShapeType="1" noTextEdit="1"/>
            </xdr:cNvSpPr>
          </xdr:nvSpPr>
          <xdr:spPr bwMode="auto">
            <a:xfrm>
              <a:off x="5451" y="4689"/>
              <a:ext cx="1950" cy="2201"/>
            </a:xfrm>
            <a:prstGeom prst="rect">
              <a:avLst/>
            </a:prstGeom>
          </xdr:spPr>
          <xdr:txBody>
            <a:bodyPr wrap="none" fromWordArt="1">
              <a:prstTxWarp prst="textPlain">
                <a:avLst>
                  <a:gd name="adj" fmla="val 50000"/>
                </a:avLst>
              </a:prstTxWarp>
            </a:bodyPr>
            <a:lstStyle/>
            <a:p>
              <a:pPr algn="ctr" rtl="0"/>
              <a:r>
                <a:rPr lang="es-ES" sz="3600" kern="10" spc="0">
                  <a:ln w="9525">
                    <a:solidFill>
                      <a:srgbClr val="938953"/>
                    </a:solidFill>
                    <a:round/>
                    <a:headEnd/>
                    <a:tailEnd/>
                  </a:ln>
                  <a:solidFill>
                    <a:srgbClr val="000000"/>
                  </a:solidFill>
                  <a:effectLst/>
                  <a:latin typeface="Arial Black"/>
                </a:rPr>
                <a:t>0 4 2</a:t>
              </a:r>
            </a:p>
          </xdr:txBody>
        </xdr:sp>
        <xdr:pic>
          <xdr:nvPicPr>
            <xdr:cNvPr id="17" name="Picture 1675"/>
            <xdr:cNvPicPr>
              <a:picLocks noChangeAspect="1" noChangeArrowheads="1"/>
            </xdr:cNvPicPr>
          </xdr:nvPicPr>
          <xdr:blipFill>
            <a:blip xmlns:r="http://schemas.openxmlformats.org/officeDocument/2006/relationships" r:embed="rId10" cstate="print">
              <a:clrChange>
                <a:clrFrom>
                  <a:srgbClr val="FF0000"/>
                </a:clrFrom>
                <a:clrTo>
                  <a:srgbClr val="FF0000">
                    <a:alpha val="0"/>
                  </a:srgbClr>
                </a:clrTo>
              </a:clrChange>
            </a:blip>
            <a:srcRect/>
            <a:stretch>
              <a:fillRect/>
            </a:stretch>
          </xdr:blipFill>
          <xdr:spPr bwMode="auto">
            <a:xfrm>
              <a:off x="5502" y="8826"/>
              <a:ext cx="1881" cy="2527"/>
            </a:xfrm>
            <a:prstGeom prst="rect">
              <a:avLst/>
            </a:prstGeom>
            <a:noFill/>
            <a:ln w="9525">
              <a:noFill/>
              <a:miter lim="800000"/>
              <a:headEnd/>
              <a:tailEnd/>
            </a:ln>
          </xdr:spPr>
        </xdr:pic>
      </xdr:grpSp>
    </xdr:grpSp>
    <xdr:clientData/>
  </xdr:twoCellAnchor>
</xdr:wsDr>
</file>

<file path=xl/drawings/drawing10.xml><?xml version="1.0" encoding="utf-8"?>
<xdr:wsDr xmlns:xdr="http://schemas.openxmlformats.org/drawingml/2006/spreadsheetDrawing" xmlns:a="http://schemas.openxmlformats.org/drawingml/2006/main">
  <xdr:twoCellAnchor editAs="absolute">
    <xdr:from>
      <xdr:col>14</xdr:col>
      <xdr:colOff>238125</xdr:colOff>
      <xdr:row>34</xdr:row>
      <xdr:rowOff>57150</xdr:rowOff>
    </xdr:from>
    <xdr:to>
      <xdr:col>15</xdr:col>
      <xdr:colOff>28575</xdr:colOff>
      <xdr:row>34</xdr:row>
      <xdr:rowOff>142875</xdr:rowOff>
    </xdr:to>
    <xdr:sp macro="" textlink="">
      <xdr:nvSpPr>
        <xdr:cNvPr id="72459" name="Line 43"/>
        <xdr:cNvSpPr>
          <a:spLocks noChangeShapeType="1"/>
        </xdr:cNvSpPr>
      </xdr:nvSpPr>
      <xdr:spPr bwMode="auto">
        <a:xfrm flipH="1">
          <a:off x="3705225" y="6915150"/>
          <a:ext cx="38100" cy="85725"/>
        </a:xfrm>
        <a:prstGeom prst="line">
          <a:avLst/>
        </a:prstGeom>
        <a:noFill/>
        <a:ln w="15875">
          <a:solidFill>
            <a:srgbClr val="000000"/>
          </a:solidFill>
          <a:round/>
          <a:headEnd/>
          <a:tailEnd/>
        </a:ln>
      </xdr:spPr>
    </xdr:sp>
    <xdr:clientData/>
  </xdr:twoCellAnchor>
  <xdr:twoCellAnchor>
    <xdr:from>
      <xdr:col>0</xdr:col>
      <xdr:colOff>38100</xdr:colOff>
      <xdr:row>44</xdr:row>
      <xdr:rowOff>123825</xdr:rowOff>
    </xdr:from>
    <xdr:to>
      <xdr:col>2</xdr:col>
      <xdr:colOff>123825</xdr:colOff>
      <xdr:row>46</xdr:row>
      <xdr:rowOff>152400</xdr:rowOff>
    </xdr:to>
    <xdr:pic>
      <xdr:nvPicPr>
        <xdr:cNvPr id="72460" name="Picture 3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8100" y="8648700"/>
          <a:ext cx="581025" cy="352425"/>
        </a:xfrm>
        <a:prstGeom prst="rect">
          <a:avLst/>
        </a:prstGeom>
        <a:noFill/>
        <a:ln w="9525">
          <a:noFill/>
          <a:miter lim="800000"/>
          <a:headEnd/>
          <a:tailEnd/>
        </a:ln>
      </xdr:spPr>
    </xdr:pic>
    <xdr:clientData fPrintsWithSheet="0"/>
  </xdr:twoCellAnchor>
  <xdr:twoCellAnchor>
    <xdr:from>
      <xdr:col>22</xdr:col>
      <xdr:colOff>142875</xdr:colOff>
      <xdr:row>44</xdr:row>
      <xdr:rowOff>104775</xdr:rowOff>
    </xdr:from>
    <xdr:to>
      <xdr:col>23</xdr:col>
      <xdr:colOff>209550</xdr:colOff>
      <xdr:row>46</xdr:row>
      <xdr:rowOff>104775</xdr:rowOff>
    </xdr:to>
    <xdr:pic>
      <xdr:nvPicPr>
        <xdr:cNvPr id="72461" name="9 Imagen"/>
        <xdr:cNvPicPr>
          <a:picLocks noChangeAspect="1" noChangeArrowheads="1"/>
        </xdr:cNvPicPr>
      </xdr:nvPicPr>
      <xdr:blipFill>
        <a:blip xmlns:r="http://schemas.openxmlformats.org/officeDocument/2006/relationships" r:embed="rId2" cstate="print"/>
        <a:srcRect l="86182"/>
        <a:stretch>
          <a:fillRect/>
        </a:stretch>
      </xdr:blipFill>
      <xdr:spPr bwMode="auto">
        <a:xfrm>
          <a:off x="5591175" y="8629650"/>
          <a:ext cx="371475" cy="323850"/>
        </a:xfrm>
        <a:prstGeom prst="rect">
          <a:avLst/>
        </a:prstGeom>
        <a:noFill/>
        <a:ln w="9525">
          <a:noFill/>
          <a:miter lim="800000"/>
          <a:headEnd/>
          <a:tailEnd/>
        </a:ln>
      </xdr:spPr>
    </xdr:pic>
    <xdr:clientData fPrintsWithSheet="0"/>
  </xdr:twoCellAnchor>
  <xdr:twoCellAnchor>
    <xdr:from>
      <xdr:col>0</xdr:col>
      <xdr:colOff>19050</xdr:colOff>
      <xdr:row>0</xdr:row>
      <xdr:rowOff>9525</xdr:rowOff>
    </xdr:from>
    <xdr:to>
      <xdr:col>5</xdr:col>
      <xdr:colOff>161925</xdr:colOff>
      <xdr:row>2</xdr:row>
      <xdr:rowOff>57150</xdr:rowOff>
    </xdr:to>
    <xdr:pic>
      <xdr:nvPicPr>
        <xdr:cNvPr id="72462" name="7 Imagen" descr="Descripción: los_servicios_m2.jp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r="70911"/>
        <a:stretch>
          <a:fillRect/>
        </a:stretch>
      </xdr:blipFill>
      <xdr:spPr bwMode="auto">
        <a:xfrm>
          <a:off x="19050" y="9525"/>
          <a:ext cx="1381125" cy="447675"/>
        </a:xfrm>
        <a:prstGeom prst="rect">
          <a:avLst/>
        </a:prstGeom>
        <a:noFill/>
        <a:ln w="9525">
          <a:noFill/>
          <a:miter lim="800000"/>
          <a:headEnd/>
          <a:tailEnd/>
        </a:ln>
      </xdr:spPr>
    </xdr:pic>
    <xdr:clientData/>
  </xdr:twoCellAnchor>
  <xdr:twoCellAnchor>
    <xdr:from>
      <xdr:col>5</xdr:col>
      <xdr:colOff>161925</xdr:colOff>
      <xdr:row>0</xdr:row>
      <xdr:rowOff>9525</xdr:rowOff>
    </xdr:from>
    <xdr:to>
      <xdr:col>11</xdr:col>
      <xdr:colOff>95250</xdr:colOff>
      <xdr:row>2</xdr:row>
      <xdr:rowOff>47625</xdr:rowOff>
    </xdr:to>
    <xdr:pic>
      <xdr:nvPicPr>
        <xdr:cNvPr id="72463" name="8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l="34386" r="36073"/>
        <a:stretch>
          <a:fillRect/>
        </a:stretch>
      </xdr:blipFill>
      <xdr:spPr bwMode="auto">
        <a:xfrm>
          <a:off x="1400175" y="9525"/>
          <a:ext cx="1419225" cy="438150"/>
        </a:xfrm>
        <a:prstGeom prst="rect">
          <a:avLst/>
        </a:prstGeom>
        <a:noFill/>
        <a:ln w="9525">
          <a:noFill/>
          <a:miter lim="800000"/>
          <a:headEnd/>
          <a:tailEnd/>
        </a:ln>
      </xdr:spPr>
    </xdr:pic>
    <xdr:clientData/>
  </xdr:twoCellAnchor>
  <xdr:twoCellAnchor>
    <xdr:from>
      <xdr:col>0</xdr:col>
      <xdr:colOff>28575</xdr:colOff>
      <xdr:row>2</xdr:row>
      <xdr:rowOff>76200</xdr:rowOff>
    </xdr:from>
    <xdr:to>
      <xdr:col>11</xdr:col>
      <xdr:colOff>85725</xdr:colOff>
      <xdr:row>2</xdr:row>
      <xdr:rowOff>180975</xdr:rowOff>
    </xdr:to>
    <xdr:pic>
      <xdr:nvPicPr>
        <xdr:cNvPr id="72464" name="2 Imagen" descr="Descripción: los_servicios_m2.jpg"/>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l="68701" t="59828" b="15846"/>
        <a:stretch>
          <a:fillRect/>
        </a:stretch>
      </xdr:blipFill>
      <xdr:spPr bwMode="auto">
        <a:xfrm>
          <a:off x="28575" y="476250"/>
          <a:ext cx="2781300" cy="104775"/>
        </a:xfrm>
        <a:prstGeom prst="rect">
          <a:avLst/>
        </a:prstGeom>
        <a:noFill/>
        <a:ln w="9525">
          <a:noFill/>
          <a:miter lim="800000"/>
          <a:headEnd/>
          <a:tailEnd/>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6</xdr:col>
      <xdr:colOff>209550</xdr:colOff>
      <xdr:row>52</xdr:row>
      <xdr:rowOff>0</xdr:rowOff>
    </xdr:from>
    <xdr:to>
      <xdr:col>18</xdr:col>
      <xdr:colOff>133350</xdr:colOff>
      <xdr:row>52</xdr:row>
      <xdr:rowOff>0</xdr:rowOff>
    </xdr:to>
    <xdr:sp macro="" textlink="">
      <xdr:nvSpPr>
        <xdr:cNvPr id="82179" name="Line 36"/>
        <xdr:cNvSpPr>
          <a:spLocks noChangeShapeType="1"/>
        </xdr:cNvSpPr>
      </xdr:nvSpPr>
      <xdr:spPr bwMode="auto">
        <a:xfrm>
          <a:off x="1590675" y="7658100"/>
          <a:ext cx="2895600" cy="0"/>
        </a:xfrm>
        <a:prstGeom prst="line">
          <a:avLst/>
        </a:prstGeom>
        <a:noFill/>
        <a:ln w="9525">
          <a:solidFill>
            <a:srgbClr val="000000"/>
          </a:solidFill>
          <a:round/>
          <a:headEnd/>
          <a:tailEnd/>
        </a:ln>
      </xdr:spPr>
    </xdr:sp>
    <xdr:clientData/>
  </xdr:twoCellAnchor>
  <xdr:twoCellAnchor editAs="absolute">
    <xdr:from>
      <xdr:col>18</xdr:col>
      <xdr:colOff>19050</xdr:colOff>
      <xdr:row>4</xdr:row>
      <xdr:rowOff>47957</xdr:rowOff>
    </xdr:from>
    <xdr:to>
      <xdr:col>23</xdr:col>
      <xdr:colOff>9525</xdr:colOff>
      <xdr:row>5</xdr:row>
      <xdr:rowOff>58479</xdr:rowOff>
    </xdr:to>
    <xdr:pic>
      <xdr:nvPicPr>
        <xdr:cNvPr id="70678" name="Picture 40"/>
        <xdr:cNvPicPr>
          <a:picLocks noChangeAspect="1" noChangeArrowheads="1"/>
        </xdr:cNvPicPr>
      </xdr:nvPicPr>
      <xdr:blipFill>
        <a:blip xmlns:r="http://schemas.openxmlformats.org/officeDocument/2006/relationships" r:embed="rId1" cstate="print">
          <a:duotone>
            <a:schemeClr val="bg2">
              <a:shade val="45000"/>
              <a:satMod val="135000"/>
            </a:schemeClr>
            <a:prstClr val="white"/>
          </a:duotone>
          <a:lum bright="100000"/>
        </a:blip>
        <a:srcRect/>
        <a:stretch>
          <a:fillRect/>
        </a:stretch>
      </xdr:blipFill>
      <xdr:spPr bwMode="auto">
        <a:xfrm>
          <a:off x="4476750" y="848057"/>
          <a:ext cx="1276350" cy="96247"/>
        </a:xfrm>
        <a:prstGeom prst="rect">
          <a:avLst/>
        </a:prstGeom>
        <a:solidFill>
          <a:schemeClr val="bg1"/>
        </a:solidFill>
        <a:ln w="9525">
          <a:noFill/>
          <a:miter lim="800000"/>
          <a:headEnd/>
          <a:tailEnd/>
        </a:ln>
      </xdr:spPr>
    </xdr:pic>
    <xdr:clientData/>
  </xdr:twoCellAnchor>
  <xdr:twoCellAnchor editAs="absolute">
    <xdr:from>
      <xdr:col>18</xdr:col>
      <xdr:colOff>75649</xdr:colOff>
      <xdr:row>3</xdr:row>
      <xdr:rowOff>47403</xdr:rowOff>
    </xdr:from>
    <xdr:to>
      <xdr:col>22</xdr:col>
      <xdr:colOff>57700</xdr:colOff>
      <xdr:row>3</xdr:row>
      <xdr:rowOff>152400</xdr:rowOff>
    </xdr:to>
    <xdr:pic>
      <xdr:nvPicPr>
        <xdr:cNvPr id="70679" name="Picture 41"/>
        <xdr:cNvPicPr>
          <a:picLocks noChangeAspect="1" noChangeArrowheads="1"/>
        </xdr:cNvPicPr>
      </xdr:nvPicPr>
      <xdr:blipFill>
        <a:blip xmlns:r="http://schemas.openxmlformats.org/officeDocument/2006/relationships" r:embed="rId2" cstate="print">
          <a:duotone>
            <a:schemeClr val="bg2">
              <a:shade val="45000"/>
              <a:satMod val="135000"/>
            </a:schemeClr>
            <a:prstClr val="white"/>
          </a:duotone>
          <a:lum bright="89000"/>
        </a:blip>
        <a:srcRect/>
        <a:stretch>
          <a:fillRect/>
        </a:stretch>
      </xdr:blipFill>
      <xdr:spPr bwMode="auto">
        <a:xfrm>
          <a:off x="4533349" y="647478"/>
          <a:ext cx="1010751" cy="104997"/>
        </a:xfrm>
        <a:prstGeom prst="rect">
          <a:avLst/>
        </a:prstGeom>
        <a:solidFill>
          <a:schemeClr val="bg1"/>
        </a:solidFill>
        <a:ln w="9525">
          <a:noFill/>
          <a:miter lim="800000"/>
          <a:headEnd/>
          <a:tailEnd/>
        </a:ln>
      </xdr:spPr>
    </xdr:pic>
    <xdr:clientData/>
  </xdr:twoCellAnchor>
  <xdr:twoCellAnchor editAs="absolute">
    <xdr:from>
      <xdr:col>15</xdr:col>
      <xdr:colOff>266700</xdr:colOff>
      <xdr:row>44</xdr:row>
      <xdr:rowOff>123825</xdr:rowOff>
    </xdr:from>
    <xdr:to>
      <xdr:col>16</xdr:col>
      <xdr:colOff>19050</xdr:colOff>
      <xdr:row>44</xdr:row>
      <xdr:rowOff>209550</xdr:rowOff>
    </xdr:to>
    <xdr:sp macro="" textlink="">
      <xdr:nvSpPr>
        <xdr:cNvPr id="82182" name="Line 43"/>
        <xdr:cNvSpPr>
          <a:spLocks noChangeShapeType="1"/>
        </xdr:cNvSpPr>
      </xdr:nvSpPr>
      <xdr:spPr bwMode="auto">
        <a:xfrm flipH="1">
          <a:off x="3943350" y="6600825"/>
          <a:ext cx="38100" cy="85725"/>
        </a:xfrm>
        <a:prstGeom prst="line">
          <a:avLst/>
        </a:prstGeom>
        <a:noFill/>
        <a:ln w="15875">
          <a:solidFill>
            <a:srgbClr val="000000"/>
          </a:solidFill>
          <a:round/>
          <a:headEnd/>
          <a:tailEnd/>
        </a:ln>
      </xdr:spPr>
    </xdr:sp>
    <xdr:clientData/>
  </xdr:twoCellAnchor>
  <xdr:twoCellAnchor editAs="absolute">
    <xdr:from>
      <xdr:col>16</xdr:col>
      <xdr:colOff>26894</xdr:colOff>
      <xdr:row>46</xdr:row>
      <xdr:rowOff>188819</xdr:rowOff>
    </xdr:from>
    <xdr:to>
      <xdr:col>22</xdr:col>
      <xdr:colOff>101412</xdr:colOff>
      <xdr:row>50</xdr:row>
      <xdr:rowOff>194736</xdr:rowOff>
    </xdr:to>
    <xdr:sp macro="" textlink="">
      <xdr:nvSpPr>
        <xdr:cNvPr id="8" name="7 Rectángulo"/>
        <xdr:cNvSpPr/>
      </xdr:nvSpPr>
      <xdr:spPr>
        <a:xfrm>
          <a:off x="3989294" y="7142069"/>
          <a:ext cx="1598518" cy="806017"/>
        </a:xfrm>
        <a:prstGeom prst="rect">
          <a:avLst/>
        </a:prstGeom>
        <a:noFill/>
      </xdr:spPr>
      <xdr:txBody>
        <a:bodyPr wrap="square" lIns="91440" tIns="45720" rIns="91440" bIns="45720">
          <a:noAutofit/>
        </a:bodyPr>
        <a:lstStyle/>
        <a:p>
          <a:pPr algn="ctr"/>
          <a:endParaRPr lang="es-ES" sz="1100" b="1" cap="none" spc="0">
            <a:ln w="1905"/>
            <a:solidFill>
              <a:schemeClr val="bg1"/>
            </a:solidFill>
            <a:effectLst>
              <a:innerShdw blurRad="69850" dist="43180" dir="5400000">
                <a:srgbClr val="000000">
                  <a:alpha val="65000"/>
                </a:srgbClr>
              </a:innerShdw>
            </a:effectLst>
            <a:cs typeface="MV Boli" pitchFamily="2"/>
          </a:endParaRPr>
        </a:p>
        <a:p>
          <a:pPr algn="ctr"/>
          <a:r>
            <a:rPr lang="es-ES" sz="700" b="1" cap="none" spc="0">
              <a:ln w="1905"/>
              <a:solidFill>
                <a:sysClr val="windowText" lastClr="000000"/>
              </a:solidFill>
              <a:effectLst>
                <a:innerShdw blurRad="69850" dist="43180" dir="5400000">
                  <a:srgbClr val="000000">
                    <a:alpha val="65000"/>
                  </a:srgbClr>
                </a:innerShdw>
              </a:effectLst>
            </a:rPr>
            <a:t>Servicios</a:t>
          </a:r>
          <a:r>
            <a:rPr lang="es-ES" sz="700" b="1" cap="none" spc="0" baseline="0">
              <a:ln w="1905"/>
              <a:solidFill>
                <a:sysClr val="windowText" lastClr="000000"/>
              </a:solidFill>
              <a:effectLst>
                <a:innerShdw blurRad="69850" dist="43180" dir="5400000">
                  <a:srgbClr val="000000">
                    <a:alpha val="65000"/>
                  </a:srgbClr>
                </a:innerShdw>
              </a:effectLst>
            </a:rPr>
            <a:t> Educativos de Quintana  Roo</a:t>
          </a:r>
        </a:p>
        <a:p>
          <a:pPr algn="ctr"/>
          <a:r>
            <a:rPr lang="es-ES" sz="700" b="1" cap="none" spc="0">
              <a:ln w="1905"/>
              <a:solidFill>
                <a:sysClr val="windowText" lastClr="000000"/>
              </a:solidFill>
              <a:effectLst>
                <a:innerShdw blurRad="69850" dist="43180" dir="5400000">
                  <a:srgbClr val="000000">
                    <a:alpha val="65000"/>
                  </a:srgbClr>
                </a:innerShdw>
              </a:effectLst>
            </a:rPr>
            <a:t>Supervisión Escolar 042</a:t>
          </a:r>
        </a:p>
        <a:p>
          <a:pPr algn="ctr"/>
          <a:r>
            <a:rPr lang="es-ES" sz="700" b="1" cap="none" spc="0">
              <a:ln w="1905"/>
              <a:solidFill>
                <a:sysClr val="windowText" lastClr="000000"/>
              </a:solidFill>
              <a:effectLst>
                <a:innerShdw blurRad="69850" dist="43180" dir="5400000">
                  <a:srgbClr val="000000">
                    <a:alpha val="65000"/>
                  </a:srgbClr>
                </a:innerShdw>
              </a:effectLst>
            </a:rPr>
            <a:t>Educación  Primaria</a:t>
          </a:r>
        </a:p>
        <a:p>
          <a:pPr algn="ctr"/>
          <a:r>
            <a:rPr lang="es-ES" sz="700" b="1" cap="none" spc="0">
              <a:ln w="1905"/>
              <a:solidFill>
                <a:sysClr val="windowText" lastClr="000000"/>
              </a:solidFill>
              <a:effectLst>
                <a:innerShdw blurRad="69850" dist="43180" dir="5400000">
                  <a:srgbClr val="000000">
                    <a:alpha val="65000"/>
                  </a:srgbClr>
                </a:innerShdw>
              </a:effectLst>
            </a:rPr>
            <a:t>C.</a:t>
          </a:r>
          <a:r>
            <a:rPr lang="es-ES" sz="700" b="1" cap="none" spc="0" baseline="0">
              <a:ln w="1905"/>
              <a:solidFill>
                <a:sysClr val="windowText" lastClr="000000"/>
              </a:solidFill>
              <a:effectLst>
                <a:innerShdw blurRad="69850" dist="43180" dir="5400000">
                  <a:srgbClr val="000000">
                    <a:alpha val="65000"/>
                  </a:srgbClr>
                </a:innerShdw>
              </a:effectLst>
            </a:rPr>
            <a:t> C. T.  23FIZ0042  D</a:t>
          </a:r>
        </a:p>
        <a:p>
          <a:pPr algn="ctr"/>
          <a:r>
            <a:rPr lang="es-ES" sz="700" b="1" cap="none" spc="0" baseline="0">
              <a:ln w="1905"/>
              <a:solidFill>
                <a:sysClr val="windowText" lastClr="000000"/>
              </a:solidFill>
              <a:effectLst>
                <a:innerShdw blurRad="69850" dist="43180" dir="5400000">
                  <a:srgbClr val="000000">
                    <a:alpha val="65000"/>
                  </a:srgbClr>
                </a:innerShdw>
              </a:effectLst>
            </a:rPr>
            <a:t>Cancún  Quintana  Roo</a:t>
          </a:r>
          <a:endParaRPr lang="es-ES" sz="700" b="1" cap="none" spc="0">
            <a:ln w="1905"/>
            <a:solidFill>
              <a:sysClr val="windowText" lastClr="000000"/>
            </a:solidFill>
            <a:effectLst>
              <a:innerShdw blurRad="69850" dist="43180" dir="5400000">
                <a:srgbClr val="000000">
                  <a:alpha val="65000"/>
                </a:srgbClr>
              </a:innerShdw>
            </a:effectLst>
          </a:endParaRPr>
        </a:p>
      </xdr:txBody>
    </xdr:sp>
    <xdr:clientData fPrintsWithSheet="0"/>
  </xdr:twoCellAnchor>
  <xdr:twoCellAnchor editAs="absolute">
    <xdr:from>
      <xdr:col>17</xdr:col>
      <xdr:colOff>142875</xdr:colOff>
      <xdr:row>46</xdr:row>
      <xdr:rowOff>152400</xdr:rowOff>
    </xdr:from>
    <xdr:to>
      <xdr:col>20</xdr:col>
      <xdr:colOff>209550</xdr:colOff>
      <xdr:row>47</xdr:row>
      <xdr:rowOff>180975</xdr:rowOff>
    </xdr:to>
    <xdr:pic>
      <xdr:nvPicPr>
        <xdr:cNvPr id="82184" name="Picture 11" descr="Escanear0003"/>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40000" contrast="20000"/>
        </a:blip>
        <a:srcRect l="21584" t="21774" r="23230" b="60568"/>
        <a:stretch>
          <a:fillRect/>
        </a:stretch>
      </xdr:blipFill>
      <xdr:spPr bwMode="auto">
        <a:xfrm>
          <a:off x="4352925" y="7105650"/>
          <a:ext cx="828675" cy="266700"/>
        </a:xfrm>
        <a:prstGeom prst="rect">
          <a:avLst/>
        </a:prstGeom>
        <a:noFill/>
        <a:ln w="9525">
          <a:noFill/>
          <a:miter lim="800000"/>
          <a:headEnd/>
          <a:tailEnd/>
        </a:ln>
      </xdr:spPr>
    </xdr:pic>
    <xdr:clientData fPrintsWithSheet="0"/>
  </xdr:twoCellAnchor>
  <xdr:twoCellAnchor>
    <xdr:from>
      <xdr:col>0</xdr:col>
      <xdr:colOff>85725</xdr:colOff>
      <xdr:row>51</xdr:row>
      <xdr:rowOff>28575</xdr:rowOff>
    </xdr:from>
    <xdr:to>
      <xdr:col>3</xdr:col>
      <xdr:colOff>28575</xdr:colOff>
      <xdr:row>53</xdr:row>
      <xdr:rowOff>0</xdr:rowOff>
    </xdr:to>
    <xdr:pic>
      <xdr:nvPicPr>
        <xdr:cNvPr id="82185" name="Picture 39"/>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85725" y="7981950"/>
          <a:ext cx="581025" cy="342900"/>
        </a:xfrm>
        <a:prstGeom prst="rect">
          <a:avLst/>
        </a:prstGeom>
        <a:noFill/>
        <a:ln w="9525">
          <a:noFill/>
          <a:miter lim="800000"/>
          <a:headEnd/>
          <a:tailEnd/>
        </a:ln>
      </xdr:spPr>
    </xdr:pic>
    <xdr:clientData fPrintsWithSheet="0"/>
  </xdr:twoCellAnchor>
  <xdr:twoCellAnchor>
    <xdr:from>
      <xdr:col>0</xdr:col>
      <xdr:colOff>66675</xdr:colOff>
      <xdr:row>0</xdr:row>
      <xdr:rowOff>66675</xdr:rowOff>
    </xdr:from>
    <xdr:to>
      <xdr:col>5</xdr:col>
      <xdr:colOff>85725</xdr:colOff>
      <xdr:row>2</xdr:row>
      <xdr:rowOff>190500</xdr:rowOff>
    </xdr:to>
    <xdr:pic>
      <xdr:nvPicPr>
        <xdr:cNvPr id="82186" name="10 Imagen" descr="Descripción: los_servicios_m2.jpg"/>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blip>
        <a:srcRect r="70911"/>
        <a:stretch>
          <a:fillRect/>
        </a:stretch>
      </xdr:blipFill>
      <xdr:spPr bwMode="auto">
        <a:xfrm>
          <a:off x="66675" y="66675"/>
          <a:ext cx="1152525" cy="523875"/>
        </a:xfrm>
        <a:prstGeom prst="rect">
          <a:avLst/>
        </a:prstGeom>
        <a:noFill/>
        <a:ln w="9525">
          <a:noFill/>
          <a:miter lim="800000"/>
          <a:headEnd/>
          <a:tailEnd/>
        </a:ln>
      </xdr:spPr>
    </xdr:pic>
    <xdr:clientData/>
  </xdr:twoCellAnchor>
  <xdr:twoCellAnchor>
    <xdr:from>
      <xdr:col>19</xdr:col>
      <xdr:colOff>95250</xdr:colOff>
      <xdr:row>0</xdr:row>
      <xdr:rowOff>57150</xdr:rowOff>
    </xdr:from>
    <xdr:to>
      <xdr:col>23</xdr:col>
      <xdr:colOff>247650</xdr:colOff>
      <xdr:row>2</xdr:row>
      <xdr:rowOff>190500</xdr:rowOff>
    </xdr:to>
    <xdr:pic>
      <xdr:nvPicPr>
        <xdr:cNvPr id="82187" name="11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4810125" y="57150"/>
          <a:ext cx="1181100" cy="533400"/>
        </a:xfrm>
        <a:prstGeom prst="rect">
          <a:avLst/>
        </a:prstGeom>
        <a:noFill/>
        <a:ln w="9525">
          <a:noFill/>
          <a:miter lim="800000"/>
          <a:headEnd/>
          <a:tailEnd/>
        </a:ln>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6</xdr:col>
      <xdr:colOff>238125</xdr:colOff>
      <xdr:row>2</xdr:row>
      <xdr:rowOff>190500</xdr:rowOff>
    </xdr:to>
    <xdr:pic>
      <xdr:nvPicPr>
        <xdr:cNvPr id="74089" name="1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57150" y="0"/>
          <a:ext cx="1219200" cy="609600"/>
        </a:xfrm>
        <a:prstGeom prst="rect">
          <a:avLst/>
        </a:prstGeom>
        <a:noFill/>
        <a:ln w="9525">
          <a:noFill/>
          <a:miter lim="800000"/>
          <a:headEnd/>
          <a:tailEnd/>
        </a:ln>
      </xdr:spPr>
    </xdr:pic>
    <xdr:clientData/>
  </xdr:twoCellAnchor>
  <xdr:twoCellAnchor editAs="oneCell">
    <xdr:from>
      <xdr:col>8</xdr:col>
      <xdr:colOff>400050</xdr:colOff>
      <xdr:row>1</xdr:row>
      <xdr:rowOff>47625</xdr:rowOff>
    </xdr:from>
    <xdr:to>
      <xdr:col>10</xdr:col>
      <xdr:colOff>323850</xdr:colOff>
      <xdr:row>2</xdr:row>
      <xdr:rowOff>171450</xdr:rowOff>
    </xdr:to>
    <xdr:pic>
      <xdr:nvPicPr>
        <xdr:cNvPr id="74090" name="2 Imagen"/>
        <xdr:cNvPicPr>
          <a:picLocks noChangeAspect="1" noChangeArrowheads="1"/>
        </xdr:cNvPicPr>
      </xdr:nvPicPr>
      <xdr:blipFill>
        <a:blip xmlns:r="http://schemas.openxmlformats.org/officeDocument/2006/relationships" r:embed="rId2" cstate="print">
          <a:clrChange>
            <a:clrFrom>
              <a:srgbClr val="FFFFFB"/>
            </a:clrFrom>
            <a:clrTo>
              <a:srgbClr val="FFFFFB">
                <a:alpha val="0"/>
              </a:srgbClr>
            </a:clrTo>
          </a:clrChange>
        </a:blip>
        <a:srcRect l="71185" t="34247" b="6776"/>
        <a:stretch>
          <a:fillRect/>
        </a:stretch>
      </xdr:blipFill>
      <xdr:spPr bwMode="auto">
        <a:xfrm>
          <a:off x="2381250" y="257175"/>
          <a:ext cx="619125" cy="333375"/>
        </a:xfrm>
        <a:prstGeom prst="rect">
          <a:avLst/>
        </a:prstGeom>
        <a:noFill/>
        <a:ln w="9525">
          <a:noFill/>
          <a:miter lim="800000"/>
          <a:headEnd/>
          <a:tailEnd/>
        </a:ln>
      </xdr:spPr>
    </xdr:pic>
    <xdr:clientData/>
  </xdr:twoCellAnchor>
  <xdr:twoCellAnchor editAs="oneCell">
    <xdr:from>
      <xdr:col>6</xdr:col>
      <xdr:colOff>266700</xdr:colOff>
      <xdr:row>0</xdr:row>
      <xdr:rowOff>0</xdr:rowOff>
    </xdr:from>
    <xdr:to>
      <xdr:col>8</xdr:col>
      <xdr:colOff>371475</xdr:colOff>
      <xdr:row>2</xdr:row>
      <xdr:rowOff>190500</xdr:rowOff>
    </xdr:to>
    <xdr:pic>
      <xdr:nvPicPr>
        <xdr:cNvPr id="74091" name="3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1304925" y="0"/>
          <a:ext cx="1047750" cy="609600"/>
        </a:xfrm>
        <a:prstGeom prst="rect">
          <a:avLst/>
        </a:prstGeom>
        <a:noFill/>
        <a:ln w="9525">
          <a:noFill/>
          <a:miter lim="800000"/>
          <a:headEnd/>
          <a:tailEnd/>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1</xdr:col>
      <xdr:colOff>28575</xdr:colOff>
      <xdr:row>0</xdr:row>
      <xdr:rowOff>0</xdr:rowOff>
    </xdr:from>
    <xdr:to>
      <xdr:col>4</xdr:col>
      <xdr:colOff>226919</xdr:colOff>
      <xdr:row>3</xdr:row>
      <xdr:rowOff>7005</xdr:rowOff>
    </xdr:to>
    <xdr:pic>
      <xdr:nvPicPr>
        <xdr:cNvPr id="2" name="1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57150" y="0"/>
          <a:ext cx="1219200" cy="609600"/>
        </a:xfrm>
        <a:prstGeom prst="rect">
          <a:avLst/>
        </a:prstGeom>
        <a:noFill/>
        <a:ln w="9525">
          <a:noFill/>
          <a:miter lim="800000"/>
          <a:headEnd/>
          <a:tailEnd/>
        </a:ln>
      </xdr:spPr>
    </xdr:pic>
    <xdr:clientData/>
  </xdr:twoCellAnchor>
  <xdr:twoCellAnchor editAs="absolute">
    <xdr:from>
      <xdr:col>10</xdr:col>
      <xdr:colOff>96223</xdr:colOff>
      <xdr:row>5</xdr:row>
      <xdr:rowOff>5259</xdr:rowOff>
    </xdr:from>
    <xdr:to>
      <xdr:col>10</xdr:col>
      <xdr:colOff>346077</xdr:colOff>
      <xdr:row>5</xdr:row>
      <xdr:rowOff>138300</xdr:rowOff>
    </xdr:to>
    <xdr:pic>
      <xdr:nvPicPr>
        <xdr:cNvPr id="3" name="2 Imagen"/>
        <xdr:cNvPicPr>
          <a:picLocks noChangeAspect="1" noChangeArrowheads="1"/>
        </xdr:cNvPicPr>
      </xdr:nvPicPr>
      <xdr:blipFill>
        <a:blip xmlns:r="http://schemas.openxmlformats.org/officeDocument/2006/relationships" r:embed="rId2" cstate="print">
          <a:clrChange>
            <a:clrFrom>
              <a:srgbClr val="FFFFFB"/>
            </a:clrFrom>
            <a:clrTo>
              <a:srgbClr val="FFFFFB">
                <a:alpha val="0"/>
              </a:srgbClr>
            </a:clrTo>
          </a:clrChange>
        </a:blip>
        <a:srcRect l="71185" t="34247" b="6776"/>
        <a:stretch>
          <a:fillRect/>
        </a:stretch>
      </xdr:blipFill>
      <xdr:spPr bwMode="auto">
        <a:xfrm>
          <a:off x="3439498" y="995859"/>
          <a:ext cx="249854" cy="133041"/>
        </a:xfrm>
        <a:prstGeom prst="rect">
          <a:avLst/>
        </a:prstGeom>
        <a:noFill/>
        <a:ln w="9525">
          <a:noFill/>
          <a:miter lim="800000"/>
          <a:headEnd/>
          <a:tailEnd/>
        </a:ln>
      </xdr:spPr>
    </xdr:pic>
    <xdr:clientData fPrintsWithSheet="0"/>
  </xdr:twoCellAnchor>
  <xdr:twoCellAnchor editAs="oneCell">
    <xdr:from>
      <xdr:col>17</xdr:col>
      <xdr:colOff>76192</xdr:colOff>
      <xdr:row>0</xdr:row>
      <xdr:rowOff>0</xdr:rowOff>
    </xdr:from>
    <xdr:to>
      <xdr:col>19</xdr:col>
      <xdr:colOff>360261</xdr:colOff>
      <xdr:row>3</xdr:row>
      <xdr:rowOff>7005</xdr:rowOff>
    </xdr:to>
    <xdr:pic>
      <xdr:nvPicPr>
        <xdr:cNvPr id="4" name="3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6093751" y="0"/>
          <a:ext cx="1046069" cy="616324"/>
        </a:xfrm>
        <a:prstGeom prst="rect">
          <a:avLst/>
        </a:prstGeom>
        <a:noFill/>
        <a:ln w="9525">
          <a:noFill/>
          <a:miter lim="800000"/>
          <a:headEnd/>
          <a:tailEnd/>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16</xdr:col>
      <xdr:colOff>342900</xdr:colOff>
      <xdr:row>49</xdr:row>
      <xdr:rowOff>76200</xdr:rowOff>
    </xdr:from>
    <xdr:to>
      <xdr:col>17</xdr:col>
      <xdr:colOff>695325</xdr:colOff>
      <xdr:row>53</xdr:row>
      <xdr:rowOff>95250</xdr:rowOff>
    </xdr:to>
    <xdr:grpSp>
      <xdr:nvGrpSpPr>
        <xdr:cNvPr id="85388" name="Group 39"/>
        <xdr:cNvGrpSpPr>
          <a:grpSpLocks/>
        </xdr:cNvGrpSpPr>
      </xdr:nvGrpSpPr>
      <xdr:grpSpPr bwMode="auto">
        <a:xfrm>
          <a:off x="5309507" y="6879771"/>
          <a:ext cx="783318" cy="654050"/>
          <a:chOff x="556" y="365"/>
          <a:chExt cx="94" cy="65"/>
        </a:xfrm>
      </xdr:grpSpPr>
      <xdr:sp macro="" textlink="">
        <xdr:nvSpPr>
          <xdr:cNvPr id="85413" name="Rectangle 40"/>
          <xdr:cNvSpPr>
            <a:spLocks noChangeArrowheads="1"/>
          </xdr:cNvSpPr>
        </xdr:nvSpPr>
        <xdr:spPr bwMode="auto">
          <a:xfrm>
            <a:off x="556" y="365"/>
            <a:ext cx="8" cy="65"/>
          </a:xfrm>
          <a:prstGeom prst="rect">
            <a:avLst/>
          </a:prstGeom>
          <a:solidFill>
            <a:srgbClr val="C0C0C0"/>
          </a:solidFill>
          <a:ln w="9525">
            <a:solidFill>
              <a:srgbClr val="C0C0C0"/>
            </a:solidFill>
            <a:miter lim="800000"/>
            <a:headEnd/>
            <a:tailEnd/>
          </a:ln>
        </xdr:spPr>
      </xdr:sp>
      <xdr:sp macro="" textlink="">
        <xdr:nvSpPr>
          <xdr:cNvPr id="85414" name="Rectangle 41"/>
          <xdr:cNvSpPr>
            <a:spLocks noChangeArrowheads="1"/>
          </xdr:cNvSpPr>
        </xdr:nvSpPr>
        <xdr:spPr bwMode="auto">
          <a:xfrm>
            <a:off x="558" y="423"/>
            <a:ext cx="92" cy="7"/>
          </a:xfrm>
          <a:prstGeom prst="rect">
            <a:avLst/>
          </a:prstGeom>
          <a:solidFill>
            <a:srgbClr val="C0C0C0"/>
          </a:solidFill>
          <a:ln w="9525">
            <a:solidFill>
              <a:srgbClr val="C0C0C0"/>
            </a:solidFill>
            <a:miter lim="800000"/>
            <a:headEnd/>
            <a:tailEnd/>
          </a:ln>
        </xdr:spPr>
      </xdr:sp>
    </xdr:grpSp>
    <xdr:clientData/>
  </xdr:twoCellAnchor>
  <xdr:twoCellAnchor>
    <xdr:from>
      <xdr:col>16</xdr:col>
      <xdr:colOff>342900</xdr:colOff>
      <xdr:row>43</xdr:row>
      <xdr:rowOff>76200</xdr:rowOff>
    </xdr:from>
    <xdr:to>
      <xdr:col>17</xdr:col>
      <xdr:colOff>695325</xdr:colOff>
      <xdr:row>47</xdr:row>
      <xdr:rowOff>95250</xdr:rowOff>
    </xdr:to>
    <xdr:grpSp>
      <xdr:nvGrpSpPr>
        <xdr:cNvPr id="85389" name="Group 39"/>
        <xdr:cNvGrpSpPr>
          <a:grpSpLocks/>
        </xdr:cNvGrpSpPr>
      </xdr:nvGrpSpPr>
      <xdr:grpSpPr bwMode="auto">
        <a:xfrm>
          <a:off x="5309507" y="6063343"/>
          <a:ext cx="783318" cy="654050"/>
          <a:chOff x="556" y="365"/>
          <a:chExt cx="94" cy="65"/>
        </a:xfrm>
      </xdr:grpSpPr>
      <xdr:sp macro="" textlink="">
        <xdr:nvSpPr>
          <xdr:cNvPr id="85411" name="Rectangle 40"/>
          <xdr:cNvSpPr>
            <a:spLocks noChangeArrowheads="1"/>
          </xdr:cNvSpPr>
        </xdr:nvSpPr>
        <xdr:spPr bwMode="auto">
          <a:xfrm>
            <a:off x="556" y="365"/>
            <a:ext cx="8" cy="65"/>
          </a:xfrm>
          <a:prstGeom prst="rect">
            <a:avLst/>
          </a:prstGeom>
          <a:solidFill>
            <a:srgbClr val="C0C0C0"/>
          </a:solidFill>
          <a:ln w="9525">
            <a:solidFill>
              <a:srgbClr val="C0C0C0"/>
            </a:solidFill>
            <a:miter lim="800000"/>
            <a:headEnd/>
            <a:tailEnd/>
          </a:ln>
        </xdr:spPr>
      </xdr:sp>
      <xdr:sp macro="" textlink="">
        <xdr:nvSpPr>
          <xdr:cNvPr id="85412" name="Rectangle 41"/>
          <xdr:cNvSpPr>
            <a:spLocks noChangeArrowheads="1"/>
          </xdr:cNvSpPr>
        </xdr:nvSpPr>
        <xdr:spPr bwMode="auto">
          <a:xfrm>
            <a:off x="558" y="423"/>
            <a:ext cx="92" cy="7"/>
          </a:xfrm>
          <a:prstGeom prst="rect">
            <a:avLst/>
          </a:prstGeom>
          <a:solidFill>
            <a:srgbClr val="C0C0C0"/>
          </a:solidFill>
          <a:ln w="9525">
            <a:solidFill>
              <a:srgbClr val="C0C0C0"/>
            </a:solidFill>
            <a:miter lim="800000"/>
            <a:headEnd/>
            <a:tailEnd/>
          </a:ln>
        </xdr:spPr>
      </xdr:sp>
    </xdr:grpSp>
    <xdr:clientData/>
  </xdr:twoCellAnchor>
  <xdr:twoCellAnchor>
    <xdr:from>
      <xdr:col>16</xdr:col>
      <xdr:colOff>342900</xdr:colOff>
      <xdr:row>25</xdr:row>
      <xdr:rowOff>64861</xdr:rowOff>
    </xdr:from>
    <xdr:to>
      <xdr:col>17</xdr:col>
      <xdr:colOff>695325</xdr:colOff>
      <xdr:row>29</xdr:row>
      <xdr:rowOff>88900</xdr:rowOff>
    </xdr:to>
    <xdr:grpSp>
      <xdr:nvGrpSpPr>
        <xdr:cNvPr id="85390" name="Group 39"/>
        <xdr:cNvGrpSpPr>
          <a:grpSpLocks/>
        </xdr:cNvGrpSpPr>
      </xdr:nvGrpSpPr>
      <xdr:grpSpPr bwMode="auto">
        <a:xfrm>
          <a:off x="5309507" y="3398611"/>
          <a:ext cx="783318" cy="659039"/>
          <a:chOff x="556" y="365"/>
          <a:chExt cx="94" cy="65"/>
        </a:xfrm>
      </xdr:grpSpPr>
      <xdr:sp macro="" textlink="">
        <xdr:nvSpPr>
          <xdr:cNvPr id="85409" name="Rectangle 40"/>
          <xdr:cNvSpPr>
            <a:spLocks noChangeArrowheads="1"/>
          </xdr:cNvSpPr>
        </xdr:nvSpPr>
        <xdr:spPr bwMode="auto">
          <a:xfrm>
            <a:off x="556" y="365"/>
            <a:ext cx="8" cy="65"/>
          </a:xfrm>
          <a:prstGeom prst="rect">
            <a:avLst/>
          </a:prstGeom>
          <a:solidFill>
            <a:srgbClr val="C0C0C0"/>
          </a:solidFill>
          <a:ln w="9525">
            <a:solidFill>
              <a:srgbClr val="C0C0C0"/>
            </a:solidFill>
            <a:miter lim="800000"/>
            <a:headEnd/>
            <a:tailEnd/>
          </a:ln>
        </xdr:spPr>
      </xdr:sp>
      <xdr:sp macro="" textlink="">
        <xdr:nvSpPr>
          <xdr:cNvPr id="85410" name="Rectangle 41"/>
          <xdr:cNvSpPr>
            <a:spLocks noChangeArrowheads="1"/>
          </xdr:cNvSpPr>
        </xdr:nvSpPr>
        <xdr:spPr bwMode="auto">
          <a:xfrm>
            <a:off x="558" y="423"/>
            <a:ext cx="92" cy="7"/>
          </a:xfrm>
          <a:prstGeom prst="rect">
            <a:avLst/>
          </a:prstGeom>
          <a:solidFill>
            <a:srgbClr val="C0C0C0"/>
          </a:solidFill>
          <a:ln w="9525">
            <a:solidFill>
              <a:srgbClr val="C0C0C0"/>
            </a:solidFill>
            <a:miter lim="800000"/>
            <a:headEnd/>
            <a:tailEnd/>
          </a:ln>
        </xdr:spPr>
      </xdr:sp>
    </xdr:grpSp>
    <xdr:clientData/>
  </xdr:twoCellAnchor>
  <xdr:twoCellAnchor>
    <xdr:from>
      <xdr:col>16</xdr:col>
      <xdr:colOff>342900</xdr:colOff>
      <xdr:row>31</xdr:row>
      <xdr:rowOff>64861</xdr:rowOff>
    </xdr:from>
    <xdr:to>
      <xdr:col>17</xdr:col>
      <xdr:colOff>695325</xdr:colOff>
      <xdr:row>35</xdr:row>
      <xdr:rowOff>88901</xdr:rowOff>
    </xdr:to>
    <xdr:grpSp>
      <xdr:nvGrpSpPr>
        <xdr:cNvPr id="85391" name="Group 39"/>
        <xdr:cNvGrpSpPr>
          <a:grpSpLocks/>
        </xdr:cNvGrpSpPr>
      </xdr:nvGrpSpPr>
      <xdr:grpSpPr bwMode="auto">
        <a:xfrm>
          <a:off x="5309507" y="4317093"/>
          <a:ext cx="783318" cy="659040"/>
          <a:chOff x="556" y="365"/>
          <a:chExt cx="94" cy="65"/>
        </a:xfrm>
      </xdr:grpSpPr>
      <xdr:sp macro="" textlink="">
        <xdr:nvSpPr>
          <xdr:cNvPr id="85407" name="Rectangle 40"/>
          <xdr:cNvSpPr>
            <a:spLocks noChangeArrowheads="1"/>
          </xdr:cNvSpPr>
        </xdr:nvSpPr>
        <xdr:spPr bwMode="auto">
          <a:xfrm>
            <a:off x="556" y="365"/>
            <a:ext cx="8" cy="65"/>
          </a:xfrm>
          <a:prstGeom prst="rect">
            <a:avLst/>
          </a:prstGeom>
          <a:solidFill>
            <a:srgbClr val="C0C0C0"/>
          </a:solidFill>
          <a:ln w="9525">
            <a:solidFill>
              <a:srgbClr val="C0C0C0"/>
            </a:solidFill>
            <a:miter lim="800000"/>
            <a:headEnd/>
            <a:tailEnd/>
          </a:ln>
        </xdr:spPr>
      </xdr:sp>
      <xdr:sp macro="" textlink="">
        <xdr:nvSpPr>
          <xdr:cNvPr id="85408" name="Rectangle 41"/>
          <xdr:cNvSpPr>
            <a:spLocks noChangeArrowheads="1"/>
          </xdr:cNvSpPr>
        </xdr:nvSpPr>
        <xdr:spPr bwMode="auto">
          <a:xfrm>
            <a:off x="558" y="423"/>
            <a:ext cx="92" cy="7"/>
          </a:xfrm>
          <a:prstGeom prst="rect">
            <a:avLst/>
          </a:prstGeom>
          <a:solidFill>
            <a:srgbClr val="C0C0C0"/>
          </a:solidFill>
          <a:ln w="9525">
            <a:solidFill>
              <a:srgbClr val="C0C0C0"/>
            </a:solidFill>
            <a:miter lim="800000"/>
            <a:headEnd/>
            <a:tailEnd/>
          </a:ln>
        </xdr:spPr>
      </xdr:sp>
    </xdr:grpSp>
    <xdr:clientData/>
  </xdr:twoCellAnchor>
  <xdr:twoCellAnchor editAs="absolute">
    <xdr:from>
      <xdr:col>16</xdr:col>
      <xdr:colOff>192768</xdr:colOff>
      <xdr:row>62</xdr:row>
      <xdr:rowOff>22689</xdr:rowOff>
    </xdr:from>
    <xdr:to>
      <xdr:col>18</xdr:col>
      <xdr:colOff>109765</xdr:colOff>
      <xdr:row>66</xdr:row>
      <xdr:rowOff>51264</xdr:rowOff>
    </xdr:to>
    <xdr:pic>
      <xdr:nvPicPr>
        <xdr:cNvPr id="85392" name="Picture 2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159375" y="8765278"/>
          <a:ext cx="1130301" cy="731611"/>
        </a:xfrm>
        <a:prstGeom prst="rect">
          <a:avLst/>
        </a:prstGeom>
        <a:noFill/>
        <a:ln w="9525">
          <a:noFill/>
          <a:miter lim="800000"/>
          <a:headEnd/>
          <a:tailEnd/>
        </a:ln>
      </xdr:spPr>
    </xdr:pic>
    <xdr:clientData/>
  </xdr:twoCellAnchor>
  <xdr:twoCellAnchor>
    <xdr:from>
      <xdr:col>0</xdr:col>
      <xdr:colOff>9525</xdr:colOff>
      <xdr:row>0</xdr:row>
      <xdr:rowOff>9525</xdr:rowOff>
    </xdr:from>
    <xdr:to>
      <xdr:col>19</xdr:col>
      <xdr:colOff>95250</xdr:colOff>
      <xdr:row>66</xdr:row>
      <xdr:rowOff>114300</xdr:rowOff>
    </xdr:to>
    <xdr:grpSp>
      <xdr:nvGrpSpPr>
        <xdr:cNvPr id="2" name="1 Grupo"/>
        <xdr:cNvGrpSpPr/>
      </xdr:nvGrpSpPr>
      <xdr:grpSpPr>
        <a:xfrm>
          <a:off x="9525" y="9525"/>
          <a:ext cx="6390368" cy="9550400"/>
          <a:chOff x="9525" y="9525"/>
          <a:chExt cx="6356350" cy="9663793"/>
        </a:xfrm>
      </xdr:grpSpPr>
      <xdr:sp macro="" textlink="">
        <xdr:nvSpPr>
          <xdr:cNvPr id="85403" name="Line 2"/>
          <xdr:cNvSpPr>
            <a:spLocks noChangeShapeType="1"/>
          </xdr:cNvSpPr>
        </xdr:nvSpPr>
        <xdr:spPr bwMode="auto">
          <a:xfrm>
            <a:off x="9525" y="9654087"/>
            <a:ext cx="6356350" cy="0"/>
          </a:xfrm>
          <a:prstGeom prst="line">
            <a:avLst/>
          </a:prstGeom>
          <a:noFill/>
          <a:ln w="57150" cmpd="thinThick">
            <a:solidFill>
              <a:srgbClr val="000000"/>
            </a:solidFill>
            <a:round/>
            <a:headEnd/>
            <a:tailEnd/>
          </a:ln>
        </xdr:spPr>
      </xdr:sp>
      <xdr:sp macro="" textlink="">
        <xdr:nvSpPr>
          <xdr:cNvPr id="85404" name="Line 3"/>
          <xdr:cNvSpPr>
            <a:spLocks noChangeShapeType="1"/>
          </xdr:cNvSpPr>
        </xdr:nvSpPr>
        <xdr:spPr bwMode="auto">
          <a:xfrm flipH="1" flipV="1">
            <a:off x="6339537" y="9525"/>
            <a:ext cx="0" cy="9663793"/>
          </a:xfrm>
          <a:prstGeom prst="line">
            <a:avLst/>
          </a:prstGeom>
          <a:noFill/>
          <a:ln w="57150" cmpd="thinThick">
            <a:solidFill>
              <a:srgbClr val="000000"/>
            </a:solidFill>
            <a:round/>
            <a:headEnd/>
            <a:tailEnd/>
          </a:ln>
        </xdr:spPr>
      </xdr:sp>
      <xdr:sp macro="" textlink="">
        <xdr:nvSpPr>
          <xdr:cNvPr id="85405" name="Line 4"/>
          <xdr:cNvSpPr>
            <a:spLocks noChangeShapeType="1"/>
          </xdr:cNvSpPr>
        </xdr:nvSpPr>
        <xdr:spPr bwMode="auto">
          <a:xfrm flipV="1">
            <a:off x="35863" y="28756"/>
            <a:ext cx="0" cy="9634946"/>
          </a:xfrm>
          <a:prstGeom prst="line">
            <a:avLst/>
          </a:prstGeom>
          <a:noFill/>
          <a:ln w="57150" cmpd="thinThick">
            <a:solidFill>
              <a:srgbClr val="000000"/>
            </a:solidFill>
            <a:round/>
            <a:headEnd/>
            <a:tailEnd/>
          </a:ln>
        </xdr:spPr>
      </xdr:sp>
      <xdr:sp macro="" textlink="">
        <xdr:nvSpPr>
          <xdr:cNvPr id="85406" name="Line 5"/>
          <xdr:cNvSpPr>
            <a:spLocks noChangeShapeType="1"/>
          </xdr:cNvSpPr>
        </xdr:nvSpPr>
        <xdr:spPr bwMode="auto">
          <a:xfrm>
            <a:off x="9525" y="28756"/>
            <a:ext cx="6356350" cy="0"/>
          </a:xfrm>
          <a:prstGeom prst="line">
            <a:avLst/>
          </a:prstGeom>
          <a:noFill/>
          <a:ln w="57150" cmpd="thickThin">
            <a:solidFill>
              <a:srgbClr val="000000"/>
            </a:solidFill>
            <a:round/>
            <a:headEnd/>
            <a:tailEnd/>
          </a:ln>
        </xdr:spPr>
      </xdr:sp>
    </xdr:grpSp>
    <xdr:clientData/>
  </xdr:twoCellAnchor>
  <xdr:twoCellAnchor>
    <xdr:from>
      <xdr:col>16</xdr:col>
      <xdr:colOff>342900</xdr:colOff>
      <xdr:row>37</xdr:row>
      <xdr:rowOff>76200</xdr:rowOff>
    </xdr:from>
    <xdr:to>
      <xdr:col>17</xdr:col>
      <xdr:colOff>695325</xdr:colOff>
      <xdr:row>41</xdr:row>
      <xdr:rowOff>95250</xdr:rowOff>
    </xdr:to>
    <xdr:grpSp>
      <xdr:nvGrpSpPr>
        <xdr:cNvPr id="85394" name="Group 39"/>
        <xdr:cNvGrpSpPr>
          <a:grpSpLocks/>
        </xdr:cNvGrpSpPr>
      </xdr:nvGrpSpPr>
      <xdr:grpSpPr bwMode="auto">
        <a:xfrm>
          <a:off x="5309507" y="5246914"/>
          <a:ext cx="783318" cy="654050"/>
          <a:chOff x="556" y="365"/>
          <a:chExt cx="94" cy="65"/>
        </a:xfrm>
      </xdr:grpSpPr>
      <xdr:sp macro="" textlink="">
        <xdr:nvSpPr>
          <xdr:cNvPr id="85401" name="Rectangle 40"/>
          <xdr:cNvSpPr>
            <a:spLocks noChangeArrowheads="1"/>
          </xdr:cNvSpPr>
        </xdr:nvSpPr>
        <xdr:spPr bwMode="auto">
          <a:xfrm>
            <a:off x="556" y="365"/>
            <a:ext cx="8" cy="65"/>
          </a:xfrm>
          <a:prstGeom prst="rect">
            <a:avLst/>
          </a:prstGeom>
          <a:solidFill>
            <a:srgbClr val="C0C0C0"/>
          </a:solidFill>
          <a:ln w="9525">
            <a:solidFill>
              <a:srgbClr val="C0C0C0"/>
            </a:solidFill>
            <a:miter lim="800000"/>
            <a:headEnd/>
            <a:tailEnd/>
          </a:ln>
        </xdr:spPr>
      </xdr:sp>
      <xdr:sp macro="" textlink="">
        <xdr:nvSpPr>
          <xdr:cNvPr id="85402" name="Rectangle 41"/>
          <xdr:cNvSpPr>
            <a:spLocks noChangeArrowheads="1"/>
          </xdr:cNvSpPr>
        </xdr:nvSpPr>
        <xdr:spPr bwMode="auto">
          <a:xfrm>
            <a:off x="558" y="423"/>
            <a:ext cx="92" cy="7"/>
          </a:xfrm>
          <a:prstGeom prst="rect">
            <a:avLst/>
          </a:prstGeom>
          <a:solidFill>
            <a:srgbClr val="C0C0C0"/>
          </a:solidFill>
          <a:ln w="9525">
            <a:solidFill>
              <a:srgbClr val="C0C0C0"/>
            </a:solidFill>
            <a:miter lim="800000"/>
            <a:headEnd/>
            <a:tailEnd/>
          </a:ln>
        </xdr:spPr>
      </xdr:sp>
    </xdr:grpSp>
    <xdr:clientData/>
  </xdr:twoCellAnchor>
  <xdr:twoCellAnchor>
    <xdr:from>
      <xdr:col>1</xdr:col>
      <xdr:colOff>102961</xdr:colOff>
      <xdr:row>1</xdr:row>
      <xdr:rowOff>26761</xdr:rowOff>
    </xdr:from>
    <xdr:to>
      <xdr:col>5</xdr:col>
      <xdr:colOff>122011</xdr:colOff>
      <xdr:row>5</xdr:row>
      <xdr:rowOff>102961</xdr:rowOff>
    </xdr:to>
    <xdr:pic>
      <xdr:nvPicPr>
        <xdr:cNvPr id="85397" name="29 Imagen" descr="Descripción: los_servicios_m2.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r="70911"/>
        <a:stretch>
          <a:fillRect/>
        </a:stretch>
      </xdr:blipFill>
      <xdr:spPr bwMode="auto">
        <a:xfrm>
          <a:off x="193675" y="185511"/>
          <a:ext cx="1402443" cy="575129"/>
        </a:xfrm>
        <a:prstGeom prst="rect">
          <a:avLst/>
        </a:prstGeom>
        <a:noFill/>
        <a:ln w="9525">
          <a:noFill/>
          <a:miter lim="800000"/>
          <a:headEnd/>
          <a:tailEnd/>
        </a:ln>
      </xdr:spPr>
    </xdr:pic>
    <xdr:clientData/>
  </xdr:twoCellAnchor>
  <xdr:twoCellAnchor>
    <xdr:from>
      <xdr:col>15</xdr:col>
      <xdr:colOff>362859</xdr:colOff>
      <xdr:row>1</xdr:row>
      <xdr:rowOff>4083</xdr:rowOff>
    </xdr:from>
    <xdr:to>
      <xdr:col>18</xdr:col>
      <xdr:colOff>74841</xdr:colOff>
      <xdr:row>5</xdr:row>
      <xdr:rowOff>70758</xdr:rowOff>
    </xdr:to>
    <xdr:pic>
      <xdr:nvPicPr>
        <xdr:cNvPr id="85398" name="30 Imagen" descr="Descripción: los_servicios_m2.jp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l="34386" r="36073"/>
        <a:stretch>
          <a:fillRect/>
        </a:stretch>
      </xdr:blipFill>
      <xdr:spPr bwMode="auto">
        <a:xfrm>
          <a:off x="4898573" y="162833"/>
          <a:ext cx="1356179" cy="565604"/>
        </a:xfrm>
        <a:prstGeom prst="rect">
          <a:avLst/>
        </a:prstGeom>
        <a:noFill/>
        <a:ln w="9525">
          <a:noFill/>
          <a:miter lim="800000"/>
          <a:headEnd/>
          <a:tailEnd/>
        </a:ln>
      </xdr:spPr>
    </xdr:pic>
    <xdr:clientData/>
  </xdr:twoCellAnchor>
  <xdr:twoCellAnchor>
    <xdr:from>
      <xdr:col>1</xdr:col>
      <xdr:colOff>85725</xdr:colOff>
      <xdr:row>64</xdr:row>
      <xdr:rowOff>66675</xdr:rowOff>
    </xdr:from>
    <xdr:to>
      <xdr:col>5</xdr:col>
      <xdr:colOff>238125</xdr:colOff>
      <xdr:row>65</xdr:row>
      <xdr:rowOff>57150</xdr:rowOff>
    </xdr:to>
    <xdr:pic>
      <xdr:nvPicPr>
        <xdr:cNvPr id="85399" name="2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l="68701" t="59828" b="15846"/>
        <a:stretch>
          <a:fillRect/>
        </a:stretch>
      </xdr:blipFill>
      <xdr:spPr bwMode="auto">
        <a:xfrm>
          <a:off x="171450" y="9715500"/>
          <a:ext cx="1457325" cy="171450"/>
        </a:xfrm>
        <a:prstGeom prst="rect">
          <a:avLst/>
        </a:prstGeom>
        <a:noFill/>
        <a:ln w="9525">
          <a:noFill/>
          <a:miter lim="800000"/>
          <a:headEnd/>
          <a:tailEnd/>
        </a:ln>
      </xdr:spPr>
    </xdr:pic>
    <xdr:clientData fPrintsWithSheet="0"/>
  </xdr:twoCellAnchor>
  <xdr:twoCellAnchor editAs="absolute">
    <xdr:from>
      <xdr:col>17</xdr:col>
      <xdr:colOff>135618</xdr:colOff>
      <xdr:row>61</xdr:row>
      <xdr:rowOff>34028</xdr:rowOff>
    </xdr:from>
    <xdr:to>
      <xdr:col>18</xdr:col>
      <xdr:colOff>97518</xdr:colOff>
      <xdr:row>66</xdr:row>
      <xdr:rowOff>72128</xdr:rowOff>
    </xdr:to>
    <xdr:pic>
      <xdr:nvPicPr>
        <xdr:cNvPr id="85400" name="Picture 3735"/>
        <xdr:cNvPicPr>
          <a:picLocks noChangeAspect="1" noChangeArrowheads="1"/>
        </xdr:cNvPicPr>
      </xdr:nvPicPr>
      <xdr:blipFill>
        <a:blip xmlns:r="http://schemas.openxmlformats.org/officeDocument/2006/relationships" r:embed="rId5" cstate="print">
          <a:clrChange>
            <a:clrFrom>
              <a:srgbClr val="0000FF"/>
            </a:clrFrom>
            <a:clrTo>
              <a:srgbClr val="0000FF">
                <a:alpha val="0"/>
              </a:srgbClr>
            </a:clrTo>
          </a:clrChange>
        </a:blip>
        <a:srcRect/>
        <a:stretch>
          <a:fillRect/>
        </a:stretch>
      </xdr:blipFill>
      <xdr:spPr bwMode="auto">
        <a:xfrm>
          <a:off x="5533118" y="8583849"/>
          <a:ext cx="744311" cy="933904"/>
        </a:xfrm>
        <a:prstGeom prst="rect">
          <a:avLst/>
        </a:prstGeom>
        <a:noFill/>
        <a:ln w="9525">
          <a:noFill/>
          <a:miter lim="800000"/>
          <a:headEnd/>
          <a:tailEnd/>
        </a:ln>
      </xdr:spPr>
    </xdr:pic>
    <xdr:clientData fPrintsWithSheet="0"/>
  </xdr:twoCellAnchor>
  <xdr:twoCellAnchor editAs="absolute">
    <xdr:from>
      <xdr:col>21</xdr:col>
      <xdr:colOff>306160</xdr:colOff>
      <xdr:row>39</xdr:row>
      <xdr:rowOff>11352</xdr:rowOff>
    </xdr:from>
    <xdr:to>
      <xdr:col>23</xdr:col>
      <xdr:colOff>633116</xdr:colOff>
      <xdr:row>48</xdr:row>
      <xdr:rowOff>34022</xdr:rowOff>
    </xdr:to>
    <xdr:pic>
      <xdr:nvPicPr>
        <xdr:cNvPr id="29" name="Picture 11" descr="Escanear0003"/>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6916964" y="5499566"/>
          <a:ext cx="1234098" cy="1247313"/>
        </a:xfrm>
        <a:prstGeom prst="rect">
          <a:avLst/>
        </a:prstGeom>
        <a:noFill/>
        <a:ln w="9525">
          <a:noFill/>
          <a:miter lim="800000"/>
          <a:headEnd/>
          <a:tailEnd/>
        </a:ln>
      </xdr:spPr>
    </xdr:pic>
    <xdr:clientData fPrintsWithSheet="0"/>
  </xdr:twoCellAnchor>
  <xdr:twoCellAnchor editAs="absolute">
    <xdr:from>
      <xdr:col>16</xdr:col>
      <xdr:colOff>192769</xdr:colOff>
      <xdr:row>53</xdr:row>
      <xdr:rowOff>56711</xdr:rowOff>
    </xdr:from>
    <xdr:to>
      <xdr:col>18</xdr:col>
      <xdr:colOff>100698</xdr:colOff>
      <xdr:row>61</xdr:row>
      <xdr:rowOff>88466</xdr:rowOff>
    </xdr:to>
    <xdr:pic>
      <xdr:nvPicPr>
        <xdr:cNvPr id="30" name="29 Imagen"/>
        <xdr:cNvPicPr/>
      </xdr:nvPicPr>
      <xdr:blipFill>
        <a:blip xmlns:r="http://schemas.openxmlformats.org/officeDocument/2006/relationships" r:embed="rId7">
          <a:clrChange>
            <a:clrFrom>
              <a:srgbClr val="FFFFFF"/>
            </a:clrFrom>
            <a:clrTo>
              <a:srgbClr val="FFFFFF">
                <a:alpha val="0"/>
              </a:srgbClr>
            </a:clrTo>
          </a:clrChange>
          <a:lum bright="-24000" contrast="44000"/>
          <a:extLst/>
        </a:blip>
        <a:srcRect/>
        <a:stretch>
          <a:fillRect/>
        </a:stretch>
      </xdr:blipFill>
      <xdr:spPr bwMode="auto">
        <a:xfrm>
          <a:off x="5159376" y="7495282"/>
          <a:ext cx="1121233" cy="1143005"/>
        </a:xfrm>
        <a:prstGeom prst="rect">
          <a:avLst/>
        </a:prstGeom>
        <a:noFill/>
        <a:ln w="9525">
          <a:noFill/>
          <a:miter lim="800000"/>
          <a:headEnd/>
          <a:tailEnd/>
        </a:ln>
      </xdr:spPr>
    </xdr:pic>
    <xdr:clientData fPrintsWithSheet="0"/>
  </xdr:twoCellAnchor>
  <xdr:twoCellAnchor editAs="absolute">
    <xdr:from>
      <xdr:col>12</xdr:col>
      <xdr:colOff>136072</xdr:colOff>
      <xdr:row>62</xdr:row>
      <xdr:rowOff>45350</xdr:rowOff>
    </xdr:from>
    <xdr:to>
      <xdr:col>16</xdr:col>
      <xdr:colOff>361356</xdr:colOff>
      <xdr:row>66</xdr:row>
      <xdr:rowOff>51762</xdr:rowOff>
    </xdr:to>
    <xdr:pic>
      <xdr:nvPicPr>
        <xdr:cNvPr id="31" name="30 Imagen"/>
        <xdr:cNvPicPr/>
      </xdr:nvPicPr>
      <xdr:blipFill>
        <a:blip xmlns:r="http://schemas.openxmlformats.org/officeDocument/2006/relationships" r:embed="rId8">
          <a:clrChange>
            <a:clrFrom>
              <a:srgbClr val="FFFFFF"/>
            </a:clrFrom>
            <a:clrTo>
              <a:srgbClr val="FFFFFF">
                <a:alpha val="0"/>
              </a:srgbClr>
            </a:clrTo>
          </a:clrChange>
          <a:lum bright="-29000" contrast="-9000"/>
        </a:blip>
        <a:srcRect/>
        <a:stretch>
          <a:fillRect/>
        </a:stretch>
      </xdr:blipFill>
      <xdr:spPr bwMode="auto">
        <a:xfrm>
          <a:off x="3628572" y="8787939"/>
          <a:ext cx="1699391" cy="709448"/>
        </a:xfrm>
        <a:prstGeom prst="rect">
          <a:avLst/>
        </a:prstGeom>
        <a:noFill/>
        <a:ln w="9525">
          <a:noFill/>
          <a:miter lim="800000"/>
          <a:headEnd/>
          <a:tailEnd/>
        </a:ln>
      </xdr:spPr>
    </xdr:pic>
    <xdr:clientData/>
  </xdr:twoCellAnchor>
  <xdr:twoCellAnchor editAs="oneCell">
    <xdr:from>
      <xdr:col>5</xdr:col>
      <xdr:colOff>192774</xdr:colOff>
      <xdr:row>55</xdr:row>
      <xdr:rowOff>68036</xdr:rowOff>
    </xdr:from>
    <xdr:to>
      <xdr:col>12</xdr:col>
      <xdr:colOff>189082</xdr:colOff>
      <xdr:row>62</xdr:row>
      <xdr:rowOff>112477</xdr:rowOff>
    </xdr:to>
    <xdr:pic>
      <xdr:nvPicPr>
        <xdr:cNvPr id="34" name="33 Imagen"/>
        <xdr:cNvPicPr/>
      </xdr:nvPicPr>
      <xdr:blipFill>
        <a:blip xmlns:r="http://schemas.openxmlformats.org/officeDocument/2006/relationships" r:embed="rId9" cstate="print">
          <a:clrChange>
            <a:clrFrom>
              <a:srgbClr val="FFFFFF"/>
            </a:clrFrom>
            <a:clrTo>
              <a:srgbClr val="FFFFFF">
                <a:alpha val="0"/>
              </a:srgbClr>
            </a:clrTo>
          </a:clrChange>
          <a:lum bright="-12000" contrast="51000"/>
        </a:blip>
        <a:srcRect/>
        <a:stretch>
          <a:fillRect/>
        </a:stretch>
      </xdr:blipFill>
      <xdr:spPr bwMode="auto">
        <a:xfrm>
          <a:off x="1666881" y="7824107"/>
          <a:ext cx="2014701" cy="1030959"/>
        </a:xfrm>
        <a:prstGeom prst="rect">
          <a:avLst/>
        </a:prstGeom>
        <a:noFill/>
        <a:ln w="9525">
          <a:noFill/>
          <a:miter lim="800000"/>
          <a:headEnd/>
          <a:tailEnd/>
        </a:ln>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215324</xdr:colOff>
      <xdr:row>15</xdr:row>
      <xdr:rowOff>261938</xdr:rowOff>
    </xdr:from>
    <xdr:to>
      <xdr:col>10</xdr:col>
      <xdr:colOff>71437</xdr:colOff>
      <xdr:row>16</xdr:row>
      <xdr:rowOff>301625</xdr:rowOff>
    </xdr:to>
    <xdr:sp macro="" textlink="">
      <xdr:nvSpPr>
        <xdr:cNvPr id="7" name="WordArt 4"/>
        <xdr:cNvSpPr>
          <a:spLocks noChangeArrowheads="1" noChangeShapeType="1" noTextEdit="1"/>
        </xdr:cNvSpPr>
      </xdr:nvSpPr>
      <xdr:spPr bwMode="auto">
        <a:xfrm>
          <a:off x="215324" y="5453063"/>
          <a:ext cx="2078613" cy="388937"/>
        </a:xfrm>
        <a:prstGeom prst="rect">
          <a:avLst/>
        </a:prstGeom>
      </xdr:spPr>
      <xdr:txBody>
        <a:bodyPr wrap="none" fromWordArt="1">
          <a:prstTxWarp prst="textCanDown">
            <a:avLst>
              <a:gd name="adj" fmla="val 0"/>
            </a:avLst>
          </a:prstTxWarp>
        </a:bodyPr>
        <a:lstStyle/>
        <a:p>
          <a:pPr algn="ctr" rtl="0"/>
          <a:r>
            <a:rPr lang="es-ES" sz="19900" b="1" i="1" u="none" kern="10" spc="0">
              <a:ln w="9525">
                <a:noFill/>
                <a:round/>
                <a:headEnd/>
                <a:tailEnd/>
              </a:ln>
              <a:solidFill>
                <a:sysClr val="windowText" lastClr="000000"/>
              </a:solidFill>
              <a:effectLst/>
              <a:latin typeface="Palace Script MT"/>
            </a:rPr>
            <a:t>Asesor Tecnico Pedagogico de la Jefatura 003</a:t>
          </a:r>
        </a:p>
      </xdr:txBody>
    </xdr:sp>
    <xdr:clientData/>
  </xdr:twoCellAnchor>
  <xdr:twoCellAnchor>
    <xdr:from>
      <xdr:col>18</xdr:col>
      <xdr:colOff>41276</xdr:colOff>
      <xdr:row>15</xdr:row>
      <xdr:rowOff>1659</xdr:rowOff>
    </xdr:from>
    <xdr:to>
      <xdr:col>22</xdr:col>
      <xdr:colOff>446088</xdr:colOff>
      <xdr:row>18</xdr:row>
      <xdr:rowOff>127000</xdr:rowOff>
    </xdr:to>
    <xdr:sp macro="" textlink="">
      <xdr:nvSpPr>
        <xdr:cNvPr id="25" name="Text Box 6"/>
        <xdr:cNvSpPr txBox="1">
          <a:spLocks noChangeArrowheads="1"/>
        </xdr:cNvSpPr>
      </xdr:nvSpPr>
      <xdr:spPr bwMode="auto">
        <a:xfrm>
          <a:off x="4041776" y="5192784"/>
          <a:ext cx="2246312" cy="117309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18</xdr:col>
      <xdr:colOff>34925</xdr:colOff>
      <xdr:row>0</xdr:row>
      <xdr:rowOff>39690</xdr:rowOff>
    </xdr:from>
    <xdr:to>
      <xdr:col>22</xdr:col>
      <xdr:colOff>439737</xdr:colOff>
      <xdr:row>3</xdr:row>
      <xdr:rowOff>141286</xdr:rowOff>
    </xdr:to>
    <xdr:sp macro="" textlink="">
      <xdr:nvSpPr>
        <xdr:cNvPr id="30" name="Text Box 6"/>
        <xdr:cNvSpPr txBox="1">
          <a:spLocks noChangeArrowheads="1"/>
        </xdr:cNvSpPr>
      </xdr:nvSpPr>
      <xdr:spPr bwMode="auto">
        <a:xfrm>
          <a:off x="4035425" y="39690"/>
          <a:ext cx="2246312" cy="126047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18</xdr:col>
      <xdr:colOff>28565</xdr:colOff>
      <xdr:row>4</xdr:row>
      <xdr:rowOff>152494</xdr:rowOff>
    </xdr:from>
    <xdr:to>
      <xdr:col>22</xdr:col>
      <xdr:colOff>433377</xdr:colOff>
      <xdr:row>8</xdr:row>
      <xdr:rowOff>158750</xdr:rowOff>
    </xdr:to>
    <xdr:sp macro="" textlink="">
      <xdr:nvSpPr>
        <xdr:cNvPr id="31" name="Text Box 6"/>
        <xdr:cNvSpPr txBox="1">
          <a:spLocks noChangeArrowheads="1"/>
        </xdr:cNvSpPr>
      </xdr:nvSpPr>
      <xdr:spPr bwMode="auto">
        <a:xfrm>
          <a:off x="4029065" y="1652682"/>
          <a:ext cx="2246312" cy="113338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18</xdr:col>
      <xdr:colOff>38081</xdr:colOff>
      <xdr:row>10</xdr:row>
      <xdr:rowOff>3373</xdr:rowOff>
    </xdr:from>
    <xdr:to>
      <xdr:col>22</xdr:col>
      <xdr:colOff>442893</xdr:colOff>
      <xdr:row>13</xdr:row>
      <xdr:rowOff>134938</xdr:rowOff>
    </xdr:to>
    <xdr:sp macro="" textlink="">
      <xdr:nvSpPr>
        <xdr:cNvPr id="32" name="Text Box 6"/>
        <xdr:cNvSpPr txBox="1">
          <a:spLocks noChangeArrowheads="1"/>
        </xdr:cNvSpPr>
      </xdr:nvSpPr>
      <xdr:spPr bwMode="auto">
        <a:xfrm>
          <a:off x="4038581" y="3448248"/>
          <a:ext cx="2246312" cy="1179315"/>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24</xdr:col>
      <xdr:colOff>41276</xdr:colOff>
      <xdr:row>15</xdr:row>
      <xdr:rowOff>1659</xdr:rowOff>
    </xdr:from>
    <xdr:to>
      <xdr:col>28</xdr:col>
      <xdr:colOff>446088</xdr:colOff>
      <xdr:row>18</xdr:row>
      <xdr:rowOff>127000</xdr:rowOff>
    </xdr:to>
    <xdr:sp macro="" textlink="">
      <xdr:nvSpPr>
        <xdr:cNvPr id="34" name="Text Box 6"/>
        <xdr:cNvSpPr txBox="1">
          <a:spLocks noChangeArrowheads="1"/>
        </xdr:cNvSpPr>
      </xdr:nvSpPr>
      <xdr:spPr bwMode="auto">
        <a:xfrm>
          <a:off x="4041776" y="5192784"/>
          <a:ext cx="2246312" cy="117309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24</xdr:col>
      <xdr:colOff>34925</xdr:colOff>
      <xdr:row>0</xdr:row>
      <xdr:rowOff>39690</xdr:rowOff>
    </xdr:from>
    <xdr:to>
      <xdr:col>28</xdr:col>
      <xdr:colOff>439737</xdr:colOff>
      <xdr:row>3</xdr:row>
      <xdr:rowOff>141286</xdr:rowOff>
    </xdr:to>
    <xdr:sp macro="" textlink="">
      <xdr:nvSpPr>
        <xdr:cNvPr id="35" name="Text Box 6"/>
        <xdr:cNvSpPr txBox="1">
          <a:spLocks noChangeArrowheads="1"/>
        </xdr:cNvSpPr>
      </xdr:nvSpPr>
      <xdr:spPr bwMode="auto">
        <a:xfrm>
          <a:off x="4035425" y="39690"/>
          <a:ext cx="2246312" cy="126047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24</xdr:col>
      <xdr:colOff>28565</xdr:colOff>
      <xdr:row>4</xdr:row>
      <xdr:rowOff>152494</xdr:rowOff>
    </xdr:from>
    <xdr:to>
      <xdr:col>28</xdr:col>
      <xdr:colOff>433377</xdr:colOff>
      <xdr:row>8</xdr:row>
      <xdr:rowOff>158750</xdr:rowOff>
    </xdr:to>
    <xdr:sp macro="" textlink="">
      <xdr:nvSpPr>
        <xdr:cNvPr id="36" name="Text Box 6"/>
        <xdr:cNvSpPr txBox="1">
          <a:spLocks noChangeArrowheads="1"/>
        </xdr:cNvSpPr>
      </xdr:nvSpPr>
      <xdr:spPr bwMode="auto">
        <a:xfrm>
          <a:off x="4029065" y="1652682"/>
          <a:ext cx="2246312" cy="1133381"/>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24</xdr:col>
      <xdr:colOff>38081</xdr:colOff>
      <xdr:row>10</xdr:row>
      <xdr:rowOff>3373</xdr:rowOff>
    </xdr:from>
    <xdr:to>
      <xdr:col>28</xdr:col>
      <xdr:colOff>442893</xdr:colOff>
      <xdr:row>13</xdr:row>
      <xdr:rowOff>134938</xdr:rowOff>
    </xdr:to>
    <xdr:sp macro="" textlink="">
      <xdr:nvSpPr>
        <xdr:cNvPr id="37" name="Text Box 6"/>
        <xdr:cNvSpPr txBox="1">
          <a:spLocks noChangeArrowheads="1"/>
        </xdr:cNvSpPr>
      </xdr:nvSpPr>
      <xdr:spPr bwMode="auto">
        <a:xfrm>
          <a:off x="4038581" y="3448248"/>
          <a:ext cx="2246312" cy="1179315"/>
        </a:xfrm>
        <a:prstGeom prst="rect">
          <a:avLst/>
        </a:prstGeom>
        <a:noFill/>
        <a:ln w="9525">
          <a:noFill/>
          <a:miter lim="800000"/>
          <a:headEnd/>
          <a:tailEnd/>
        </a:ln>
        <a:effectLst>
          <a:outerShdw blurRad="76200" dist="12700" dir="8100000" sy="-23000" kx="800400" algn="br" rotWithShape="0">
            <a:prstClr val="black">
              <a:alpha val="20000"/>
            </a:prstClr>
          </a:outerShdw>
        </a:effectLst>
      </xdr:spPr>
      <xdr:txBody>
        <a:bodyPr vertOverflow="clip" wrap="square" lIns="36576" tIns="45720" rIns="0" bIns="0" anchor="t" upright="1"/>
        <a:lstStyle/>
        <a:p>
          <a:pPr algn="ctr" rtl="1">
            <a:defRPr sz="1000"/>
          </a:pPr>
          <a:r>
            <a:rPr lang="es-ES" sz="2000" b="1" i="0" strike="noStrike" baseline="0">
              <a:solidFill>
                <a:srgbClr val="0000CC"/>
              </a:solidFill>
              <a:latin typeface="Edwardian Script ITC"/>
            </a:rPr>
            <a:t>Consejos Tecnicos Escolares :</a:t>
          </a:r>
        </a:p>
        <a:p>
          <a:pPr algn="ctr" rtl="1">
            <a:defRPr sz="1000"/>
          </a:pPr>
          <a:r>
            <a:rPr lang="es-ES" sz="2000" b="1" i="0" strike="noStrike" baseline="0">
              <a:solidFill>
                <a:srgbClr val="008000"/>
              </a:solidFill>
              <a:latin typeface="Edwardian Script ITC"/>
            </a:rPr>
            <a:t>2013 / 2014.</a:t>
          </a:r>
        </a:p>
        <a:p>
          <a:pPr algn="ctr" rtl="1">
            <a:defRPr sz="1000"/>
          </a:pPr>
          <a:r>
            <a:rPr lang="es-ES" sz="2000" b="1" i="0" strike="noStrike" baseline="0">
              <a:solidFill>
                <a:srgbClr val="0000CC"/>
              </a:solidFill>
              <a:latin typeface="Edwardian Script ITC"/>
            </a:rPr>
            <a:t>Zona Escolar :  </a:t>
          </a:r>
          <a:r>
            <a:rPr lang="es-ES" sz="2000" b="1" i="0" strike="noStrike" baseline="0">
              <a:solidFill>
                <a:srgbClr val="008000"/>
              </a:solidFill>
              <a:latin typeface="Edwardian Script ITC"/>
            </a:rPr>
            <a:t>042</a:t>
          </a:r>
        </a:p>
        <a:p>
          <a:pPr algn="ctr" rtl="1">
            <a:defRPr sz="1000"/>
          </a:pPr>
          <a:endParaRPr lang="es-ES" sz="2000" b="1" i="0" strike="noStrike" baseline="0">
            <a:solidFill>
              <a:sysClr val="windowText" lastClr="000000"/>
            </a:solidFill>
            <a:latin typeface="Edwardian Script ITC"/>
          </a:endParaRPr>
        </a:p>
        <a:p>
          <a:pPr algn="ctr" rtl="1">
            <a:defRPr sz="1000"/>
          </a:pPr>
          <a:endParaRPr lang="es-ES" sz="2000" b="1" i="0" strike="noStrike">
            <a:solidFill>
              <a:srgbClr val="005828"/>
            </a:solidFill>
            <a:latin typeface="Edwardian Script ITC"/>
          </a:endParaRPr>
        </a:p>
      </xdr:txBody>
    </xdr:sp>
    <xdr:clientData/>
  </xdr:twoCellAnchor>
  <xdr:twoCellAnchor>
    <xdr:from>
      <xdr:col>24</xdr:col>
      <xdr:colOff>55566</xdr:colOff>
      <xdr:row>18</xdr:row>
      <xdr:rowOff>182559</xdr:rowOff>
    </xdr:from>
    <xdr:to>
      <xdr:col>28</xdr:col>
      <xdr:colOff>404811</xdr:colOff>
      <xdr:row>18</xdr:row>
      <xdr:rowOff>293683</xdr:rowOff>
    </xdr:to>
    <xdr:sp macro="" textlink="">
      <xdr:nvSpPr>
        <xdr:cNvPr id="38" name="37 Rectángulo"/>
        <xdr:cNvSpPr/>
      </xdr:nvSpPr>
      <xdr:spPr>
        <a:xfrm>
          <a:off x="2714629" y="6421434"/>
          <a:ext cx="2285995" cy="111124"/>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_tradnl" sz="1100"/>
        </a:p>
      </xdr:txBody>
    </xdr:sp>
    <xdr:clientData/>
  </xdr:twoCellAnchor>
  <xdr:twoCellAnchor>
    <xdr:from>
      <xdr:col>18</xdr:col>
      <xdr:colOff>73028</xdr:colOff>
      <xdr:row>18</xdr:row>
      <xdr:rowOff>174623</xdr:rowOff>
    </xdr:from>
    <xdr:to>
      <xdr:col>22</xdr:col>
      <xdr:colOff>436561</xdr:colOff>
      <xdr:row>18</xdr:row>
      <xdr:rowOff>293685</xdr:rowOff>
    </xdr:to>
    <xdr:sp macro="" textlink="">
      <xdr:nvSpPr>
        <xdr:cNvPr id="39" name="38 Rectángulo"/>
        <xdr:cNvSpPr/>
      </xdr:nvSpPr>
      <xdr:spPr>
        <a:xfrm>
          <a:off x="295278" y="6413498"/>
          <a:ext cx="2300283" cy="119062"/>
        </a:xfrm>
        <a:prstGeom prst="rect">
          <a:avLst/>
        </a:prstGeom>
        <a:solidFill>
          <a:schemeClr val="bg1"/>
        </a:solidFill>
        <a:ln>
          <a:noFill/>
        </a:ln>
      </xdr:spPr>
      <xdr:style>
        <a:lnRef idx="2">
          <a:schemeClr val="accent1">
            <a:shade val="50000"/>
          </a:schemeClr>
        </a:lnRef>
        <a:fillRef idx="1">
          <a:schemeClr val="accent1"/>
        </a:fillRef>
        <a:effectRef idx="0">
          <a:schemeClr val="accent1"/>
        </a:effectRef>
        <a:fontRef idx="minor">
          <a:schemeClr val="lt1"/>
        </a:fontRef>
      </xdr:style>
      <xdr:txBody>
        <a:bodyPr rtlCol="0" anchor="ctr"/>
        <a:lstStyle/>
        <a:p>
          <a:pPr algn="ctr"/>
          <a:endParaRPr lang="es-ES_tradnl" sz="1100"/>
        </a:p>
      </xdr:txBody>
    </xdr:sp>
    <xdr:clientData/>
  </xdr:twoCellAnchor>
</xdr:wsDr>
</file>

<file path=xl/drawings/drawing16.xml><?xml version="1.0" encoding="utf-8"?>
<xdr:wsDr xmlns:xdr="http://schemas.openxmlformats.org/drawingml/2006/spreadsheetDrawing" xmlns:a="http://schemas.openxmlformats.org/drawingml/2006/main">
  <xdr:twoCellAnchor>
    <xdr:from>
      <xdr:col>3</xdr:col>
      <xdr:colOff>123825</xdr:colOff>
      <xdr:row>3</xdr:row>
      <xdr:rowOff>28575</xdr:rowOff>
    </xdr:from>
    <xdr:to>
      <xdr:col>6</xdr:col>
      <xdr:colOff>85725</xdr:colOff>
      <xdr:row>4</xdr:row>
      <xdr:rowOff>171450</xdr:rowOff>
    </xdr:to>
    <xdr:pic>
      <xdr:nvPicPr>
        <xdr:cNvPr id="22094" name="Picture 3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533400" y="657225"/>
          <a:ext cx="533400" cy="352425"/>
        </a:xfrm>
        <a:prstGeom prst="rect">
          <a:avLst/>
        </a:prstGeom>
        <a:noFill/>
        <a:ln w="9525">
          <a:noFill/>
          <a:miter lim="800000"/>
          <a:headEnd/>
          <a:tailEnd/>
        </a:ln>
      </xdr:spPr>
    </xdr:pic>
    <xdr:clientData/>
  </xdr:twoCellAnchor>
  <xdr:twoCellAnchor>
    <xdr:from>
      <xdr:col>1</xdr:col>
      <xdr:colOff>0</xdr:colOff>
      <xdr:row>0</xdr:row>
      <xdr:rowOff>19050</xdr:rowOff>
    </xdr:from>
    <xdr:to>
      <xdr:col>6</xdr:col>
      <xdr:colOff>161925</xdr:colOff>
      <xdr:row>3</xdr:row>
      <xdr:rowOff>0</xdr:rowOff>
    </xdr:to>
    <xdr:pic>
      <xdr:nvPicPr>
        <xdr:cNvPr id="22095" name="4 Imagen" descr="Gobierno horizontal.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2698" r="3052" b="10001"/>
        <a:stretch>
          <a:fillRect/>
        </a:stretch>
      </xdr:blipFill>
      <xdr:spPr bwMode="auto">
        <a:xfrm>
          <a:off x="28575" y="19050"/>
          <a:ext cx="1114425" cy="609600"/>
        </a:xfrm>
        <a:prstGeom prst="rect">
          <a:avLst/>
        </a:prstGeom>
        <a:noFill/>
        <a:ln w="9525">
          <a:noFill/>
          <a:miter lim="800000"/>
          <a:headEnd/>
          <a:tailEnd/>
        </a:ln>
      </xdr:spPr>
    </xdr:pic>
    <xdr:clientData/>
  </xdr:twoCellAnchor>
  <xdr:twoCellAnchor>
    <xdr:from>
      <xdr:col>26</xdr:col>
      <xdr:colOff>161925</xdr:colOff>
      <xdr:row>0</xdr:row>
      <xdr:rowOff>28576</xdr:rowOff>
    </xdr:from>
    <xdr:to>
      <xdr:col>32</xdr:col>
      <xdr:colOff>171450</xdr:colOff>
      <xdr:row>3</xdr:row>
      <xdr:rowOff>9526</xdr:rowOff>
    </xdr:to>
    <xdr:pic>
      <xdr:nvPicPr>
        <xdr:cNvPr id="22096" name="5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4552950" y="28576"/>
          <a:ext cx="1152525" cy="609600"/>
        </a:xfrm>
        <a:prstGeom prst="rect">
          <a:avLst/>
        </a:prstGeom>
        <a:noFill/>
        <a:ln w="9525">
          <a:noFill/>
          <a:miter lim="800000"/>
          <a:headEnd/>
          <a:tailEnd/>
        </a:ln>
      </xdr:spPr>
    </xdr:pic>
    <xdr:clientData/>
  </xdr:twoCellAnchor>
  <xdr:twoCellAnchor editAs="oneCell">
    <xdr:from>
      <xdr:col>1</xdr:col>
      <xdr:colOff>57151</xdr:colOff>
      <xdr:row>5</xdr:row>
      <xdr:rowOff>180975</xdr:rowOff>
    </xdr:from>
    <xdr:to>
      <xdr:col>7</xdr:col>
      <xdr:colOff>133350</xdr:colOff>
      <xdr:row>7</xdr:row>
      <xdr:rowOff>171450</xdr:rowOff>
    </xdr:to>
    <xdr:pic>
      <xdr:nvPicPr>
        <xdr:cNvPr id="6" name="5 Imagen"/>
        <xdr:cNvPicPr/>
      </xdr:nvPicPr>
      <xdr:blipFill>
        <a:blip xmlns:r="http://schemas.openxmlformats.org/officeDocument/2006/relationships" r:embed="rId4">
          <a:extLst/>
        </a:blip>
        <a:srcRect/>
        <a:stretch>
          <a:fillRect/>
        </a:stretch>
      </xdr:blipFill>
      <xdr:spPr bwMode="auto">
        <a:xfrm>
          <a:off x="85726" y="1228725"/>
          <a:ext cx="1219199" cy="409575"/>
        </a:xfrm>
        <a:prstGeom prst="rect">
          <a:avLst/>
        </a:prstGeom>
        <a:noFill/>
        <a:ln w="9525">
          <a:noFill/>
          <a:miter lim="800000"/>
          <a:headEnd/>
          <a:tailEnd/>
        </a:ln>
      </xdr:spPr>
    </xdr:pic>
    <xdr:clientData/>
  </xdr:twoCellAnchor>
  <mc:AlternateContent xmlns:mc="http://schemas.openxmlformats.org/markup-compatibility/2006">
    <mc:Choice xmlns:a14="http://schemas.microsoft.com/office/drawing/2010/main" Requires="a14">
      <xdr:twoCellAnchor>
        <xdr:from>
          <xdr:col>1</xdr:col>
          <xdr:colOff>38100</xdr:colOff>
          <xdr:row>3</xdr:row>
          <xdr:rowOff>47625</xdr:rowOff>
        </xdr:from>
        <xdr:to>
          <xdr:col>3</xdr:col>
          <xdr:colOff>19050</xdr:colOff>
          <xdr:row>4</xdr:row>
          <xdr:rowOff>171450</xdr:rowOff>
        </xdr:to>
        <xdr:sp macro="" textlink="">
          <xdr:nvSpPr>
            <xdr:cNvPr id="21506" name="Object 2" hidden="1">
              <a:extLst>
                <a:ext uri="{63B3BB69-23CF-44E3-9099-C40C66FF867C}">
                  <a14:compatExt spid="_x0000_s21506"/>
                </a:ext>
              </a:extLst>
            </xdr:cNvPr>
            <xdr:cNvSpPr/>
          </xdr:nvSpPr>
          <xdr:spPr>
            <a:xfrm>
              <a:off x="0" y="0"/>
              <a:ext cx="0" cy="0"/>
            </a:xfrm>
            <a:prstGeom prst="rect">
              <a:avLst/>
            </a:prstGeom>
          </xdr:spPr>
        </xdr:sp>
        <xdr:clientData/>
      </xdr:twoCellAnchor>
    </mc:Choice>
    <mc:Fallback/>
  </mc:AlternateContent>
</xdr:wsDr>
</file>

<file path=xl/drawings/drawing17.xml><?xml version="1.0" encoding="utf-8"?>
<xdr:wsDr xmlns:xdr="http://schemas.openxmlformats.org/drawingml/2006/spreadsheetDrawing" xmlns:a="http://schemas.openxmlformats.org/drawingml/2006/main">
  <xdr:twoCellAnchor>
    <xdr:from>
      <xdr:col>12</xdr:col>
      <xdr:colOff>209550</xdr:colOff>
      <xdr:row>1</xdr:row>
      <xdr:rowOff>95250</xdr:rowOff>
    </xdr:from>
    <xdr:to>
      <xdr:col>14</xdr:col>
      <xdr:colOff>257175</xdr:colOff>
      <xdr:row>5</xdr:row>
      <xdr:rowOff>28575</xdr:rowOff>
    </xdr:to>
    <xdr:pic>
      <xdr:nvPicPr>
        <xdr:cNvPr id="87082" name="Picture 6"/>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3048000" y="209550"/>
          <a:ext cx="581025" cy="542925"/>
        </a:xfrm>
        <a:prstGeom prst="rect">
          <a:avLst/>
        </a:prstGeom>
        <a:noFill/>
        <a:ln w="9525">
          <a:noFill/>
          <a:miter lim="800000"/>
          <a:headEnd/>
          <a:tailEnd/>
        </a:ln>
      </xdr:spPr>
    </xdr:pic>
    <xdr:clientData/>
  </xdr:twoCellAnchor>
  <xdr:twoCellAnchor>
    <xdr:from>
      <xdr:col>3</xdr:col>
      <xdr:colOff>161925</xdr:colOff>
      <xdr:row>1</xdr:row>
      <xdr:rowOff>95250</xdr:rowOff>
    </xdr:from>
    <xdr:to>
      <xdr:col>12</xdr:col>
      <xdr:colOff>200025</xdr:colOff>
      <xdr:row>5</xdr:row>
      <xdr:rowOff>38100</xdr:rowOff>
    </xdr:to>
    <xdr:pic>
      <xdr:nvPicPr>
        <xdr:cNvPr id="87083" name="Picture 116"/>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l="13731"/>
        <a:stretch>
          <a:fillRect/>
        </a:stretch>
      </xdr:blipFill>
      <xdr:spPr bwMode="auto">
        <a:xfrm>
          <a:off x="600075" y="209550"/>
          <a:ext cx="2438400" cy="552450"/>
        </a:xfrm>
        <a:prstGeom prst="rect">
          <a:avLst/>
        </a:prstGeom>
        <a:noFill/>
        <a:ln w="9525">
          <a:noFill/>
          <a:miter lim="800000"/>
          <a:headEnd/>
          <a:tailEnd/>
        </a:ln>
      </xdr:spPr>
    </xdr:pic>
    <xdr:clientData/>
  </xdr:twoCellAnchor>
  <xdr:twoCellAnchor>
    <xdr:from>
      <xdr:col>2</xdr:col>
      <xdr:colOff>9525</xdr:colOff>
      <xdr:row>1</xdr:row>
      <xdr:rowOff>95250</xdr:rowOff>
    </xdr:from>
    <xdr:to>
      <xdr:col>3</xdr:col>
      <xdr:colOff>161925</xdr:colOff>
      <xdr:row>5</xdr:row>
      <xdr:rowOff>9525</xdr:rowOff>
    </xdr:to>
    <xdr:pic>
      <xdr:nvPicPr>
        <xdr:cNvPr id="87084" name="Picture 8"/>
        <xdr:cNvPicPr>
          <a:picLocks noChangeAspect="1" noChangeArrowheads="1"/>
        </xdr:cNvPicPr>
      </xdr:nvPicPr>
      <xdr:blipFill>
        <a:blip xmlns:r="http://schemas.openxmlformats.org/officeDocument/2006/relationships" r:embed="rId3" cstate="print">
          <a:clrChange>
            <a:clrFrom>
              <a:srgbClr val="000000"/>
            </a:clrFrom>
            <a:clrTo>
              <a:srgbClr val="000000">
                <a:alpha val="0"/>
              </a:srgbClr>
            </a:clrTo>
          </a:clrChange>
        </a:blip>
        <a:srcRect/>
        <a:stretch>
          <a:fillRect/>
        </a:stretch>
      </xdr:blipFill>
      <xdr:spPr bwMode="auto">
        <a:xfrm>
          <a:off x="180975" y="209550"/>
          <a:ext cx="419100" cy="523875"/>
        </a:xfrm>
        <a:prstGeom prst="rect">
          <a:avLst/>
        </a:prstGeom>
        <a:noFill/>
        <a:ln w="9525">
          <a:noFill/>
          <a:miter lim="800000"/>
          <a:headEnd/>
          <a:tailEnd/>
        </a:ln>
      </xdr:spPr>
    </xdr:pic>
    <xdr:clientData/>
  </xdr:twoCellAnchor>
  <xdr:twoCellAnchor>
    <xdr:from>
      <xdr:col>12</xdr:col>
      <xdr:colOff>47625</xdr:colOff>
      <xdr:row>8</xdr:row>
      <xdr:rowOff>28575</xdr:rowOff>
    </xdr:from>
    <xdr:to>
      <xdr:col>15</xdr:col>
      <xdr:colOff>38100</xdr:colOff>
      <xdr:row>11</xdr:row>
      <xdr:rowOff>104775</xdr:rowOff>
    </xdr:to>
    <xdr:pic>
      <xdr:nvPicPr>
        <xdr:cNvPr id="5" name="Picture 14" descr="libro"/>
        <xdr:cNvPicPr>
          <a:picLocks noChangeAspect="1" noChangeArrowheads="1"/>
        </xdr:cNvPicPr>
      </xdr:nvPicPr>
      <xdr:blipFill>
        <a:blip xmlns:r="http://schemas.openxmlformats.org/officeDocument/2006/relationships" r:embed="rId4" cstate="print">
          <a:clrChange>
            <a:clrFrom>
              <a:srgbClr val="EAE9E4"/>
            </a:clrFrom>
            <a:clrTo>
              <a:srgbClr val="EAE9E4">
                <a:alpha val="0"/>
              </a:srgbClr>
            </a:clrTo>
          </a:clrChange>
          <a:lum bright="58000" contrast="-68000"/>
        </a:blip>
        <a:srcRect/>
        <a:stretch>
          <a:fillRect/>
        </a:stretch>
      </xdr:blipFill>
      <xdr:spPr bwMode="auto">
        <a:xfrm>
          <a:off x="2886075" y="1209675"/>
          <a:ext cx="790575" cy="533400"/>
        </a:xfrm>
        <a:prstGeom prst="rect">
          <a:avLst/>
        </a:prstGeom>
        <a:noFill/>
        <a:ln w="9525">
          <a:noFill/>
          <a:miter lim="800000"/>
          <a:headEnd/>
          <a:tailEnd/>
        </a:ln>
        <a:effectLst>
          <a:outerShdw blurRad="1130300" dist="50800" dir="5400000" algn="ctr" rotWithShape="0">
            <a:srgbClr val="000000">
              <a:alpha val="0"/>
            </a:srgbClr>
          </a:outerShdw>
        </a:effectLst>
      </xdr:spPr>
    </xdr:pic>
    <xdr:clientData/>
  </xdr:twoCellAnchor>
  <xdr:twoCellAnchor>
    <xdr:from>
      <xdr:col>1</xdr:col>
      <xdr:colOff>57150</xdr:colOff>
      <xdr:row>8</xdr:row>
      <xdr:rowOff>28575</xdr:rowOff>
    </xdr:from>
    <xdr:to>
      <xdr:col>4</xdr:col>
      <xdr:colOff>228600</xdr:colOff>
      <xdr:row>11</xdr:row>
      <xdr:rowOff>104775</xdr:rowOff>
    </xdr:to>
    <xdr:pic>
      <xdr:nvPicPr>
        <xdr:cNvPr id="66" name="Picture 14" descr="libro"/>
        <xdr:cNvPicPr>
          <a:picLocks noChangeAspect="1" noChangeArrowheads="1"/>
        </xdr:cNvPicPr>
      </xdr:nvPicPr>
      <xdr:blipFill>
        <a:blip xmlns:r="http://schemas.openxmlformats.org/officeDocument/2006/relationships" r:embed="rId4" cstate="print">
          <a:clrChange>
            <a:clrFrom>
              <a:srgbClr val="EAE9E4"/>
            </a:clrFrom>
            <a:clrTo>
              <a:srgbClr val="EAE9E4">
                <a:alpha val="0"/>
              </a:srgbClr>
            </a:clrTo>
          </a:clrChange>
          <a:lum bright="58000" contrast="-68000"/>
        </a:blip>
        <a:srcRect/>
        <a:stretch>
          <a:fillRect/>
        </a:stretch>
      </xdr:blipFill>
      <xdr:spPr bwMode="auto">
        <a:xfrm>
          <a:off x="142875" y="1209675"/>
          <a:ext cx="790575" cy="533400"/>
        </a:xfrm>
        <a:prstGeom prst="rect">
          <a:avLst/>
        </a:prstGeom>
        <a:noFill/>
        <a:ln w="9525">
          <a:noFill/>
          <a:miter lim="800000"/>
          <a:headEnd/>
          <a:tailEnd/>
        </a:ln>
        <a:effectLst>
          <a:outerShdw blurRad="1130300" dist="50800" dir="5400000" algn="ctr" rotWithShape="0">
            <a:srgbClr val="000000">
              <a:alpha val="0"/>
            </a:srgbClr>
          </a:outerShdw>
        </a:effectLst>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0</xdr:col>
      <xdr:colOff>87456</xdr:colOff>
      <xdr:row>2</xdr:row>
      <xdr:rowOff>95250</xdr:rowOff>
    </xdr:from>
    <xdr:to>
      <xdr:col>1</xdr:col>
      <xdr:colOff>1003532</xdr:colOff>
      <xdr:row>2</xdr:row>
      <xdr:rowOff>590551</xdr:rowOff>
    </xdr:to>
    <xdr:pic>
      <xdr:nvPicPr>
        <xdr:cNvPr id="2" name="7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698" r="3052" b="10001"/>
        <a:stretch>
          <a:fillRect/>
        </a:stretch>
      </xdr:blipFill>
      <xdr:spPr bwMode="auto">
        <a:xfrm>
          <a:off x="87456" y="95250"/>
          <a:ext cx="1158531" cy="495301"/>
        </a:xfrm>
        <a:prstGeom prst="rect">
          <a:avLst/>
        </a:prstGeom>
        <a:solidFill>
          <a:schemeClr val="bg1"/>
        </a:solidFill>
        <a:ln w="9525">
          <a:noFill/>
          <a:miter lim="800000"/>
          <a:headEnd/>
          <a:tailEnd/>
        </a:ln>
      </xdr:spPr>
    </xdr:pic>
    <xdr:clientData/>
  </xdr:twoCellAnchor>
  <xdr:twoCellAnchor editAs="oneCell">
    <xdr:from>
      <xdr:col>19</xdr:col>
      <xdr:colOff>415634</xdr:colOff>
      <xdr:row>2</xdr:row>
      <xdr:rowOff>66678</xdr:rowOff>
    </xdr:from>
    <xdr:to>
      <xdr:col>20</xdr:col>
      <xdr:colOff>839928</xdr:colOff>
      <xdr:row>2</xdr:row>
      <xdr:rowOff>571503</xdr:rowOff>
    </xdr:to>
    <xdr:pic>
      <xdr:nvPicPr>
        <xdr:cNvPr id="3" name="8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242" r="5455"/>
        <a:stretch>
          <a:fillRect/>
        </a:stretch>
      </xdr:blipFill>
      <xdr:spPr bwMode="auto">
        <a:xfrm>
          <a:off x="5299361" y="66678"/>
          <a:ext cx="1013113" cy="504825"/>
        </a:xfrm>
        <a:prstGeom prst="rect">
          <a:avLst/>
        </a:prstGeom>
        <a:solidFill>
          <a:schemeClr val="bg1"/>
        </a:solidFill>
        <a:ln w="9525">
          <a:noFill/>
          <a:miter lim="800000"/>
          <a:headEnd/>
          <a:tailEnd/>
        </a:ln>
      </xdr:spPr>
    </xdr:pic>
    <xdr:clientData/>
  </xdr:twoCellAnchor>
  <xdr:twoCellAnchor editAs="absolute">
    <xdr:from>
      <xdr:col>1</xdr:col>
      <xdr:colOff>366282</xdr:colOff>
      <xdr:row>2</xdr:row>
      <xdr:rowOff>86590</xdr:rowOff>
    </xdr:from>
    <xdr:to>
      <xdr:col>20</xdr:col>
      <xdr:colOff>398314</xdr:colOff>
      <xdr:row>2</xdr:row>
      <xdr:rowOff>857249</xdr:rowOff>
    </xdr:to>
    <xdr:sp macro="" textlink="">
      <xdr:nvSpPr>
        <xdr:cNvPr id="4" name="3 CuadroTexto"/>
        <xdr:cNvSpPr txBox="1"/>
      </xdr:nvSpPr>
      <xdr:spPr>
        <a:xfrm>
          <a:off x="608737" y="86590"/>
          <a:ext cx="5175532" cy="77065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100" b="1"/>
            <a:t>SERVICIOS EDUCATIVOS DE QUINTANA ROO  </a:t>
          </a:r>
        </a:p>
        <a:p>
          <a:pPr algn="ctr"/>
          <a:r>
            <a:rPr lang="es-MX" sz="1100" b="1"/>
            <a:t>DIRECCIÓN DE FINANZAS</a:t>
          </a:r>
          <a:endParaRPr lang="es-MX" sz="900" b="1"/>
        </a:p>
        <a:p>
          <a:pPr algn="ctr"/>
          <a:r>
            <a:rPr lang="es-MX" sz="100" b="1"/>
            <a:t> </a:t>
          </a:r>
          <a:endParaRPr lang="es-MX" sz="300" b="1"/>
        </a:p>
        <a:p>
          <a:pPr algn="ctr"/>
          <a:r>
            <a:rPr lang="es-MX" sz="1050" b="1"/>
            <a:t>Formato de Control de Formas Oficiales de Tiendas Escolares</a:t>
          </a:r>
        </a:p>
      </xdr:txBody>
    </xdr:sp>
    <xdr:clientData/>
  </xdr:twoCellAnchor>
  <xdr:twoCellAnchor editAs="oneCell">
    <xdr:from>
      <xdr:col>19</xdr:col>
      <xdr:colOff>406974</xdr:colOff>
      <xdr:row>2</xdr:row>
      <xdr:rowOff>69275</xdr:rowOff>
    </xdr:from>
    <xdr:to>
      <xdr:col>20</xdr:col>
      <xdr:colOff>848587</xdr:colOff>
      <xdr:row>2</xdr:row>
      <xdr:rowOff>593150</xdr:rowOff>
    </xdr:to>
    <xdr:pic>
      <xdr:nvPicPr>
        <xdr:cNvPr id="5" name="4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290701" y="69275"/>
          <a:ext cx="1030432" cy="5238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25977</xdr:colOff>
      <xdr:row>2</xdr:row>
      <xdr:rowOff>34637</xdr:rowOff>
    </xdr:from>
    <xdr:to>
      <xdr:col>1</xdr:col>
      <xdr:colOff>988002</xdr:colOff>
      <xdr:row>2</xdr:row>
      <xdr:rowOff>583622</xdr:rowOff>
    </xdr:to>
    <xdr:pic>
      <xdr:nvPicPr>
        <xdr:cNvPr id="6" name="5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5977" y="34637"/>
          <a:ext cx="1204480" cy="54898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xdr:col>
      <xdr:colOff>19050</xdr:colOff>
      <xdr:row>0</xdr:row>
      <xdr:rowOff>57150</xdr:rowOff>
    </xdr:from>
    <xdr:to>
      <xdr:col>2</xdr:col>
      <xdr:colOff>171450</xdr:colOff>
      <xdr:row>2</xdr:row>
      <xdr:rowOff>85725</xdr:rowOff>
    </xdr:to>
    <xdr:pic>
      <xdr:nvPicPr>
        <xdr:cNvPr id="84123" name="Picture 52" descr="Becas de Apoyo"/>
        <xdr:cNvPicPr>
          <a:picLocks noChangeAspect="1" noChangeArrowheads="1"/>
        </xdr:cNvPicPr>
      </xdr:nvPicPr>
      <xdr:blipFill>
        <a:blip xmlns:r="http://schemas.openxmlformats.org/officeDocument/2006/relationships" r:embed="rId1" r:link="rId2"/>
        <a:srcRect/>
        <a:stretch>
          <a:fillRect/>
        </a:stretch>
      </xdr:blipFill>
      <xdr:spPr bwMode="auto">
        <a:xfrm>
          <a:off x="66675" y="57150"/>
          <a:ext cx="0" cy="333375"/>
        </a:xfrm>
        <a:prstGeom prst="rect">
          <a:avLst/>
        </a:prstGeom>
        <a:noFill/>
        <a:ln w="9525">
          <a:noFill/>
          <a:miter lim="800000"/>
          <a:headEnd/>
          <a:tailEnd/>
        </a:ln>
      </xdr:spPr>
    </xdr:pic>
    <xdr:clientData/>
  </xdr:twoCellAnchor>
  <xdr:twoCellAnchor>
    <xdr:from>
      <xdr:col>5</xdr:col>
      <xdr:colOff>219075</xdr:colOff>
      <xdr:row>65</xdr:row>
      <xdr:rowOff>38100</xdr:rowOff>
    </xdr:from>
    <xdr:to>
      <xdr:col>5</xdr:col>
      <xdr:colOff>247650</xdr:colOff>
      <xdr:row>65</xdr:row>
      <xdr:rowOff>66675</xdr:rowOff>
    </xdr:to>
    <xdr:sp macro="" textlink="">
      <xdr:nvSpPr>
        <xdr:cNvPr id="84124" name="Oval 126"/>
        <xdr:cNvSpPr>
          <a:spLocks noChangeArrowheads="1"/>
        </xdr:cNvSpPr>
      </xdr:nvSpPr>
      <xdr:spPr bwMode="auto">
        <a:xfrm>
          <a:off x="285750" y="6591300"/>
          <a:ext cx="28575" cy="28575"/>
        </a:xfrm>
        <a:prstGeom prst="ellipse">
          <a:avLst/>
        </a:prstGeom>
        <a:solidFill>
          <a:srgbClr val="FFFFFF"/>
        </a:solidFill>
        <a:ln w="12700">
          <a:solidFill>
            <a:srgbClr val="0000FF"/>
          </a:solidFill>
          <a:round/>
          <a:headEnd/>
          <a:tailEnd/>
        </a:ln>
      </xdr:spPr>
    </xdr:sp>
    <xdr:clientData/>
  </xdr:twoCellAnchor>
  <xdr:twoCellAnchor>
    <xdr:from>
      <xdr:col>5</xdr:col>
      <xdr:colOff>219075</xdr:colOff>
      <xdr:row>93</xdr:row>
      <xdr:rowOff>38100</xdr:rowOff>
    </xdr:from>
    <xdr:to>
      <xdr:col>5</xdr:col>
      <xdr:colOff>247650</xdr:colOff>
      <xdr:row>93</xdr:row>
      <xdr:rowOff>66675</xdr:rowOff>
    </xdr:to>
    <xdr:sp macro="" textlink="">
      <xdr:nvSpPr>
        <xdr:cNvPr id="84125" name="Oval 127"/>
        <xdr:cNvSpPr>
          <a:spLocks noChangeArrowheads="1"/>
        </xdr:cNvSpPr>
      </xdr:nvSpPr>
      <xdr:spPr bwMode="auto">
        <a:xfrm>
          <a:off x="285750" y="9029700"/>
          <a:ext cx="28575" cy="28575"/>
        </a:xfrm>
        <a:prstGeom prst="ellipse">
          <a:avLst/>
        </a:prstGeom>
        <a:solidFill>
          <a:srgbClr val="FFFFFF"/>
        </a:solidFill>
        <a:ln w="12700">
          <a:solidFill>
            <a:srgbClr val="0000FF"/>
          </a:solidFill>
          <a:round/>
          <a:headEnd/>
          <a:tailEnd/>
        </a:ln>
      </xdr:spPr>
    </xdr:sp>
    <xdr:clientData/>
  </xdr:twoCellAnchor>
  <xdr:twoCellAnchor>
    <xdr:from>
      <xdr:col>26</xdr:col>
      <xdr:colOff>19050</xdr:colOff>
      <xdr:row>0</xdr:row>
      <xdr:rowOff>19050</xdr:rowOff>
    </xdr:from>
    <xdr:to>
      <xdr:col>28</xdr:col>
      <xdr:colOff>314325</xdr:colOff>
      <xdr:row>2</xdr:row>
      <xdr:rowOff>114300</xdr:rowOff>
    </xdr:to>
    <xdr:grpSp>
      <xdr:nvGrpSpPr>
        <xdr:cNvPr id="84126" name="Group 170"/>
        <xdr:cNvGrpSpPr>
          <a:grpSpLocks/>
        </xdr:cNvGrpSpPr>
      </xdr:nvGrpSpPr>
      <xdr:grpSpPr bwMode="auto">
        <a:xfrm>
          <a:off x="7429500" y="19050"/>
          <a:ext cx="1000125" cy="400050"/>
          <a:chOff x="4" y="5"/>
          <a:chExt cx="173" cy="86"/>
        </a:xfrm>
      </xdr:grpSpPr>
      <xdr:pic>
        <xdr:nvPicPr>
          <xdr:cNvPr id="84129" name="Picture 171"/>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a:stretch>
            <a:fillRect/>
          </a:stretch>
        </xdr:blipFill>
        <xdr:spPr bwMode="auto">
          <a:xfrm>
            <a:off x="15" y="5"/>
            <a:ext cx="151" cy="57"/>
          </a:xfrm>
          <a:prstGeom prst="rect">
            <a:avLst/>
          </a:prstGeom>
          <a:noFill/>
          <a:ln w="9525">
            <a:noFill/>
            <a:miter lim="800000"/>
            <a:headEnd/>
            <a:tailEnd/>
          </a:ln>
        </xdr:spPr>
      </xdr:pic>
      <xdr:pic>
        <xdr:nvPicPr>
          <xdr:cNvPr id="84130" name="Picture 172"/>
          <xdr:cNvPicPr>
            <a:picLocks noChangeAspect="1" noChangeArrowheads="1"/>
          </xdr:cNvPicPr>
        </xdr:nvPicPr>
        <xdr:blipFill>
          <a:blip xmlns:r="http://schemas.openxmlformats.org/officeDocument/2006/relationships" r:embed="rId4" cstate="print"/>
          <a:srcRect/>
          <a:stretch>
            <a:fillRect/>
          </a:stretch>
        </xdr:blipFill>
        <xdr:spPr bwMode="auto">
          <a:xfrm>
            <a:off x="4" y="66"/>
            <a:ext cx="173" cy="11"/>
          </a:xfrm>
          <a:prstGeom prst="rect">
            <a:avLst/>
          </a:prstGeom>
          <a:noFill/>
          <a:ln w="9525">
            <a:noFill/>
            <a:miter lim="800000"/>
            <a:headEnd/>
            <a:tailEnd/>
          </a:ln>
        </xdr:spPr>
      </xdr:pic>
      <xdr:pic>
        <xdr:nvPicPr>
          <xdr:cNvPr id="84131" name="Picture 173"/>
          <xdr:cNvPicPr>
            <a:picLocks noChangeAspect="1" noChangeArrowheads="1"/>
          </xdr:cNvPicPr>
        </xdr:nvPicPr>
        <xdr:blipFill>
          <a:blip xmlns:r="http://schemas.openxmlformats.org/officeDocument/2006/relationships" r:embed="rId5" cstate="print"/>
          <a:srcRect/>
          <a:stretch>
            <a:fillRect/>
          </a:stretch>
        </xdr:blipFill>
        <xdr:spPr bwMode="auto">
          <a:xfrm>
            <a:off x="22" y="79"/>
            <a:ext cx="137" cy="12"/>
          </a:xfrm>
          <a:prstGeom prst="rect">
            <a:avLst/>
          </a:prstGeom>
          <a:noFill/>
          <a:ln w="9525">
            <a:noFill/>
            <a:miter lim="800000"/>
            <a:headEnd/>
            <a:tailEnd/>
          </a:ln>
        </xdr:spPr>
      </xdr:pic>
    </xdr:grpSp>
    <xdr:clientData/>
  </xdr:twoCellAnchor>
  <xdr:twoCellAnchor>
    <xdr:from>
      <xdr:col>6</xdr:col>
      <xdr:colOff>219075</xdr:colOff>
      <xdr:row>158</xdr:row>
      <xdr:rowOff>38100</xdr:rowOff>
    </xdr:from>
    <xdr:to>
      <xdr:col>6</xdr:col>
      <xdr:colOff>247650</xdr:colOff>
      <xdr:row>158</xdr:row>
      <xdr:rowOff>66675</xdr:rowOff>
    </xdr:to>
    <xdr:sp macro="" textlink="">
      <xdr:nvSpPr>
        <xdr:cNvPr id="84127" name="Oval 92"/>
        <xdr:cNvSpPr>
          <a:spLocks noChangeArrowheads="1"/>
        </xdr:cNvSpPr>
      </xdr:nvSpPr>
      <xdr:spPr bwMode="auto">
        <a:xfrm>
          <a:off x="638175" y="15278100"/>
          <a:ext cx="28575" cy="28575"/>
        </a:xfrm>
        <a:prstGeom prst="ellipse">
          <a:avLst/>
        </a:prstGeom>
        <a:solidFill>
          <a:srgbClr val="FFFFFF"/>
        </a:solidFill>
        <a:ln w="12700">
          <a:solidFill>
            <a:srgbClr val="0000FF"/>
          </a:solidFill>
          <a:round/>
          <a:headEnd/>
          <a:tailEnd/>
        </a:ln>
      </xdr:spPr>
    </xdr:sp>
    <xdr:clientData/>
  </xdr:twoCellAnchor>
  <xdr:twoCellAnchor>
    <xdr:from>
      <xdr:col>6</xdr:col>
      <xdr:colOff>219075</xdr:colOff>
      <xdr:row>428</xdr:row>
      <xdr:rowOff>38100</xdr:rowOff>
    </xdr:from>
    <xdr:to>
      <xdr:col>6</xdr:col>
      <xdr:colOff>247650</xdr:colOff>
      <xdr:row>428</xdr:row>
      <xdr:rowOff>66675</xdr:rowOff>
    </xdr:to>
    <xdr:sp macro="" textlink="">
      <xdr:nvSpPr>
        <xdr:cNvPr id="84128" name="Oval 92"/>
        <xdr:cNvSpPr>
          <a:spLocks noChangeArrowheads="1"/>
        </xdr:cNvSpPr>
      </xdr:nvSpPr>
      <xdr:spPr bwMode="auto">
        <a:xfrm>
          <a:off x="638175" y="41186100"/>
          <a:ext cx="28575" cy="28575"/>
        </a:xfrm>
        <a:prstGeom prst="ellipse">
          <a:avLst/>
        </a:prstGeom>
        <a:solidFill>
          <a:srgbClr val="FFFFFF"/>
        </a:solidFill>
        <a:ln w="12700">
          <a:solidFill>
            <a:srgbClr val="0000FF"/>
          </a:solidFill>
          <a:round/>
          <a:headEnd/>
          <a:tailEnd/>
        </a:ln>
      </xdr:spPr>
    </xdr:sp>
    <xdr:clientData/>
  </xdr:twoCellAnchor>
</xdr:wsDr>
</file>

<file path=xl/drawings/drawing2.xml><?xml version="1.0" encoding="utf-8"?>
<xdr:wsDr xmlns:xdr="http://schemas.openxmlformats.org/drawingml/2006/spreadsheetDrawing" xmlns:a="http://schemas.openxmlformats.org/drawingml/2006/main">
  <xdr:twoCellAnchor>
    <xdr:from>
      <xdr:col>40</xdr:col>
      <xdr:colOff>128308</xdr:colOff>
      <xdr:row>1</xdr:row>
      <xdr:rowOff>100293</xdr:rowOff>
    </xdr:from>
    <xdr:to>
      <xdr:col>42</xdr:col>
      <xdr:colOff>128308</xdr:colOff>
      <xdr:row>3</xdr:row>
      <xdr:rowOff>140634</xdr:rowOff>
    </xdr:to>
    <xdr:pic>
      <xdr:nvPicPr>
        <xdr:cNvPr id="78368" name="Picture 4" descr="Quintana Roo2a"/>
        <xdr:cNvPicPr>
          <a:picLocks noChangeAspect="1" noChangeArrowheads="1"/>
        </xdr:cNvPicPr>
      </xdr:nvPicPr>
      <xdr:blipFill>
        <a:blip xmlns:r="http://schemas.openxmlformats.org/officeDocument/2006/relationships" r:embed="rId1" cstate="print">
          <a:lum bright="66000" contrast="30000"/>
        </a:blip>
        <a:srcRect/>
        <a:stretch>
          <a:fillRect/>
        </a:stretch>
      </xdr:blipFill>
      <xdr:spPr bwMode="auto">
        <a:xfrm>
          <a:off x="7143190" y="178734"/>
          <a:ext cx="313765" cy="354106"/>
        </a:xfrm>
        <a:prstGeom prst="rect">
          <a:avLst/>
        </a:prstGeom>
        <a:noFill/>
        <a:ln w="9525">
          <a:noFill/>
          <a:miter lim="800000"/>
          <a:headEnd/>
          <a:tailEnd/>
        </a:ln>
      </xdr:spPr>
    </xdr:pic>
    <xdr:clientData fPrintsWithSheet="0"/>
  </xdr:twoCellAnchor>
  <xdr:twoCellAnchor>
    <xdr:from>
      <xdr:col>8</xdr:col>
      <xdr:colOff>209550</xdr:colOff>
      <xdr:row>13</xdr:row>
      <xdr:rowOff>95250</xdr:rowOff>
    </xdr:from>
    <xdr:to>
      <xdr:col>8</xdr:col>
      <xdr:colOff>190500</xdr:colOff>
      <xdr:row>13</xdr:row>
      <xdr:rowOff>95250</xdr:rowOff>
    </xdr:to>
    <xdr:sp macro="" textlink="">
      <xdr:nvSpPr>
        <xdr:cNvPr id="78369" name="Line 65"/>
        <xdr:cNvSpPr>
          <a:spLocks noChangeShapeType="1"/>
        </xdr:cNvSpPr>
      </xdr:nvSpPr>
      <xdr:spPr bwMode="auto">
        <a:xfrm>
          <a:off x="1438275" y="1409700"/>
          <a:ext cx="0" cy="0"/>
        </a:xfrm>
        <a:prstGeom prst="line">
          <a:avLst/>
        </a:prstGeom>
        <a:noFill/>
        <a:ln w="15875">
          <a:solidFill>
            <a:srgbClr val="000000"/>
          </a:solidFill>
          <a:round/>
          <a:headEnd/>
          <a:tailEnd/>
        </a:ln>
      </xdr:spPr>
    </xdr:sp>
    <xdr:clientData/>
  </xdr:twoCellAnchor>
  <xdr:twoCellAnchor>
    <xdr:from>
      <xdr:col>18</xdr:col>
      <xdr:colOff>209550</xdr:colOff>
      <xdr:row>16</xdr:row>
      <xdr:rowOff>95250</xdr:rowOff>
    </xdr:from>
    <xdr:to>
      <xdr:col>18</xdr:col>
      <xdr:colOff>190500</xdr:colOff>
      <xdr:row>16</xdr:row>
      <xdr:rowOff>95250</xdr:rowOff>
    </xdr:to>
    <xdr:sp macro="" textlink="">
      <xdr:nvSpPr>
        <xdr:cNvPr id="78371" name="Line 65"/>
        <xdr:cNvSpPr>
          <a:spLocks noChangeShapeType="1"/>
        </xdr:cNvSpPr>
      </xdr:nvSpPr>
      <xdr:spPr bwMode="auto">
        <a:xfrm>
          <a:off x="3152775" y="1409700"/>
          <a:ext cx="0" cy="0"/>
        </a:xfrm>
        <a:prstGeom prst="line">
          <a:avLst/>
        </a:prstGeom>
        <a:noFill/>
        <a:ln w="15875">
          <a:solidFill>
            <a:srgbClr val="000000"/>
          </a:solidFill>
          <a:round/>
          <a:headEnd/>
          <a:tailEnd/>
        </a:ln>
      </xdr:spPr>
    </xdr:sp>
    <xdr:clientData/>
  </xdr:twoCellAnchor>
  <xdr:twoCellAnchor editAs="oneCell">
    <xdr:from>
      <xdr:col>0</xdr:col>
      <xdr:colOff>38100</xdr:colOff>
      <xdr:row>0</xdr:row>
      <xdr:rowOff>9525</xdr:rowOff>
    </xdr:from>
    <xdr:to>
      <xdr:col>7</xdr:col>
      <xdr:colOff>56030</xdr:colOff>
      <xdr:row>3</xdr:row>
      <xdr:rowOff>133350</xdr:rowOff>
    </xdr:to>
    <xdr:pic>
      <xdr:nvPicPr>
        <xdr:cNvPr id="78372" name="5 Imagen" descr="Gobierno horizontal.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2698" r="3052" b="10001"/>
        <a:stretch>
          <a:fillRect/>
        </a:stretch>
      </xdr:blipFill>
      <xdr:spPr bwMode="auto">
        <a:xfrm>
          <a:off x="38100" y="9525"/>
          <a:ext cx="1306606" cy="516031"/>
        </a:xfrm>
        <a:prstGeom prst="rect">
          <a:avLst/>
        </a:prstGeom>
        <a:noFill/>
        <a:ln w="9525">
          <a:noFill/>
          <a:miter lim="800000"/>
          <a:headEnd/>
          <a:tailEnd/>
        </a:ln>
      </xdr:spPr>
    </xdr:pic>
    <xdr:clientData/>
  </xdr:twoCellAnchor>
  <xdr:twoCellAnchor editAs="oneCell">
    <xdr:from>
      <xdr:col>9</xdr:col>
      <xdr:colOff>22975</xdr:colOff>
      <xdr:row>0</xdr:row>
      <xdr:rowOff>9525</xdr:rowOff>
    </xdr:from>
    <xdr:to>
      <xdr:col>16</xdr:col>
      <xdr:colOff>56030</xdr:colOff>
      <xdr:row>3</xdr:row>
      <xdr:rowOff>133350</xdr:rowOff>
    </xdr:to>
    <xdr:pic>
      <xdr:nvPicPr>
        <xdr:cNvPr id="78374" name="7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1468534" y="9525"/>
          <a:ext cx="1097613" cy="516031"/>
        </a:xfrm>
        <a:prstGeom prst="rect">
          <a:avLst/>
        </a:prstGeom>
        <a:noFill/>
        <a:ln w="9525">
          <a:noFill/>
          <a:miter lim="800000"/>
          <a:headEnd/>
          <a:tailEnd/>
        </a:ln>
      </xdr:spPr>
    </xdr:pic>
    <xdr:clientData/>
  </xdr:twoCellAnchor>
  <xdr:twoCellAnchor>
    <xdr:from>
      <xdr:col>15</xdr:col>
      <xdr:colOff>209550</xdr:colOff>
      <xdr:row>36</xdr:row>
      <xdr:rowOff>95250</xdr:rowOff>
    </xdr:from>
    <xdr:to>
      <xdr:col>15</xdr:col>
      <xdr:colOff>190500</xdr:colOff>
      <xdr:row>36</xdr:row>
      <xdr:rowOff>95250</xdr:rowOff>
    </xdr:to>
    <xdr:sp macro="" textlink="">
      <xdr:nvSpPr>
        <xdr:cNvPr id="10" name="Line 65"/>
        <xdr:cNvSpPr>
          <a:spLocks noChangeShapeType="1"/>
        </xdr:cNvSpPr>
      </xdr:nvSpPr>
      <xdr:spPr bwMode="auto">
        <a:xfrm>
          <a:off x="3320303" y="1641662"/>
          <a:ext cx="0" cy="0"/>
        </a:xfrm>
        <a:prstGeom prst="line">
          <a:avLst/>
        </a:prstGeom>
        <a:noFill/>
        <a:ln w="15875">
          <a:solidFill>
            <a:srgbClr val="000000"/>
          </a:solidFill>
          <a:round/>
          <a:headEnd/>
          <a:tailEnd/>
        </a:ln>
      </xdr:spPr>
    </xdr:sp>
    <xdr:clientData/>
  </xdr:twoCellAnchor>
  <xdr:twoCellAnchor>
    <xdr:from>
      <xdr:col>17</xdr:col>
      <xdr:colOff>209550</xdr:colOff>
      <xdr:row>36</xdr:row>
      <xdr:rowOff>95250</xdr:rowOff>
    </xdr:from>
    <xdr:to>
      <xdr:col>17</xdr:col>
      <xdr:colOff>190500</xdr:colOff>
      <xdr:row>36</xdr:row>
      <xdr:rowOff>95250</xdr:rowOff>
    </xdr:to>
    <xdr:sp macro="" textlink="">
      <xdr:nvSpPr>
        <xdr:cNvPr id="11" name="Line 65"/>
        <xdr:cNvSpPr>
          <a:spLocks noChangeShapeType="1"/>
        </xdr:cNvSpPr>
      </xdr:nvSpPr>
      <xdr:spPr bwMode="auto">
        <a:xfrm>
          <a:off x="2816038" y="4207809"/>
          <a:ext cx="0" cy="0"/>
        </a:xfrm>
        <a:prstGeom prst="line">
          <a:avLst/>
        </a:prstGeom>
        <a:noFill/>
        <a:ln w="15875">
          <a:solidFill>
            <a:srgbClr val="000000"/>
          </a:solidFill>
          <a:round/>
          <a:headEnd/>
          <a:tailEnd/>
        </a:ln>
      </xdr:spPr>
    </xdr:sp>
    <xdr:clientData/>
  </xdr:twoCellAnchor>
  <xdr:twoCellAnchor editAs="absolute">
    <xdr:from>
      <xdr:col>48</xdr:col>
      <xdr:colOff>110347</xdr:colOff>
      <xdr:row>61</xdr:row>
      <xdr:rowOff>111781</xdr:rowOff>
    </xdr:from>
    <xdr:to>
      <xdr:col>57</xdr:col>
      <xdr:colOff>19051</xdr:colOff>
      <xdr:row>70</xdr:row>
      <xdr:rowOff>114300</xdr:rowOff>
    </xdr:to>
    <xdr:pic>
      <xdr:nvPicPr>
        <xdr:cNvPr id="12" name="Picture 11" descr="Escanear0003"/>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8473297" y="7855606"/>
          <a:ext cx="1394604" cy="1221719"/>
        </a:xfrm>
        <a:prstGeom prst="rect">
          <a:avLst/>
        </a:prstGeom>
        <a:noFill/>
        <a:ln w="9525">
          <a:noFill/>
          <a:miter lim="800000"/>
          <a:headEnd/>
          <a:tailEnd/>
        </a:ln>
      </xdr:spPr>
    </xdr:pic>
    <xdr:clientData fPrintsWithSheet="0"/>
  </xdr:twoCellAnchor>
</xdr:wsDr>
</file>

<file path=xl/drawings/drawing20.xml><?xml version="1.0" encoding="utf-8"?>
<xdr:wsDr xmlns:xdr="http://schemas.openxmlformats.org/drawingml/2006/spreadsheetDrawing" xmlns:a="http://schemas.openxmlformats.org/drawingml/2006/main">
  <xdr:twoCellAnchor>
    <xdr:from>
      <xdr:col>6</xdr:col>
      <xdr:colOff>76200</xdr:colOff>
      <xdr:row>7</xdr:row>
      <xdr:rowOff>0</xdr:rowOff>
    </xdr:from>
    <xdr:to>
      <xdr:col>8</xdr:col>
      <xdr:colOff>409575</xdr:colOff>
      <xdr:row>7</xdr:row>
      <xdr:rowOff>0</xdr:rowOff>
    </xdr:to>
    <xdr:grpSp>
      <xdr:nvGrpSpPr>
        <xdr:cNvPr id="2" name="Group 1"/>
        <xdr:cNvGrpSpPr>
          <a:grpSpLocks/>
        </xdr:cNvGrpSpPr>
      </xdr:nvGrpSpPr>
      <xdr:grpSpPr bwMode="auto">
        <a:xfrm>
          <a:off x="3048000" y="1447800"/>
          <a:ext cx="1323975" cy="0"/>
          <a:chOff x="3232404" y="1458976"/>
          <a:chExt cx="1370203" cy="0"/>
        </a:xfrm>
      </xdr:grpSpPr>
      <xdr:sp macro="" textlink="">
        <xdr:nvSpPr>
          <xdr:cNvPr id="3" name="Line 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 name="Line 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 name="Line 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11</xdr:row>
      <xdr:rowOff>0</xdr:rowOff>
    </xdr:from>
    <xdr:to>
      <xdr:col>8</xdr:col>
      <xdr:colOff>409575</xdr:colOff>
      <xdr:row>11</xdr:row>
      <xdr:rowOff>0</xdr:rowOff>
    </xdr:to>
    <xdr:grpSp>
      <xdr:nvGrpSpPr>
        <xdr:cNvPr id="6" name="Group 5"/>
        <xdr:cNvGrpSpPr>
          <a:grpSpLocks/>
        </xdr:cNvGrpSpPr>
      </xdr:nvGrpSpPr>
      <xdr:grpSpPr bwMode="auto">
        <a:xfrm>
          <a:off x="3048000" y="2311400"/>
          <a:ext cx="1323975" cy="0"/>
          <a:chOff x="3232404" y="2344928"/>
          <a:chExt cx="1370203" cy="0"/>
        </a:xfrm>
      </xdr:grpSpPr>
      <xdr:sp macro="" textlink="">
        <xdr:nvSpPr>
          <xdr:cNvPr id="7" name="Line 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 name="Line 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 name="Line 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9</xdr:row>
      <xdr:rowOff>159369</xdr:rowOff>
    </xdr:from>
    <xdr:to>
      <xdr:col>8</xdr:col>
      <xdr:colOff>409575</xdr:colOff>
      <xdr:row>9</xdr:row>
      <xdr:rowOff>159369</xdr:rowOff>
    </xdr:to>
    <xdr:grpSp>
      <xdr:nvGrpSpPr>
        <xdr:cNvPr id="10" name="Group 9"/>
        <xdr:cNvGrpSpPr>
          <a:grpSpLocks/>
        </xdr:cNvGrpSpPr>
      </xdr:nvGrpSpPr>
      <xdr:grpSpPr bwMode="auto">
        <a:xfrm>
          <a:off x="3048000" y="2038969"/>
          <a:ext cx="1323975" cy="0"/>
          <a:chOff x="3232404" y="2094849"/>
          <a:chExt cx="1370203" cy="0"/>
        </a:xfrm>
      </xdr:grpSpPr>
      <xdr:sp macro="" textlink="">
        <xdr:nvSpPr>
          <xdr:cNvPr id="11" name="Line 1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 name="Line 1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3" name="Line 1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13</xdr:row>
      <xdr:rowOff>161460</xdr:rowOff>
    </xdr:from>
    <xdr:to>
      <xdr:col>8</xdr:col>
      <xdr:colOff>409575</xdr:colOff>
      <xdr:row>13</xdr:row>
      <xdr:rowOff>161460</xdr:rowOff>
    </xdr:to>
    <xdr:grpSp>
      <xdr:nvGrpSpPr>
        <xdr:cNvPr id="14" name="Group 13"/>
        <xdr:cNvGrpSpPr>
          <a:grpSpLocks/>
        </xdr:cNvGrpSpPr>
      </xdr:nvGrpSpPr>
      <xdr:grpSpPr bwMode="auto">
        <a:xfrm>
          <a:off x="3048000" y="2904660"/>
          <a:ext cx="1323975" cy="0"/>
          <a:chOff x="3232404" y="2990893"/>
          <a:chExt cx="1370203" cy="0"/>
        </a:xfrm>
      </xdr:grpSpPr>
      <xdr:sp macro="" textlink="">
        <xdr:nvSpPr>
          <xdr:cNvPr id="15" name="Line 1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6" name="Line 1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7" name="Line 1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12</xdr:row>
      <xdr:rowOff>159369</xdr:rowOff>
    </xdr:from>
    <xdr:to>
      <xdr:col>8</xdr:col>
      <xdr:colOff>409575</xdr:colOff>
      <xdr:row>12</xdr:row>
      <xdr:rowOff>159369</xdr:rowOff>
    </xdr:to>
    <xdr:grpSp>
      <xdr:nvGrpSpPr>
        <xdr:cNvPr id="18" name="Group 17"/>
        <xdr:cNvGrpSpPr>
          <a:grpSpLocks/>
        </xdr:cNvGrpSpPr>
      </xdr:nvGrpSpPr>
      <xdr:grpSpPr bwMode="auto">
        <a:xfrm>
          <a:off x="3048000" y="2686669"/>
          <a:ext cx="1323975" cy="0"/>
          <a:chOff x="3232404" y="2759313"/>
          <a:chExt cx="1370203" cy="0"/>
        </a:xfrm>
      </xdr:grpSpPr>
      <xdr:sp macro="" textlink="">
        <xdr:nvSpPr>
          <xdr:cNvPr id="19" name="Line 1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0" name="Line 1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1" name="Line 2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15</xdr:row>
      <xdr:rowOff>159369</xdr:rowOff>
    </xdr:from>
    <xdr:to>
      <xdr:col>8</xdr:col>
      <xdr:colOff>409575</xdr:colOff>
      <xdr:row>15</xdr:row>
      <xdr:rowOff>159369</xdr:rowOff>
    </xdr:to>
    <xdr:grpSp>
      <xdr:nvGrpSpPr>
        <xdr:cNvPr id="22" name="Group 21"/>
        <xdr:cNvGrpSpPr>
          <a:grpSpLocks/>
        </xdr:cNvGrpSpPr>
      </xdr:nvGrpSpPr>
      <xdr:grpSpPr bwMode="auto">
        <a:xfrm>
          <a:off x="3048000" y="3334369"/>
          <a:ext cx="1323975" cy="0"/>
          <a:chOff x="3232404" y="3423777"/>
          <a:chExt cx="1370203" cy="0"/>
        </a:xfrm>
      </xdr:grpSpPr>
      <xdr:sp macro="" textlink="">
        <xdr:nvSpPr>
          <xdr:cNvPr id="23" name="Line 2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4" name="Line 2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5" name="Line 2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159369</xdr:rowOff>
    </xdr:from>
    <xdr:to>
      <xdr:col>8</xdr:col>
      <xdr:colOff>409575</xdr:colOff>
      <xdr:row>16</xdr:row>
      <xdr:rowOff>159369</xdr:rowOff>
    </xdr:to>
    <xdr:grpSp>
      <xdr:nvGrpSpPr>
        <xdr:cNvPr id="26" name="Group 25"/>
        <xdr:cNvGrpSpPr>
          <a:grpSpLocks/>
        </xdr:cNvGrpSpPr>
      </xdr:nvGrpSpPr>
      <xdr:grpSpPr bwMode="auto">
        <a:xfrm>
          <a:off x="3048000" y="3550269"/>
          <a:ext cx="1323975" cy="0"/>
          <a:chOff x="3232404" y="3645265"/>
          <a:chExt cx="1370203" cy="0"/>
        </a:xfrm>
      </xdr:grpSpPr>
      <xdr:sp macro="" textlink="">
        <xdr:nvSpPr>
          <xdr:cNvPr id="27" name="Line 2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8" name="Line 2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9" name="Line 2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18</xdr:row>
      <xdr:rowOff>159369</xdr:rowOff>
    </xdr:from>
    <xdr:to>
      <xdr:col>8</xdr:col>
      <xdr:colOff>409575</xdr:colOff>
      <xdr:row>18</xdr:row>
      <xdr:rowOff>159369</xdr:rowOff>
    </xdr:to>
    <xdr:grpSp>
      <xdr:nvGrpSpPr>
        <xdr:cNvPr id="30" name="Group 29"/>
        <xdr:cNvGrpSpPr>
          <a:grpSpLocks/>
        </xdr:cNvGrpSpPr>
      </xdr:nvGrpSpPr>
      <xdr:grpSpPr bwMode="auto">
        <a:xfrm>
          <a:off x="3048000" y="3982069"/>
          <a:ext cx="1323975" cy="0"/>
          <a:chOff x="3232404" y="4088241"/>
          <a:chExt cx="1370203" cy="0"/>
        </a:xfrm>
      </xdr:grpSpPr>
      <xdr:sp macro="" textlink="">
        <xdr:nvSpPr>
          <xdr:cNvPr id="31" name="Line 3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2" name="Line 3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3" name="Line 3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19</xdr:row>
      <xdr:rowOff>159370</xdr:rowOff>
    </xdr:from>
    <xdr:to>
      <xdr:col>8</xdr:col>
      <xdr:colOff>409575</xdr:colOff>
      <xdr:row>19</xdr:row>
      <xdr:rowOff>159370</xdr:rowOff>
    </xdr:to>
    <xdr:grpSp>
      <xdr:nvGrpSpPr>
        <xdr:cNvPr id="34" name="Group 33"/>
        <xdr:cNvGrpSpPr>
          <a:grpSpLocks/>
        </xdr:cNvGrpSpPr>
      </xdr:nvGrpSpPr>
      <xdr:grpSpPr bwMode="auto">
        <a:xfrm>
          <a:off x="3048000" y="4197970"/>
          <a:ext cx="1323975" cy="0"/>
          <a:chOff x="3232404" y="4309730"/>
          <a:chExt cx="1370203" cy="0"/>
        </a:xfrm>
      </xdr:grpSpPr>
      <xdr:sp macro="" textlink="">
        <xdr:nvSpPr>
          <xdr:cNvPr id="35" name="Line 3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6" name="Line 3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7" name="Line 3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20</xdr:row>
      <xdr:rowOff>157278</xdr:rowOff>
    </xdr:from>
    <xdr:to>
      <xdr:col>8</xdr:col>
      <xdr:colOff>409575</xdr:colOff>
      <xdr:row>20</xdr:row>
      <xdr:rowOff>157278</xdr:rowOff>
    </xdr:to>
    <xdr:grpSp>
      <xdr:nvGrpSpPr>
        <xdr:cNvPr id="38" name="Group 37"/>
        <xdr:cNvGrpSpPr>
          <a:grpSpLocks/>
        </xdr:cNvGrpSpPr>
      </xdr:nvGrpSpPr>
      <xdr:grpSpPr bwMode="auto">
        <a:xfrm>
          <a:off x="3048000" y="4411778"/>
          <a:ext cx="1323975" cy="0"/>
          <a:chOff x="3232404" y="4522649"/>
          <a:chExt cx="1370203" cy="0"/>
        </a:xfrm>
      </xdr:grpSpPr>
      <xdr:sp macro="" textlink="">
        <xdr:nvSpPr>
          <xdr:cNvPr id="39" name="Line 3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0" name="Line 3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1" name="Line 4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21</xdr:row>
      <xdr:rowOff>159369</xdr:rowOff>
    </xdr:from>
    <xdr:to>
      <xdr:col>8</xdr:col>
      <xdr:colOff>409575</xdr:colOff>
      <xdr:row>21</xdr:row>
      <xdr:rowOff>159369</xdr:rowOff>
    </xdr:to>
    <xdr:grpSp>
      <xdr:nvGrpSpPr>
        <xdr:cNvPr id="42" name="Group 41"/>
        <xdr:cNvGrpSpPr>
          <a:grpSpLocks/>
        </xdr:cNvGrpSpPr>
      </xdr:nvGrpSpPr>
      <xdr:grpSpPr bwMode="auto">
        <a:xfrm>
          <a:off x="3048000" y="4629769"/>
          <a:ext cx="1323975" cy="0"/>
          <a:chOff x="3232404" y="4752705"/>
          <a:chExt cx="1370203" cy="0"/>
        </a:xfrm>
      </xdr:grpSpPr>
      <xdr:sp macro="" textlink="">
        <xdr:nvSpPr>
          <xdr:cNvPr id="43" name="Line 4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4" name="Line 4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5" name="Line 4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23</xdr:row>
      <xdr:rowOff>159369</xdr:rowOff>
    </xdr:from>
    <xdr:to>
      <xdr:col>8</xdr:col>
      <xdr:colOff>409575</xdr:colOff>
      <xdr:row>23</xdr:row>
      <xdr:rowOff>159369</xdr:rowOff>
    </xdr:to>
    <xdr:grpSp>
      <xdr:nvGrpSpPr>
        <xdr:cNvPr id="46" name="Group 45"/>
        <xdr:cNvGrpSpPr>
          <a:grpSpLocks/>
        </xdr:cNvGrpSpPr>
      </xdr:nvGrpSpPr>
      <xdr:grpSpPr bwMode="auto">
        <a:xfrm>
          <a:off x="3048000" y="5061569"/>
          <a:ext cx="1323975" cy="0"/>
          <a:chOff x="3232404" y="5195681"/>
          <a:chExt cx="1370203" cy="0"/>
        </a:xfrm>
      </xdr:grpSpPr>
      <xdr:sp macro="" textlink="">
        <xdr:nvSpPr>
          <xdr:cNvPr id="47" name="Line 4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8" name="Line 4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9" name="Line 4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8</xdr:row>
      <xdr:rowOff>161460</xdr:rowOff>
    </xdr:from>
    <xdr:to>
      <xdr:col>8</xdr:col>
      <xdr:colOff>409575</xdr:colOff>
      <xdr:row>8</xdr:row>
      <xdr:rowOff>161460</xdr:rowOff>
    </xdr:to>
    <xdr:grpSp>
      <xdr:nvGrpSpPr>
        <xdr:cNvPr id="50" name="Group 49"/>
        <xdr:cNvGrpSpPr>
          <a:grpSpLocks/>
        </xdr:cNvGrpSpPr>
      </xdr:nvGrpSpPr>
      <xdr:grpSpPr bwMode="auto">
        <a:xfrm>
          <a:off x="3048000" y="1825160"/>
          <a:ext cx="1323975" cy="0"/>
          <a:chOff x="3232404" y="1883453"/>
          <a:chExt cx="1370203" cy="0"/>
        </a:xfrm>
      </xdr:grpSpPr>
      <xdr:sp macro="" textlink="">
        <xdr:nvSpPr>
          <xdr:cNvPr id="51" name="Line 5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52" name="Line 5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3" name="Line 5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15</xdr:col>
      <xdr:colOff>57150</xdr:colOff>
      <xdr:row>8</xdr:row>
      <xdr:rowOff>28575</xdr:rowOff>
    </xdr:from>
    <xdr:to>
      <xdr:col>15</xdr:col>
      <xdr:colOff>466725</xdr:colOff>
      <xdr:row>9</xdr:row>
      <xdr:rowOff>0</xdr:rowOff>
    </xdr:to>
    <xdr:sp macro="" textlink="">
      <xdr:nvSpPr>
        <xdr:cNvPr id="54" name="AutoShape 53"/>
        <xdr:cNvSpPr>
          <a:spLocks noChangeArrowheads="1"/>
        </xdr:cNvSpPr>
      </xdr:nvSpPr>
      <xdr:spPr bwMode="auto">
        <a:xfrm>
          <a:off x="7429500" y="17240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7</xdr:row>
      <xdr:rowOff>28575</xdr:rowOff>
    </xdr:from>
    <xdr:to>
      <xdr:col>15</xdr:col>
      <xdr:colOff>466725</xdr:colOff>
      <xdr:row>8</xdr:row>
      <xdr:rowOff>0</xdr:rowOff>
    </xdr:to>
    <xdr:sp macro="" textlink="">
      <xdr:nvSpPr>
        <xdr:cNvPr id="55" name="AutoShape 54"/>
        <xdr:cNvSpPr>
          <a:spLocks noChangeArrowheads="1"/>
        </xdr:cNvSpPr>
      </xdr:nvSpPr>
      <xdr:spPr bwMode="auto">
        <a:xfrm>
          <a:off x="7429500" y="1495425"/>
          <a:ext cx="409575" cy="200025"/>
        </a:xfrm>
        <a:prstGeom prst="bracketPair">
          <a:avLst>
            <a:gd name="adj" fmla="val 16667"/>
          </a:avLst>
        </a:prstGeom>
        <a:noFill/>
        <a:ln w="9525">
          <a:solidFill>
            <a:srgbClr val="000000"/>
          </a:solidFill>
          <a:round/>
          <a:headEnd/>
          <a:tailEnd/>
        </a:ln>
      </xdr:spPr>
    </xdr:sp>
    <xdr:clientData/>
  </xdr:twoCellAnchor>
  <xdr:twoCellAnchor>
    <xdr:from>
      <xdr:col>12</xdr:col>
      <xdr:colOff>0</xdr:colOff>
      <xdr:row>15</xdr:row>
      <xdr:rowOff>0</xdr:rowOff>
    </xdr:from>
    <xdr:to>
      <xdr:col>12</xdr:col>
      <xdr:colOff>76200</xdr:colOff>
      <xdr:row>19</xdr:row>
      <xdr:rowOff>0</xdr:rowOff>
    </xdr:to>
    <xdr:sp macro="" textlink="">
      <xdr:nvSpPr>
        <xdr:cNvPr id="56" name="AutoShape 64"/>
        <xdr:cNvSpPr>
          <a:spLocks/>
        </xdr:cNvSpPr>
      </xdr:nvSpPr>
      <xdr:spPr bwMode="auto">
        <a:xfrm>
          <a:off x="5915025" y="3295650"/>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12</xdr:col>
      <xdr:colOff>9525</xdr:colOff>
      <xdr:row>6</xdr:row>
      <xdr:rowOff>0</xdr:rowOff>
    </xdr:from>
    <xdr:to>
      <xdr:col>12</xdr:col>
      <xdr:colOff>76200</xdr:colOff>
      <xdr:row>9</xdr:row>
      <xdr:rowOff>0</xdr:rowOff>
    </xdr:to>
    <xdr:sp macro="" textlink="">
      <xdr:nvSpPr>
        <xdr:cNvPr id="57" name="AutoShape 65"/>
        <xdr:cNvSpPr>
          <a:spLocks/>
        </xdr:cNvSpPr>
      </xdr:nvSpPr>
      <xdr:spPr bwMode="auto">
        <a:xfrm>
          <a:off x="5924550" y="1238250"/>
          <a:ext cx="66675" cy="685800"/>
        </a:xfrm>
        <a:prstGeom prst="leftBrace">
          <a:avLst>
            <a:gd name="adj1" fmla="val 85714"/>
            <a:gd name="adj2" fmla="val 50000"/>
          </a:avLst>
        </a:prstGeom>
        <a:noFill/>
        <a:ln w="9525">
          <a:solidFill>
            <a:srgbClr val="000000"/>
          </a:solidFill>
          <a:round/>
          <a:headEnd/>
          <a:tailEnd/>
        </a:ln>
      </xdr:spPr>
    </xdr:sp>
    <xdr:clientData/>
  </xdr:twoCellAnchor>
  <xdr:twoCellAnchor>
    <xdr:from>
      <xdr:col>15</xdr:col>
      <xdr:colOff>57150</xdr:colOff>
      <xdr:row>6</xdr:row>
      <xdr:rowOff>28575</xdr:rowOff>
    </xdr:from>
    <xdr:to>
      <xdr:col>15</xdr:col>
      <xdr:colOff>466725</xdr:colOff>
      <xdr:row>7</xdr:row>
      <xdr:rowOff>0</xdr:rowOff>
    </xdr:to>
    <xdr:sp macro="" textlink="">
      <xdr:nvSpPr>
        <xdr:cNvPr id="58" name="AutoShape 66"/>
        <xdr:cNvSpPr>
          <a:spLocks noChangeArrowheads="1"/>
        </xdr:cNvSpPr>
      </xdr:nvSpPr>
      <xdr:spPr bwMode="auto">
        <a:xfrm>
          <a:off x="7429500" y="1266825"/>
          <a:ext cx="409575" cy="200025"/>
        </a:xfrm>
        <a:prstGeom prst="bracketPair">
          <a:avLst>
            <a:gd name="adj" fmla="val 16667"/>
          </a:avLst>
        </a:prstGeom>
        <a:noFill/>
        <a:ln w="9525">
          <a:solidFill>
            <a:srgbClr val="000000"/>
          </a:solidFill>
          <a:round/>
          <a:headEnd/>
          <a:tailEnd/>
        </a:ln>
      </xdr:spPr>
    </xdr:sp>
    <xdr:clientData/>
  </xdr:twoCellAnchor>
  <xdr:twoCellAnchor>
    <xdr:from>
      <xdr:col>12</xdr:col>
      <xdr:colOff>0</xdr:colOff>
      <xdr:row>10</xdr:row>
      <xdr:rowOff>0</xdr:rowOff>
    </xdr:from>
    <xdr:to>
      <xdr:col>12</xdr:col>
      <xdr:colOff>76200</xdr:colOff>
      <xdr:row>14</xdr:row>
      <xdr:rowOff>0</xdr:rowOff>
    </xdr:to>
    <xdr:sp macro="" textlink="">
      <xdr:nvSpPr>
        <xdr:cNvPr id="59" name="AutoShape 67"/>
        <xdr:cNvSpPr>
          <a:spLocks/>
        </xdr:cNvSpPr>
      </xdr:nvSpPr>
      <xdr:spPr bwMode="auto">
        <a:xfrm>
          <a:off x="5915025" y="2152650"/>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15</xdr:col>
      <xdr:colOff>57150</xdr:colOff>
      <xdr:row>12</xdr:row>
      <xdr:rowOff>28575</xdr:rowOff>
    </xdr:from>
    <xdr:to>
      <xdr:col>15</xdr:col>
      <xdr:colOff>466725</xdr:colOff>
      <xdr:row>13</xdr:row>
      <xdr:rowOff>0</xdr:rowOff>
    </xdr:to>
    <xdr:sp macro="" textlink="">
      <xdr:nvSpPr>
        <xdr:cNvPr id="60" name="AutoShape 71"/>
        <xdr:cNvSpPr>
          <a:spLocks noChangeArrowheads="1"/>
        </xdr:cNvSpPr>
      </xdr:nvSpPr>
      <xdr:spPr bwMode="auto">
        <a:xfrm>
          <a:off x="7429500" y="26384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11</xdr:row>
      <xdr:rowOff>28575</xdr:rowOff>
    </xdr:from>
    <xdr:to>
      <xdr:col>15</xdr:col>
      <xdr:colOff>466725</xdr:colOff>
      <xdr:row>12</xdr:row>
      <xdr:rowOff>0</xdr:rowOff>
    </xdr:to>
    <xdr:sp macro="" textlink="">
      <xdr:nvSpPr>
        <xdr:cNvPr id="61" name="AutoShape 72"/>
        <xdr:cNvSpPr>
          <a:spLocks noChangeArrowheads="1"/>
        </xdr:cNvSpPr>
      </xdr:nvSpPr>
      <xdr:spPr bwMode="auto">
        <a:xfrm>
          <a:off x="7486650" y="23399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10</xdr:row>
      <xdr:rowOff>28575</xdr:rowOff>
    </xdr:from>
    <xdr:to>
      <xdr:col>15</xdr:col>
      <xdr:colOff>466725</xdr:colOff>
      <xdr:row>11</xdr:row>
      <xdr:rowOff>0</xdr:rowOff>
    </xdr:to>
    <xdr:sp macro="" textlink="">
      <xdr:nvSpPr>
        <xdr:cNvPr id="62" name="AutoShape 73"/>
        <xdr:cNvSpPr>
          <a:spLocks noChangeArrowheads="1"/>
        </xdr:cNvSpPr>
      </xdr:nvSpPr>
      <xdr:spPr bwMode="auto">
        <a:xfrm>
          <a:off x="7429500" y="21812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13</xdr:row>
      <xdr:rowOff>28575</xdr:rowOff>
    </xdr:from>
    <xdr:to>
      <xdr:col>15</xdr:col>
      <xdr:colOff>466725</xdr:colOff>
      <xdr:row>14</xdr:row>
      <xdr:rowOff>0</xdr:rowOff>
    </xdr:to>
    <xdr:sp macro="" textlink="">
      <xdr:nvSpPr>
        <xdr:cNvPr id="63" name="AutoShape 74"/>
        <xdr:cNvSpPr>
          <a:spLocks noChangeArrowheads="1"/>
        </xdr:cNvSpPr>
      </xdr:nvSpPr>
      <xdr:spPr bwMode="auto">
        <a:xfrm>
          <a:off x="7429500" y="28670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17</xdr:row>
      <xdr:rowOff>28575</xdr:rowOff>
    </xdr:from>
    <xdr:to>
      <xdr:col>15</xdr:col>
      <xdr:colOff>466725</xdr:colOff>
      <xdr:row>18</xdr:row>
      <xdr:rowOff>0</xdr:rowOff>
    </xdr:to>
    <xdr:sp macro="" textlink="">
      <xdr:nvSpPr>
        <xdr:cNvPr id="64" name="AutoShape 75"/>
        <xdr:cNvSpPr>
          <a:spLocks noChangeArrowheads="1"/>
        </xdr:cNvSpPr>
      </xdr:nvSpPr>
      <xdr:spPr bwMode="auto">
        <a:xfrm>
          <a:off x="7429500" y="37814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16</xdr:row>
      <xdr:rowOff>28575</xdr:rowOff>
    </xdr:from>
    <xdr:to>
      <xdr:col>15</xdr:col>
      <xdr:colOff>466725</xdr:colOff>
      <xdr:row>17</xdr:row>
      <xdr:rowOff>0</xdr:rowOff>
    </xdr:to>
    <xdr:sp macro="" textlink="">
      <xdr:nvSpPr>
        <xdr:cNvPr id="65" name="AutoShape 76"/>
        <xdr:cNvSpPr>
          <a:spLocks noChangeArrowheads="1"/>
        </xdr:cNvSpPr>
      </xdr:nvSpPr>
      <xdr:spPr bwMode="auto">
        <a:xfrm>
          <a:off x="7429500" y="35528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15</xdr:row>
      <xdr:rowOff>28575</xdr:rowOff>
    </xdr:from>
    <xdr:to>
      <xdr:col>15</xdr:col>
      <xdr:colOff>466725</xdr:colOff>
      <xdr:row>16</xdr:row>
      <xdr:rowOff>0</xdr:rowOff>
    </xdr:to>
    <xdr:sp macro="" textlink="">
      <xdr:nvSpPr>
        <xdr:cNvPr id="66" name="AutoShape 77"/>
        <xdr:cNvSpPr>
          <a:spLocks noChangeArrowheads="1"/>
        </xdr:cNvSpPr>
      </xdr:nvSpPr>
      <xdr:spPr bwMode="auto">
        <a:xfrm>
          <a:off x="7429500" y="33242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18</xdr:row>
      <xdr:rowOff>28575</xdr:rowOff>
    </xdr:from>
    <xdr:to>
      <xdr:col>15</xdr:col>
      <xdr:colOff>466725</xdr:colOff>
      <xdr:row>19</xdr:row>
      <xdr:rowOff>0</xdr:rowOff>
    </xdr:to>
    <xdr:sp macro="" textlink="">
      <xdr:nvSpPr>
        <xdr:cNvPr id="67" name="AutoShape 78"/>
        <xdr:cNvSpPr>
          <a:spLocks noChangeArrowheads="1"/>
        </xdr:cNvSpPr>
      </xdr:nvSpPr>
      <xdr:spPr bwMode="auto">
        <a:xfrm>
          <a:off x="7429500" y="4010025"/>
          <a:ext cx="409575" cy="200025"/>
        </a:xfrm>
        <a:prstGeom prst="bracketPair">
          <a:avLst>
            <a:gd name="adj" fmla="val 16667"/>
          </a:avLst>
        </a:prstGeom>
        <a:noFill/>
        <a:ln w="9525">
          <a:solidFill>
            <a:srgbClr val="000000"/>
          </a:solidFill>
          <a:round/>
          <a:headEnd/>
          <a:tailEnd/>
        </a:ln>
      </xdr:spPr>
    </xdr:sp>
    <xdr:clientData/>
  </xdr:twoCellAnchor>
  <xdr:twoCellAnchor>
    <xdr:from>
      <xdr:col>6</xdr:col>
      <xdr:colOff>76200</xdr:colOff>
      <xdr:row>23</xdr:row>
      <xdr:rowOff>2787</xdr:rowOff>
    </xdr:from>
    <xdr:to>
      <xdr:col>8</xdr:col>
      <xdr:colOff>409575</xdr:colOff>
      <xdr:row>23</xdr:row>
      <xdr:rowOff>2787</xdr:rowOff>
    </xdr:to>
    <xdr:grpSp>
      <xdr:nvGrpSpPr>
        <xdr:cNvPr id="68" name="Group 79"/>
        <xdr:cNvGrpSpPr>
          <a:grpSpLocks/>
        </xdr:cNvGrpSpPr>
      </xdr:nvGrpSpPr>
      <xdr:grpSpPr bwMode="auto">
        <a:xfrm>
          <a:off x="3048000" y="4904987"/>
          <a:ext cx="1323975" cy="0"/>
          <a:chOff x="3232404" y="4965439"/>
          <a:chExt cx="1370203" cy="0"/>
        </a:xfrm>
      </xdr:grpSpPr>
      <xdr:sp macro="" textlink="">
        <xdr:nvSpPr>
          <xdr:cNvPr id="69" name="Line 8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70" name="Line 8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71" name="Line 8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7</xdr:col>
      <xdr:colOff>495169</xdr:colOff>
      <xdr:row>6</xdr:row>
      <xdr:rowOff>99734</xdr:rowOff>
    </xdr:from>
    <xdr:to>
      <xdr:col>7</xdr:col>
      <xdr:colOff>495169</xdr:colOff>
      <xdr:row>24</xdr:row>
      <xdr:rowOff>36267</xdr:rowOff>
    </xdr:to>
    <xdr:cxnSp macro="">
      <xdr:nvCxnSpPr>
        <xdr:cNvPr id="73" name="72 Conector recto"/>
        <xdr:cNvCxnSpPr/>
      </xdr:nvCxnSpPr>
      <xdr:spPr>
        <a:xfrm>
          <a:off x="3962269" y="1331634"/>
          <a:ext cx="0" cy="3822733"/>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3135</xdr:colOff>
      <xdr:row>6</xdr:row>
      <xdr:rowOff>96630</xdr:rowOff>
    </xdr:from>
    <xdr:to>
      <xdr:col>7</xdr:col>
      <xdr:colOff>3135</xdr:colOff>
      <xdr:row>24</xdr:row>
      <xdr:rowOff>33163</xdr:rowOff>
    </xdr:to>
    <xdr:cxnSp macro="">
      <xdr:nvCxnSpPr>
        <xdr:cNvPr id="83" name="82 Conector recto"/>
        <xdr:cNvCxnSpPr/>
      </xdr:nvCxnSpPr>
      <xdr:spPr>
        <a:xfrm>
          <a:off x="3470235" y="1328530"/>
          <a:ext cx="0" cy="3822733"/>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12700</xdr:colOff>
      <xdr:row>36</xdr:row>
      <xdr:rowOff>57150</xdr:rowOff>
    </xdr:from>
    <xdr:to>
      <xdr:col>3</xdr:col>
      <xdr:colOff>14420</xdr:colOff>
      <xdr:row>41</xdr:row>
      <xdr:rowOff>212186</xdr:rowOff>
    </xdr:to>
    <xdr:pic>
      <xdr:nvPicPr>
        <xdr:cNvPr id="76" name="Picture 11" descr="Escanear000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12700" y="8039100"/>
          <a:ext cx="1487620" cy="1431386"/>
        </a:xfrm>
        <a:prstGeom prst="rect">
          <a:avLst/>
        </a:prstGeom>
        <a:noFill/>
        <a:ln w="9525">
          <a:noFill/>
          <a:miter lim="800000"/>
          <a:headEnd/>
          <a:tailEnd/>
        </a:ln>
      </xdr:spPr>
    </xdr:pic>
    <xdr:clientData fPrintsWithSheet="0"/>
  </xdr:twoCellAnchor>
  <xdr:twoCellAnchor>
    <xdr:from>
      <xdr:col>1</xdr:col>
      <xdr:colOff>0</xdr:colOff>
      <xdr:row>0</xdr:row>
      <xdr:rowOff>76200</xdr:rowOff>
    </xdr:from>
    <xdr:to>
      <xdr:col>3</xdr:col>
      <xdr:colOff>354032</xdr:colOff>
      <xdr:row>2</xdr:row>
      <xdr:rowOff>146050</xdr:rowOff>
    </xdr:to>
    <xdr:pic>
      <xdr:nvPicPr>
        <xdr:cNvPr id="81" name="2 Imagen" descr="Gobierno horizontal.j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clrChange>
            <a:clrFrom>
              <a:srgbClr val="FFFFFE"/>
            </a:clrFrom>
            <a:clrTo>
              <a:srgbClr val="FFFFFE">
                <a:alpha val="0"/>
              </a:srgbClr>
            </a:clrTo>
          </a:clrChange>
        </a:blip>
        <a:srcRect l="2083" t="1598" r="2511" b="12924"/>
        <a:stretch>
          <a:fillRect/>
        </a:stretch>
      </xdr:blipFill>
      <xdr:spPr bwMode="auto">
        <a:xfrm>
          <a:off x="495300" y="76200"/>
          <a:ext cx="1344632" cy="565150"/>
        </a:xfrm>
        <a:prstGeom prst="rect">
          <a:avLst/>
        </a:prstGeom>
        <a:noFill/>
        <a:ln w="9525">
          <a:noFill/>
          <a:miter lim="800000"/>
          <a:headEnd/>
          <a:tailEnd/>
        </a:ln>
      </xdr:spPr>
    </xdr:pic>
    <xdr:clientData/>
  </xdr:twoCellAnchor>
  <xdr:twoCellAnchor>
    <xdr:from>
      <xdr:col>3</xdr:col>
      <xdr:colOff>486650</xdr:colOff>
      <xdr:row>0</xdr:row>
      <xdr:rowOff>95250</xdr:rowOff>
    </xdr:from>
    <xdr:to>
      <xdr:col>6</xdr:col>
      <xdr:colOff>322163</xdr:colOff>
      <xdr:row>2</xdr:row>
      <xdr:rowOff>152400</xdr:rowOff>
    </xdr:to>
    <xdr:pic>
      <xdr:nvPicPr>
        <xdr:cNvPr id="82" name="3 Imagen" descr="logoresultados.j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clrChange>
            <a:clrFrom>
              <a:srgbClr val="FFFFFE"/>
            </a:clrFrom>
            <a:clrTo>
              <a:srgbClr val="FFFFFE">
                <a:alpha val="0"/>
              </a:srgbClr>
            </a:clrTo>
          </a:clrChange>
        </a:blip>
        <a:srcRect l="4529" t="3762" r="5388" b="4403"/>
        <a:stretch>
          <a:fillRect/>
        </a:stretch>
      </xdr:blipFill>
      <xdr:spPr bwMode="auto">
        <a:xfrm>
          <a:off x="1972550" y="95250"/>
          <a:ext cx="1321413" cy="552450"/>
        </a:xfrm>
        <a:prstGeom prst="rect">
          <a:avLst/>
        </a:prstGeom>
        <a:noFill/>
        <a:ln w="9525">
          <a:noFill/>
          <a:miter lim="800000"/>
          <a:headEnd/>
          <a:tailEnd/>
        </a:ln>
      </xdr:spPr>
    </xdr:pic>
    <xdr:clientData/>
  </xdr:twoCellAnchor>
  <xdr:twoCellAnchor>
    <xdr:from>
      <xdr:col>15</xdr:col>
      <xdr:colOff>57150</xdr:colOff>
      <xdr:row>7</xdr:row>
      <xdr:rowOff>28575</xdr:rowOff>
    </xdr:from>
    <xdr:to>
      <xdr:col>15</xdr:col>
      <xdr:colOff>466725</xdr:colOff>
      <xdr:row>8</xdr:row>
      <xdr:rowOff>0</xdr:rowOff>
    </xdr:to>
    <xdr:sp macro="" textlink="">
      <xdr:nvSpPr>
        <xdr:cNvPr id="77"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8</xdr:row>
      <xdr:rowOff>28575</xdr:rowOff>
    </xdr:from>
    <xdr:to>
      <xdr:col>15</xdr:col>
      <xdr:colOff>466725</xdr:colOff>
      <xdr:row>9</xdr:row>
      <xdr:rowOff>0</xdr:rowOff>
    </xdr:to>
    <xdr:sp macro="" textlink="">
      <xdr:nvSpPr>
        <xdr:cNvPr id="78"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10</xdr:row>
      <xdr:rowOff>28575</xdr:rowOff>
    </xdr:from>
    <xdr:to>
      <xdr:col>15</xdr:col>
      <xdr:colOff>466725</xdr:colOff>
      <xdr:row>11</xdr:row>
      <xdr:rowOff>0</xdr:rowOff>
    </xdr:to>
    <xdr:sp macro="" textlink="">
      <xdr:nvSpPr>
        <xdr:cNvPr id="80"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11</xdr:row>
      <xdr:rowOff>28575</xdr:rowOff>
    </xdr:from>
    <xdr:to>
      <xdr:col>15</xdr:col>
      <xdr:colOff>466725</xdr:colOff>
      <xdr:row>12</xdr:row>
      <xdr:rowOff>0</xdr:rowOff>
    </xdr:to>
    <xdr:sp macro="" textlink="">
      <xdr:nvSpPr>
        <xdr:cNvPr id="84"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12</xdr:row>
      <xdr:rowOff>28575</xdr:rowOff>
    </xdr:from>
    <xdr:to>
      <xdr:col>15</xdr:col>
      <xdr:colOff>466725</xdr:colOff>
      <xdr:row>13</xdr:row>
      <xdr:rowOff>0</xdr:rowOff>
    </xdr:to>
    <xdr:sp macro="" textlink="">
      <xdr:nvSpPr>
        <xdr:cNvPr id="85"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13</xdr:row>
      <xdr:rowOff>28575</xdr:rowOff>
    </xdr:from>
    <xdr:to>
      <xdr:col>15</xdr:col>
      <xdr:colOff>466725</xdr:colOff>
      <xdr:row>14</xdr:row>
      <xdr:rowOff>0</xdr:rowOff>
    </xdr:to>
    <xdr:sp macro="" textlink="">
      <xdr:nvSpPr>
        <xdr:cNvPr id="86"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15</xdr:row>
      <xdr:rowOff>28575</xdr:rowOff>
    </xdr:from>
    <xdr:to>
      <xdr:col>15</xdr:col>
      <xdr:colOff>466725</xdr:colOff>
      <xdr:row>16</xdr:row>
      <xdr:rowOff>0</xdr:rowOff>
    </xdr:to>
    <xdr:sp macro="" textlink="">
      <xdr:nvSpPr>
        <xdr:cNvPr id="88"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16</xdr:row>
      <xdr:rowOff>28575</xdr:rowOff>
    </xdr:from>
    <xdr:to>
      <xdr:col>15</xdr:col>
      <xdr:colOff>466725</xdr:colOff>
      <xdr:row>17</xdr:row>
      <xdr:rowOff>0</xdr:rowOff>
    </xdr:to>
    <xdr:sp macro="" textlink="">
      <xdr:nvSpPr>
        <xdr:cNvPr id="89"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17</xdr:row>
      <xdr:rowOff>28575</xdr:rowOff>
    </xdr:from>
    <xdr:to>
      <xdr:col>15</xdr:col>
      <xdr:colOff>466725</xdr:colOff>
      <xdr:row>18</xdr:row>
      <xdr:rowOff>0</xdr:rowOff>
    </xdr:to>
    <xdr:sp macro="" textlink="">
      <xdr:nvSpPr>
        <xdr:cNvPr id="90"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18</xdr:row>
      <xdr:rowOff>28575</xdr:rowOff>
    </xdr:from>
    <xdr:to>
      <xdr:col>15</xdr:col>
      <xdr:colOff>466725</xdr:colOff>
      <xdr:row>19</xdr:row>
      <xdr:rowOff>0</xdr:rowOff>
    </xdr:to>
    <xdr:sp macro="" textlink="">
      <xdr:nvSpPr>
        <xdr:cNvPr id="91" name="AutoShape 66"/>
        <xdr:cNvSpPr>
          <a:spLocks noChangeArrowheads="1"/>
        </xdr:cNvSpPr>
      </xdr:nvSpPr>
      <xdr:spPr bwMode="auto">
        <a:xfrm>
          <a:off x="7486650" y="1260475"/>
          <a:ext cx="409575" cy="187325"/>
        </a:xfrm>
        <a:prstGeom prst="bracketPair">
          <a:avLst>
            <a:gd name="adj" fmla="val 16667"/>
          </a:avLst>
        </a:prstGeom>
        <a:noFill/>
        <a:ln w="9525">
          <a:solidFill>
            <a:srgbClr val="000000"/>
          </a:solidFill>
          <a:round/>
          <a:headEnd/>
          <a:tailEnd/>
        </a:ln>
      </xdr:spPr>
    </xdr:sp>
    <xdr:clientData/>
  </xdr:twoCellAnchor>
</xdr:wsDr>
</file>

<file path=xl/drawings/drawing21.xml><?xml version="1.0" encoding="utf-8"?>
<xdr:wsDr xmlns:xdr="http://schemas.openxmlformats.org/drawingml/2006/spreadsheetDrawing" xmlns:a="http://schemas.openxmlformats.org/drawingml/2006/main">
  <xdr:twoCellAnchor>
    <xdr:from>
      <xdr:col>12</xdr:col>
      <xdr:colOff>228600</xdr:colOff>
      <xdr:row>0</xdr:row>
      <xdr:rowOff>69243</xdr:rowOff>
    </xdr:from>
    <xdr:to>
      <xdr:col>15</xdr:col>
      <xdr:colOff>95665</xdr:colOff>
      <xdr:row>3</xdr:row>
      <xdr:rowOff>136827</xdr:rowOff>
    </xdr:to>
    <xdr:pic>
      <xdr:nvPicPr>
        <xdr:cNvPr id="8"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64100" y="69243"/>
          <a:ext cx="1168815" cy="512084"/>
        </a:xfrm>
        <a:prstGeom prst="rect">
          <a:avLst/>
        </a:prstGeom>
        <a:noFill/>
        <a:ln w="9525">
          <a:noFill/>
          <a:miter lim="800000"/>
          <a:headEnd/>
          <a:tailEnd/>
        </a:ln>
      </xdr:spPr>
    </xdr:pic>
    <xdr:clientData/>
  </xdr:twoCellAnchor>
  <xdr:twoCellAnchor>
    <xdr:from>
      <xdr:col>15</xdr:col>
      <xdr:colOff>167825</xdr:colOff>
      <xdr:row>0</xdr:row>
      <xdr:rowOff>68334</xdr:rowOff>
    </xdr:from>
    <xdr:to>
      <xdr:col>17</xdr:col>
      <xdr:colOff>421825</xdr:colOff>
      <xdr:row>3</xdr:row>
      <xdr:rowOff>139793</xdr:rowOff>
    </xdr:to>
    <xdr:pic>
      <xdr:nvPicPr>
        <xdr:cNvPr id="9"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05075" y="68334"/>
          <a:ext cx="1121833" cy="515959"/>
        </a:xfrm>
        <a:prstGeom prst="rect">
          <a:avLst/>
        </a:prstGeom>
        <a:noFill/>
        <a:ln w="9525">
          <a:noFill/>
          <a:miter lim="800000"/>
          <a:headEnd/>
          <a:tailEnd/>
        </a:ln>
      </xdr:spPr>
    </xdr:pic>
    <xdr:clientData/>
  </xdr:twoCellAnchor>
  <xdr:twoCellAnchor editAs="oneCell">
    <xdr:from>
      <xdr:col>0</xdr:col>
      <xdr:colOff>75255</xdr:colOff>
      <xdr:row>0</xdr:row>
      <xdr:rowOff>79369</xdr:rowOff>
    </xdr:from>
    <xdr:to>
      <xdr:col>4</xdr:col>
      <xdr:colOff>365122</xdr:colOff>
      <xdr:row>4</xdr:row>
      <xdr:rowOff>19804</xdr:rowOff>
    </xdr:to>
    <xdr:pic>
      <xdr:nvPicPr>
        <xdr:cNvPr id="20" name="19 Imagen">
          <a:hlinkClick xmlns:r="http://schemas.openxmlformats.org/officeDocument/2006/relationships" r:id="rId3"/>
        </xdr:cNvPr>
        <xdr:cNvPicPr/>
      </xdr:nvPicPr>
      <xdr:blipFill>
        <a:blip xmlns:r="http://schemas.openxmlformats.org/officeDocument/2006/relationships" r:embed="rId4">
          <a:extLst/>
        </a:blip>
        <a:srcRect/>
        <a:stretch>
          <a:fillRect/>
        </a:stretch>
      </xdr:blipFill>
      <xdr:spPr bwMode="auto">
        <a:xfrm>
          <a:off x="75255" y="79369"/>
          <a:ext cx="1517534" cy="533102"/>
        </a:xfrm>
        <a:prstGeom prst="rect">
          <a:avLst/>
        </a:prstGeom>
        <a:noFill/>
        <a:ln w="9525">
          <a:noFill/>
          <a:miter lim="800000"/>
          <a:headEnd/>
          <a:tailEnd/>
        </a:ln>
      </xdr:spPr>
    </xdr:pic>
    <xdr:clientData/>
  </xdr:twoCellAnchor>
  <xdr:twoCellAnchor>
    <xdr:from>
      <xdr:col>12</xdr:col>
      <xdr:colOff>238014</xdr:colOff>
      <xdr:row>95</xdr:row>
      <xdr:rowOff>74994</xdr:rowOff>
    </xdr:from>
    <xdr:to>
      <xdr:col>15</xdr:col>
      <xdr:colOff>105079</xdr:colOff>
      <xdr:row>98</xdr:row>
      <xdr:rowOff>142578</xdr:rowOff>
    </xdr:to>
    <xdr:pic>
      <xdr:nvPicPr>
        <xdr:cNvPr id="28"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73514" y="9335411"/>
          <a:ext cx="1168815" cy="512084"/>
        </a:xfrm>
        <a:prstGeom prst="rect">
          <a:avLst/>
        </a:prstGeom>
        <a:noFill/>
        <a:ln w="9525">
          <a:noFill/>
          <a:miter lim="800000"/>
          <a:headEnd/>
          <a:tailEnd/>
        </a:ln>
      </xdr:spPr>
    </xdr:pic>
    <xdr:clientData/>
  </xdr:twoCellAnchor>
  <xdr:twoCellAnchor>
    <xdr:from>
      <xdr:col>15</xdr:col>
      <xdr:colOff>177239</xdr:colOff>
      <xdr:row>95</xdr:row>
      <xdr:rowOff>74085</xdr:rowOff>
    </xdr:from>
    <xdr:to>
      <xdr:col>17</xdr:col>
      <xdr:colOff>431239</xdr:colOff>
      <xdr:row>98</xdr:row>
      <xdr:rowOff>145544</xdr:rowOff>
    </xdr:to>
    <xdr:pic>
      <xdr:nvPicPr>
        <xdr:cNvPr id="29"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14489" y="9334502"/>
          <a:ext cx="1121833" cy="515959"/>
        </a:xfrm>
        <a:prstGeom prst="rect">
          <a:avLst/>
        </a:prstGeom>
        <a:noFill/>
        <a:ln w="9525">
          <a:noFill/>
          <a:miter lim="800000"/>
          <a:headEnd/>
          <a:tailEnd/>
        </a:ln>
      </xdr:spPr>
    </xdr:pic>
    <xdr:clientData/>
  </xdr:twoCellAnchor>
  <xdr:twoCellAnchor editAs="oneCell">
    <xdr:from>
      <xdr:col>0</xdr:col>
      <xdr:colOff>74086</xdr:colOff>
      <xdr:row>95</xdr:row>
      <xdr:rowOff>74537</xdr:rowOff>
    </xdr:from>
    <xdr:to>
      <xdr:col>4</xdr:col>
      <xdr:colOff>363953</xdr:colOff>
      <xdr:row>99</xdr:row>
      <xdr:rowOff>14973</xdr:rowOff>
    </xdr:to>
    <xdr:pic>
      <xdr:nvPicPr>
        <xdr:cNvPr id="30" name="29 Imagen"/>
        <xdr:cNvPicPr/>
      </xdr:nvPicPr>
      <xdr:blipFill>
        <a:blip xmlns:r="http://schemas.openxmlformats.org/officeDocument/2006/relationships" r:embed="rId4">
          <a:extLst/>
        </a:blip>
        <a:srcRect/>
        <a:stretch>
          <a:fillRect/>
        </a:stretch>
      </xdr:blipFill>
      <xdr:spPr bwMode="auto">
        <a:xfrm>
          <a:off x="74086" y="9334954"/>
          <a:ext cx="1517534" cy="533102"/>
        </a:xfrm>
        <a:prstGeom prst="rect">
          <a:avLst/>
        </a:prstGeom>
        <a:noFill/>
        <a:ln w="9525">
          <a:noFill/>
          <a:miter lim="800000"/>
          <a:headEnd/>
          <a:tailEnd/>
        </a:ln>
      </xdr:spPr>
    </xdr:pic>
    <xdr:clientData/>
  </xdr:twoCellAnchor>
  <xdr:twoCellAnchor>
    <xdr:from>
      <xdr:col>12</xdr:col>
      <xdr:colOff>238009</xdr:colOff>
      <xdr:row>190</xdr:row>
      <xdr:rowOff>74990</xdr:rowOff>
    </xdr:from>
    <xdr:to>
      <xdr:col>15</xdr:col>
      <xdr:colOff>105074</xdr:colOff>
      <xdr:row>193</xdr:row>
      <xdr:rowOff>142574</xdr:rowOff>
    </xdr:to>
    <xdr:pic>
      <xdr:nvPicPr>
        <xdr:cNvPr id="31"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73509" y="18595823"/>
          <a:ext cx="1168815" cy="512084"/>
        </a:xfrm>
        <a:prstGeom prst="rect">
          <a:avLst/>
        </a:prstGeom>
        <a:noFill/>
        <a:ln w="9525">
          <a:noFill/>
          <a:miter lim="800000"/>
          <a:headEnd/>
          <a:tailEnd/>
        </a:ln>
      </xdr:spPr>
    </xdr:pic>
    <xdr:clientData/>
  </xdr:twoCellAnchor>
  <xdr:twoCellAnchor>
    <xdr:from>
      <xdr:col>15</xdr:col>
      <xdr:colOff>166651</xdr:colOff>
      <xdr:row>190</xdr:row>
      <xdr:rowOff>74081</xdr:rowOff>
    </xdr:from>
    <xdr:to>
      <xdr:col>17</xdr:col>
      <xdr:colOff>420651</xdr:colOff>
      <xdr:row>193</xdr:row>
      <xdr:rowOff>145540</xdr:rowOff>
    </xdr:to>
    <xdr:pic>
      <xdr:nvPicPr>
        <xdr:cNvPr id="32"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03901" y="18594914"/>
          <a:ext cx="1121833" cy="515959"/>
        </a:xfrm>
        <a:prstGeom prst="rect">
          <a:avLst/>
        </a:prstGeom>
        <a:noFill/>
        <a:ln w="9525">
          <a:noFill/>
          <a:miter lim="800000"/>
          <a:headEnd/>
          <a:tailEnd/>
        </a:ln>
      </xdr:spPr>
    </xdr:pic>
    <xdr:clientData/>
  </xdr:twoCellAnchor>
  <xdr:twoCellAnchor editAs="oneCell">
    <xdr:from>
      <xdr:col>0</xdr:col>
      <xdr:colOff>74081</xdr:colOff>
      <xdr:row>190</xdr:row>
      <xdr:rowOff>74533</xdr:rowOff>
    </xdr:from>
    <xdr:to>
      <xdr:col>4</xdr:col>
      <xdr:colOff>363948</xdr:colOff>
      <xdr:row>194</xdr:row>
      <xdr:rowOff>14968</xdr:rowOff>
    </xdr:to>
    <xdr:pic>
      <xdr:nvPicPr>
        <xdr:cNvPr id="33" name="32 Imagen"/>
        <xdr:cNvPicPr/>
      </xdr:nvPicPr>
      <xdr:blipFill>
        <a:blip xmlns:r="http://schemas.openxmlformats.org/officeDocument/2006/relationships" r:embed="rId4">
          <a:extLst/>
        </a:blip>
        <a:srcRect/>
        <a:stretch>
          <a:fillRect/>
        </a:stretch>
      </xdr:blipFill>
      <xdr:spPr bwMode="auto">
        <a:xfrm>
          <a:off x="74081" y="18595366"/>
          <a:ext cx="1517534" cy="533102"/>
        </a:xfrm>
        <a:prstGeom prst="rect">
          <a:avLst/>
        </a:prstGeom>
        <a:noFill/>
        <a:ln w="9525">
          <a:noFill/>
          <a:miter lim="800000"/>
          <a:headEnd/>
          <a:tailEnd/>
        </a:ln>
      </xdr:spPr>
    </xdr:pic>
    <xdr:clientData/>
  </xdr:twoCellAnchor>
  <xdr:twoCellAnchor>
    <xdr:from>
      <xdr:col>12</xdr:col>
      <xdr:colOff>238009</xdr:colOff>
      <xdr:row>285</xdr:row>
      <xdr:rowOff>74990</xdr:rowOff>
    </xdr:from>
    <xdr:to>
      <xdr:col>15</xdr:col>
      <xdr:colOff>105074</xdr:colOff>
      <xdr:row>288</xdr:row>
      <xdr:rowOff>142574</xdr:rowOff>
    </xdr:to>
    <xdr:pic>
      <xdr:nvPicPr>
        <xdr:cNvPr id="34"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73509" y="27856240"/>
          <a:ext cx="1168815" cy="512084"/>
        </a:xfrm>
        <a:prstGeom prst="rect">
          <a:avLst/>
        </a:prstGeom>
        <a:noFill/>
        <a:ln w="9525">
          <a:noFill/>
          <a:miter lim="800000"/>
          <a:headEnd/>
          <a:tailEnd/>
        </a:ln>
      </xdr:spPr>
    </xdr:pic>
    <xdr:clientData/>
  </xdr:twoCellAnchor>
  <xdr:twoCellAnchor>
    <xdr:from>
      <xdr:col>15</xdr:col>
      <xdr:colOff>177234</xdr:colOff>
      <xdr:row>285</xdr:row>
      <xdr:rowOff>74081</xdr:rowOff>
    </xdr:from>
    <xdr:to>
      <xdr:col>17</xdr:col>
      <xdr:colOff>431234</xdr:colOff>
      <xdr:row>288</xdr:row>
      <xdr:rowOff>145540</xdr:rowOff>
    </xdr:to>
    <xdr:pic>
      <xdr:nvPicPr>
        <xdr:cNvPr id="35"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14484" y="27855331"/>
          <a:ext cx="1121833" cy="515959"/>
        </a:xfrm>
        <a:prstGeom prst="rect">
          <a:avLst/>
        </a:prstGeom>
        <a:noFill/>
        <a:ln w="9525">
          <a:noFill/>
          <a:miter lim="800000"/>
          <a:headEnd/>
          <a:tailEnd/>
        </a:ln>
      </xdr:spPr>
    </xdr:pic>
    <xdr:clientData/>
  </xdr:twoCellAnchor>
  <xdr:twoCellAnchor editAs="oneCell">
    <xdr:from>
      <xdr:col>0</xdr:col>
      <xdr:colOff>74081</xdr:colOff>
      <xdr:row>285</xdr:row>
      <xdr:rowOff>74533</xdr:rowOff>
    </xdr:from>
    <xdr:to>
      <xdr:col>4</xdr:col>
      <xdr:colOff>363948</xdr:colOff>
      <xdr:row>289</xdr:row>
      <xdr:rowOff>14968</xdr:rowOff>
    </xdr:to>
    <xdr:pic>
      <xdr:nvPicPr>
        <xdr:cNvPr id="36" name="35 Imagen"/>
        <xdr:cNvPicPr/>
      </xdr:nvPicPr>
      <xdr:blipFill>
        <a:blip xmlns:r="http://schemas.openxmlformats.org/officeDocument/2006/relationships" r:embed="rId4">
          <a:extLst/>
        </a:blip>
        <a:srcRect/>
        <a:stretch>
          <a:fillRect/>
        </a:stretch>
      </xdr:blipFill>
      <xdr:spPr bwMode="auto">
        <a:xfrm>
          <a:off x="74081" y="27855783"/>
          <a:ext cx="1517534" cy="533102"/>
        </a:xfrm>
        <a:prstGeom prst="rect">
          <a:avLst/>
        </a:prstGeom>
        <a:noFill/>
        <a:ln w="9525">
          <a:noFill/>
          <a:miter lim="800000"/>
          <a:headEnd/>
          <a:tailEnd/>
        </a:ln>
      </xdr:spPr>
    </xdr:pic>
    <xdr:clientData/>
  </xdr:twoCellAnchor>
  <xdr:twoCellAnchor>
    <xdr:from>
      <xdr:col>12</xdr:col>
      <xdr:colOff>238009</xdr:colOff>
      <xdr:row>380</xdr:row>
      <xdr:rowOff>74990</xdr:rowOff>
    </xdr:from>
    <xdr:to>
      <xdr:col>15</xdr:col>
      <xdr:colOff>105074</xdr:colOff>
      <xdr:row>383</xdr:row>
      <xdr:rowOff>142574</xdr:rowOff>
    </xdr:to>
    <xdr:pic>
      <xdr:nvPicPr>
        <xdr:cNvPr id="37"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73509" y="37116657"/>
          <a:ext cx="1168815" cy="512084"/>
        </a:xfrm>
        <a:prstGeom prst="rect">
          <a:avLst/>
        </a:prstGeom>
        <a:noFill/>
        <a:ln w="9525">
          <a:noFill/>
          <a:miter lim="800000"/>
          <a:headEnd/>
          <a:tailEnd/>
        </a:ln>
      </xdr:spPr>
    </xdr:pic>
    <xdr:clientData/>
  </xdr:twoCellAnchor>
  <xdr:twoCellAnchor>
    <xdr:from>
      <xdr:col>15</xdr:col>
      <xdr:colOff>177234</xdr:colOff>
      <xdr:row>380</xdr:row>
      <xdr:rowOff>74081</xdr:rowOff>
    </xdr:from>
    <xdr:to>
      <xdr:col>17</xdr:col>
      <xdr:colOff>431234</xdr:colOff>
      <xdr:row>383</xdr:row>
      <xdr:rowOff>145540</xdr:rowOff>
    </xdr:to>
    <xdr:pic>
      <xdr:nvPicPr>
        <xdr:cNvPr id="38"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14484" y="37115748"/>
          <a:ext cx="1121833" cy="515959"/>
        </a:xfrm>
        <a:prstGeom prst="rect">
          <a:avLst/>
        </a:prstGeom>
        <a:noFill/>
        <a:ln w="9525">
          <a:noFill/>
          <a:miter lim="800000"/>
          <a:headEnd/>
          <a:tailEnd/>
        </a:ln>
      </xdr:spPr>
    </xdr:pic>
    <xdr:clientData/>
  </xdr:twoCellAnchor>
  <xdr:twoCellAnchor editAs="oneCell">
    <xdr:from>
      <xdr:col>0</xdr:col>
      <xdr:colOff>74081</xdr:colOff>
      <xdr:row>380</xdr:row>
      <xdr:rowOff>74533</xdr:rowOff>
    </xdr:from>
    <xdr:to>
      <xdr:col>4</xdr:col>
      <xdr:colOff>363948</xdr:colOff>
      <xdr:row>384</xdr:row>
      <xdr:rowOff>14969</xdr:rowOff>
    </xdr:to>
    <xdr:pic>
      <xdr:nvPicPr>
        <xdr:cNvPr id="39" name="38 Imagen"/>
        <xdr:cNvPicPr/>
      </xdr:nvPicPr>
      <xdr:blipFill>
        <a:blip xmlns:r="http://schemas.openxmlformats.org/officeDocument/2006/relationships" r:embed="rId4">
          <a:extLst/>
        </a:blip>
        <a:srcRect/>
        <a:stretch>
          <a:fillRect/>
        </a:stretch>
      </xdr:blipFill>
      <xdr:spPr bwMode="auto">
        <a:xfrm>
          <a:off x="74081" y="37116200"/>
          <a:ext cx="1517534" cy="533102"/>
        </a:xfrm>
        <a:prstGeom prst="rect">
          <a:avLst/>
        </a:prstGeom>
        <a:noFill/>
        <a:ln w="9525">
          <a:noFill/>
          <a:miter lim="800000"/>
          <a:headEnd/>
          <a:tailEnd/>
        </a:ln>
      </xdr:spPr>
    </xdr:pic>
    <xdr:clientData/>
  </xdr:twoCellAnchor>
  <xdr:twoCellAnchor>
    <xdr:from>
      <xdr:col>12</xdr:col>
      <xdr:colOff>238009</xdr:colOff>
      <xdr:row>475</xdr:row>
      <xdr:rowOff>74990</xdr:rowOff>
    </xdr:from>
    <xdr:to>
      <xdr:col>15</xdr:col>
      <xdr:colOff>105074</xdr:colOff>
      <xdr:row>478</xdr:row>
      <xdr:rowOff>142574</xdr:rowOff>
    </xdr:to>
    <xdr:pic>
      <xdr:nvPicPr>
        <xdr:cNvPr id="40" name="2 Imagen" descr="Gobierno horizontal.jpg"/>
        <xdr:cNvPicPr>
          <a:picLocks noChangeAspect="1" noChangeArrowheads="1"/>
        </xdr:cNvPicPr>
      </xdr:nvPicPr>
      <xdr:blipFill>
        <a:blip xmlns:r="http://schemas.openxmlformats.org/officeDocument/2006/relationships" r:embed="rId1" cstate="print">
          <a:clrChange>
            <a:clrFrom>
              <a:srgbClr val="FFFFFE"/>
            </a:clrFrom>
            <a:clrTo>
              <a:srgbClr val="FFFFFE">
                <a:alpha val="0"/>
              </a:srgbClr>
            </a:clrTo>
          </a:clrChange>
        </a:blip>
        <a:srcRect l="2083" t="1598" r="2511" b="12924"/>
        <a:stretch>
          <a:fillRect/>
        </a:stretch>
      </xdr:blipFill>
      <xdr:spPr bwMode="auto">
        <a:xfrm>
          <a:off x="4873509" y="46377073"/>
          <a:ext cx="1168815" cy="512084"/>
        </a:xfrm>
        <a:prstGeom prst="rect">
          <a:avLst/>
        </a:prstGeom>
        <a:noFill/>
        <a:ln w="9525">
          <a:noFill/>
          <a:miter lim="800000"/>
          <a:headEnd/>
          <a:tailEnd/>
        </a:ln>
      </xdr:spPr>
    </xdr:pic>
    <xdr:clientData/>
  </xdr:twoCellAnchor>
  <xdr:twoCellAnchor>
    <xdr:from>
      <xdr:col>15</xdr:col>
      <xdr:colOff>177234</xdr:colOff>
      <xdr:row>475</xdr:row>
      <xdr:rowOff>74081</xdr:rowOff>
    </xdr:from>
    <xdr:to>
      <xdr:col>17</xdr:col>
      <xdr:colOff>431234</xdr:colOff>
      <xdr:row>478</xdr:row>
      <xdr:rowOff>145540</xdr:rowOff>
    </xdr:to>
    <xdr:pic>
      <xdr:nvPicPr>
        <xdr:cNvPr id="41" name="3 Imagen" descr="logoresultados.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4529" t="3762" r="5388" b="4403"/>
        <a:stretch>
          <a:fillRect/>
        </a:stretch>
      </xdr:blipFill>
      <xdr:spPr bwMode="auto">
        <a:xfrm>
          <a:off x="6114484" y="46376164"/>
          <a:ext cx="1121833" cy="515959"/>
        </a:xfrm>
        <a:prstGeom prst="rect">
          <a:avLst/>
        </a:prstGeom>
        <a:noFill/>
        <a:ln w="9525">
          <a:noFill/>
          <a:miter lim="800000"/>
          <a:headEnd/>
          <a:tailEnd/>
        </a:ln>
      </xdr:spPr>
    </xdr:pic>
    <xdr:clientData/>
  </xdr:twoCellAnchor>
  <xdr:twoCellAnchor editAs="oneCell">
    <xdr:from>
      <xdr:col>0</xdr:col>
      <xdr:colOff>74081</xdr:colOff>
      <xdr:row>475</xdr:row>
      <xdr:rowOff>74533</xdr:rowOff>
    </xdr:from>
    <xdr:to>
      <xdr:col>4</xdr:col>
      <xdr:colOff>363948</xdr:colOff>
      <xdr:row>479</xdr:row>
      <xdr:rowOff>14968</xdr:rowOff>
    </xdr:to>
    <xdr:pic>
      <xdr:nvPicPr>
        <xdr:cNvPr id="42" name="41 Imagen"/>
        <xdr:cNvPicPr/>
      </xdr:nvPicPr>
      <xdr:blipFill>
        <a:blip xmlns:r="http://schemas.openxmlformats.org/officeDocument/2006/relationships" r:embed="rId4">
          <a:extLst/>
        </a:blip>
        <a:srcRect/>
        <a:stretch>
          <a:fillRect/>
        </a:stretch>
      </xdr:blipFill>
      <xdr:spPr bwMode="auto">
        <a:xfrm>
          <a:off x="74081" y="46376616"/>
          <a:ext cx="1517534" cy="533102"/>
        </a:xfrm>
        <a:prstGeom prst="rect">
          <a:avLst/>
        </a:prstGeom>
        <a:noFill/>
        <a:ln w="9525">
          <a:noFill/>
          <a:miter lim="800000"/>
          <a:headEnd/>
          <a:tailEnd/>
        </a:ln>
      </xdr:spPr>
    </xdr:pic>
    <xdr:clientData/>
  </xdr:twoCellAnchor>
  <xdr:twoCellAnchor editAs="absolute">
    <xdr:from>
      <xdr:col>7</xdr:col>
      <xdr:colOff>171450</xdr:colOff>
      <xdr:row>344</xdr:row>
      <xdr:rowOff>85725</xdr:rowOff>
    </xdr:from>
    <xdr:to>
      <xdr:col>9</xdr:col>
      <xdr:colOff>196863</xdr:colOff>
      <xdr:row>353</xdr:row>
      <xdr:rowOff>78580</xdr:rowOff>
    </xdr:to>
    <xdr:pic>
      <xdr:nvPicPr>
        <xdr:cNvPr id="21"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628900" y="33004125"/>
          <a:ext cx="882663" cy="850105"/>
        </a:xfrm>
        <a:prstGeom prst="rect">
          <a:avLst/>
        </a:prstGeom>
        <a:noFill/>
        <a:ln w="9525">
          <a:noFill/>
          <a:miter lim="800000"/>
          <a:headEnd/>
          <a:tailEnd/>
        </a:ln>
      </xdr:spPr>
    </xdr:pic>
    <xdr:clientData/>
  </xdr:twoCellAnchor>
  <xdr:twoCellAnchor editAs="absolute">
    <xdr:from>
      <xdr:col>7</xdr:col>
      <xdr:colOff>76200</xdr:colOff>
      <xdr:row>60</xdr:row>
      <xdr:rowOff>9525</xdr:rowOff>
    </xdr:from>
    <xdr:to>
      <xdr:col>9</xdr:col>
      <xdr:colOff>101613</xdr:colOff>
      <xdr:row>69</xdr:row>
      <xdr:rowOff>2380</xdr:rowOff>
    </xdr:to>
    <xdr:pic>
      <xdr:nvPicPr>
        <xdr:cNvPr id="22"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533650" y="5762625"/>
          <a:ext cx="882663" cy="850105"/>
        </a:xfrm>
        <a:prstGeom prst="rect">
          <a:avLst/>
        </a:prstGeom>
        <a:noFill/>
        <a:ln w="9525">
          <a:noFill/>
          <a:miter lim="800000"/>
          <a:headEnd/>
          <a:tailEnd/>
        </a:ln>
      </xdr:spPr>
    </xdr:pic>
    <xdr:clientData/>
  </xdr:twoCellAnchor>
  <xdr:twoCellAnchor editAs="absolute">
    <xdr:from>
      <xdr:col>7</xdr:col>
      <xdr:colOff>95250</xdr:colOff>
      <xdr:row>155</xdr:row>
      <xdr:rowOff>9525</xdr:rowOff>
    </xdr:from>
    <xdr:to>
      <xdr:col>9</xdr:col>
      <xdr:colOff>120663</xdr:colOff>
      <xdr:row>164</xdr:row>
      <xdr:rowOff>2380</xdr:rowOff>
    </xdr:to>
    <xdr:pic>
      <xdr:nvPicPr>
        <xdr:cNvPr id="23"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552700" y="14849475"/>
          <a:ext cx="882663" cy="850105"/>
        </a:xfrm>
        <a:prstGeom prst="rect">
          <a:avLst/>
        </a:prstGeom>
        <a:noFill/>
        <a:ln w="9525">
          <a:noFill/>
          <a:miter lim="800000"/>
          <a:headEnd/>
          <a:tailEnd/>
        </a:ln>
      </xdr:spPr>
    </xdr:pic>
    <xdr:clientData/>
  </xdr:twoCellAnchor>
  <xdr:twoCellAnchor editAs="absolute">
    <xdr:from>
      <xdr:col>7</xdr:col>
      <xdr:colOff>114300</xdr:colOff>
      <xdr:row>250</xdr:row>
      <xdr:rowOff>9525</xdr:rowOff>
    </xdr:from>
    <xdr:to>
      <xdr:col>9</xdr:col>
      <xdr:colOff>139713</xdr:colOff>
      <xdr:row>259</xdr:row>
      <xdr:rowOff>2380</xdr:rowOff>
    </xdr:to>
    <xdr:pic>
      <xdr:nvPicPr>
        <xdr:cNvPr id="24"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571750" y="23936325"/>
          <a:ext cx="882663" cy="850105"/>
        </a:xfrm>
        <a:prstGeom prst="rect">
          <a:avLst/>
        </a:prstGeom>
        <a:noFill/>
        <a:ln w="9525">
          <a:noFill/>
          <a:miter lim="800000"/>
          <a:headEnd/>
          <a:tailEnd/>
        </a:ln>
      </xdr:spPr>
    </xdr:pic>
    <xdr:clientData/>
  </xdr:twoCellAnchor>
  <xdr:twoCellAnchor editAs="absolute">
    <xdr:from>
      <xdr:col>7</xdr:col>
      <xdr:colOff>314325</xdr:colOff>
      <xdr:row>440</xdr:row>
      <xdr:rowOff>0</xdr:rowOff>
    </xdr:from>
    <xdr:to>
      <xdr:col>9</xdr:col>
      <xdr:colOff>339738</xdr:colOff>
      <xdr:row>448</xdr:row>
      <xdr:rowOff>88105</xdr:rowOff>
    </xdr:to>
    <xdr:pic>
      <xdr:nvPicPr>
        <xdr:cNvPr id="25"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771775" y="42100500"/>
          <a:ext cx="882663" cy="850105"/>
        </a:xfrm>
        <a:prstGeom prst="rect">
          <a:avLst/>
        </a:prstGeom>
        <a:noFill/>
        <a:ln w="9525">
          <a:noFill/>
          <a:miter lim="800000"/>
          <a:headEnd/>
          <a:tailEnd/>
        </a:ln>
      </xdr:spPr>
    </xdr:pic>
    <xdr:clientData/>
  </xdr:twoCellAnchor>
  <xdr:twoCellAnchor editAs="absolute">
    <xdr:from>
      <xdr:col>4</xdr:col>
      <xdr:colOff>285750</xdr:colOff>
      <xdr:row>536</xdr:row>
      <xdr:rowOff>0</xdr:rowOff>
    </xdr:from>
    <xdr:to>
      <xdr:col>6</xdr:col>
      <xdr:colOff>368313</xdr:colOff>
      <xdr:row>544</xdr:row>
      <xdr:rowOff>88105</xdr:rowOff>
    </xdr:to>
    <xdr:pic>
      <xdr:nvPicPr>
        <xdr:cNvPr id="26"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1514475" y="51282600"/>
          <a:ext cx="882663" cy="850105"/>
        </a:xfrm>
        <a:prstGeom prst="rect">
          <a:avLst/>
        </a:prstGeom>
        <a:noFill/>
        <a:ln w="9525">
          <a:noFill/>
          <a:miter lim="800000"/>
          <a:headEnd/>
          <a:tailEnd/>
        </a:ln>
      </xdr:spPr>
    </xdr:pic>
    <xdr:clientData/>
  </xdr:twoCellAnchor>
  <xdr:twoCellAnchor editAs="absolute">
    <xdr:from>
      <xdr:col>10</xdr:col>
      <xdr:colOff>304800</xdr:colOff>
      <xdr:row>535</xdr:row>
      <xdr:rowOff>76200</xdr:rowOff>
    </xdr:from>
    <xdr:to>
      <xdr:col>12</xdr:col>
      <xdr:colOff>330213</xdr:colOff>
      <xdr:row>544</xdr:row>
      <xdr:rowOff>69055</xdr:rowOff>
    </xdr:to>
    <xdr:pic>
      <xdr:nvPicPr>
        <xdr:cNvPr id="27"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4048125" y="51263550"/>
          <a:ext cx="882663" cy="850105"/>
        </a:xfrm>
        <a:prstGeom prst="rect">
          <a:avLst/>
        </a:prstGeom>
        <a:noFill/>
        <a:ln w="9525">
          <a:noFill/>
          <a:miter lim="800000"/>
          <a:headEnd/>
          <a:tailEnd/>
        </a:ln>
      </xdr:spPr>
    </xdr:pic>
    <xdr:clientData/>
  </xdr:twoCellAnchor>
  <xdr:twoCellAnchor editAs="absolute">
    <xdr:from>
      <xdr:col>15</xdr:col>
      <xdr:colOff>47625</xdr:colOff>
      <xdr:row>60</xdr:row>
      <xdr:rowOff>9525</xdr:rowOff>
    </xdr:from>
    <xdr:to>
      <xdr:col>17</xdr:col>
      <xdr:colOff>73038</xdr:colOff>
      <xdr:row>69</xdr:row>
      <xdr:rowOff>2380</xdr:rowOff>
    </xdr:to>
    <xdr:pic>
      <xdr:nvPicPr>
        <xdr:cNvPr id="43"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5934075" y="5762625"/>
          <a:ext cx="882663" cy="850105"/>
        </a:xfrm>
        <a:prstGeom prst="rect">
          <a:avLst/>
        </a:prstGeom>
        <a:noFill/>
        <a:ln w="9525">
          <a:noFill/>
          <a:miter lim="800000"/>
          <a:headEnd/>
          <a:tailEnd/>
        </a:ln>
      </xdr:spPr>
    </xdr:pic>
    <xdr:clientData/>
  </xdr:twoCellAnchor>
  <xdr:twoCellAnchor editAs="absolute">
    <xdr:from>
      <xdr:col>15</xdr:col>
      <xdr:colOff>57150</xdr:colOff>
      <xdr:row>155</xdr:row>
      <xdr:rowOff>9525</xdr:rowOff>
    </xdr:from>
    <xdr:to>
      <xdr:col>17</xdr:col>
      <xdr:colOff>82563</xdr:colOff>
      <xdr:row>164</xdr:row>
      <xdr:rowOff>2380</xdr:rowOff>
    </xdr:to>
    <xdr:pic>
      <xdr:nvPicPr>
        <xdr:cNvPr id="44"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5943600" y="14849475"/>
          <a:ext cx="882663" cy="850105"/>
        </a:xfrm>
        <a:prstGeom prst="rect">
          <a:avLst/>
        </a:prstGeom>
        <a:noFill/>
        <a:ln w="9525">
          <a:noFill/>
          <a:miter lim="800000"/>
          <a:headEnd/>
          <a:tailEnd/>
        </a:ln>
      </xdr:spPr>
    </xdr:pic>
    <xdr:clientData/>
  </xdr:twoCellAnchor>
  <xdr:twoCellAnchor editAs="absolute">
    <xdr:from>
      <xdr:col>15</xdr:col>
      <xdr:colOff>28575</xdr:colOff>
      <xdr:row>250</xdr:row>
      <xdr:rowOff>9525</xdr:rowOff>
    </xdr:from>
    <xdr:to>
      <xdr:col>17</xdr:col>
      <xdr:colOff>53988</xdr:colOff>
      <xdr:row>259</xdr:row>
      <xdr:rowOff>2380</xdr:rowOff>
    </xdr:to>
    <xdr:pic>
      <xdr:nvPicPr>
        <xdr:cNvPr id="45"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5915025" y="23936325"/>
          <a:ext cx="882663" cy="850105"/>
        </a:xfrm>
        <a:prstGeom prst="rect">
          <a:avLst/>
        </a:prstGeom>
        <a:noFill/>
        <a:ln w="9525">
          <a:noFill/>
          <a:miter lim="800000"/>
          <a:headEnd/>
          <a:tailEnd/>
        </a:ln>
      </xdr:spPr>
    </xdr:pic>
    <xdr:clientData/>
  </xdr:twoCellAnchor>
  <xdr:twoCellAnchor editAs="absolute">
    <xdr:from>
      <xdr:col>15</xdr:col>
      <xdr:colOff>28575</xdr:colOff>
      <xdr:row>345</xdr:row>
      <xdr:rowOff>9525</xdr:rowOff>
    </xdr:from>
    <xdr:to>
      <xdr:col>17</xdr:col>
      <xdr:colOff>53988</xdr:colOff>
      <xdr:row>354</xdr:row>
      <xdr:rowOff>2380</xdr:rowOff>
    </xdr:to>
    <xdr:pic>
      <xdr:nvPicPr>
        <xdr:cNvPr id="46"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5915025" y="33023175"/>
          <a:ext cx="882663" cy="850105"/>
        </a:xfrm>
        <a:prstGeom prst="rect">
          <a:avLst/>
        </a:prstGeom>
        <a:noFill/>
        <a:ln w="9525">
          <a:noFill/>
          <a:miter lim="800000"/>
          <a:headEnd/>
          <a:tailEnd/>
        </a:ln>
      </xdr:spPr>
    </xdr:pic>
    <xdr:clientData/>
  </xdr:twoCellAnchor>
  <xdr:twoCellAnchor editAs="absolute">
    <xdr:from>
      <xdr:col>15</xdr:col>
      <xdr:colOff>19050</xdr:colOff>
      <xdr:row>440</xdr:row>
      <xdr:rowOff>9525</xdr:rowOff>
    </xdr:from>
    <xdr:to>
      <xdr:col>17</xdr:col>
      <xdr:colOff>44463</xdr:colOff>
      <xdr:row>449</xdr:row>
      <xdr:rowOff>2380</xdr:rowOff>
    </xdr:to>
    <xdr:pic>
      <xdr:nvPicPr>
        <xdr:cNvPr id="47"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5905500" y="42110025"/>
          <a:ext cx="882663" cy="850105"/>
        </a:xfrm>
        <a:prstGeom prst="rect">
          <a:avLst/>
        </a:prstGeom>
        <a:noFill/>
        <a:ln w="9525">
          <a:noFill/>
          <a:miter lim="800000"/>
          <a:headEnd/>
          <a:tailEnd/>
        </a:ln>
      </xdr:spPr>
    </xdr:pic>
    <xdr:clientData/>
  </xdr:twoCellAnchor>
  <xdr:twoCellAnchor editAs="absolute">
    <xdr:from>
      <xdr:col>15</xdr:col>
      <xdr:colOff>419100</xdr:colOff>
      <xdr:row>536</xdr:row>
      <xdr:rowOff>0</xdr:rowOff>
    </xdr:from>
    <xdr:to>
      <xdr:col>18</xdr:col>
      <xdr:colOff>15888</xdr:colOff>
      <xdr:row>544</xdr:row>
      <xdr:rowOff>88105</xdr:rowOff>
    </xdr:to>
    <xdr:pic>
      <xdr:nvPicPr>
        <xdr:cNvPr id="48"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6305550" y="51282600"/>
          <a:ext cx="882663" cy="850105"/>
        </a:xfrm>
        <a:prstGeom prst="rect">
          <a:avLst/>
        </a:prstGeom>
        <a:noFill/>
        <a:ln w="9525">
          <a:noFill/>
          <a:miter lim="800000"/>
          <a:headEnd/>
          <a:tailEnd/>
        </a:ln>
      </xdr:spPr>
    </xdr:pic>
    <xdr:clientData/>
  </xdr:twoCellAnchor>
  <xdr:twoCellAnchor editAs="absolute">
    <xdr:from>
      <xdr:col>7</xdr:col>
      <xdr:colOff>390525</xdr:colOff>
      <xdr:row>596</xdr:row>
      <xdr:rowOff>0</xdr:rowOff>
    </xdr:from>
    <xdr:to>
      <xdr:col>9</xdr:col>
      <xdr:colOff>415938</xdr:colOff>
      <xdr:row>604</xdr:row>
      <xdr:rowOff>88105</xdr:rowOff>
    </xdr:to>
    <xdr:pic>
      <xdr:nvPicPr>
        <xdr:cNvPr id="49"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2847975" y="59969400"/>
          <a:ext cx="882663" cy="850105"/>
        </a:xfrm>
        <a:prstGeom prst="rect">
          <a:avLst/>
        </a:prstGeom>
        <a:noFill/>
        <a:ln w="9525">
          <a:noFill/>
          <a:miter lim="800000"/>
          <a:headEnd/>
          <a:tailEnd/>
        </a:ln>
      </xdr:spPr>
    </xdr:pic>
    <xdr:clientData/>
  </xdr:twoCellAnchor>
  <xdr:twoCellAnchor editAs="absolute">
    <xdr:from>
      <xdr:col>15</xdr:col>
      <xdr:colOff>333375</xdr:colOff>
      <xdr:row>596</xdr:row>
      <xdr:rowOff>0</xdr:rowOff>
    </xdr:from>
    <xdr:to>
      <xdr:col>17</xdr:col>
      <xdr:colOff>358788</xdr:colOff>
      <xdr:row>604</xdr:row>
      <xdr:rowOff>88105</xdr:rowOff>
    </xdr:to>
    <xdr:pic>
      <xdr:nvPicPr>
        <xdr:cNvPr id="50" name="Picture 11" descr="Escanear0003"/>
        <xdr:cNvPicPr>
          <a:picLocks noChangeAspect="1" noChangeArrowheads="1"/>
        </xdr:cNvPicPr>
      </xdr:nvPicPr>
      <xdr:blipFill>
        <a:blip xmlns:r="http://schemas.openxmlformats.org/officeDocument/2006/relationships" r:embed="rId5" cstate="print">
          <a:clrChange>
            <a:clrFrom>
              <a:srgbClr val="FFFFFF"/>
            </a:clrFrom>
            <a:clrTo>
              <a:srgbClr val="FFFFFF">
                <a:alpha val="0"/>
              </a:srgbClr>
            </a:clrTo>
          </a:clrChange>
          <a:duotone>
            <a:prstClr val="black"/>
            <a:srgbClr val="0000CC">
              <a:tint val="45000"/>
              <a:satMod val="400000"/>
            </a:srgbClr>
          </a:duotone>
          <a:lum bright="-61000" contrast="-100000"/>
        </a:blip>
        <a:srcRect/>
        <a:stretch>
          <a:fillRect/>
        </a:stretch>
      </xdr:blipFill>
      <xdr:spPr bwMode="auto">
        <a:xfrm>
          <a:off x="6219825" y="59969400"/>
          <a:ext cx="882663" cy="850105"/>
        </a:xfrm>
        <a:prstGeom prst="rect">
          <a:avLst/>
        </a:prstGeom>
        <a:noFill/>
        <a:ln w="9525">
          <a:noFill/>
          <a:miter lim="800000"/>
          <a:headEnd/>
          <a:tailEnd/>
        </a:ln>
      </xdr:spPr>
    </xdr:pic>
    <xdr:clientData/>
  </xdr:twoCellAnchor>
</xdr:wsDr>
</file>

<file path=xl/drawings/drawing22.xml><?xml version="1.0" encoding="utf-8"?>
<xdr:wsDr xmlns:xdr="http://schemas.openxmlformats.org/drawingml/2006/spreadsheetDrawing" xmlns:a="http://schemas.openxmlformats.org/drawingml/2006/main">
  <xdr:twoCellAnchor>
    <xdr:from>
      <xdr:col>6</xdr:col>
      <xdr:colOff>76200</xdr:colOff>
      <xdr:row>7</xdr:row>
      <xdr:rowOff>0</xdr:rowOff>
    </xdr:from>
    <xdr:to>
      <xdr:col>8</xdr:col>
      <xdr:colOff>409575</xdr:colOff>
      <xdr:row>7</xdr:row>
      <xdr:rowOff>0</xdr:rowOff>
    </xdr:to>
    <xdr:grpSp>
      <xdr:nvGrpSpPr>
        <xdr:cNvPr id="2" name="Group 1"/>
        <xdr:cNvGrpSpPr>
          <a:grpSpLocks/>
        </xdr:cNvGrpSpPr>
      </xdr:nvGrpSpPr>
      <xdr:grpSpPr bwMode="auto">
        <a:xfrm>
          <a:off x="3200400" y="1402080"/>
          <a:ext cx="1392047" cy="0"/>
          <a:chOff x="3200400" y="1402080"/>
          <a:chExt cx="1392047" cy="0"/>
        </a:xfrm>
      </xdr:grpSpPr>
      <xdr:sp macro="" textlink="">
        <xdr:nvSpPr>
          <xdr:cNvPr id="3" name="Line 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 name="Line 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 name="Line 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11</xdr:row>
      <xdr:rowOff>0</xdr:rowOff>
    </xdr:from>
    <xdr:to>
      <xdr:col>8</xdr:col>
      <xdr:colOff>409575</xdr:colOff>
      <xdr:row>11</xdr:row>
      <xdr:rowOff>0</xdr:rowOff>
    </xdr:to>
    <xdr:grpSp>
      <xdr:nvGrpSpPr>
        <xdr:cNvPr id="6" name="Group 5"/>
        <xdr:cNvGrpSpPr>
          <a:grpSpLocks/>
        </xdr:cNvGrpSpPr>
      </xdr:nvGrpSpPr>
      <xdr:grpSpPr bwMode="auto">
        <a:xfrm>
          <a:off x="3200400" y="2214880"/>
          <a:ext cx="1392047" cy="0"/>
          <a:chOff x="3200400" y="2214880"/>
          <a:chExt cx="1392047" cy="0"/>
        </a:xfrm>
      </xdr:grpSpPr>
      <xdr:sp macro="" textlink="">
        <xdr:nvSpPr>
          <xdr:cNvPr id="7" name="Line 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 name="Line 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 name="Line 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10</xdr:row>
      <xdr:rowOff>0</xdr:rowOff>
    </xdr:from>
    <xdr:to>
      <xdr:col>8</xdr:col>
      <xdr:colOff>409575</xdr:colOff>
      <xdr:row>10</xdr:row>
      <xdr:rowOff>0</xdr:rowOff>
    </xdr:to>
    <xdr:grpSp>
      <xdr:nvGrpSpPr>
        <xdr:cNvPr id="10" name="Group 9"/>
        <xdr:cNvGrpSpPr>
          <a:grpSpLocks/>
        </xdr:cNvGrpSpPr>
      </xdr:nvGrpSpPr>
      <xdr:grpSpPr bwMode="auto">
        <a:xfrm>
          <a:off x="3200400" y="2011680"/>
          <a:ext cx="1392047" cy="0"/>
          <a:chOff x="3200400" y="2011680"/>
          <a:chExt cx="1392047" cy="0"/>
        </a:xfrm>
      </xdr:grpSpPr>
      <xdr:sp macro="" textlink="">
        <xdr:nvSpPr>
          <xdr:cNvPr id="11" name="Line 1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 name="Line 1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3" name="Line 1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14</xdr:row>
      <xdr:rowOff>0</xdr:rowOff>
    </xdr:from>
    <xdr:to>
      <xdr:col>8</xdr:col>
      <xdr:colOff>409575</xdr:colOff>
      <xdr:row>14</xdr:row>
      <xdr:rowOff>0</xdr:rowOff>
    </xdr:to>
    <xdr:grpSp>
      <xdr:nvGrpSpPr>
        <xdr:cNvPr id="14" name="Group 13"/>
        <xdr:cNvGrpSpPr>
          <a:grpSpLocks/>
        </xdr:cNvGrpSpPr>
      </xdr:nvGrpSpPr>
      <xdr:grpSpPr bwMode="auto">
        <a:xfrm>
          <a:off x="3200400" y="2824480"/>
          <a:ext cx="1392047" cy="0"/>
          <a:chOff x="3200400" y="2824480"/>
          <a:chExt cx="1392047" cy="0"/>
        </a:xfrm>
      </xdr:grpSpPr>
      <xdr:sp macro="" textlink="">
        <xdr:nvSpPr>
          <xdr:cNvPr id="15" name="Line 1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6" name="Line 1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7" name="Line 1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13</xdr:row>
      <xdr:rowOff>0</xdr:rowOff>
    </xdr:from>
    <xdr:to>
      <xdr:col>8</xdr:col>
      <xdr:colOff>409575</xdr:colOff>
      <xdr:row>13</xdr:row>
      <xdr:rowOff>0</xdr:rowOff>
    </xdr:to>
    <xdr:grpSp>
      <xdr:nvGrpSpPr>
        <xdr:cNvPr id="18" name="Group 17"/>
        <xdr:cNvGrpSpPr>
          <a:grpSpLocks/>
        </xdr:cNvGrpSpPr>
      </xdr:nvGrpSpPr>
      <xdr:grpSpPr bwMode="auto">
        <a:xfrm>
          <a:off x="3200400" y="2621280"/>
          <a:ext cx="1392047" cy="0"/>
          <a:chOff x="3200400" y="2621280"/>
          <a:chExt cx="1392047" cy="0"/>
        </a:xfrm>
      </xdr:grpSpPr>
      <xdr:sp macro="" textlink="">
        <xdr:nvSpPr>
          <xdr:cNvPr id="19" name="Line 1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0" name="Line 1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1" name="Line 2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0</xdr:rowOff>
    </xdr:from>
    <xdr:to>
      <xdr:col>8</xdr:col>
      <xdr:colOff>409575</xdr:colOff>
      <xdr:row>16</xdr:row>
      <xdr:rowOff>0</xdr:rowOff>
    </xdr:to>
    <xdr:grpSp>
      <xdr:nvGrpSpPr>
        <xdr:cNvPr id="22" name="Group 21"/>
        <xdr:cNvGrpSpPr>
          <a:grpSpLocks/>
        </xdr:cNvGrpSpPr>
      </xdr:nvGrpSpPr>
      <xdr:grpSpPr bwMode="auto">
        <a:xfrm>
          <a:off x="3200400" y="3230880"/>
          <a:ext cx="1392047" cy="0"/>
          <a:chOff x="3200400" y="3230880"/>
          <a:chExt cx="1392047" cy="0"/>
        </a:xfrm>
      </xdr:grpSpPr>
      <xdr:sp macro="" textlink="">
        <xdr:nvSpPr>
          <xdr:cNvPr id="23" name="Line 2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4" name="Line 2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5" name="Line 2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17</xdr:row>
      <xdr:rowOff>0</xdr:rowOff>
    </xdr:from>
    <xdr:to>
      <xdr:col>8</xdr:col>
      <xdr:colOff>409575</xdr:colOff>
      <xdr:row>17</xdr:row>
      <xdr:rowOff>0</xdr:rowOff>
    </xdr:to>
    <xdr:grpSp>
      <xdr:nvGrpSpPr>
        <xdr:cNvPr id="26" name="Group 25"/>
        <xdr:cNvGrpSpPr>
          <a:grpSpLocks/>
        </xdr:cNvGrpSpPr>
      </xdr:nvGrpSpPr>
      <xdr:grpSpPr bwMode="auto">
        <a:xfrm>
          <a:off x="3200400" y="3434080"/>
          <a:ext cx="1392047" cy="0"/>
          <a:chOff x="3200400" y="3434080"/>
          <a:chExt cx="1392047" cy="0"/>
        </a:xfrm>
      </xdr:grpSpPr>
      <xdr:sp macro="" textlink="">
        <xdr:nvSpPr>
          <xdr:cNvPr id="27" name="Line 2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8" name="Line 2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9" name="Line 2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19</xdr:row>
      <xdr:rowOff>0</xdr:rowOff>
    </xdr:from>
    <xdr:to>
      <xdr:col>8</xdr:col>
      <xdr:colOff>409575</xdr:colOff>
      <xdr:row>19</xdr:row>
      <xdr:rowOff>0</xdr:rowOff>
    </xdr:to>
    <xdr:grpSp>
      <xdr:nvGrpSpPr>
        <xdr:cNvPr id="30" name="Group 29"/>
        <xdr:cNvGrpSpPr>
          <a:grpSpLocks/>
        </xdr:cNvGrpSpPr>
      </xdr:nvGrpSpPr>
      <xdr:grpSpPr bwMode="auto">
        <a:xfrm>
          <a:off x="3200400" y="3840480"/>
          <a:ext cx="1392047" cy="0"/>
          <a:chOff x="3200400" y="3840480"/>
          <a:chExt cx="1392047" cy="0"/>
        </a:xfrm>
      </xdr:grpSpPr>
      <xdr:sp macro="" textlink="">
        <xdr:nvSpPr>
          <xdr:cNvPr id="31" name="Line 3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2" name="Line 3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3" name="Line 3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20</xdr:row>
      <xdr:rowOff>0</xdr:rowOff>
    </xdr:from>
    <xdr:to>
      <xdr:col>8</xdr:col>
      <xdr:colOff>409575</xdr:colOff>
      <xdr:row>20</xdr:row>
      <xdr:rowOff>0</xdr:rowOff>
    </xdr:to>
    <xdr:grpSp>
      <xdr:nvGrpSpPr>
        <xdr:cNvPr id="34" name="Group 33"/>
        <xdr:cNvGrpSpPr>
          <a:grpSpLocks/>
        </xdr:cNvGrpSpPr>
      </xdr:nvGrpSpPr>
      <xdr:grpSpPr bwMode="auto">
        <a:xfrm>
          <a:off x="3200400" y="4043680"/>
          <a:ext cx="1392047" cy="0"/>
          <a:chOff x="3200400" y="4043680"/>
          <a:chExt cx="1392047" cy="0"/>
        </a:xfrm>
      </xdr:grpSpPr>
      <xdr:sp macro="" textlink="">
        <xdr:nvSpPr>
          <xdr:cNvPr id="35" name="Line 3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6" name="Line 3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7" name="Line 3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21</xdr:row>
      <xdr:rowOff>0</xdr:rowOff>
    </xdr:from>
    <xdr:to>
      <xdr:col>8</xdr:col>
      <xdr:colOff>409575</xdr:colOff>
      <xdr:row>21</xdr:row>
      <xdr:rowOff>0</xdr:rowOff>
    </xdr:to>
    <xdr:grpSp>
      <xdr:nvGrpSpPr>
        <xdr:cNvPr id="38" name="Group 37"/>
        <xdr:cNvGrpSpPr>
          <a:grpSpLocks/>
        </xdr:cNvGrpSpPr>
      </xdr:nvGrpSpPr>
      <xdr:grpSpPr bwMode="auto">
        <a:xfrm>
          <a:off x="3200400" y="4246880"/>
          <a:ext cx="1392047" cy="0"/>
          <a:chOff x="3200400" y="4246880"/>
          <a:chExt cx="1392047" cy="0"/>
        </a:xfrm>
      </xdr:grpSpPr>
      <xdr:sp macro="" textlink="">
        <xdr:nvSpPr>
          <xdr:cNvPr id="39" name="Line 3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0" name="Line 3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1" name="Line 4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22</xdr:row>
      <xdr:rowOff>0</xdr:rowOff>
    </xdr:from>
    <xdr:to>
      <xdr:col>8</xdr:col>
      <xdr:colOff>409575</xdr:colOff>
      <xdr:row>22</xdr:row>
      <xdr:rowOff>0</xdr:rowOff>
    </xdr:to>
    <xdr:grpSp>
      <xdr:nvGrpSpPr>
        <xdr:cNvPr id="42" name="Group 41"/>
        <xdr:cNvGrpSpPr>
          <a:grpSpLocks/>
        </xdr:cNvGrpSpPr>
      </xdr:nvGrpSpPr>
      <xdr:grpSpPr bwMode="auto">
        <a:xfrm>
          <a:off x="3200400" y="4450080"/>
          <a:ext cx="1392047" cy="0"/>
          <a:chOff x="3200400" y="4450080"/>
          <a:chExt cx="1392047" cy="0"/>
        </a:xfrm>
      </xdr:grpSpPr>
      <xdr:sp macro="" textlink="">
        <xdr:nvSpPr>
          <xdr:cNvPr id="43" name="Line 4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4" name="Line 4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5" name="Line 4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24</xdr:row>
      <xdr:rowOff>0</xdr:rowOff>
    </xdr:from>
    <xdr:to>
      <xdr:col>8</xdr:col>
      <xdr:colOff>409575</xdr:colOff>
      <xdr:row>24</xdr:row>
      <xdr:rowOff>0</xdr:rowOff>
    </xdr:to>
    <xdr:grpSp>
      <xdr:nvGrpSpPr>
        <xdr:cNvPr id="46" name="Group 45"/>
        <xdr:cNvGrpSpPr>
          <a:grpSpLocks/>
        </xdr:cNvGrpSpPr>
      </xdr:nvGrpSpPr>
      <xdr:grpSpPr bwMode="auto">
        <a:xfrm>
          <a:off x="3200400" y="4856480"/>
          <a:ext cx="1392047" cy="0"/>
          <a:chOff x="3200400" y="4856480"/>
          <a:chExt cx="1392047" cy="0"/>
        </a:xfrm>
      </xdr:grpSpPr>
      <xdr:sp macro="" textlink="">
        <xdr:nvSpPr>
          <xdr:cNvPr id="47" name="Line 4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8" name="Line 4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9" name="Line 4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9</xdr:row>
      <xdr:rowOff>0</xdr:rowOff>
    </xdr:from>
    <xdr:to>
      <xdr:col>8</xdr:col>
      <xdr:colOff>409575</xdr:colOff>
      <xdr:row>9</xdr:row>
      <xdr:rowOff>0</xdr:rowOff>
    </xdr:to>
    <xdr:grpSp>
      <xdr:nvGrpSpPr>
        <xdr:cNvPr id="50" name="Group 49"/>
        <xdr:cNvGrpSpPr>
          <a:grpSpLocks/>
        </xdr:cNvGrpSpPr>
      </xdr:nvGrpSpPr>
      <xdr:grpSpPr bwMode="auto">
        <a:xfrm>
          <a:off x="3200400" y="1808480"/>
          <a:ext cx="1392047" cy="0"/>
          <a:chOff x="3200400" y="1808480"/>
          <a:chExt cx="1392047" cy="0"/>
        </a:xfrm>
      </xdr:grpSpPr>
      <xdr:sp macro="" textlink="">
        <xdr:nvSpPr>
          <xdr:cNvPr id="51" name="Line 5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52" name="Line 5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3" name="Line 5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15</xdr:col>
      <xdr:colOff>57150</xdr:colOff>
      <xdr:row>8</xdr:row>
      <xdr:rowOff>28575</xdr:rowOff>
    </xdr:from>
    <xdr:to>
      <xdr:col>15</xdr:col>
      <xdr:colOff>466725</xdr:colOff>
      <xdr:row>9</xdr:row>
      <xdr:rowOff>0</xdr:rowOff>
    </xdr:to>
    <xdr:sp macro="" textlink="">
      <xdr:nvSpPr>
        <xdr:cNvPr id="54" name="AutoShape 53"/>
        <xdr:cNvSpPr>
          <a:spLocks noChangeArrowheads="1"/>
        </xdr:cNvSpPr>
      </xdr:nvSpPr>
      <xdr:spPr bwMode="auto">
        <a:xfrm>
          <a:off x="7429500" y="17240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7</xdr:row>
      <xdr:rowOff>28575</xdr:rowOff>
    </xdr:from>
    <xdr:to>
      <xdr:col>15</xdr:col>
      <xdr:colOff>466725</xdr:colOff>
      <xdr:row>8</xdr:row>
      <xdr:rowOff>0</xdr:rowOff>
    </xdr:to>
    <xdr:sp macro="" textlink="">
      <xdr:nvSpPr>
        <xdr:cNvPr id="55" name="AutoShape 54"/>
        <xdr:cNvSpPr>
          <a:spLocks noChangeArrowheads="1"/>
        </xdr:cNvSpPr>
      </xdr:nvSpPr>
      <xdr:spPr bwMode="auto">
        <a:xfrm>
          <a:off x="7429500" y="1495425"/>
          <a:ext cx="409575" cy="200025"/>
        </a:xfrm>
        <a:prstGeom prst="bracketPair">
          <a:avLst>
            <a:gd name="adj" fmla="val 16667"/>
          </a:avLst>
        </a:prstGeom>
        <a:noFill/>
        <a:ln w="9525">
          <a:solidFill>
            <a:srgbClr val="000000"/>
          </a:solidFill>
          <a:round/>
          <a:headEnd/>
          <a:tailEnd/>
        </a:ln>
      </xdr:spPr>
    </xdr:sp>
    <xdr:clientData/>
  </xdr:twoCellAnchor>
  <xdr:twoCellAnchor>
    <xdr:from>
      <xdr:col>6</xdr:col>
      <xdr:colOff>76200</xdr:colOff>
      <xdr:row>16</xdr:row>
      <xdr:rowOff>0</xdr:rowOff>
    </xdr:from>
    <xdr:to>
      <xdr:col>8</xdr:col>
      <xdr:colOff>409575</xdr:colOff>
      <xdr:row>16</xdr:row>
      <xdr:rowOff>0</xdr:rowOff>
    </xdr:to>
    <xdr:grpSp>
      <xdr:nvGrpSpPr>
        <xdr:cNvPr id="56" name="Group 60"/>
        <xdr:cNvGrpSpPr>
          <a:grpSpLocks/>
        </xdr:cNvGrpSpPr>
      </xdr:nvGrpSpPr>
      <xdr:grpSpPr bwMode="auto">
        <a:xfrm>
          <a:off x="3200400" y="3230880"/>
          <a:ext cx="1392047" cy="0"/>
          <a:chOff x="3200400" y="3230880"/>
          <a:chExt cx="1392047" cy="0"/>
        </a:xfrm>
      </xdr:grpSpPr>
      <xdr:sp macro="" textlink="">
        <xdr:nvSpPr>
          <xdr:cNvPr id="57" name="Line 61"/>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58" name="Line 62"/>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9" name="Line 63"/>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12</xdr:col>
      <xdr:colOff>0</xdr:colOff>
      <xdr:row>15</xdr:row>
      <xdr:rowOff>0</xdr:rowOff>
    </xdr:from>
    <xdr:to>
      <xdr:col>12</xdr:col>
      <xdr:colOff>76200</xdr:colOff>
      <xdr:row>19</xdr:row>
      <xdr:rowOff>0</xdr:rowOff>
    </xdr:to>
    <xdr:sp macro="" textlink="">
      <xdr:nvSpPr>
        <xdr:cNvPr id="60" name="AutoShape 64"/>
        <xdr:cNvSpPr>
          <a:spLocks/>
        </xdr:cNvSpPr>
      </xdr:nvSpPr>
      <xdr:spPr bwMode="auto">
        <a:xfrm>
          <a:off x="5915025" y="3295650"/>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12</xdr:col>
      <xdr:colOff>9525</xdr:colOff>
      <xdr:row>6</xdr:row>
      <xdr:rowOff>0</xdr:rowOff>
    </xdr:from>
    <xdr:to>
      <xdr:col>12</xdr:col>
      <xdr:colOff>76200</xdr:colOff>
      <xdr:row>9</xdr:row>
      <xdr:rowOff>0</xdr:rowOff>
    </xdr:to>
    <xdr:sp macro="" textlink="">
      <xdr:nvSpPr>
        <xdr:cNvPr id="61" name="AutoShape 65"/>
        <xdr:cNvSpPr>
          <a:spLocks/>
        </xdr:cNvSpPr>
      </xdr:nvSpPr>
      <xdr:spPr bwMode="auto">
        <a:xfrm>
          <a:off x="5924550" y="1238250"/>
          <a:ext cx="66675" cy="685800"/>
        </a:xfrm>
        <a:prstGeom prst="leftBrace">
          <a:avLst>
            <a:gd name="adj1" fmla="val 85714"/>
            <a:gd name="adj2" fmla="val 50000"/>
          </a:avLst>
        </a:prstGeom>
        <a:noFill/>
        <a:ln w="9525">
          <a:solidFill>
            <a:srgbClr val="000000"/>
          </a:solidFill>
          <a:round/>
          <a:headEnd/>
          <a:tailEnd/>
        </a:ln>
      </xdr:spPr>
    </xdr:sp>
    <xdr:clientData/>
  </xdr:twoCellAnchor>
  <xdr:twoCellAnchor>
    <xdr:from>
      <xdr:col>15</xdr:col>
      <xdr:colOff>57150</xdr:colOff>
      <xdr:row>6</xdr:row>
      <xdr:rowOff>28575</xdr:rowOff>
    </xdr:from>
    <xdr:to>
      <xdr:col>15</xdr:col>
      <xdr:colOff>466725</xdr:colOff>
      <xdr:row>7</xdr:row>
      <xdr:rowOff>0</xdr:rowOff>
    </xdr:to>
    <xdr:sp macro="" textlink="">
      <xdr:nvSpPr>
        <xdr:cNvPr id="62" name="AutoShape 66"/>
        <xdr:cNvSpPr>
          <a:spLocks noChangeArrowheads="1"/>
        </xdr:cNvSpPr>
      </xdr:nvSpPr>
      <xdr:spPr bwMode="auto">
        <a:xfrm>
          <a:off x="7429500" y="1266825"/>
          <a:ext cx="409575" cy="200025"/>
        </a:xfrm>
        <a:prstGeom prst="bracketPair">
          <a:avLst>
            <a:gd name="adj" fmla="val 16667"/>
          </a:avLst>
        </a:prstGeom>
        <a:noFill/>
        <a:ln w="9525">
          <a:solidFill>
            <a:srgbClr val="000000"/>
          </a:solidFill>
          <a:round/>
          <a:headEnd/>
          <a:tailEnd/>
        </a:ln>
      </xdr:spPr>
    </xdr:sp>
    <xdr:clientData/>
  </xdr:twoCellAnchor>
  <xdr:twoCellAnchor>
    <xdr:from>
      <xdr:col>12</xdr:col>
      <xdr:colOff>0</xdr:colOff>
      <xdr:row>10</xdr:row>
      <xdr:rowOff>0</xdr:rowOff>
    </xdr:from>
    <xdr:to>
      <xdr:col>12</xdr:col>
      <xdr:colOff>76200</xdr:colOff>
      <xdr:row>14</xdr:row>
      <xdr:rowOff>0</xdr:rowOff>
    </xdr:to>
    <xdr:sp macro="" textlink="">
      <xdr:nvSpPr>
        <xdr:cNvPr id="63" name="AutoShape 67"/>
        <xdr:cNvSpPr>
          <a:spLocks/>
        </xdr:cNvSpPr>
      </xdr:nvSpPr>
      <xdr:spPr bwMode="auto">
        <a:xfrm>
          <a:off x="5915025" y="2152650"/>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15</xdr:col>
      <xdr:colOff>57150</xdr:colOff>
      <xdr:row>12</xdr:row>
      <xdr:rowOff>28575</xdr:rowOff>
    </xdr:from>
    <xdr:to>
      <xdr:col>15</xdr:col>
      <xdr:colOff>466725</xdr:colOff>
      <xdr:row>13</xdr:row>
      <xdr:rowOff>0</xdr:rowOff>
    </xdr:to>
    <xdr:sp macro="" textlink="">
      <xdr:nvSpPr>
        <xdr:cNvPr id="64" name="AutoShape 71"/>
        <xdr:cNvSpPr>
          <a:spLocks noChangeArrowheads="1"/>
        </xdr:cNvSpPr>
      </xdr:nvSpPr>
      <xdr:spPr bwMode="auto">
        <a:xfrm>
          <a:off x="7429500" y="26384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11</xdr:row>
      <xdr:rowOff>28575</xdr:rowOff>
    </xdr:from>
    <xdr:to>
      <xdr:col>15</xdr:col>
      <xdr:colOff>466725</xdr:colOff>
      <xdr:row>12</xdr:row>
      <xdr:rowOff>0</xdr:rowOff>
    </xdr:to>
    <xdr:sp macro="" textlink="">
      <xdr:nvSpPr>
        <xdr:cNvPr id="65" name="AutoShape 72"/>
        <xdr:cNvSpPr>
          <a:spLocks noChangeArrowheads="1"/>
        </xdr:cNvSpPr>
      </xdr:nvSpPr>
      <xdr:spPr bwMode="auto">
        <a:xfrm>
          <a:off x="7429500" y="24098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10</xdr:row>
      <xdr:rowOff>28575</xdr:rowOff>
    </xdr:from>
    <xdr:to>
      <xdr:col>15</xdr:col>
      <xdr:colOff>466725</xdr:colOff>
      <xdr:row>11</xdr:row>
      <xdr:rowOff>0</xdr:rowOff>
    </xdr:to>
    <xdr:sp macro="" textlink="">
      <xdr:nvSpPr>
        <xdr:cNvPr id="66" name="AutoShape 73"/>
        <xdr:cNvSpPr>
          <a:spLocks noChangeArrowheads="1"/>
        </xdr:cNvSpPr>
      </xdr:nvSpPr>
      <xdr:spPr bwMode="auto">
        <a:xfrm>
          <a:off x="7429500" y="21812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13</xdr:row>
      <xdr:rowOff>28575</xdr:rowOff>
    </xdr:from>
    <xdr:to>
      <xdr:col>15</xdr:col>
      <xdr:colOff>466725</xdr:colOff>
      <xdr:row>14</xdr:row>
      <xdr:rowOff>0</xdr:rowOff>
    </xdr:to>
    <xdr:sp macro="" textlink="">
      <xdr:nvSpPr>
        <xdr:cNvPr id="67" name="AutoShape 74"/>
        <xdr:cNvSpPr>
          <a:spLocks noChangeArrowheads="1"/>
        </xdr:cNvSpPr>
      </xdr:nvSpPr>
      <xdr:spPr bwMode="auto">
        <a:xfrm>
          <a:off x="7429500" y="28670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17</xdr:row>
      <xdr:rowOff>28575</xdr:rowOff>
    </xdr:from>
    <xdr:to>
      <xdr:col>15</xdr:col>
      <xdr:colOff>466725</xdr:colOff>
      <xdr:row>18</xdr:row>
      <xdr:rowOff>0</xdr:rowOff>
    </xdr:to>
    <xdr:sp macro="" textlink="">
      <xdr:nvSpPr>
        <xdr:cNvPr id="68" name="AutoShape 75"/>
        <xdr:cNvSpPr>
          <a:spLocks noChangeArrowheads="1"/>
        </xdr:cNvSpPr>
      </xdr:nvSpPr>
      <xdr:spPr bwMode="auto">
        <a:xfrm>
          <a:off x="7429500" y="37814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16</xdr:row>
      <xdr:rowOff>28575</xdr:rowOff>
    </xdr:from>
    <xdr:to>
      <xdr:col>15</xdr:col>
      <xdr:colOff>466725</xdr:colOff>
      <xdr:row>17</xdr:row>
      <xdr:rowOff>0</xdr:rowOff>
    </xdr:to>
    <xdr:sp macro="" textlink="">
      <xdr:nvSpPr>
        <xdr:cNvPr id="69" name="AutoShape 76"/>
        <xdr:cNvSpPr>
          <a:spLocks noChangeArrowheads="1"/>
        </xdr:cNvSpPr>
      </xdr:nvSpPr>
      <xdr:spPr bwMode="auto">
        <a:xfrm>
          <a:off x="7429500" y="35528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15</xdr:row>
      <xdr:rowOff>28575</xdr:rowOff>
    </xdr:from>
    <xdr:to>
      <xdr:col>15</xdr:col>
      <xdr:colOff>466725</xdr:colOff>
      <xdr:row>16</xdr:row>
      <xdr:rowOff>0</xdr:rowOff>
    </xdr:to>
    <xdr:sp macro="" textlink="">
      <xdr:nvSpPr>
        <xdr:cNvPr id="70" name="AutoShape 77"/>
        <xdr:cNvSpPr>
          <a:spLocks noChangeArrowheads="1"/>
        </xdr:cNvSpPr>
      </xdr:nvSpPr>
      <xdr:spPr bwMode="auto">
        <a:xfrm>
          <a:off x="7429500" y="3324225"/>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18</xdr:row>
      <xdr:rowOff>28575</xdr:rowOff>
    </xdr:from>
    <xdr:to>
      <xdr:col>15</xdr:col>
      <xdr:colOff>466725</xdr:colOff>
      <xdr:row>19</xdr:row>
      <xdr:rowOff>0</xdr:rowOff>
    </xdr:to>
    <xdr:sp macro="" textlink="">
      <xdr:nvSpPr>
        <xdr:cNvPr id="71" name="AutoShape 78"/>
        <xdr:cNvSpPr>
          <a:spLocks noChangeArrowheads="1"/>
        </xdr:cNvSpPr>
      </xdr:nvSpPr>
      <xdr:spPr bwMode="auto">
        <a:xfrm>
          <a:off x="7429500" y="4010025"/>
          <a:ext cx="409575" cy="200025"/>
        </a:xfrm>
        <a:prstGeom prst="bracketPair">
          <a:avLst>
            <a:gd name="adj" fmla="val 16667"/>
          </a:avLst>
        </a:prstGeom>
        <a:noFill/>
        <a:ln w="9525">
          <a:solidFill>
            <a:srgbClr val="000000"/>
          </a:solidFill>
          <a:round/>
          <a:headEnd/>
          <a:tailEnd/>
        </a:ln>
      </xdr:spPr>
    </xdr:sp>
    <xdr:clientData/>
  </xdr:twoCellAnchor>
  <xdr:twoCellAnchor>
    <xdr:from>
      <xdr:col>6</xdr:col>
      <xdr:colOff>76200</xdr:colOff>
      <xdr:row>23</xdr:row>
      <xdr:rowOff>19050</xdr:rowOff>
    </xdr:from>
    <xdr:to>
      <xdr:col>8</xdr:col>
      <xdr:colOff>409575</xdr:colOff>
      <xdr:row>23</xdr:row>
      <xdr:rowOff>19050</xdr:rowOff>
    </xdr:to>
    <xdr:grpSp>
      <xdr:nvGrpSpPr>
        <xdr:cNvPr id="72" name="Group 79"/>
        <xdr:cNvGrpSpPr>
          <a:grpSpLocks/>
        </xdr:cNvGrpSpPr>
      </xdr:nvGrpSpPr>
      <xdr:grpSpPr bwMode="auto">
        <a:xfrm>
          <a:off x="3200400" y="4672330"/>
          <a:ext cx="1392047" cy="0"/>
          <a:chOff x="3200400" y="4672330"/>
          <a:chExt cx="1392047" cy="0"/>
        </a:xfrm>
      </xdr:grpSpPr>
      <xdr:sp macro="" textlink="">
        <xdr:nvSpPr>
          <xdr:cNvPr id="73" name="Line 8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74" name="Line 8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75" name="Line 8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8</xdr:col>
      <xdr:colOff>686</xdr:colOff>
      <xdr:row>5</xdr:row>
      <xdr:rowOff>161854</xdr:rowOff>
    </xdr:from>
    <xdr:to>
      <xdr:col>8</xdr:col>
      <xdr:colOff>686</xdr:colOff>
      <xdr:row>24</xdr:row>
      <xdr:rowOff>26140</xdr:rowOff>
    </xdr:to>
    <xdr:cxnSp macro="">
      <xdr:nvCxnSpPr>
        <xdr:cNvPr id="78" name="77 Conector recto"/>
        <xdr:cNvCxnSpPr/>
      </xdr:nvCxnSpPr>
      <xdr:spPr>
        <a:xfrm>
          <a:off x="3963086" y="1177854"/>
          <a:ext cx="0" cy="3966386"/>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xdr:row>
      <xdr:rowOff>158750</xdr:rowOff>
    </xdr:from>
    <xdr:to>
      <xdr:col>7</xdr:col>
      <xdr:colOff>0</xdr:colOff>
      <xdr:row>24</xdr:row>
      <xdr:rowOff>23036</xdr:rowOff>
    </xdr:to>
    <xdr:cxnSp macro="">
      <xdr:nvCxnSpPr>
        <xdr:cNvPr id="81" name="80 Conector recto"/>
        <xdr:cNvCxnSpPr/>
      </xdr:nvCxnSpPr>
      <xdr:spPr>
        <a:xfrm>
          <a:off x="3444875" y="1174750"/>
          <a:ext cx="0" cy="3785411"/>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50800</xdr:colOff>
      <xdr:row>36</xdr:row>
      <xdr:rowOff>165736</xdr:rowOff>
    </xdr:from>
    <xdr:to>
      <xdr:col>2</xdr:col>
      <xdr:colOff>444500</xdr:colOff>
      <xdr:row>41</xdr:row>
      <xdr:rowOff>218536</xdr:rowOff>
    </xdr:to>
    <xdr:pic>
      <xdr:nvPicPr>
        <xdr:cNvPr id="82" name="Picture 11" descr="Escanear000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50800" y="8147686"/>
          <a:ext cx="1384300" cy="1329150"/>
        </a:xfrm>
        <a:prstGeom prst="rect">
          <a:avLst/>
        </a:prstGeom>
        <a:noFill/>
        <a:ln w="9525">
          <a:noFill/>
          <a:miter lim="800000"/>
          <a:headEnd/>
          <a:tailEnd/>
        </a:ln>
      </xdr:spPr>
    </xdr:pic>
    <xdr:clientData fPrintsWithSheet="0"/>
  </xdr:twoCellAnchor>
  <xdr:twoCellAnchor>
    <xdr:from>
      <xdr:col>1</xdr:col>
      <xdr:colOff>0</xdr:colOff>
      <xdr:row>0</xdr:row>
      <xdr:rowOff>76200</xdr:rowOff>
    </xdr:from>
    <xdr:to>
      <xdr:col>3</xdr:col>
      <xdr:colOff>354032</xdr:colOff>
      <xdr:row>2</xdr:row>
      <xdr:rowOff>146050</xdr:rowOff>
    </xdr:to>
    <xdr:pic>
      <xdr:nvPicPr>
        <xdr:cNvPr id="85" name="2 Imagen" descr="Gobierno horizontal.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2083" t="1598" r="2511" b="12924"/>
        <a:stretch>
          <a:fillRect/>
        </a:stretch>
      </xdr:blipFill>
      <xdr:spPr bwMode="auto">
        <a:xfrm>
          <a:off x="495300" y="76200"/>
          <a:ext cx="1344632" cy="565150"/>
        </a:xfrm>
        <a:prstGeom prst="rect">
          <a:avLst/>
        </a:prstGeom>
        <a:noFill/>
        <a:ln w="9525">
          <a:noFill/>
          <a:miter lim="800000"/>
          <a:headEnd/>
          <a:tailEnd/>
        </a:ln>
      </xdr:spPr>
    </xdr:pic>
    <xdr:clientData/>
  </xdr:twoCellAnchor>
  <xdr:twoCellAnchor>
    <xdr:from>
      <xdr:col>3</xdr:col>
      <xdr:colOff>486650</xdr:colOff>
      <xdr:row>0</xdr:row>
      <xdr:rowOff>95250</xdr:rowOff>
    </xdr:from>
    <xdr:to>
      <xdr:col>6</xdr:col>
      <xdr:colOff>322163</xdr:colOff>
      <xdr:row>2</xdr:row>
      <xdr:rowOff>152400</xdr:rowOff>
    </xdr:to>
    <xdr:pic>
      <xdr:nvPicPr>
        <xdr:cNvPr id="86" name="3 Imagen" descr="logoresultados.jpg"/>
        <xdr:cNvPicPr>
          <a:picLocks noChangeAspect="1" noChangeArrowheads="1"/>
        </xdr:cNvPicPr>
      </xdr:nvPicPr>
      <xdr:blipFill>
        <a:blip xmlns:r="http://schemas.openxmlformats.org/officeDocument/2006/relationships" r:embed="rId3" cstate="print">
          <a:clrChange>
            <a:clrFrom>
              <a:srgbClr val="FFFFFE"/>
            </a:clrFrom>
            <a:clrTo>
              <a:srgbClr val="FFFFFE">
                <a:alpha val="0"/>
              </a:srgbClr>
            </a:clrTo>
          </a:clrChange>
        </a:blip>
        <a:srcRect l="4529" t="3762" r="5388" b="4403"/>
        <a:stretch>
          <a:fillRect/>
        </a:stretch>
      </xdr:blipFill>
      <xdr:spPr bwMode="auto">
        <a:xfrm>
          <a:off x="1972550" y="95250"/>
          <a:ext cx="1321413" cy="552450"/>
        </a:xfrm>
        <a:prstGeom prst="rect">
          <a:avLst/>
        </a:prstGeom>
        <a:noFill/>
        <a:ln w="9525">
          <a:noFill/>
          <a:miter lim="800000"/>
          <a:headEnd/>
          <a:tailEnd/>
        </a:ln>
      </xdr:spPr>
    </xdr:pic>
    <xdr:clientData/>
  </xdr:twoCellAnchor>
</xdr:wsDr>
</file>

<file path=xl/drawings/drawing23.xml><?xml version="1.0" encoding="utf-8"?>
<xdr:wsDr xmlns:xdr="http://schemas.openxmlformats.org/drawingml/2006/spreadsheetDrawing" xmlns:a="http://schemas.openxmlformats.org/drawingml/2006/main">
  <xdr:twoCellAnchor>
    <xdr:from>
      <xdr:col>6</xdr:col>
      <xdr:colOff>76200</xdr:colOff>
      <xdr:row>7</xdr:row>
      <xdr:rowOff>0</xdr:rowOff>
    </xdr:from>
    <xdr:to>
      <xdr:col>8</xdr:col>
      <xdr:colOff>409575</xdr:colOff>
      <xdr:row>7</xdr:row>
      <xdr:rowOff>0</xdr:rowOff>
    </xdr:to>
    <xdr:grpSp>
      <xdr:nvGrpSpPr>
        <xdr:cNvPr id="2" name="Group 1"/>
        <xdr:cNvGrpSpPr>
          <a:grpSpLocks/>
        </xdr:cNvGrpSpPr>
      </xdr:nvGrpSpPr>
      <xdr:grpSpPr bwMode="auto">
        <a:xfrm>
          <a:off x="3217864" y="1404551"/>
          <a:ext cx="1397869" cy="0"/>
          <a:chOff x="3217864" y="1404551"/>
          <a:chExt cx="1397869" cy="0"/>
        </a:xfrm>
      </xdr:grpSpPr>
      <xdr:sp macro="" textlink="">
        <xdr:nvSpPr>
          <xdr:cNvPr id="3" name="Line 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 name="Line 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 name="Line 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11</xdr:row>
      <xdr:rowOff>0</xdr:rowOff>
    </xdr:from>
    <xdr:to>
      <xdr:col>8</xdr:col>
      <xdr:colOff>409575</xdr:colOff>
      <xdr:row>11</xdr:row>
      <xdr:rowOff>0</xdr:rowOff>
    </xdr:to>
    <xdr:grpSp>
      <xdr:nvGrpSpPr>
        <xdr:cNvPr id="6" name="Group 5"/>
        <xdr:cNvGrpSpPr>
          <a:grpSpLocks/>
        </xdr:cNvGrpSpPr>
      </xdr:nvGrpSpPr>
      <xdr:grpSpPr bwMode="auto">
        <a:xfrm>
          <a:off x="3217864" y="2228335"/>
          <a:ext cx="1397869" cy="0"/>
          <a:chOff x="3217864" y="2228335"/>
          <a:chExt cx="1397869" cy="0"/>
        </a:xfrm>
      </xdr:grpSpPr>
      <xdr:sp macro="" textlink="">
        <xdr:nvSpPr>
          <xdr:cNvPr id="7" name="Line 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 name="Line 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 name="Line 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10</xdr:row>
      <xdr:rowOff>0</xdr:rowOff>
    </xdr:from>
    <xdr:to>
      <xdr:col>8</xdr:col>
      <xdr:colOff>409575</xdr:colOff>
      <xdr:row>10</xdr:row>
      <xdr:rowOff>0</xdr:rowOff>
    </xdr:to>
    <xdr:grpSp>
      <xdr:nvGrpSpPr>
        <xdr:cNvPr id="10" name="Group 9"/>
        <xdr:cNvGrpSpPr>
          <a:grpSpLocks/>
        </xdr:cNvGrpSpPr>
      </xdr:nvGrpSpPr>
      <xdr:grpSpPr bwMode="auto">
        <a:xfrm>
          <a:off x="3217864" y="2022389"/>
          <a:ext cx="1397869" cy="0"/>
          <a:chOff x="3217864" y="2022389"/>
          <a:chExt cx="1397869" cy="0"/>
        </a:xfrm>
      </xdr:grpSpPr>
      <xdr:sp macro="" textlink="">
        <xdr:nvSpPr>
          <xdr:cNvPr id="11" name="Line 1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 name="Line 1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3" name="Line 1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14</xdr:row>
      <xdr:rowOff>0</xdr:rowOff>
    </xdr:from>
    <xdr:to>
      <xdr:col>8</xdr:col>
      <xdr:colOff>409575</xdr:colOff>
      <xdr:row>14</xdr:row>
      <xdr:rowOff>0</xdr:rowOff>
    </xdr:to>
    <xdr:grpSp>
      <xdr:nvGrpSpPr>
        <xdr:cNvPr id="14" name="Group 13"/>
        <xdr:cNvGrpSpPr>
          <a:grpSpLocks/>
        </xdr:cNvGrpSpPr>
      </xdr:nvGrpSpPr>
      <xdr:grpSpPr bwMode="auto">
        <a:xfrm>
          <a:off x="3217864" y="2846173"/>
          <a:ext cx="1397869" cy="0"/>
          <a:chOff x="3217864" y="2846173"/>
          <a:chExt cx="1397869" cy="0"/>
        </a:xfrm>
      </xdr:grpSpPr>
      <xdr:sp macro="" textlink="">
        <xdr:nvSpPr>
          <xdr:cNvPr id="15" name="Line 1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6" name="Line 1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7" name="Line 1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13</xdr:row>
      <xdr:rowOff>0</xdr:rowOff>
    </xdr:from>
    <xdr:to>
      <xdr:col>8</xdr:col>
      <xdr:colOff>409575</xdr:colOff>
      <xdr:row>13</xdr:row>
      <xdr:rowOff>0</xdr:rowOff>
    </xdr:to>
    <xdr:grpSp>
      <xdr:nvGrpSpPr>
        <xdr:cNvPr id="18" name="Group 17"/>
        <xdr:cNvGrpSpPr>
          <a:grpSpLocks/>
        </xdr:cNvGrpSpPr>
      </xdr:nvGrpSpPr>
      <xdr:grpSpPr bwMode="auto">
        <a:xfrm>
          <a:off x="3217864" y="2640227"/>
          <a:ext cx="1397869" cy="0"/>
          <a:chOff x="3217864" y="2640227"/>
          <a:chExt cx="1397869" cy="0"/>
        </a:xfrm>
      </xdr:grpSpPr>
      <xdr:sp macro="" textlink="">
        <xdr:nvSpPr>
          <xdr:cNvPr id="19" name="Line 1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0" name="Line 1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1" name="Line 2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0</xdr:rowOff>
    </xdr:from>
    <xdr:to>
      <xdr:col>8</xdr:col>
      <xdr:colOff>409575</xdr:colOff>
      <xdr:row>16</xdr:row>
      <xdr:rowOff>0</xdr:rowOff>
    </xdr:to>
    <xdr:grpSp>
      <xdr:nvGrpSpPr>
        <xdr:cNvPr id="22" name="Group 21"/>
        <xdr:cNvGrpSpPr>
          <a:grpSpLocks/>
        </xdr:cNvGrpSpPr>
      </xdr:nvGrpSpPr>
      <xdr:grpSpPr bwMode="auto">
        <a:xfrm>
          <a:off x="3217864" y="3258065"/>
          <a:ext cx="1397869" cy="0"/>
          <a:chOff x="3217864" y="3258065"/>
          <a:chExt cx="1397869" cy="0"/>
        </a:xfrm>
      </xdr:grpSpPr>
      <xdr:sp macro="" textlink="">
        <xdr:nvSpPr>
          <xdr:cNvPr id="23" name="Line 2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4" name="Line 2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5" name="Line 2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17</xdr:row>
      <xdr:rowOff>0</xdr:rowOff>
    </xdr:from>
    <xdr:to>
      <xdr:col>8</xdr:col>
      <xdr:colOff>409575</xdr:colOff>
      <xdr:row>17</xdr:row>
      <xdr:rowOff>0</xdr:rowOff>
    </xdr:to>
    <xdr:grpSp>
      <xdr:nvGrpSpPr>
        <xdr:cNvPr id="26" name="Group 25"/>
        <xdr:cNvGrpSpPr>
          <a:grpSpLocks/>
        </xdr:cNvGrpSpPr>
      </xdr:nvGrpSpPr>
      <xdr:grpSpPr bwMode="auto">
        <a:xfrm>
          <a:off x="3217864" y="3464011"/>
          <a:ext cx="1397869" cy="0"/>
          <a:chOff x="3217864" y="3464011"/>
          <a:chExt cx="1397869" cy="0"/>
        </a:xfrm>
      </xdr:grpSpPr>
      <xdr:sp macro="" textlink="">
        <xdr:nvSpPr>
          <xdr:cNvPr id="27" name="Line 2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28" name="Line 2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29" name="Line 2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19</xdr:row>
      <xdr:rowOff>0</xdr:rowOff>
    </xdr:from>
    <xdr:to>
      <xdr:col>8</xdr:col>
      <xdr:colOff>409575</xdr:colOff>
      <xdr:row>19</xdr:row>
      <xdr:rowOff>0</xdr:rowOff>
    </xdr:to>
    <xdr:grpSp>
      <xdr:nvGrpSpPr>
        <xdr:cNvPr id="30" name="Group 29"/>
        <xdr:cNvGrpSpPr>
          <a:grpSpLocks/>
        </xdr:cNvGrpSpPr>
      </xdr:nvGrpSpPr>
      <xdr:grpSpPr bwMode="auto">
        <a:xfrm>
          <a:off x="3217864" y="3875903"/>
          <a:ext cx="1397869" cy="0"/>
          <a:chOff x="3217864" y="3875903"/>
          <a:chExt cx="1397869" cy="0"/>
        </a:xfrm>
      </xdr:grpSpPr>
      <xdr:sp macro="" textlink="">
        <xdr:nvSpPr>
          <xdr:cNvPr id="31" name="Line 3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2" name="Line 3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3" name="Line 3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20</xdr:row>
      <xdr:rowOff>0</xdr:rowOff>
    </xdr:from>
    <xdr:to>
      <xdr:col>8</xdr:col>
      <xdr:colOff>409575</xdr:colOff>
      <xdr:row>20</xdr:row>
      <xdr:rowOff>0</xdr:rowOff>
    </xdr:to>
    <xdr:grpSp>
      <xdr:nvGrpSpPr>
        <xdr:cNvPr id="34" name="Group 33"/>
        <xdr:cNvGrpSpPr>
          <a:grpSpLocks/>
        </xdr:cNvGrpSpPr>
      </xdr:nvGrpSpPr>
      <xdr:grpSpPr bwMode="auto">
        <a:xfrm>
          <a:off x="3217864" y="4081849"/>
          <a:ext cx="1397869" cy="0"/>
          <a:chOff x="3217864" y="4081849"/>
          <a:chExt cx="1397869" cy="0"/>
        </a:xfrm>
      </xdr:grpSpPr>
      <xdr:sp macro="" textlink="">
        <xdr:nvSpPr>
          <xdr:cNvPr id="35" name="Line 3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36" name="Line 3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37" name="Line 3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21</xdr:row>
      <xdr:rowOff>0</xdr:rowOff>
    </xdr:from>
    <xdr:to>
      <xdr:col>8</xdr:col>
      <xdr:colOff>409575</xdr:colOff>
      <xdr:row>21</xdr:row>
      <xdr:rowOff>0</xdr:rowOff>
    </xdr:to>
    <xdr:grpSp>
      <xdr:nvGrpSpPr>
        <xdr:cNvPr id="38" name="Group 37"/>
        <xdr:cNvGrpSpPr>
          <a:grpSpLocks/>
        </xdr:cNvGrpSpPr>
      </xdr:nvGrpSpPr>
      <xdr:grpSpPr bwMode="auto">
        <a:xfrm>
          <a:off x="3217864" y="4287795"/>
          <a:ext cx="1397869" cy="0"/>
          <a:chOff x="3217864" y="4287795"/>
          <a:chExt cx="1397869" cy="0"/>
        </a:xfrm>
      </xdr:grpSpPr>
      <xdr:sp macro="" textlink="">
        <xdr:nvSpPr>
          <xdr:cNvPr id="39" name="Line 3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0" name="Line 3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1" name="Line 4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22</xdr:row>
      <xdr:rowOff>0</xdr:rowOff>
    </xdr:from>
    <xdr:to>
      <xdr:col>8</xdr:col>
      <xdr:colOff>409575</xdr:colOff>
      <xdr:row>22</xdr:row>
      <xdr:rowOff>0</xdr:rowOff>
    </xdr:to>
    <xdr:grpSp>
      <xdr:nvGrpSpPr>
        <xdr:cNvPr id="42" name="Group 41"/>
        <xdr:cNvGrpSpPr>
          <a:grpSpLocks/>
        </xdr:cNvGrpSpPr>
      </xdr:nvGrpSpPr>
      <xdr:grpSpPr bwMode="auto">
        <a:xfrm>
          <a:off x="3217864" y="4493741"/>
          <a:ext cx="1397869" cy="0"/>
          <a:chOff x="3217864" y="4493741"/>
          <a:chExt cx="1397869" cy="0"/>
        </a:xfrm>
      </xdr:grpSpPr>
      <xdr:sp macro="" textlink="">
        <xdr:nvSpPr>
          <xdr:cNvPr id="43" name="Line 4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4" name="Line 4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5" name="Line 4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24</xdr:row>
      <xdr:rowOff>0</xdr:rowOff>
    </xdr:from>
    <xdr:to>
      <xdr:col>8</xdr:col>
      <xdr:colOff>409575</xdr:colOff>
      <xdr:row>24</xdr:row>
      <xdr:rowOff>0</xdr:rowOff>
    </xdr:to>
    <xdr:grpSp>
      <xdr:nvGrpSpPr>
        <xdr:cNvPr id="46" name="Group 45"/>
        <xdr:cNvGrpSpPr>
          <a:grpSpLocks/>
        </xdr:cNvGrpSpPr>
      </xdr:nvGrpSpPr>
      <xdr:grpSpPr bwMode="auto">
        <a:xfrm>
          <a:off x="3217864" y="4905632"/>
          <a:ext cx="1397869" cy="0"/>
          <a:chOff x="3217864" y="4905632"/>
          <a:chExt cx="1397869" cy="0"/>
        </a:xfrm>
      </xdr:grpSpPr>
      <xdr:sp macro="" textlink="">
        <xdr:nvSpPr>
          <xdr:cNvPr id="47" name="Line 4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48" name="Line 4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49" name="Line 4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9</xdr:row>
      <xdr:rowOff>0</xdr:rowOff>
    </xdr:from>
    <xdr:to>
      <xdr:col>8</xdr:col>
      <xdr:colOff>409575</xdr:colOff>
      <xdr:row>9</xdr:row>
      <xdr:rowOff>0</xdr:rowOff>
    </xdr:to>
    <xdr:grpSp>
      <xdr:nvGrpSpPr>
        <xdr:cNvPr id="50" name="Group 51"/>
        <xdr:cNvGrpSpPr>
          <a:grpSpLocks/>
        </xdr:cNvGrpSpPr>
      </xdr:nvGrpSpPr>
      <xdr:grpSpPr bwMode="auto">
        <a:xfrm>
          <a:off x="3217864" y="1816443"/>
          <a:ext cx="1397869" cy="0"/>
          <a:chOff x="3217864" y="1816443"/>
          <a:chExt cx="1397869" cy="0"/>
        </a:xfrm>
      </xdr:grpSpPr>
      <xdr:sp macro="" textlink="">
        <xdr:nvSpPr>
          <xdr:cNvPr id="51" name="Line 5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52" name="Line 5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3" name="Line 5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15</xdr:col>
      <xdr:colOff>57150</xdr:colOff>
      <xdr:row>8</xdr:row>
      <xdr:rowOff>28575</xdr:rowOff>
    </xdr:from>
    <xdr:to>
      <xdr:col>15</xdr:col>
      <xdr:colOff>466725</xdr:colOff>
      <xdr:row>9</xdr:row>
      <xdr:rowOff>0</xdr:rowOff>
    </xdr:to>
    <xdr:sp macro="" textlink="">
      <xdr:nvSpPr>
        <xdr:cNvPr id="54" name="AutoShape 56"/>
        <xdr:cNvSpPr>
          <a:spLocks noChangeArrowheads="1"/>
        </xdr:cNvSpPr>
      </xdr:nvSpPr>
      <xdr:spPr bwMode="auto">
        <a:xfrm>
          <a:off x="7429500" y="1733550"/>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7</xdr:row>
      <xdr:rowOff>28575</xdr:rowOff>
    </xdr:from>
    <xdr:to>
      <xdr:col>15</xdr:col>
      <xdr:colOff>466725</xdr:colOff>
      <xdr:row>8</xdr:row>
      <xdr:rowOff>0</xdr:rowOff>
    </xdr:to>
    <xdr:sp macro="" textlink="">
      <xdr:nvSpPr>
        <xdr:cNvPr id="55" name="AutoShape 57"/>
        <xdr:cNvSpPr>
          <a:spLocks noChangeArrowheads="1"/>
        </xdr:cNvSpPr>
      </xdr:nvSpPr>
      <xdr:spPr bwMode="auto">
        <a:xfrm>
          <a:off x="7429500" y="1504950"/>
          <a:ext cx="409575" cy="200025"/>
        </a:xfrm>
        <a:prstGeom prst="bracketPair">
          <a:avLst>
            <a:gd name="adj" fmla="val 16667"/>
          </a:avLst>
        </a:prstGeom>
        <a:noFill/>
        <a:ln w="9525">
          <a:solidFill>
            <a:srgbClr val="000000"/>
          </a:solidFill>
          <a:round/>
          <a:headEnd/>
          <a:tailEnd/>
        </a:ln>
      </xdr:spPr>
    </xdr:sp>
    <xdr:clientData/>
  </xdr:twoCellAnchor>
  <xdr:twoCellAnchor>
    <xdr:from>
      <xdr:col>6</xdr:col>
      <xdr:colOff>71071</xdr:colOff>
      <xdr:row>22</xdr:row>
      <xdr:rowOff>158995</xdr:rowOff>
    </xdr:from>
    <xdr:to>
      <xdr:col>8</xdr:col>
      <xdr:colOff>404446</xdr:colOff>
      <xdr:row>22</xdr:row>
      <xdr:rowOff>158995</xdr:rowOff>
    </xdr:to>
    <xdr:grpSp>
      <xdr:nvGrpSpPr>
        <xdr:cNvPr id="56" name="Group 65"/>
        <xdr:cNvGrpSpPr>
          <a:grpSpLocks/>
        </xdr:cNvGrpSpPr>
      </xdr:nvGrpSpPr>
      <xdr:grpSpPr bwMode="auto">
        <a:xfrm>
          <a:off x="3209687" y="4652736"/>
          <a:ext cx="1403965" cy="0"/>
          <a:chOff x="3209687" y="4652736"/>
          <a:chExt cx="1403965" cy="0"/>
        </a:xfrm>
      </xdr:grpSpPr>
      <xdr:sp macro="" textlink="">
        <xdr:nvSpPr>
          <xdr:cNvPr id="57" name="Line 6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58" name="Line 6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59" name="Line 6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0</xdr:rowOff>
    </xdr:from>
    <xdr:to>
      <xdr:col>8</xdr:col>
      <xdr:colOff>409575</xdr:colOff>
      <xdr:row>16</xdr:row>
      <xdr:rowOff>0</xdr:rowOff>
    </xdr:to>
    <xdr:grpSp>
      <xdr:nvGrpSpPr>
        <xdr:cNvPr id="60" name="Group 69"/>
        <xdr:cNvGrpSpPr>
          <a:grpSpLocks/>
        </xdr:cNvGrpSpPr>
      </xdr:nvGrpSpPr>
      <xdr:grpSpPr bwMode="auto">
        <a:xfrm>
          <a:off x="3217864" y="3258065"/>
          <a:ext cx="1397869" cy="0"/>
          <a:chOff x="3217864" y="3258065"/>
          <a:chExt cx="1397869" cy="0"/>
        </a:xfrm>
      </xdr:grpSpPr>
      <xdr:sp macro="" textlink="">
        <xdr:nvSpPr>
          <xdr:cNvPr id="61" name="Line 7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62" name="Line 7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63" name="Line 7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12</xdr:col>
      <xdr:colOff>0</xdr:colOff>
      <xdr:row>15</xdr:row>
      <xdr:rowOff>0</xdr:rowOff>
    </xdr:from>
    <xdr:to>
      <xdr:col>12</xdr:col>
      <xdr:colOff>76200</xdr:colOff>
      <xdr:row>19</xdr:row>
      <xdr:rowOff>0</xdr:rowOff>
    </xdr:to>
    <xdr:sp macro="" textlink="">
      <xdr:nvSpPr>
        <xdr:cNvPr id="64" name="AutoShape 73"/>
        <xdr:cNvSpPr>
          <a:spLocks/>
        </xdr:cNvSpPr>
      </xdr:nvSpPr>
      <xdr:spPr bwMode="auto">
        <a:xfrm>
          <a:off x="5915025" y="3305175"/>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12</xdr:col>
      <xdr:colOff>9525</xdr:colOff>
      <xdr:row>6</xdr:row>
      <xdr:rowOff>0</xdr:rowOff>
    </xdr:from>
    <xdr:to>
      <xdr:col>12</xdr:col>
      <xdr:colOff>76200</xdr:colOff>
      <xdr:row>9</xdr:row>
      <xdr:rowOff>0</xdr:rowOff>
    </xdr:to>
    <xdr:sp macro="" textlink="">
      <xdr:nvSpPr>
        <xdr:cNvPr id="65" name="AutoShape 75"/>
        <xdr:cNvSpPr>
          <a:spLocks/>
        </xdr:cNvSpPr>
      </xdr:nvSpPr>
      <xdr:spPr bwMode="auto">
        <a:xfrm>
          <a:off x="5924550" y="1247775"/>
          <a:ext cx="66675" cy="685800"/>
        </a:xfrm>
        <a:prstGeom prst="leftBrace">
          <a:avLst>
            <a:gd name="adj1" fmla="val 85714"/>
            <a:gd name="adj2" fmla="val 50000"/>
          </a:avLst>
        </a:prstGeom>
        <a:noFill/>
        <a:ln w="9525">
          <a:solidFill>
            <a:srgbClr val="000000"/>
          </a:solidFill>
          <a:round/>
          <a:headEnd/>
          <a:tailEnd/>
        </a:ln>
      </xdr:spPr>
    </xdr:sp>
    <xdr:clientData/>
  </xdr:twoCellAnchor>
  <xdr:twoCellAnchor>
    <xdr:from>
      <xdr:col>15</xdr:col>
      <xdr:colOff>57150</xdr:colOff>
      <xdr:row>6</xdr:row>
      <xdr:rowOff>28575</xdr:rowOff>
    </xdr:from>
    <xdr:to>
      <xdr:col>15</xdr:col>
      <xdr:colOff>466725</xdr:colOff>
      <xdr:row>7</xdr:row>
      <xdr:rowOff>0</xdr:rowOff>
    </xdr:to>
    <xdr:sp macro="" textlink="">
      <xdr:nvSpPr>
        <xdr:cNvPr id="66" name="AutoShape 76"/>
        <xdr:cNvSpPr>
          <a:spLocks noChangeArrowheads="1"/>
        </xdr:cNvSpPr>
      </xdr:nvSpPr>
      <xdr:spPr bwMode="auto">
        <a:xfrm>
          <a:off x="7429500" y="1276350"/>
          <a:ext cx="409575" cy="200025"/>
        </a:xfrm>
        <a:prstGeom prst="bracketPair">
          <a:avLst>
            <a:gd name="adj" fmla="val 16667"/>
          </a:avLst>
        </a:prstGeom>
        <a:noFill/>
        <a:ln w="9525">
          <a:solidFill>
            <a:srgbClr val="000000"/>
          </a:solidFill>
          <a:round/>
          <a:headEnd/>
          <a:tailEnd/>
        </a:ln>
      </xdr:spPr>
    </xdr:sp>
    <xdr:clientData/>
  </xdr:twoCellAnchor>
  <xdr:twoCellAnchor>
    <xdr:from>
      <xdr:col>12</xdr:col>
      <xdr:colOff>0</xdr:colOff>
      <xdr:row>10</xdr:row>
      <xdr:rowOff>0</xdr:rowOff>
    </xdr:from>
    <xdr:to>
      <xdr:col>12</xdr:col>
      <xdr:colOff>76200</xdr:colOff>
      <xdr:row>14</xdr:row>
      <xdr:rowOff>0</xdr:rowOff>
    </xdr:to>
    <xdr:sp macro="" textlink="">
      <xdr:nvSpPr>
        <xdr:cNvPr id="67" name="AutoShape 77"/>
        <xdr:cNvSpPr>
          <a:spLocks/>
        </xdr:cNvSpPr>
      </xdr:nvSpPr>
      <xdr:spPr bwMode="auto">
        <a:xfrm>
          <a:off x="5915025" y="2162175"/>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15</xdr:col>
      <xdr:colOff>73270</xdr:colOff>
      <xdr:row>12</xdr:row>
      <xdr:rowOff>14653</xdr:rowOff>
    </xdr:from>
    <xdr:to>
      <xdr:col>15</xdr:col>
      <xdr:colOff>482845</xdr:colOff>
      <xdr:row>12</xdr:row>
      <xdr:rowOff>220540</xdr:rowOff>
    </xdr:to>
    <xdr:sp macro="" textlink="">
      <xdr:nvSpPr>
        <xdr:cNvPr id="68" name="AutoShape 71"/>
        <xdr:cNvSpPr>
          <a:spLocks noChangeArrowheads="1"/>
        </xdr:cNvSpPr>
      </xdr:nvSpPr>
      <xdr:spPr bwMode="auto">
        <a:xfrm>
          <a:off x="7445620" y="2634028"/>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11</xdr:row>
      <xdr:rowOff>14654</xdr:rowOff>
    </xdr:from>
    <xdr:to>
      <xdr:col>15</xdr:col>
      <xdr:colOff>482845</xdr:colOff>
      <xdr:row>11</xdr:row>
      <xdr:rowOff>220540</xdr:rowOff>
    </xdr:to>
    <xdr:sp macro="" textlink="">
      <xdr:nvSpPr>
        <xdr:cNvPr id="69" name="AutoShape 72"/>
        <xdr:cNvSpPr>
          <a:spLocks noChangeArrowheads="1"/>
        </xdr:cNvSpPr>
      </xdr:nvSpPr>
      <xdr:spPr bwMode="auto">
        <a:xfrm>
          <a:off x="7445620" y="24054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10</xdr:row>
      <xdr:rowOff>14654</xdr:rowOff>
    </xdr:from>
    <xdr:to>
      <xdr:col>15</xdr:col>
      <xdr:colOff>482845</xdr:colOff>
      <xdr:row>10</xdr:row>
      <xdr:rowOff>220541</xdr:rowOff>
    </xdr:to>
    <xdr:sp macro="" textlink="">
      <xdr:nvSpPr>
        <xdr:cNvPr id="70" name="AutoShape 73"/>
        <xdr:cNvSpPr>
          <a:spLocks noChangeArrowheads="1"/>
        </xdr:cNvSpPr>
      </xdr:nvSpPr>
      <xdr:spPr bwMode="auto">
        <a:xfrm>
          <a:off x="7445620" y="2176829"/>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13</xdr:row>
      <xdr:rowOff>14654</xdr:rowOff>
    </xdr:from>
    <xdr:to>
      <xdr:col>15</xdr:col>
      <xdr:colOff>482845</xdr:colOff>
      <xdr:row>13</xdr:row>
      <xdr:rowOff>220540</xdr:rowOff>
    </xdr:to>
    <xdr:sp macro="" textlink="">
      <xdr:nvSpPr>
        <xdr:cNvPr id="71" name="AutoShape 74"/>
        <xdr:cNvSpPr>
          <a:spLocks noChangeArrowheads="1"/>
        </xdr:cNvSpPr>
      </xdr:nvSpPr>
      <xdr:spPr bwMode="auto">
        <a:xfrm>
          <a:off x="7445620" y="28626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17</xdr:row>
      <xdr:rowOff>14654</xdr:rowOff>
    </xdr:from>
    <xdr:to>
      <xdr:col>15</xdr:col>
      <xdr:colOff>482845</xdr:colOff>
      <xdr:row>17</xdr:row>
      <xdr:rowOff>220540</xdr:rowOff>
    </xdr:to>
    <xdr:sp macro="" textlink="">
      <xdr:nvSpPr>
        <xdr:cNvPr id="72" name="AutoShape 75"/>
        <xdr:cNvSpPr>
          <a:spLocks noChangeArrowheads="1"/>
        </xdr:cNvSpPr>
      </xdr:nvSpPr>
      <xdr:spPr bwMode="auto">
        <a:xfrm>
          <a:off x="7445620" y="37770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16</xdr:row>
      <xdr:rowOff>14653</xdr:rowOff>
    </xdr:from>
    <xdr:to>
      <xdr:col>15</xdr:col>
      <xdr:colOff>482845</xdr:colOff>
      <xdr:row>16</xdr:row>
      <xdr:rowOff>220540</xdr:rowOff>
    </xdr:to>
    <xdr:sp macro="" textlink="">
      <xdr:nvSpPr>
        <xdr:cNvPr id="73" name="AutoShape 76"/>
        <xdr:cNvSpPr>
          <a:spLocks noChangeArrowheads="1"/>
        </xdr:cNvSpPr>
      </xdr:nvSpPr>
      <xdr:spPr bwMode="auto">
        <a:xfrm>
          <a:off x="7445620" y="3548428"/>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15</xdr:row>
      <xdr:rowOff>14654</xdr:rowOff>
    </xdr:from>
    <xdr:to>
      <xdr:col>15</xdr:col>
      <xdr:colOff>482845</xdr:colOff>
      <xdr:row>15</xdr:row>
      <xdr:rowOff>220540</xdr:rowOff>
    </xdr:to>
    <xdr:sp macro="" textlink="">
      <xdr:nvSpPr>
        <xdr:cNvPr id="74" name="AutoShape 77"/>
        <xdr:cNvSpPr>
          <a:spLocks noChangeArrowheads="1"/>
        </xdr:cNvSpPr>
      </xdr:nvSpPr>
      <xdr:spPr bwMode="auto">
        <a:xfrm>
          <a:off x="7445620" y="33198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18</xdr:row>
      <xdr:rowOff>14653</xdr:rowOff>
    </xdr:from>
    <xdr:to>
      <xdr:col>15</xdr:col>
      <xdr:colOff>482845</xdr:colOff>
      <xdr:row>18</xdr:row>
      <xdr:rowOff>220540</xdr:rowOff>
    </xdr:to>
    <xdr:sp macro="" textlink="">
      <xdr:nvSpPr>
        <xdr:cNvPr id="75" name="AutoShape 78"/>
        <xdr:cNvSpPr>
          <a:spLocks noChangeArrowheads="1"/>
        </xdr:cNvSpPr>
      </xdr:nvSpPr>
      <xdr:spPr bwMode="auto">
        <a:xfrm>
          <a:off x="7445620" y="4005628"/>
          <a:ext cx="409575" cy="205887"/>
        </a:xfrm>
        <a:prstGeom prst="bracketPair">
          <a:avLst>
            <a:gd name="adj" fmla="val 16667"/>
          </a:avLst>
        </a:prstGeom>
        <a:noFill/>
        <a:ln w="9525">
          <a:solidFill>
            <a:srgbClr val="000000"/>
          </a:solidFill>
          <a:round/>
          <a:headEnd/>
          <a:tailEnd/>
        </a:ln>
      </xdr:spPr>
    </xdr:sp>
    <xdr:clientData/>
  </xdr:twoCellAnchor>
  <xdr:twoCellAnchor>
    <xdr:from>
      <xdr:col>6</xdr:col>
      <xdr:colOff>76200</xdr:colOff>
      <xdr:row>7</xdr:row>
      <xdr:rowOff>0</xdr:rowOff>
    </xdr:from>
    <xdr:to>
      <xdr:col>8</xdr:col>
      <xdr:colOff>409575</xdr:colOff>
      <xdr:row>7</xdr:row>
      <xdr:rowOff>0</xdr:rowOff>
    </xdr:to>
    <xdr:grpSp>
      <xdr:nvGrpSpPr>
        <xdr:cNvPr id="79" name="Group 1"/>
        <xdr:cNvGrpSpPr>
          <a:grpSpLocks/>
        </xdr:cNvGrpSpPr>
      </xdr:nvGrpSpPr>
      <xdr:grpSpPr bwMode="auto">
        <a:xfrm>
          <a:off x="3217864" y="1404551"/>
          <a:ext cx="1397869" cy="0"/>
          <a:chOff x="3217864" y="1404551"/>
          <a:chExt cx="1397869" cy="0"/>
        </a:xfrm>
      </xdr:grpSpPr>
      <xdr:sp macro="" textlink="">
        <xdr:nvSpPr>
          <xdr:cNvPr id="80" name="Line 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1" name="Line 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82" name="Line 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11</xdr:row>
      <xdr:rowOff>0</xdr:rowOff>
    </xdr:from>
    <xdr:to>
      <xdr:col>8</xdr:col>
      <xdr:colOff>409575</xdr:colOff>
      <xdr:row>11</xdr:row>
      <xdr:rowOff>0</xdr:rowOff>
    </xdr:to>
    <xdr:grpSp>
      <xdr:nvGrpSpPr>
        <xdr:cNvPr id="83" name="Group 5"/>
        <xdr:cNvGrpSpPr>
          <a:grpSpLocks/>
        </xdr:cNvGrpSpPr>
      </xdr:nvGrpSpPr>
      <xdr:grpSpPr bwMode="auto">
        <a:xfrm>
          <a:off x="3217864" y="2228335"/>
          <a:ext cx="1397869" cy="0"/>
          <a:chOff x="3217864" y="2228335"/>
          <a:chExt cx="1397869" cy="0"/>
        </a:xfrm>
      </xdr:grpSpPr>
      <xdr:sp macro="" textlink="">
        <xdr:nvSpPr>
          <xdr:cNvPr id="84" name="Line 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5" name="Line 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86" name="Line 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10</xdr:row>
      <xdr:rowOff>0</xdr:rowOff>
    </xdr:from>
    <xdr:to>
      <xdr:col>8</xdr:col>
      <xdr:colOff>409575</xdr:colOff>
      <xdr:row>10</xdr:row>
      <xdr:rowOff>0</xdr:rowOff>
    </xdr:to>
    <xdr:grpSp>
      <xdr:nvGrpSpPr>
        <xdr:cNvPr id="87" name="Group 9"/>
        <xdr:cNvGrpSpPr>
          <a:grpSpLocks/>
        </xdr:cNvGrpSpPr>
      </xdr:nvGrpSpPr>
      <xdr:grpSpPr bwMode="auto">
        <a:xfrm>
          <a:off x="3217864" y="2022389"/>
          <a:ext cx="1397869" cy="0"/>
          <a:chOff x="3217864" y="2022389"/>
          <a:chExt cx="1397869" cy="0"/>
        </a:xfrm>
      </xdr:grpSpPr>
      <xdr:sp macro="" textlink="">
        <xdr:nvSpPr>
          <xdr:cNvPr id="88" name="Line 1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89" name="Line 1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0" name="Line 1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14</xdr:row>
      <xdr:rowOff>0</xdr:rowOff>
    </xdr:from>
    <xdr:to>
      <xdr:col>8</xdr:col>
      <xdr:colOff>409575</xdr:colOff>
      <xdr:row>14</xdr:row>
      <xdr:rowOff>0</xdr:rowOff>
    </xdr:to>
    <xdr:grpSp>
      <xdr:nvGrpSpPr>
        <xdr:cNvPr id="91" name="Group 13"/>
        <xdr:cNvGrpSpPr>
          <a:grpSpLocks/>
        </xdr:cNvGrpSpPr>
      </xdr:nvGrpSpPr>
      <xdr:grpSpPr bwMode="auto">
        <a:xfrm>
          <a:off x="3217864" y="2846173"/>
          <a:ext cx="1397869" cy="0"/>
          <a:chOff x="3217864" y="2846173"/>
          <a:chExt cx="1397869" cy="0"/>
        </a:xfrm>
      </xdr:grpSpPr>
      <xdr:sp macro="" textlink="">
        <xdr:nvSpPr>
          <xdr:cNvPr id="92" name="Line 1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93" name="Line 1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4" name="Line 1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13</xdr:row>
      <xdr:rowOff>0</xdr:rowOff>
    </xdr:from>
    <xdr:to>
      <xdr:col>8</xdr:col>
      <xdr:colOff>409575</xdr:colOff>
      <xdr:row>13</xdr:row>
      <xdr:rowOff>0</xdr:rowOff>
    </xdr:to>
    <xdr:grpSp>
      <xdr:nvGrpSpPr>
        <xdr:cNvPr id="95" name="Group 17"/>
        <xdr:cNvGrpSpPr>
          <a:grpSpLocks/>
        </xdr:cNvGrpSpPr>
      </xdr:nvGrpSpPr>
      <xdr:grpSpPr bwMode="auto">
        <a:xfrm>
          <a:off x="3217864" y="2640227"/>
          <a:ext cx="1397869" cy="0"/>
          <a:chOff x="3217864" y="2640227"/>
          <a:chExt cx="1397869" cy="0"/>
        </a:xfrm>
      </xdr:grpSpPr>
      <xdr:sp macro="" textlink="">
        <xdr:nvSpPr>
          <xdr:cNvPr id="96" name="Line 1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97" name="Line 1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98" name="Line 2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0</xdr:rowOff>
    </xdr:from>
    <xdr:to>
      <xdr:col>8</xdr:col>
      <xdr:colOff>409575</xdr:colOff>
      <xdr:row>16</xdr:row>
      <xdr:rowOff>0</xdr:rowOff>
    </xdr:to>
    <xdr:grpSp>
      <xdr:nvGrpSpPr>
        <xdr:cNvPr id="99" name="Group 21"/>
        <xdr:cNvGrpSpPr>
          <a:grpSpLocks/>
        </xdr:cNvGrpSpPr>
      </xdr:nvGrpSpPr>
      <xdr:grpSpPr bwMode="auto">
        <a:xfrm>
          <a:off x="3217864" y="3258065"/>
          <a:ext cx="1397869" cy="0"/>
          <a:chOff x="3217864" y="3258065"/>
          <a:chExt cx="1397869" cy="0"/>
        </a:xfrm>
      </xdr:grpSpPr>
      <xdr:sp macro="" textlink="">
        <xdr:nvSpPr>
          <xdr:cNvPr id="100" name="Line 2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01" name="Line 2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02" name="Line 2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17</xdr:row>
      <xdr:rowOff>0</xdr:rowOff>
    </xdr:from>
    <xdr:to>
      <xdr:col>8</xdr:col>
      <xdr:colOff>409575</xdr:colOff>
      <xdr:row>17</xdr:row>
      <xdr:rowOff>0</xdr:rowOff>
    </xdr:to>
    <xdr:grpSp>
      <xdr:nvGrpSpPr>
        <xdr:cNvPr id="103" name="Group 25"/>
        <xdr:cNvGrpSpPr>
          <a:grpSpLocks/>
        </xdr:cNvGrpSpPr>
      </xdr:nvGrpSpPr>
      <xdr:grpSpPr bwMode="auto">
        <a:xfrm>
          <a:off x="3217864" y="3464011"/>
          <a:ext cx="1397869" cy="0"/>
          <a:chOff x="3217864" y="3464011"/>
          <a:chExt cx="1397869" cy="0"/>
        </a:xfrm>
      </xdr:grpSpPr>
      <xdr:sp macro="" textlink="">
        <xdr:nvSpPr>
          <xdr:cNvPr id="104" name="Line 2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05" name="Line 2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06" name="Line 2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19</xdr:row>
      <xdr:rowOff>0</xdr:rowOff>
    </xdr:from>
    <xdr:to>
      <xdr:col>8</xdr:col>
      <xdr:colOff>409575</xdr:colOff>
      <xdr:row>19</xdr:row>
      <xdr:rowOff>0</xdr:rowOff>
    </xdr:to>
    <xdr:grpSp>
      <xdr:nvGrpSpPr>
        <xdr:cNvPr id="107" name="Group 29"/>
        <xdr:cNvGrpSpPr>
          <a:grpSpLocks/>
        </xdr:cNvGrpSpPr>
      </xdr:nvGrpSpPr>
      <xdr:grpSpPr bwMode="auto">
        <a:xfrm>
          <a:off x="3217864" y="3875903"/>
          <a:ext cx="1397869" cy="0"/>
          <a:chOff x="3217864" y="3875903"/>
          <a:chExt cx="1397869" cy="0"/>
        </a:xfrm>
      </xdr:grpSpPr>
      <xdr:sp macro="" textlink="">
        <xdr:nvSpPr>
          <xdr:cNvPr id="108" name="Line 3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09" name="Line 3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10" name="Line 3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20</xdr:row>
      <xdr:rowOff>0</xdr:rowOff>
    </xdr:from>
    <xdr:to>
      <xdr:col>8</xdr:col>
      <xdr:colOff>409575</xdr:colOff>
      <xdr:row>20</xdr:row>
      <xdr:rowOff>0</xdr:rowOff>
    </xdr:to>
    <xdr:grpSp>
      <xdr:nvGrpSpPr>
        <xdr:cNvPr id="111" name="Group 33"/>
        <xdr:cNvGrpSpPr>
          <a:grpSpLocks/>
        </xdr:cNvGrpSpPr>
      </xdr:nvGrpSpPr>
      <xdr:grpSpPr bwMode="auto">
        <a:xfrm>
          <a:off x="3217864" y="4081849"/>
          <a:ext cx="1397869" cy="0"/>
          <a:chOff x="3217864" y="4081849"/>
          <a:chExt cx="1397869" cy="0"/>
        </a:xfrm>
      </xdr:grpSpPr>
      <xdr:sp macro="" textlink="">
        <xdr:nvSpPr>
          <xdr:cNvPr id="112" name="Line 34"/>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13" name="Line 35"/>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14" name="Line 36"/>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21</xdr:row>
      <xdr:rowOff>0</xdr:rowOff>
    </xdr:from>
    <xdr:to>
      <xdr:col>8</xdr:col>
      <xdr:colOff>409575</xdr:colOff>
      <xdr:row>21</xdr:row>
      <xdr:rowOff>0</xdr:rowOff>
    </xdr:to>
    <xdr:grpSp>
      <xdr:nvGrpSpPr>
        <xdr:cNvPr id="115" name="Group 37"/>
        <xdr:cNvGrpSpPr>
          <a:grpSpLocks/>
        </xdr:cNvGrpSpPr>
      </xdr:nvGrpSpPr>
      <xdr:grpSpPr bwMode="auto">
        <a:xfrm>
          <a:off x="3217864" y="4287795"/>
          <a:ext cx="1397869" cy="0"/>
          <a:chOff x="3217864" y="4287795"/>
          <a:chExt cx="1397869" cy="0"/>
        </a:xfrm>
      </xdr:grpSpPr>
      <xdr:sp macro="" textlink="">
        <xdr:nvSpPr>
          <xdr:cNvPr id="116" name="Line 38"/>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17" name="Line 39"/>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18" name="Line 40"/>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22</xdr:row>
      <xdr:rowOff>0</xdr:rowOff>
    </xdr:from>
    <xdr:to>
      <xdr:col>8</xdr:col>
      <xdr:colOff>409575</xdr:colOff>
      <xdr:row>22</xdr:row>
      <xdr:rowOff>0</xdr:rowOff>
    </xdr:to>
    <xdr:grpSp>
      <xdr:nvGrpSpPr>
        <xdr:cNvPr id="119" name="Group 41"/>
        <xdr:cNvGrpSpPr>
          <a:grpSpLocks/>
        </xdr:cNvGrpSpPr>
      </xdr:nvGrpSpPr>
      <xdr:grpSpPr bwMode="auto">
        <a:xfrm>
          <a:off x="3217864" y="4493741"/>
          <a:ext cx="1397869" cy="0"/>
          <a:chOff x="3217864" y="4493741"/>
          <a:chExt cx="1397869" cy="0"/>
        </a:xfrm>
      </xdr:grpSpPr>
      <xdr:sp macro="" textlink="">
        <xdr:nvSpPr>
          <xdr:cNvPr id="120" name="Line 4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1" name="Line 4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22" name="Line 4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24</xdr:row>
      <xdr:rowOff>0</xdr:rowOff>
    </xdr:from>
    <xdr:to>
      <xdr:col>8</xdr:col>
      <xdr:colOff>409575</xdr:colOff>
      <xdr:row>24</xdr:row>
      <xdr:rowOff>0</xdr:rowOff>
    </xdr:to>
    <xdr:grpSp>
      <xdr:nvGrpSpPr>
        <xdr:cNvPr id="123" name="Group 45"/>
        <xdr:cNvGrpSpPr>
          <a:grpSpLocks/>
        </xdr:cNvGrpSpPr>
      </xdr:nvGrpSpPr>
      <xdr:grpSpPr bwMode="auto">
        <a:xfrm>
          <a:off x="3217864" y="4905632"/>
          <a:ext cx="1397869" cy="0"/>
          <a:chOff x="3217864" y="4905632"/>
          <a:chExt cx="1397869" cy="0"/>
        </a:xfrm>
      </xdr:grpSpPr>
      <xdr:sp macro="" textlink="">
        <xdr:nvSpPr>
          <xdr:cNvPr id="124" name="Line 4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5" name="Line 4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26" name="Line 4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9</xdr:row>
      <xdr:rowOff>0</xdr:rowOff>
    </xdr:from>
    <xdr:to>
      <xdr:col>8</xdr:col>
      <xdr:colOff>409575</xdr:colOff>
      <xdr:row>9</xdr:row>
      <xdr:rowOff>0</xdr:rowOff>
    </xdr:to>
    <xdr:grpSp>
      <xdr:nvGrpSpPr>
        <xdr:cNvPr id="127" name="Group 51"/>
        <xdr:cNvGrpSpPr>
          <a:grpSpLocks/>
        </xdr:cNvGrpSpPr>
      </xdr:nvGrpSpPr>
      <xdr:grpSpPr bwMode="auto">
        <a:xfrm>
          <a:off x="3217864" y="1816443"/>
          <a:ext cx="1397869" cy="0"/>
          <a:chOff x="3217864" y="1816443"/>
          <a:chExt cx="1397869" cy="0"/>
        </a:xfrm>
      </xdr:grpSpPr>
      <xdr:sp macro="" textlink="">
        <xdr:nvSpPr>
          <xdr:cNvPr id="128" name="Line 52"/>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29" name="Line 53"/>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30" name="Line 54"/>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15</xdr:col>
      <xdr:colOff>57150</xdr:colOff>
      <xdr:row>8</xdr:row>
      <xdr:rowOff>28575</xdr:rowOff>
    </xdr:from>
    <xdr:to>
      <xdr:col>15</xdr:col>
      <xdr:colOff>466725</xdr:colOff>
      <xdr:row>9</xdr:row>
      <xdr:rowOff>0</xdr:rowOff>
    </xdr:to>
    <xdr:sp macro="" textlink="">
      <xdr:nvSpPr>
        <xdr:cNvPr id="131" name="AutoShape 56"/>
        <xdr:cNvSpPr>
          <a:spLocks noChangeArrowheads="1"/>
        </xdr:cNvSpPr>
      </xdr:nvSpPr>
      <xdr:spPr bwMode="auto">
        <a:xfrm>
          <a:off x="7429500" y="1733550"/>
          <a:ext cx="409575" cy="200025"/>
        </a:xfrm>
        <a:prstGeom prst="bracketPair">
          <a:avLst>
            <a:gd name="adj" fmla="val 16667"/>
          </a:avLst>
        </a:prstGeom>
        <a:noFill/>
        <a:ln w="9525">
          <a:solidFill>
            <a:srgbClr val="000000"/>
          </a:solidFill>
          <a:round/>
          <a:headEnd/>
          <a:tailEnd/>
        </a:ln>
      </xdr:spPr>
    </xdr:sp>
    <xdr:clientData/>
  </xdr:twoCellAnchor>
  <xdr:twoCellAnchor>
    <xdr:from>
      <xdr:col>15</xdr:col>
      <xdr:colOff>57150</xdr:colOff>
      <xdr:row>7</xdr:row>
      <xdr:rowOff>28575</xdr:rowOff>
    </xdr:from>
    <xdr:to>
      <xdr:col>15</xdr:col>
      <xdr:colOff>466725</xdr:colOff>
      <xdr:row>8</xdr:row>
      <xdr:rowOff>0</xdr:rowOff>
    </xdr:to>
    <xdr:sp macro="" textlink="">
      <xdr:nvSpPr>
        <xdr:cNvPr id="132" name="AutoShape 57"/>
        <xdr:cNvSpPr>
          <a:spLocks noChangeArrowheads="1"/>
        </xdr:cNvSpPr>
      </xdr:nvSpPr>
      <xdr:spPr bwMode="auto">
        <a:xfrm>
          <a:off x="7429500" y="1504950"/>
          <a:ext cx="409575" cy="200025"/>
        </a:xfrm>
        <a:prstGeom prst="bracketPair">
          <a:avLst>
            <a:gd name="adj" fmla="val 16667"/>
          </a:avLst>
        </a:prstGeom>
        <a:noFill/>
        <a:ln w="9525">
          <a:solidFill>
            <a:srgbClr val="000000"/>
          </a:solidFill>
          <a:round/>
          <a:headEnd/>
          <a:tailEnd/>
        </a:ln>
      </xdr:spPr>
    </xdr:sp>
    <xdr:clientData/>
  </xdr:twoCellAnchor>
  <xdr:twoCellAnchor>
    <xdr:from>
      <xdr:col>6</xdr:col>
      <xdr:colOff>71071</xdr:colOff>
      <xdr:row>22</xdr:row>
      <xdr:rowOff>187570</xdr:rowOff>
    </xdr:from>
    <xdr:to>
      <xdr:col>8</xdr:col>
      <xdr:colOff>404446</xdr:colOff>
      <xdr:row>22</xdr:row>
      <xdr:rowOff>187570</xdr:rowOff>
    </xdr:to>
    <xdr:grpSp>
      <xdr:nvGrpSpPr>
        <xdr:cNvPr id="133" name="Group 65"/>
        <xdr:cNvGrpSpPr>
          <a:grpSpLocks/>
        </xdr:cNvGrpSpPr>
      </xdr:nvGrpSpPr>
      <xdr:grpSpPr bwMode="auto">
        <a:xfrm>
          <a:off x="3209687" y="4678263"/>
          <a:ext cx="1403965" cy="0"/>
          <a:chOff x="3209687" y="4678263"/>
          <a:chExt cx="1403965" cy="0"/>
        </a:xfrm>
      </xdr:grpSpPr>
      <xdr:sp macro="" textlink="">
        <xdr:nvSpPr>
          <xdr:cNvPr id="134" name="Line 66"/>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35" name="Line 67"/>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36" name="Line 68"/>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6</xdr:col>
      <xdr:colOff>76200</xdr:colOff>
      <xdr:row>16</xdr:row>
      <xdr:rowOff>0</xdr:rowOff>
    </xdr:from>
    <xdr:to>
      <xdr:col>8</xdr:col>
      <xdr:colOff>409575</xdr:colOff>
      <xdr:row>16</xdr:row>
      <xdr:rowOff>0</xdr:rowOff>
    </xdr:to>
    <xdr:grpSp>
      <xdr:nvGrpSpPr>
        <xdr:cNvPr id="137" name="Group 69"/>
        <xdr:cNvGrpSpPr>
          <a:grpSpLocks/>
        </xdr:cNvGrpSpPr>
      </xdr:nvGrpSpPr>
      <xdr:grpSpPr bwMode="auto">
        <a:xfrm>
          <a:off x="3217864" y="3258065"/>
          <a:ext cx="1397869" cy="0"/>
          <a:chOff x="3217864" y="3258065"/>
          <a:chExt cx="1397869" cy="0"/>
        </a:xfrm>
      </xdr:grpSpPr>
      <xdr:sp macro="" textlink="">
        <xdr:nvSpPr>
          <xdr:cNvPr id="138" name="Line 70"/>
          <xdr:cNvSpPr>
            <a:spLocks noChangeShapeType="1"/>
          </xdr:cNvSpPr>
        </xdr:nvSpPr>
        <xdr:spPr bwMode="auto">
          <a:xfrm>
            <a:off x="314" y="136"/>
            <a:ext cx="35" cy="0"/>
          </a:xfrm>
          <a:prstGeom prst="line">
            <a:avLst/>
          </a:prstGeom>
          <a:noFill/>
          <a:ln w="12700">
            <a:solidFill>
              <a:srgbClr val="000000"/>
            </a:solidFill>
            <a:round/>
            <a:headEnd/>
            <a:tailEnd/>
          </a:ln>
        </xdr:spPr>
      </xdr:sp>
      <xdr:sp macro="" textlink="">
        <xdr:nvSpPr>
          <xdr:cNvPr id="139" name="Line 71"/>
          <xdr:cNvSpPr>
            <a:spLocks noChangeShapeType="1"/>
          </xdr:cNvSpPr>
        </xdr:nvSpPr>
        <xdr:spPr bwMode="auto">
          <a:xfrm>
            <a:off x="365" y="136"/>
            <a:ext cx="35" cy="0"/>
          </a:xfrm>
          <a:prstGeom prst="line">
            <a:avLst/>
          </a:prstGeom>
          <a:noFill/>
          <a:ln w="12700">
            <a:solidFill>
              <a:srgbClr val="000000"/>
            </a:solidFill>
            <a:round/>
            <a:headEnd/>
            <a:tailEnd/>
          </a:ln>
        </xdr:spPr>
      </xdr:sp>
      <xdr:sp macro="" textlink="">
        <xdr:nvSpPr>
          <xdr:cNvPr id="140" name="Line 72"/>
          <xdr:cNvSpPr>
            <a:spLocks noChangeShapeType="1"/>
          </xdr:cNvSpPr>
        </xdr:nvSpPr>
        <xdr:spPr bwMode="auto">
          <a:xfrm>
            <a:off x="416" y="136"/>
            <a:ext cx="35" cy="0"/>
          </a:xfrm>
          <a:prstGeom prst="line">
            <a:avLst/>
          </a:prstGeom>
          <a:noFill/>
          <a:ln w="12700">
            <a:solidFill>
              <a:srgbClr val="000000"/>
            </a:solidFill>
            <a:round/>
            <a:headEnd/>
            <a:tailEnd/>
          </a:ln>
        </xdr:spPr>
      </xdr:sp>
    </xdr:grpSp>
    <xdr:clientData/>
  </xdr:twoCellAnchor>
  <xdr:twoCellAnchor>
    <xdr:from>
      <xdr:col>12</xdr:col>
      <xdr:colOff>0</xdr:colOff>
      <xdr:row>15</xdr:row>
      <xdr:rowOff>0</xdr:rowOff>
    </xdr:from>
    <xdr:to>
      <xdr:col>12</xdr:col>
      <xdr:colOff>76200</xdr:colOff>
      <xdr:row>19</xdr:row>
      <xdr:rowOff>0</xdr:rowOff>
    </xdr:to>
    <xdr:sp macro="" textlink="">
      <xdr:nvSpPr>
        <xdr:cNvPr id="141" name="AutoShape 73"/>
        <xdr:cNvSpPr>
          <a:spLocks/>
        </xdr:cNvSpPr>
      </xdr:nvSpPr>
      <xdr:spPr bwMode="auto">
        <a:xfrm>
          <a:off x="5915025" y="3305175"/>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12</xdr:col>
      <xdr:colOff>9525</xdr:colOff>
      <xdr:row>6</xdr:row>
      <xdr:rowOff>0</xdr:rowOff>
    </xdr:from>
    <xdr:to>
      <xdr:col>12</xdr:col>
      <xdr:colOff>76200</xdr:colOff>
      <xdr:row>9</xdr:row>
      <xdr:rowOff>0</xdr:rowOff>
    </xdr:to>
    <xdr:sp macro="" textlink="">
      <xdr:nvSpPr>
        <xdr:cNvPr id="142" name="AutoShape 75"/>
        <xdr:cNvSpPr>
          <a:spLocks/>
        </xdr:cNvSpPr>
      </xdr:nvSpPr>
      <xdr:spPr bwMode="auto">
        <a:xfrm>
          <a:off x="5924550" y="1247775"/>
          <a:ext cx="66675" cy="685800"/>
        </a:xfrm>
        <a:prstGeom prst="leftBrace">
          <a:avLst>
            <a:gd name="adj1" fmla="val 85714"/>
            <a:gd name="adj2" fmla="val 50000"/>
          </a:avLst>
        </a:prstGeom>
        <a:noFill/>
        <a:ln w="9525">
          <a:solidFill>
            <a:srgbClr val="000000"/>
          </a:solidFill>
          <a:round/>
          <a:headEnd/>
          <a:tailEnd/>
        </a:ln>
      </xdr:spPr>
    </xdr:sp>
    <xdr:clientData/>
  </xdr:twoCellAnchor>
  <xdr:twoCellAnchor>
    <xdr:from>
      <xdr:col>15</xdr:col>
      <xdr:colOff>57150</xdr:colOff>
      <xdr:row>6</xdr:row>
      <xdr:rowOff>28575</xdr:rowOff>
    </xdr:from>
    <xdr:to>
      <xdr:col>15</xdr:col>
      <xdr:colOff>466725</xdr:colOff>
      <xdr:row>7</xdr:row>
      <xdr:rowOff>0</xdr:rowOff>
    </xdr:to>
    <xdr:sp macro="" textlink="">
      <xdr:nvSpPr>
        <xdr:cNvPr id="143" name="AutoShape 76"/>
        <xdr:cNvSpPr>
          <a:spLocks noChangeArrowheads="1"/>
        </xdr:cNvSpPr>
      </xdr:nvSpPr>
      <xdr:spPr bwMode="auto">
        <a:xfrm>
          <a:off x="7429500" y="1276350"/>
          <a:ext cx="409575" cy="200025"/>
        </a:xfrm>
        <a:prstGeom prst="bracketPair">
          <a:avLst>
            <a:gd name="adj" fmla="val 16667"/>
          </a:avLst>
        </a:prstGeom>
        <a:noFill/>
        <a:ln w="9525">
          <a:solidFill>
            <a:srgbClr val="000000"/>
          </a:solidFill>
          <a:round/>
          <a:headEnd/>
          <a:tailEnd/>
        </a:ln>
      </xdr:spPr>
    </xdr:sp>
    <xdr:clientData/>
  </xdr:twoCellAnchor>
  <xdr:twoCellAnchor>
    <xdr:from>
      <xdr:col>12</xdr:col>
      <xdr:colOff>0</xdr:colOff>
      <xdr:row>10</xdr:row>
      <xdr:rowOff>0</xdr:rowOff>
    </xdr:from>
    <xdr:to>
      <xdr:col>12</xdr:col>
      <xdr:colOff>76200</xdr:colOff>
      <xdr:row>14</xdr:row>
      <xdr:rowOff>0</xdr:rowOff>
    </xdr:to>
    <xdr:sp macro="" textlink="">
      <xdr:nvSpPr>
        <xdr:cNvPr id="144" name="AutoShape 77"/>
        <xdr:cNvSpPr>
          <a:spLocks/>
        </xdr:cNvSpPr>
      </xdr:nvSpPr>
      <xdr:spPr bwMode="auto">
        <a:xfrm>
          <a:off x="5915025" y="2162175"/>
          <a:ext cx="76200" cy="914400"/>
        </a:xfrm>
        <a:prstGeom prst="leftBrace">
          <a:avLst>
            <a:gd name="adj1" fmla="val 100000"/>
            <a:gd name="adj2" fmla="val 50000"/>
          </a:avLst>
        </a:prstGeom>
        <a:noFill/>
        <a:ln w="9525">
          <a:solidFill>
            <a:srgbClr val="000000"/>
          </a:solidFill>
          <a:round/>
          <a:headEnd/>
          <a:tailEnd/>
        </a:ln>
      </xdr:spPr>
    </xdr:sp>
    <xdr:clientData/>
  </xdr:twoCellAnchor>
  <xdr:twoCellAnchor>
    <xdr:from>
      <xdr:col>15</xdr:col>
      <xdr:colOff>73270</xdr:colOff>
      <xdr:row>12</xdr:row>
      <xdr:rowOff>14653</xdr:rowOff>
    </xdr:from>
    <xdr:to>
      <xdr:col>15</xdr:col>
      <xdr:colOff>482845</xdr:colOff>
      <xdr:row>12</xdr:row>
      <xdr:rowOff>220540</xdr:rowOff>
    </xdr:to>
    <xdr:sp macro="" textlink="">
      <xdr:nvSpPr>
        <xdr:cNvPr id="145" name="AutoShape 71"/>
        <xdr:cNvSpPr>
          <a:spLocks noChangeArrowheads="1"/>
        </xdr:cNvSpPr>
      </xdr:nvSpPr>
      <xdr:spPr bwMode="auto">
        <a:xfrm>
          <a:off x="7445620" y="2634028"/>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11</xdr:row>
      <xdr:rowOff>14654</xdr:rowOff>
    </xdr:from>
    <xdr:to>
      <xdr:col>15</xdr:col>
      <xdr:colOff>482845</xdr:colOff>
      <xdr:row>11</xdr:row>
      <xdr:rowOff>220540</xdr:rowOff>
    </xdr:to>
    <xdr:sp macro="" textlink="">
      <xdr:nvSpPr>
        <xdr:cNvPr id="146" name="AutoShape 72"/>
        <xdr:cNvSpPr>
          <a:spLocks noChangeArrowheads="1"/>
        </xdr:cNvSpPr>
      </xdr:nvSpPr>
      <xdr:spPr bwMode="auto">
        <a:xfrm>
          <a:off x="7445620" y="24054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10</xdr:row>
      <xdr:rowOff>14654</xdr:rowOff>
    </xdr:from>
    <xdr:to>
      <xdr:col>15</xdr:col>
      <xdr:colOff>482845</xdr:colOff>
      <xdr:row>10</xdr:row>
      <xdr:rowOff>220541</xdr:rowOff>
    </xdr:to>
    <xdr:sp macro="" textlink="">
      <xdr:nvSpPr>
        <xdr:cNvPr id="147" name="AutoShape 73"/>
        <xdr:cNvSpPr>
          <a:spLocks noChangeArrowheads="1"/>
        </xdr:cNvSpPr>
      </xdr:nvSpPr>
      <xdr:spPr bwMode="auto">
        <a:xfrm>
          <a:off x="7445620" y="2176829"/>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13</xdr:row>
      <xdr:rowOff>14654</xdr:rowOff>
    </xdr:from>
    <xdr:to>
      <xdr:col>15</xdr:col>
      <xdr:colOff>482845</xdr:colOff>
      <xdr:row>13</xdr:row>
      <xdr:rowOff>220540</xdr:rowOff>
    </xdr:to>
    <xdr:sp macro="" textlink="">
      <xdr:nvSpPr>
        <xdr:cNvPr id="148" name="AutoShape 74"/>
        <xdr:cNvSpPr>
          <a:spLocks noChangeArrowheads="1"/>
        </xdr:cNvSpPr>
      </xdr:nvSpPr>
      <xdr:spPr bwMode="auto">
        <a:xfrm>
          <a:off x="7445620" y="28626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17</xdr:row>
      <xdr:rowOff>14654</xdr:rowOff>
    </xdr:from>
    <xdr:to>
      <xdr:col>15</xdr:col>
      <xdr:colOff>482845</xdr:colOff>
      <xdr:row>17</xdr:row>
      <xdr:rowOff>220540</xdr:rowOff>
    </xdr:to>
    <xdr:sp macro="" textlink="">
      <xdr:nvSpPr>
        <xdr:cNvPr id="149" name="AutoShape 75"/>
        <xdr:cNvSpPr>
          <a:spLocks noChangeArrowheads="1"/>
        </xdr:cNvSpPr>
      </xdr:nvSpPr>
      <xdr:spPr bwMode="auto">
        <a:xfrm>
          <a:off x="7445620" y="37770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16</xdr:row>
      <xdr:rowOff>14653</xdr:rowOff>
    </xdr:from>
    <xdr:to>
      <xdr:col>15</xdr:col>
      <xdr:colOff>482845</xdr:colOff>
      <xdr:row>16</xdr:row>
      <xdr:rowOff>220540</xdr:rowOff>
    </xdr:to>
    <xdr:sp macro="" textlink="">
      <xdr:nvSpPr>
        <xdr:cNvPr id="150" name="AutoShape 76"/>
        <xdr:cNvSpPr>
          <a:spLocks noChangeArrowheads="1"/>
        </xdr:cNvSpPr>
      </xdr:nvSpPr>
      <xdr:spPr bwMode="auto">
        <a:xfrm>
          <a:off x="7445620" y="3548428"/>
          <a:ext cx="409575" cy="205887"/>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15</xdr:row>
      <xdr:rowOff>14654</xdr:rowOff>
    </xdr:from>
    <xdr:to>
      <xdr:col>15</xdr:col>
      <xdr:colOff>482845</xdr:colOff>
      <xdr:row>15</xdr:row>
      <xdr:rowOff>220540</xdr:rowOff>
    </xdr:to>
    <xdr:sp macro="" textlink="">
      <xdr:nvSpPr>
        <xdr:cNvPr id="151" name="AutoShape 77"/>
        <xdr:cNvSpPr>
          <a:spLocks noChangeArrowheads="1"/>
        </xdr:cNvSpPr>
      </xdr:nvSpPr>
      <xdr:spPr bwMode="auto">
        <a:xfrm>
          <a:off x="7445620" y="3319829"/>
          <a:ext cx="409575" cy="205886"/>
        </a:xfrm>
        <a:prstGeom prst="bracketPair">
          <a:avLst>
            <a:gd name="adj" fmla="val 16667"/>
          </a:avLst>
        </a:prstGeom>
        <a:noFill/>
        <a:ln w="9525">
          <a:solidFill>
            <a:srgbClr val="000000"/>
          </a:solidFill>
          <a:round/>
          <a:headEnd/>
          <a:tailEnd/>
        </a:ln>
      </xdr:spPr>
    </xdr:sp>
    <xdr:clientData/>
  </xdr:twoCellAnchor>
  <xdr:twoCellAnchor>
    <xdr:from>
      <xdr:col>15</xdr:col>
      <xdr:colOff>73270</xdr:colOff>
      <xdr:row>18</xdr:row>
      <xdr:rowOff>14653</xdr:rowOff>
    </xdr:from>
    <xdr:to>
      <xdr:col>15</xdr:col>
      <xdr:colOff>482845</xdr:colOff>
      <xdr:row>18</xdr:row>
      <xdr:rowOff>220540</xdr:rowOff>
    </xdr:to>
    <xdr:sp macro="" textlink="">
      <xdr:nvSpPr>
        <xdr:cNvPr id="152" name="AutoShape 78"/>
        <xdr:cNvSpPr>
          <a:spLocks noChangeArrowheads="1"/>
        </xdr:cNvSpPr>
      </xdr:nvSpPr>
      <xdr:spPr bwMode="auto">
        <a:xfrm>
          <a:off x="7445620" y="4005628"/>
          <a:ext cx="409575" cy="205887"/>
        </a:xfrm>
        <a:prstGeom prst="bracketPair">
          <a:avLst>
            <a:gd name="adj" fmla="val 16667"/>
          </a:avLst>
        </a:prstGeom>
        <a:noFill/>
        <a:ln w="9525">
          <a:solidFill>
            <a:srgbClr val="000000"/>
          </a:solidFill>
          <a:round/>
          <a:headEnd/>
          <a:tailEnd/>
        </a:ln>
      </xdr:spPr>
    </xdr:sp>
    <xdr:clientData/>
  </xdr:twoCellAnchor>
  <xdr:twoCellAnchor>
    <xdr:from>
      <xdr:col>8</xdr:col>
      <xdr:colOff>686</xdr:colOff>
      <xdr:row>5</xdr:row>
      <xdr:rowOff>161854</xdr:rowOff>
    </xdr:from>
    <xdr:to>
      <xdr:col>8</xdr:col>
      <xdr:colOff>686</xdr:colOff>
      <xdr:row>24</xdr:row>
      <xdr:rowOff>26140</xdr:rowOff>
    </xdr:to>
    <xdr:cxnSp macro="">
      <xdr:nvCxnSpPr>
        <xdr:cNvPr id="153" name="152 Conector recto"/>
        <xdr:cNvCxnSpPr/>
      </xdr:nvCxnSpPr>
      <xdr:spPr>
        <a:xfrm>
          <a:off x="3963086" y="1177854"/>
          <a:ext cx="0" cy="3966386"/>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0</xdr:colOff>
      <xdr:row>5</xdr:row>
      <xdr:rowOff>158750</xdr:rowOff>
    </xdr:from>
    <xdr:to>
      <xdr:col>7</xdr:col>
      <xdr:colOff>0</xdr:colOff>
      <xdr:row>24</xdr:row>
      <xdr:rowOff>23036</xdr:rowOff>
    </xdr:to>
    <xdr:cxnSp macro="">
      <xdr:nvCxnSpPr>
        <xdr:cNvPr id="154" name="153 Conector recto"/>
        <xdr:cNvCxnSpPr/>
      </xdr:nvCxnSpPr>
      <xdr:spPr>
        <a:xfrm>
          <a:off x="3444875" y="1174750"/>
          <a:ext cx="0" cy="3785411"/>
        </a:xfrm>
        <a:prstGeom prst="line">
          <a:avLst/>
        </a:prstGeom>
        <a:ln w="63500">
          <a:solidFill>
            <a:schemeClr val="bg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editAs="absolute">
    <xdr:from>
      <xdr:col>0</xdr:col>
      <xdr:colOff>63500</xdr:colOff>
      <xdr:row>36</xdr:row>
      <xdr:rowOff>203200</xdr:rowOff>
    </xdr:from>
    <xdr:to>
      <xdr:col>2</xdr:col>
      <xdr:colOff>416832</xdr:colOff>
      <xdr:row>41</xdr:row>
      <xdr:rowOff>218536</xdr:rowOff>
    </xdr:to>
    <xdr:pic>
      <xdr:nvPicPr>
        <xdr:cNvPr id="155" name="Picture 11" descr="Escanear000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63500" y="8267700"/>
          <a:ext cx="1343932" cy="1247236"/>
        </a:xfrm>
        <a:prstGeom prst="rect">
          <a:avLst/>
        </a:prstGeom>
        <a:noFill/>
        <a:ln w="9525">
          <a:noFill/>
          <a:miter lim="800000"/>
          <a:headEnd/>
          <a:tailEnd/>
        </a:ln>
      </xdr:spPr>
    </xdr:pic>
    <xdr:clientData fPrintsWithSheet="0"/>
  </xdr:twoCellAnchor>
  <xdr:twoCellAnchor>
    <xdr:from>
      <xdr:col>1</xdr:col>
      <xdr:colOff>0</xdr:colOff>
      <xdr:row>0</xdr:row>
      <xdr:rowOff>76200</xdr:rowOff>
    </xdr:from>
    <xdr:to>
      <xdr:col>3</xdr:col>
      <xdr:colOff>354032</xdr:colOff>
      <xdr:row>2</xdr:row>
      <xdr:rowOff>146050</xdr:rowOff>
    </xdr:to>
    <xdr:pic>
      <xdr:nvPicPr>
        <xdr:cNvPr id="158" name="2 Imagen" descr="Gobierno horizontal.jpg"/>
        <xdr:cNvPicPr>
          <a:picLocks noChangeAspect="1" noChangeArrowheads="1"/>
        </xdr:cNvPicPr>
      </xdr:nvPicPr>
      <xdr:blipFill>
        <a:blip xmlns:r="http://schemas.openxmlformats.org/officeDocument/2006/relationships" r:embed="rId2" cstate="print">
          <a:clrChange>
            <a:clrFrom>
              <a:srgbClr val="FFFFFE"/>
            </a:clrFrom>
            <a:clrTo>
              <a:srgbClr val="FFFFFE">
                <a:alpha val="0"/>
              </a:srgbClr>
            </a:clrTo>
          </a:clrChange>
        </a:blip>
        <a:srcRect l="2083" t="1598" r="2511" b="12924"/>
        <a:stretch>
          <a:fillRect/>
        </a:stretch>
      </xdr:blipFill>
      <xdr:spPr bwMode="auto">
        <a:xfrm>
          <a:off x="495300" y="76200"/>
          <a:ext cx="1344632" cy="565150"/>
        </a:xfrm>
        <a:prstGeom prst="rect">
          <a:avLst/>
        </a:prstGeom>
        <a:noFill/>
        <a:ln w="9525">
          <a:noFill/>
          <a:miter lim="800000"/>
          <a:headEnd/>
          <a:tailEnd/>
        </a:ln>
      </xdr:spPr>
    </xdr:pic>
    <xdr:clientData/>
  </xdr:twoCellAnchor>
  <xdr:twoCellAnchor>
    <xdr:from>
      <xdr:col>3</xdr:col>
      <xdr:colOff>486650</xdr:colOff>
      <xdr:row>0</xdr:row>
      <xdr:rowOff>95250</xdr:rowOff>
    </xdr:from>
    <xdr:to>
      <xdr:col>6</xdr:col>
      <xdr:colOff>322163</xdr:colOff>
      <xdr:row>2</xdr:row>
      <xdr:rowOff>152400</xdr:rowOff>
    </xdr:to>
    <xdr:pic>
      <xdr:nvPicPr>
        <xdr:cNvPr id="159" name="3 Imagen" descr="logoresultados.jpg"/>
        <xdr:cNvPicPr>
          <a:picLocks noChangeAspect="1" noChangeArrowheads="1"/>
        </xdr:cNvPicPr>
      </xdr:nvPicPr>
      <xdr:blipFill>
        <a:blip xmlns:r="http://schemas.openxmlformats.org/officeDocument/2006/relationships" r:embed="rId3" cstate="print">
          <a:clrChange>
            <a:clrFrom>
              <a:srgbClr val="FFFFFE"/>
            </a:clrFrom>
            <a:clrTo>
              <a:srgbClr val="FFFFFE">
                <a:alpha val="0"/>
              </a:srgbClr>
            </a:clrTo>
          </a:clrChange>
        </a:blip>
        <a:srcRect l="4529" t="3762" r="5388" b="4403"/>
        <a:stretch>
          <a:fillRect/>
        </a:stretch>
      </xdr:blipFill>
      <xdr:spPr bwMode="auto">
        <a:xfrm>
          <a:off x="1972550" y="95250"/>
          <a:ext cx="1321413" cy="552450"/>
        </a:xfrm>
        <a:prstGeom prst="rect">
          <a:avLst/>
        </a:prstGeom>
        <a:noFill/>
        <a:ln w="9525">
          <a:noFill/>
          <a:miter lim="800000"/>
          <a:headEnd/>
          <a:tailEnd/>
        </a:ln>
      </xdr:spPr>
    </xdr:pic>
    <xdr:clientData/>
  </xdr:twoCellAnchor>
</xdr:wsDr>
</file>

<file path=xl/drawings/drawing24.xml><?xml version="1.0" encoding="utf-8"?>
<xdr:wsDr xmlns:xdr="http://schemas.openxmlformats.org/drawingml/2006/spreadsheetDrawing" xmlns:a="http://schemas.openxmlformats.org/drawingml/2006/main">
  <xdr:twoCellAnchor>
    <xdr:from>
      <xdr:col>4</xdr:col>
      <xdr:colOff>9525</xdr:colOff>
      <xdr:row>12</xdr:row>
      <xdr:rowOff>31421</xdr:rowOff>
    </xdr:from>
    <xdr:to>
      <xdr:col>5</xdr:col>
      <xdr:colOff>0</xdr:colOff>
      <xdr:row>12</xdr:row>
      <xdr:rowOff>174296</xdr:rowOff>
    </xdr:to>
    <xdr:sp macro="" textlink="">
      <xdr:nvSpPr>
        <xdr:cNvPr id="2" name="AutoShape 1"/>
        <xdr:cNvSpPr>
          <a:spLocks noChangeArrowheads="1"/>
        </xdr:cNvSpPr>
      </xdr:nvSpPr>
      <xdr:spPr bwMode="auto">
        <a:xfrm>
          <a:off x="2034956" y="2341507"/>
          <a:ext cx="472199" cy="142875"/>
        </a:xfrm>
        <a:prstGeom prst="bracketPair">
          <a:avLst>
            <a:gd name="adj" fmla="val 16667"/>
          </a:avLst>
        </a:prstGeom>
        <a:noFill/>
        <a:ln w="9525">
          <a:solidFill>
            <a:srgbClr val="000000"/>
          </a:solidFill>
          <a:round/>
          <a:headEnd/>
          <a:tailEnd/>
        </a:ln>
      </xdr:spPr>
      <xdr:txBody>
        <a:bodyPr/>
        <a:lstStyle/>
        <a:p>
          <a:endParaRPr lang="es-ES"/>
        </a:p>
      </xdr:txBody>
    </xdr:sp>
    <xdr:clientData/>
  </xdr:twoCellAnchor>
  <xdr:twoCellAnchor>
    <xdr:from>
      <xdr:col>8</xdr:col>
      <xdr:colOff>9525</xdr:colOff>
      <xdr:row>12</xdr:row>
      <xdr:rowOff>31421</xdr:rowOff>
    </xdr:from>
    <xdr:to>
      <xdr:col>9</xdr:col>
      <xdr:colOff>0</xdr:colOff>
      <xdr:row>12</xdr:row>
      <xdr:rowOff>174296</xdr:rowOff>
    </xdr:to>
    <xdr:sp macro="" textlink="">
      <xdr:nvSpPr>
        <xdr:cNvPr id="3" name="AutoShape 2"/>
        <xdr:cNvSpPr>
          <a:spLocks noChangeArrowheads="1"/>
        </xdr:cNvSpPr>
      </xdr:nvSpPr>
      <xdr:spPr bwMode="auto">
        <a:xfrm>
          <a:off x="3961853" y="2341507"/>
          <a:ext cx="472199" cy="142875"/>
        </a:xfrm>
        <a:prstGeom prst="bracketPair">
          <a:avLst>
            <a:gd name="adj" fmla="val 16667"/>
          </a:avLst>
        </a:prstGeom>
        <a:noFill/>
        <a:ln w="9525">
          <a:solidFill>
            <a:srgbClr val="000000"/>
          </a:solidFill>
          <a:round/>
          <a:headEnd/>
          <a:tailEnd/>
        </a:ln>
      </xdr:spPr>
    </xdr:sp>
    <xdr:clientData/>
  </xdr:twoCellAnchor>
  <xdr:twoCellAnchor>
    <xdr:from>
      <xdr:col>20</xdr:col>
      <xdr:colOff>9525</xdr:colOff>
      <xdr:row>8</xdr:row>
      <xdr:rowOff>28575</xdr:rowOff>
    </xdr:from>
    <xdr:to>
      <xdr:col>21</xdr:col>
      <xdr:colOff>0</xdr:colOff>
      <xdr:row>8</xdr:row>
      <xdr:rowOff>171450</xdr:rowOff>
    </xdr:to>
    <xdr:sp macro="" textlink="">
      <xdr:nvSpPr>
        <xdr:cNvPr id="4" name="AutoShape 12"/>
        <xdr:cNvSpPr>
          <a:spLocks noChangeArrowheads="1"/>
        </xdr:cNvSpPr>
      </xdr:nvSpPr>
      <xdr:spPr bwMode="auto">
        <a:xfrm>
          <a:off x="9810750" y="1628775"/>
          <a:ext cx="476250" cy="142875"/>
        </a:xfrm>
        <a:prstGeom prst="bracketPair">
          <a:avLst>
            <a:gd name="adj" fmla="val 16667"/>
          </a:avLst>
        </a:prstGeom>
        <a:noFill/>
        <a:ln w="9525">
          <a:solidFill>
            <a:srgbClr val="000000"/>
          </a:solidFill>
          <a:round/>
          <a:headEnd/>
          <a:tailEnd/>
        </a:ln>
      </xdr:spPr>
    </xdr:sp>
    <xdr:clientData/>
  </xdr:twoCellAnchor>
  <xdr:twoCellAnchor>
    <xdr:from>
      <xdr:col>20</xdr:col>
      <xdr:colOff>9525</xdr:colOff>
      <xdr:row>9</xdr:row>
      <xdr:rowOff>28575</xdr:rowOff>
    </xdr:from>
    <xdr:to>
      <xdr:col>21</xdr:col>
      <xdr:colOff>0</xdr:colOff>
      <xdr:row>9</xdr:row>
      <xdr:rowOff>171450</xdr:rowOff>
    </xdr:to>
    <xdr:sp macro="" textlink="">
      <xdr:nvSpPr>
        <xdr:cNvPr id="5" name="AutoShape 13"/>
        <xdr:cNvSpPr>
          <a:spLocks noChangeArrowheads="1"/>
        </xdr:cNvSpPr>
      </xdr:nvSpPr>
      <xdr:spPr bwMode="auto">
        <a:xfrm>
          <a:off x="9810750" y="1828800"/>
          <a:ext cx="476250" cy="142875"/>
        </a:xfrm>
        <a:prstGeom prst="bracketPair">
          <a:avLst>
            <a:gd name="adj" fmla="val 16667"/>
          </a:avLst>
        </a:prstGeom>
        <a:noFill/>
        <a:ln w="9525">
          <a:solidFill>
            <a:srgbClr val="000000"/>
          </a:solidFill>
          <a:round/>
          <a:headEnd/>
          <a:tailEnd/>
        </a:ln>
      </xdr:spPr>
    </xdr:sp>
    <xdr:clientData/>
  </xdr:twoCellAnchor>
  <xdr:twoCellAnchor>
    <xdr:from>
      <xdr:col>23</xdr:col>
      <xdr:colOff>47625</xdr:colOff>
      <xdr:row>7</xdr:row>
      <xdr:rowOff>9525</xdr:rowOff>
    </xdr:from>
    <xdr:to>
      <xdr:col>23</xdr:col>
      <xdr:colOff>428625</xdr:colOff>
      <xdr:row>7</xdr:row>
      <xdr:rowOff>152400</xdr:rowOff>
    </xdr:to>
    <xdr:sp macro="" textlink="">
      <xdr:nvSpPr>
        <xdr:cNvPr id="6" name="AutoShape 14"/>
        <xdr:cNvSpPr>
          <a:spLocks noChangeArrowheads="1"/>
        </xdr:cNvSpPr>
      </xdr:nvSpPr>
      <xdr:spPr bwMode="auto">
        <a:xfrm>
          <a:off x="11306175" y="1409700"/>
          <a:ext cx="381000" cy="142875"/>
        </a:xfrm>
        <a:prstGeom prst="bracketPair">
          <a:avLst>
            <a:gd name="adj" fmla="val 16667"/>
          </a:avLst>
        </a:prstGeom>
        <a:noFill/>
        <a:ln w="9525">
          <a:solidFill>
            <a:srgbClr val="000000"/>
          </a:solidFill>
          <a:round/>
          <a:headEnd/>
          <a:tailEnd/>
        </a:ln>
      </xdr:spPr>
    </xdr:sp>
    <xdr:clientData/>
  </xdr:twoCellAnchor>
  <xdr:twoCellAnchor>
    <xdr:from>
      <xdr:col>15</xdr:col>
      <xdr:colOff>28575</xdr:colOff>
      <xdr:row>13</xdr:row>
      <xdr:rowOff>0</xdr:rowOff>
    </xdr:from>
    <xdr:to>
      <xdr:col>15</xdr:col>
      <xdr:colOff>457200</xdr:colOff>
      <xdr:row>13</xdr:row>
      <xdr:rowOff>0</xdr:rowOff>
    </xdr:to>
    <xdr:sp macro="" textlink="">
      <xdr:nvSpPr>
        <xdr:cNvPr id="7" name="Line 15"/>
        <xdr:cNvSpPr>
          <a:spLocks noChangeShapeType="1"/>
        </xdr:cNvSpPr>
      </xdr:nvSpPr>
      <xdr:spPr bwMode="auto">
        <a:xfrm>
          <a:off x="7400925" y="2505075"/>
          <a:ext cx="428625" cy="0"/>
        </a:xfrm>
        <a:prstGeom prst="line">
          <a:avLst/>
        </a:prstGeom>
        <a:noFill/>
        <a:ln w="9525">
          <a:solidFill>
            <a:srgbClr val="000000"/>
          </a:solidFill>
          <a:round/>
          <a:headEnd/>
          <a:tailEnd/>
        </a:ln>
      </xdr:spPr>
    </xdr:sp>
    <xdr:clientData/>
  </xdr:twoCellAnchor>
  <xdr:twoCellAnchor>
    <xdr:from>
      <xdr:col>16</xdr:col>
      <xdr:colOff>28575</xdr:colOff>
      <xdr:row>13</xdr:row>
      <xdr:rowOff>0</xdr:rowOff>
    </xdr:from>
    <xdr:to>
      <xdr:col>16</xdr:col>
      <xdr:colOff>457200</xdr:colOff>
      <xdr:row>13</xdr:row>
      <xdr:rowOff>0</xdr:rowOff>
    </xdr:to>
    <xdr:sp macro="" textlink="">
      <xdr:nvSpPr>
        <xdr:cNvPr id="8" name="Line 16"/>
        <xdr:cNvSpPr>
          <a:spLocks noChangeShapeType="1"/>
        </xdr:cNvSpPr>
      </xdr:nvSpPr>
      <xdr:spPr bwMode="auto">
        <a:xfrm>
          <a:off x="7886700" y="2505075"/>
          <a:ext cx="428625" cy="0"/>
        </a:xfrm>
        <a:prstGeom prst="line">
          <a:avLst/>
        </a:prstGeom>
        <a:noFill/>
        <a:ln w="9525">
          <a:solidFill>
            <a:srgbClr val="000000"/>
          </a:solidFill>
          <a:round/>
          <a:headEnd/>
          <a:tailEnd/>
        </a:ln>
      </xdr:spPr>
    </xdr:sp>
    <xdr:clientData/>
  </xdr:twoCellAnchor>
  <xdr:twoCellAnchor>
    <xdr:from>
      <xdr:col>17</xdr:col>
      <xdr:colOff>28575</xdr:colOff>
      <xdr:row>13</xdr:row>
      <xdr:rowOff>0</xdr:rowOff>
    </xdr:from>
    <xdr:to>
      <xdr:col>17</xdr:col>
      <xdr:colOff>457200</xdr:colOff>
      <xdr:row>13</xdr:row>
      <xdr:rowOff>0</xdr:rowOff>
    </xdr:to>
    <xdr:sp macro="" textlink="">
      <xdr:nvSpPr>
        <xdr:cNvPr id="9" name="Line 17"/>
        <xdr:cNvSpPr>
          <a:spLocks noChangeShapeType="1"/>
        </xdr:cNvSpPr>
      </xdr:nvSpPr>
      <xdr:spPr bwMode="auto">
        <a:xfrm>
          <a:off x="8372475" y="2505075"/>
          <a:ext cx="428625" cy="0"/>
        </a:xfrm>
        <a:prstGeom prst="line">
          <a:avLst/>
        </a:prstGeom>
        <a:noFill/>
        <a:ln w="9525">
          <a:solidFill>
            <a:srgbClr val="000000"/>
          </a:solidFill>
          <a:round/>
          <a:headEnd/>
          <a:tailEnd/>
        </a:ln>
      </xdr:spPr>
    </xdr:sp>
    <xdr:clientData/>
  </xdr:twoCellAnchor>
  <xdr:twoCellAnchor>
    <xdr:from>
      <xdr:col>18</xdr:col>
      <xdr:colOff>28575</xdr:colOff>
      <xdr:row>13</xdr:row>
      <xdr:rowOff>0</xdr:rowOff>
    </xdr:from>
    <xdr:to>
      <xdr:col>18</xdr:col>
      <xdr:colOff>457200</xdr:colOff>
      <xdr:row>13</xdr:row>
      <xdr:rowOff>0</xdr:rowOff>
    </xdr:to>
    <xdr:sp macro="" textlink="">
      <xdr:nvSpPr>
        <xdr:cNvPr id="10" name="Line 18"/>
        <xdr:cNvSpPr>
          <a:spLocks noChangeShapeType="1"/>
        </xdr:cNvSpPr>
      </xdr:nvSpPr>
      <xdr:spPr bwMode="auto">
        <a:xfrm>
          <a:off x="8858250" y="2505075"/>
          <a:ext cx="428625" cy="0"/>
        </a:xfrm>
        <a:prstGeom prst="line">
          <a:avLst/>
        </a:prstGeom>
        <a:noFill/>
        <a:ln w="9525">
          <a:solidFill>
            <a:srgbClr val="000000"/>
          </a:solidFill>
          <a:round/>
          <a:headEnd/>
          <a:tailEnd/>
        </a:ln>
      </xdr:spPr>
    </xdr:sp>
    <xdr:clientData/>
  </xdr:twoCellAnchor>
  <xdr:twoCellAnchor>
    <xdr:from>
      <xdr:col>20</xdr:col>
      <xdr:colOff>28575</xdr:colOff>
      <xdr:row>13</xdr:row>
      <xdr:rowOff>0</xdr:rowOff>
    </xdr:from>
    <xdr:to>
      <xdr:col>20</xdr:col>
      <xdr:colOff>457200</xdr:colOff>
      <xdr:row>13</xdr:row>
      <xdr:rowOff>0</xdr:rowOff>
    </xdr:to>
    <xdr:sp macro="" textlink="">
      <xdr:nvSpPr>
        <xdr:cNvPr id="11" name="Line 19"/>
        <xdr:cNvSpPr>
          <a:spLocks noChangeShapeType="1"/>
        </xdr:cNvSpPr>
      </xdr:nvSpPr>
      <xdr:spPr bwMode="auto">
        <a:xfrm>
          <a:off x="9829800" y="2505075"/>
          <a:ext cx="428625" cy="0"/>
        </a:xfrm>
        <a:prstGeom prst="line">
          <a:avLst/>
        </a:prstGeom>
        <a:noFill/>
        <a:ln w="9525">
          <a:solidFill>
            <a:srgbClr val="000000"/>
          </a:solidFill>
          <a:round/>
          <a:headEnd/>
          <a:tailEnd/>
        </a:ln>
      </xdr:spPr>
    </xdr:sp>
    <xdr:clientData/>
  </xdr:twoCellAnchor>
  <xdr:twoCellAnchor>
    <xdr:from>
      <xdr:col>22</xdr:col>
      <xdr:colOff>28575</xdr:colOff>
      <xdr:row>13</xdr:row>
      <xdr:rowOff>0</xdr:rowOff>
    </xdr:from>
    <xdr:to>
      <xdr:col>22</xdr:col>
      <xdr:colOff>457200</xdr:colOff>
      <xdr:row>13</xdr:row>
      <xdr:rowOff>0</xdr:rowOff>
    </xdr:to>
    <xdr:sp macro="" textlink="">
      <xdr:nvSpPr>
        <xdr:cNvPr id="12" name="Line 20"/>
        <xdr:cNvSpPr>
          <a:spLocks noChangeShapeType="1"/>
        </xdr:cNvSpPr>
      </xdr:nvSpPr>
      <xdr:spPr bwMode="auto">
        <a:xfrm>
          <a:off x="10801350" y="2505075"/>
          <a:ext cx="428625" cy="0"/>
        </a:xfrm>
        <a:prstGeom prst="line">
          <a:avLst/>
        </a:prstGeom>
        <a:noFill/>
        <a:ln w="9525">
          <a:solidFill>
            <a:srgbClr val="000000"/>
          </a:solidFill>
          <a:round/>
          <a:headEnd/>
          <a:tailEnd/>
        </a:ln>
      </xdr:spPr>
    </xdr:sp>
    <xdr:clientData/>
  </xdr:twoCellAnchor>
  <xdr:twoCellAnchor>
    <xdr:from>
      <xdr:col>5</xdr:col>
      <xdr:colOff>9525</xdr:colOff>
      <xdr:row>16</xdr:row>
      <xdr:rowOff>9525</xdr:rowOff>
    </xdr:from>
    <xdr:to>
      <xdr:col>6</xdr:col>
      <xdr:colOff>0</xdr:colOff>
      <xdr:row>16</xdr:row>
      <xdr:rowOff>152400</xdr:rowOff>
    </xdr:to>
    <xdr:sp macro="" textlink="">
      <xdr:nvSpPr>
        <xdr:cNvPr id="13" name="AutoShape 21"/>
        <xdr:cNvSpPr>
          <a:spLocks noChangeArrowheads="1"/>
        </xdr:cNvSpPr>
      </xdr:nvSpPr>
      <xdr:spPr bwMode="auto">
        <a:xfrm>
          <a:off x="2524125" y="2895600"/>
          <a:ext cx="476250" cy="142875"/>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17</xdr:row>
      <xdr:rowOff>9525</xdr:rowOff>
    </xdr:from>
    <xdr:to>
      <xdr:col>6</xdr:col>
      <xdr:colOff>0</xdr:colOff>
      <xdr:row>17</xdr:row>
      <xdr:rowOff>152400</xdr:rowOff>
    </xdr:to>
    <xdr:sp macro="" textlink="">
      <xdr:nvSpPr>
        <xdr:cNvPr id="14" name="AutoShape 22"/>
        <xdr:cNvSpPr>
          <a:spLocks noChangeArrowheads="1"/>
        </xdr:cNvSpPr>
      </xdr:nvSpPr>
      <xdr:spPr bwMode="auto">
        <a:xfrm>
          <a:off x="2524125" y="3067050"/>
          <a:ext cx="476250" cy="142875"/>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18</xdr:row>
      <xdr:rowOff>9525</xdr:rowOff>
    </xdr:from>
    <xdr:to>
      <xdr:col>6</xdr:col>
      <xdr:colOff>0</xdr:colOff>
      <xdr:row>18</xdr:row>
      <xdr:rowOff>152400</xdr:rowOff>
    </xdr:to>
    <xdr:sp macro="" textlink="">
      <xdr:nvSpPr>
        <xdr:cNvPr id="15" name="AutoShape 23"/>
        <xdr:cNvSpPr>
          <a:spLocks noChangeArrowheads="1"/>
        </xdr:cNvSpPr>
      </xdr:nvSpPr>
      <xdr:spPr bwMode="auto">
        <a:xfrm>
          <a:off x="2524125" y="3238500"/>
          <a:ext cx="476250" cy="142875"/>
        </a:xfrm>
        <a:prstGeom prst="bracketPair">
          <a:avLst>
            <a:gd name="adj" fmla="val 16667"/>
          </a:avLst>
        </a:prstGeom>
        <a:noFill/>
        <a:ln w="9525">
          <a:solidFill>
            <a:srgbClr val="000000"/>
          </a:solidFill>
          <a:round/>
          <a:headEnd/>
          <a:tailEnd/>
        </a:ln>
      </xdr:spPr>
    </xdr:sp>
    <xdr:clientData/>
  </xdr:twoCellAnchor>
  <xdr:twoCellAnchor>
    <xdr:from>
      <xdr:col>5</xdr:col>
      <xdr:colOff>9525</xdr:colOff>
      <xdr:row>19</xdr:row>
      <xdr:rowOff>9525</xdr:rowOff>
    </xdr:from>
    <xdr:to>
      <xdr:col>6</xdr:col>
      <xdr:colOff>0</xdr:colOff>
      <xdr:row>19</xdr:row>
      <xdr:rowOff>152400</xdr:rowOff>
    </xdr:to>
    <xdr:sp macro="" textlink="">
      <xdr:nvSpPr>
        <xdr:cNvPr id="16" name="AutoShape 24"/>
        <xdr:cNvSpPr>
          <a:spLocks noChangeArrowheads="1"/>
        </xdr:cNvSpPr>
      </xdr:nvSpPr>
      <xdr:spPr bwMode="auto">
        <a:xfrm>
          <a:off x="2524125" y="3409950"/>
          <a:ext cx="476250" cy="142875"/>
        </a:xfrm>
        <a:prstGeom prst="bracketPair">
          <a:avLst>
            <a:gd name="adj" fmla="val 16667"/>
          </a:avLst>
        </a:prstGeom>
        <a:noFill/>
        <a:ln w="9525">
          <a:solidFill>
            <a:srgbClr val="000000"/>
          </a:solidFill>
          <a:round/>
          <a:headEnd/>
          <a:tailEnd/>
        </a:ln>
      </xdr:spPr>
    </xdr:sp>
    <xdr:clientData/>
  </xdr:twoCellAnchor>
  <xdr:twoCellAnchor>
    <xdr:from>
      <xdr:col>1</xdr:col>
      <xdr:colOff>400050</xdr:colOff>
      <xdr:row>16</xdr:row>
      <xdr:rowOff>0</xdr:rowOff>
    </xdr:from>
    <xdr:to>
      <xdr:col>2</xdr:col>
      <xdr:colOff>9525</xdr:colOff>
      <xdr:row>19</xdr:row>
      <xdr:rowOff>152400</xdr:rowOff>
    </xdr:to>
    <xdr:sp macro="" textlink="">
      <xdr:nvSpPr>
        <xdr:cNvPr id="17" name="AutoShape 25"/>
        <xdr:cNvSpPr>
          <a:spLocks/>
        </xdr:cNvSpPr>
      </xdr:nvSpPr>
      <xdr:spPr bwMode="auto">
        <a:xfrm>
          <a:off x="914400" y="2886075"/>
          <a:ext cx="123825" cy="666750"/>
        </a:xfrm>
        <a:prstGeom prst="leftBrace">
          <a:avLst>
            <a:gd name="adj1" fmla="val 44872"/>
            <a:gd name="adj2" fmla="val 50000"/>
          </a:avLst>
        </a:prstGeom>
        <a:noFill/>
        <a:ln w="9525">
          <a:solidFill>
            <a:srgbClr val="000000"/>
          </a:solidFill>
          <a:round/>
          <a:headEnd/>
          <a:tailEnd/>
        </a:ln>
      </xdr:spPr>
    </xdr:sp>
    <xdr:clientData/>
  </xdr:twoCellAnchor>
  <xdr:twoCellAnchor>
    <xdr:from>
      <xdr:col>20</xdr:col>
      <xdr:colOff>9525</xdr:colOff>
      <xdr:row>5</xdr:row>
      <xdr:rowOff>28575</xdr:rowOff>
    </xdr:from>
    <xdr:to>
      <xdr:col>21</xdr:col>
      <xdr:colOff>0</xdr:colOff>
      <xdr:row>5</xdr:row>
      <xdr:rowOff>171450</xdr:rowOff>
    </xdr:to>
    <xdr:sp macro="" textlink="">
      <xdr:nvSpPr>
        <xdr:cNvPr id="18" name="AutoShape 49"/>
        <xdr:cNvSpPr>
          <a:spLocks noChangeArrowheads="1"/>
        </xdr:cNvSpPr>
      </xdr:nvSpPr>
      <xdr:spPr bwMode="auto">
        <a:xfrm>
          <a:off x="9810750" y="1028700"/>
          <a:ext cx="476250" cy="142875"/>
        </a:xfrm>
        <a:prstGeom prst="bracketPair">
          <a:avLst>
            <a:gd name="adj" fmla="val 16667"/>
          </a:avLst>
        </a:prstGeom>
        <a:noFill/>
        <a:ln w="9525">
          <a:solidFill>
            <a:srgbClr val="000000"/>
          </a:solidFill>
          <a:round/>
          <a:headEnd/>
          <a:tailEnd/>
        </a:ln>
      </xdr:spPr>
    </xdr:sp>
    <xdr:clientData/>
  </xdr:twoCellAnchor>
  <xdr:twoCellAnchor>
    <xdr:from>
      <xdr:col>20</xdr:col>
      <xdr:colOff>9525</xdr:colOff>
      <xdr:row>6</xdr:row>
      <xdr:rowOff>28575</xdr:rowOff>
    </xdr:from>
    <xdr:to>
      <xdr:col>21</xdr:col>
      <xdr:colOff>0</xdr:colOff>
      <xdr:row>6</xdr:row>
      <xdr:rowOff>171450</xdr:rowOff>
    </xdr:to>
    <xdr:sp macro="" textlink="">
      <xdr:nvSpPr>
        <xdr:cNvPr id="19" name="AutoShape 50"/>
        <xdr:cNvSpPr>
          <a:spLocks noChangeArrowheads="1"/>
        </xdr:cNvSpPr>
      </xdr:nvSpPr>
      <xdr:spPr bwMode="auto">
        <a:xfrm>
          <a:off x="9810750" y="1228725"/>
          <a:ext cx="476250" cy="142875"/>
        </a:xfrm>
        <a:prstGeom prst="bracketPair">
          <a:avLst>
            <a:gd name="adj" fmla="val 16667"/>
          </a:avLst>
        </a:prstGeom>
        <a:noFill/>
        <a:ln w="9525">
          <a:solidFill>
            <a:srgbClr val="000000"/>
          </a:solidFill>
          <a:round/>
          <a:headEnd/>
          <a:tailEnd/>
        </a:ln>
      </xdr:spPr>
    </xdr:sp>
    <xdr:clientData/>
  </xdr:twoCellAnchor>
  <xdr:twoCellAnchor>
    <xdr:from>
      <xdr:col>16</xdr:col>
      <xdr:colOff>9525</xdr:colOff>
      <xdr:row>5</xdr:row>
      <xdr:rowOff>28575</xdr:rowOff>
    </xdr:from>
    <xdr:to>
      <xdr:col>17</xdr:col>
      <xdr:colOff>0</xdr:colOff>
      <xdr:row>5</xdr:row>
      <xdr:rowOff>171450</xdr:rowOff>
    </xdr:to>
    <xdr:sp macro="" textlink="">
      <xdr:nvSpPr>
        <xdr:cNvPr id="20" name="AutoShape 51"/>
        <xdr:cNvSpPr>
          <a:spLocks noChangeArrowheads="1"/>
        </xdr:cNvSpPr>
      </xdr:nvSpPr>
      <xdr:spPr bwMode="auto">
        <a:xfrm>
          <a:off x="7867650" y="1028700"/>
          <a:ext cx="476250" cy="142875"/>
        </a:xfrm>
        <a:prstGeom prst="bracketPair">
          <a:avLst>
            <a:gd name="adj" fmla="val 16667"/>
          </a:avLst>
        </a:prstGeom>
        <a:noFill/>
        <a:ln w="9525">
          <a:solidFill>
            <a:srgbClr val="000000"/>
          </a:solidFill>
          <a:round/>
          <a:headEnd/>
          <a:tailEnd/>
        </a:ln>
      </xdr:spPr>
    </xdr:sp>
    <xdr:clientData/>
  </xdr:twoCellAnchor>
  <xdr:twoCellAnchor>
    <xdr:from>
      <xdr:col>16</xdr:col>
      <xdr:colOff>9525</xdr:colOff>
      <xdr:row>6</xdr:row>
      <xdr:rowOff>28575</xdr:rowOff>
    </xdr:from>
    <xdr:to>
      <xdr:col>17</xdr:col>
      <xdr:colOff>0</xdr:colOff>
      <xdr:row>6</xdr:row>
      <xdr:rowOff>171450</xdr:rowOff>
    </xdr:to>
    <xdr:sp macro="" textlink="">
      <xdr:nvSpPr>
        <xdr:cNvPr id="21" name="AutoShape 52"/>
        <xdr:cNvSpPr>
          <a:spLocks noChangeArrowheads="1"/>
        </xdr:cNvSpPr>
      </xdr:nvSpPr>
      <xdr:spPr bwMode="auto">
        <a:xfrm>
          <a:off x="7867650" y="1228725"/>
          <a:ext cx="476250" cy="142875"/>
        </a:xfrm>
        <a:prstGeom prst="bracketPair">
          <a:avLst>
            <a:gd name="adj" fmla="val 16667"/>
          </a:avLst>
        </a:prstGeom>
        <a:noFill/>
        <a:ln w="9525">
          <a:solidFill>
            <a:srgbClr val="000000"/>
          </a:solidFill>
          <a:round/>
          <a:headEnd/>
          <a:tailEnd/>
        </a:ln>
      </xdr:spPr>
    </xdr:sp>
    <xdr:clientData/>
  </xdr:twoCellAnchor>
  <xdr:twoCellAnchor>
    <xdr:from>
      <xdr:col>16</xdr:col>
      <xdr:colOff>9525</xdr:colOff>
      <xdr:row>7</xdr:row>
      <xdr:rowOff>28575</xdr:rowOff>
    </xdr:from>
    <xdr:to>
      <xdr:col>17</xdr:col>
      <xdr:colOff>0</xdr:colOff>
      <xdr:row>7</xdr:row>
      <xdr:rowOff>171450</xdr:rowOff>
    </xdr:to>
    <xdr:sp macro="" textlink="">
      <xdr:nvSpPr>
        <xdr:cNvPr id="22" name="AutoShape 53"/>
        <xdr:cNvSpPr>
          <a:spLocks noChangeArrowheads="1"/>
        </xdr:cNvSpPr>
      </xdr:nvSpPr>
      <xdr:spPr bwMode="auto">
        <a:xfrm>
          <a:off x="7867650" y="1428750"/>
          <a:ext cx="476250" cy="142875"/>
        </a:xfrm>
        <a:prstGeom prst="bracketPair">
          <a:avLst>
            <a:gd name="adj" fmla="val 16667"/>
          </a:avLst>
        </a:prstGeom>
        <a:noFill/>
        <a:ln w="9525">
          <a:solidFill>
            <a:srgbClr val="000000"/>
          </a:solidFill>
          <a:round/>
          <a:headEnd/>
          <a:tailEnd/>
        </a:ln>
      </xdr:spPr>
    </xdr:sp>
    <xdr:clientData/>
  </xdr:twoCellAnchor>
  <xdr:twoCellAnchor>
    <xdr:from>
      <xdr:col>16</xdr:col>
      <xdr:colOff>9525</xdr:colOff>
      <xdr:row>8</xdr:row>
      <xdr:rowOff>28575</xdr:rowOff>
    </xdr:from>
    <xdr:to>
      <xdr:col>17</xdr:col>
      <xdr:colOff>0</xdr:colOff>
      <xdr:row>8</xdr:row>
      <xdr:rowOff>171450</xdr:rowOff>
    </xdr:to>
    <xdr:sp macro="" textlink="">
      <xdr:nvSpPr>
        <xdr:cNvPr id="23" name="AutoShape 54"/>
        <xdr:cNvSpPr>
          <a:spLocks noChangeArrowheads="1"/>
        </xdr:cNvSpPr>
      </xdr:nvSpPr>
      <xdr:spPr bwMode="auto">
        <a:xfrm>
          <a:off x="7867650" y="1628775"/>
          <a:ext cx="476250" cy="142875"/>
        </a:xfrm>
        <a:prstGeom prst="bracketPair">
          <a:avLst>
            <a:gd name="adj" fmla="val 16667"/>
          </a:avLst>
        </a:prstGeom>
        <a:noFill/>
        <a:ln w="9525">
          <a:solidFill>
            <a:srgbClr val="000000"/>
          </a:solidFill>
          <a:round/>
          <a:headEnd/>
          <a:tailEnd/>
        </a:ln>
      </xdr:spPr>
    </xdr:sp>
    <xdr:clientData/>
  </xdr:twoCellAnchor>
  <xdr:twoCellAnchor>
    <xdr:from>
      <xdr:col>16</xdr:col>
      <xdr:colOff>9525</xdr:colOff>
      <xdr:row>9</xdr:row>
      <xdr:rowOff>28575</xdr:rowOff>
    </xdr:from>
    <xdr:to>
      <xdr:col>17</xdr:col>
      <xdr:colOff>0</xdr:colOff>
      <xdr:row>9</xdr:row>
      <xdr:rowOff>171450</xdr:rowOff>
    </xdr:to>
    <xdr:sp macro="" textlink="">
      <xdr:nvSpPr>
        <xdr:cNvPr id="24" name="AutoShape 55"/>
        <xdr:cNvSpPr>
          <a:spLocks noChangeArrowheads="1"/>
        </xdr:cNvSpPr>
      </xdr:nvSpPr>
      <xdr:spPr bwMode="auto">
        <a:xfrm>
          <a:off x="7867650" y="1828800"/>
          <a:ext cx="476250" cy="142875"/>
        </a:xfrm>
        <a:prstGeom prst="bracketPair">
          <a:avLst>
            <a:gd name="adj" fmla="val 16667"/>
          </a:avLst>
        </a:prstGeom>
        <a:noFill/>
        <a:ln w="9525">
          <a:solidFill>
            <a:srgbClr val="000000"/>
          </a:solidFill>
          <a:round/>
          <a:headEnd/>
          <a:tailEnd/>
        </a:ln>
      </xdr:spPr>
    </xdr:sp>
    <xdr:clientData/>
  </xdr:twoCellAnchor>
  <xdr:twoCellAnchor>
    <xdr:from>
      <xdr:col>20</xdr:col>
      <xdr:colOff>9525</xdr:colOff>
      <xdr:row>7</xdr:row>
      <xdr:rowOff>28575</xdr:rowOff>
    </xdr:from>
    <xdr:to>
      <xdr:col>21</xdr:col>
      <xdr:colOff>0</xdr:colOff>
      <xdr:row>7</xdr:row>
      <xdr:rowOff>171450</xdr:rowOff>
    </xdr:to>
    <xdr:sp macro="" textlink="">
      <xdr:nvSpPr>
        <xdr:cNvPr id="25" name="AutoShape 56"/>
        <xdr:cNvSpPr>
          <a:spLocks noChangeArrowheads="1"/>
        </xdr:cNvSpPr>
      </xdr:nvSpPr>
      <xdr:spPr bwMode="auto">
        <a:xfrm>
          <a:off x="9810750" y="1428750"/>
          <a:ext cx="476250" cy="142875"/>
        </a:xfrm>
        <a:prstGeom prst="bracketPair">
          <a:avLst>
            <a:gd name="adj" fmla="val 16667"/>
          </a:avLst>
        </a:prstGeom>
        <a:noFill/>
        <a:ln w="9525">
          <a:solidFill>
            <a:srgbClr val="000000"/>
          </a:solidFill>
          <a:round/>
          <a:headEnd/>
          <a:tailEnd/>
        </a:ln>
      </xdr:spPr>
    </xdr:sp>
    <xdr:clientData/>
  </xdr:twoCellAnchor>
  <xdr:twoCellAnchor editAs="absolute">
    <xdr:from>
      <xdr:col>11</xdr:col>
      <xdr:colOff>27049</xdr:colOff>
      <xdr:row>39</xdr:row>
      <xdr:rowOff>101600</xdr:rowOff>
    </xdr:from>
    <xdr:to>
      <xdr:col>13</xdr:col>
      <xdr:colOff>353306</xdr:colOff>
      <xdr:row>44</xdr:row>
      <xdr:rowOff>211277</xdr:rowOff>
    </xdr:to>
    <xdr:pic>
      <xdr:nvPicPr>
        <xdr:cNvPr id="28" name="Picture 11" descr="Escanear000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5475349" y="8445500"/>
          <a:ext cx="1316857" cy="1227277"/>
        </a:xfrm>
        <a:prstGeom prst="rect">
          <a:avLst/>
        </a:prstGeom>
        <a:noFill/>
        <a:ln w="9525">
          <a:noFill/>
          <a:miter lim="800000"/>
          <a:headEnd/>
          <a:tailEnd/>
        </a:ln>
      </xdr:spPr>
    </xdr:pic>
    <xdr:clientData/>
  </xdr:twoCellAnchor>
  <xdr:twoCellAnchor>
    <xdr:from>
      <xdr:col>0</xdr:col>
      <xdr:colOff>215900</xdr:colOff>
      <xdr:row>0</xdr:row>
      <xdr:rowOff>127000</xdr:rowOff>
    </xdr:from>
    <xdr:to>
      <xdr:col>3</xdr:col>
      <xdr:colOff>261208</xdr:colOff>
      <xdr:row>3</xdr:row>
      <xdr:rowOff>38100</xdr:rowOff>
    </xdr:to>
    <xdr:pic>
      <xdr:nvPicPr>
        <xdr:cNvPr id="29" name="2 Imagen" descr="Gobierno horizontal.j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clrChange>
            <a:clrFrom>
              <a:srgbClr val="FFFFFE"/>
            </a:clrFrom>
            <a:clrTo>
              <a:srgbClr val="FFFFFE">
                <a:alpha val="0"/>
              </a:srgbClr>
            </a:clrTo>
          </a:clrChange>
        </a:blip>
        <a:srcRect l="2083" t="1598" r="2511" b="12924"/>
        <a:stretch>
          <a:fillRect/>
        </a:stretch>
      </xdr:blipFill>
      <xdr:spPr bwMode="auto">
        <a:xfrm>
          <a:off x="215900" y="127000"/>
          <a:ext cx="1531208" cy="673100"/>
        </a:xfrm>
        <a:prstGeom prst="rect">
          <a:avLst/>
        </a:prstGeom>
        <a:noFill/>
        <a:ln w="9525">
          <a:noFill/>
          <a:miter lim="800000"/>
          <a:headEnd/>
          <a:tailEnd/>
        </a:ln>
      </xdr:spPr>
    </xdr:pic>
    <xdr:clientData/>
  </xdr:twoCellAnchor>
  <xdr:twoCellAnchor>
    <xdr:from>
      <xdr:col>3</xdr:col>
      <xdr:colOff>406526</xdr:colOff>
      <xdr:row>0</xdr:row>
      <xdr:rowOff>127000</xdr:rowOff>
    </xdr:from>
    <xdr:to>
      <xdr:col>6</xdr:col>
      <xdr:colOff>242039</xdr:colOff>
      <xdr:row>3</xdr:row>
      <xdr:rowOff>38100</xdr:rowOff>
    </xdr:to>
    <xdr:pic>
      <xdr:nvPicPr>
        <xdr:cNvPr id="30" name="3 Imagen" descr="logoresultados.jpg">
          <a:hlinkClick xmlns:r="http://schemas.openxmlformats.org/officeDocument/2006/relationships" r:id="rId4"/>
        </xdr:cNvPr>
        <xdr:cNvPicPr>
          <a:picLocks noChangeAspect="1" noChangeArrowheads="1"/>
        </xdr:cNvPicPr>
      </xdr:nvPicPr>
      <xdr:blipFill>
        <a:blip xmlns:r="http://schemas.openxmlformats.org/officeDocument/2006/relationships" r:embed="rId5" cstate="print">
          <a:clrChange>
            <a:clrFrom>
              <a:srgbClr val="FFFFFE"/>
            </a:clrFrom>
            <a:clrTo>
              <a:srgbClr val="FFFFFE">
                <a:alpha val="0"/>
              </a:srgbClr>
            </a:clrTo>
          </a:clrChange>
        </a:blip>
        <a:srcRect l="4529" t="3762" r="5388" b="4403"/>
        <a:stretch>
          <a:fillRect/>
        </a:stretch>
      </xdr:blipFill>
      <xdr:spPr bwMode="auto">
        <a:xfrm>
          <a:off x="1892426" y="127000"/>
          <a:ext cx="1321413" cy="673100"/>
        </a:xfrm>
        <a:prstGeom prst="rect">
          <a:avLst/>
        </a:prstGeom>
        <a:noFill/>
        <a:ln w="9525">
          <a:noFill/>
          <a:miter lim="800000"/>
          <a:headEnd/>
          <a:tailEnd/>
        </a:ln>
      </xdr:spPr>
    </xdr:pic>
    <xdr:clientData/>
  </xdr:twoCellAnchor>
  <xdr:twoCellAnchor editAs="oneCell">
    <xdr:from>
      <xdr:col>5</xdr:col>
      <xdr:colOff>50800</xdr:colOff>
      <xdr:row>46</xdr:row>
      <xdr:rowOff>0</xdr:rowOff>
    </xdr:from>
    <xdr:to>
      <xdr:col>8</xdr:col>
      <xdr:colOff>146050</xdr:colOff>
      <xdr:row>52</xdr:row>
      <xdr:rowOff>152400</xdr:rowOff>
    </xdr:to>
    <xdr:pic>
      <xdr:nvPicPr>
        <xdr:cNvPr id="31" name="30 Imagen"/>
        <xdr:cNvPicPr/>
      </xdr:nvPicPr>
      <xdr:blipFill>
        <a:blip xmlns:r="http://schemas.openxmlformats.org/officeDocument/2006/relationships" r:embed="rId6" cstate="print">
          <a:clrChange>
            <a:clrFrom>
              <a:srgbClr val="FFFFFF"/>
            </a:clrFrom>
            <a:clrTo>
              <a:srgbClr val="FFFFFF">
                <a:alpha val="0"/>
              </a:srgbClr>
            </a:clrTo>
          </a:clrChange>
          <a:lum bright="-56000" contrast="72000"/>
        </a:blip>
        <a:srcRect/>
        <a:stretch>
          <a:fillRect/>
        </a:stretch>
      </xdr:blipFill>
      <xdr:spPr bwMode="auto">
        <a:xfrm>
          <a:off x="2527300" y="9855200"/>
          <a:ext cx="1581150" cy="1219200"/>
        </a:xfrm>
        <a:prstGeom prst="rect">
          <a:avLst/>
        </a:prstGeom>
        <a:noFill/>
      </xdr:spPr>
    </xdr:pic>
    <xdr:clientData/>
  </xdr:twoCellAnchor>
  <xdr:twoCellAnchor editAs="oneCell">
    <xdr:from>
      <xdr:col>8</xdr:col>
      <xdr:colOff>330200</xdr:colOff>
      <xdr:row>46</xdr:row>
      <xdr:rowOff>50800</xdr:rowOff>
    </xdr:from>
    <xdr:to>
      <xdr:col>11</xdr:col>
      <xdr:colOff>158750</xdr:colOff>
      <xdr:row>53</xdr:row>
      <xdr:rowOff>6350</xdr:rowOff>
    </xdr:to>
    <xdr:pic>
      <xdr:nvPicPr>
        <xdr:cNvPr id="32" name="31 Imagen"/>
        <xdr:cNvPicPr/>
      </xdr:nvPicPr>
      <xdr:blipFill>
        <a:blip xmlns:r="http://schemas.openxmlformats.org/officeDocument/2006/relationships" r:embed="rId7" cstate="print">
          <a:clrChange>
            <a:clrFrom>
              <a:srgbClr val="FFFFFF"/>
            </a:clrFrom>
            <a:clrTo>
              <a:srgbClr val="FFFFFF">
                <a:alpha val="0"/>
              </a:srgbClr>
            </a:clrTo>
          </a:clrChange>
          <a:lum bright="-24000" contrast="43000"/>
        </a:blip>
        <a:srcRect/>
        <a:stretch>
          <a:fillRect/>
        </a:stretch>
      </xdr:blipFill>
      <xdr:spPr bwMode="auto">
        <a:xfrm>
          <a:off x="4292600" y="9906000"/>
          <a:ext cx="1314450" cy="1200150"/>
        </a:xfrm>
        <a:prstGeom prst="rect">
          <a:avLst/>
        </a:prstGeom>
        <a:noFill/>
      </xdr:spPr>
    </xdr:pic>
    <xdr:clientData/>
  </xdr:twoCellAnchor>
</xdr:wsDr>
</file>

<file path=xl/drawings/drawing25.xml><?xml version="1.0" encoding="utf-8"?>
<xdr:wsDr xmlns:xdr="http://schemas.openxmlformats.org/drawingml/2006/spreadsheetDrawing" xmlns:a="http://schemas.openxmlformats.org/drawingml/2006/main">
  <xdr:twoCellAnchor editAs="absolute">
    <xdr:from>
      <xdr:col>10</xdr:col>
      <xdr:colOff>279400</xdr:colOff>
      <xdr:row>29</xdr:row>
      <xdr:rowOff>64569</xdr:rowOff>
    </xdr:from>
    <xdr:to>
      <xdr:col>14</xdr:col>
      <xdr:colOff>304800</xdr:colOff>
      <xdr:row>34</xdr:row>
      <xdr:rowOff>167735</xdr:rowOff>
    </xdr:to>
    <xdr:pic>
      <xdr:nvPicPr>
        <xdr:cNvPr id="7" name="Picture 11" descr="Escanear0003"/>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3581400" y="6900344"/>
          <a:ext cx="1346200" cy="1249341"/>
        </a:xfrm>
        <a:prstGeom prst="rect">
          <a:avLst/>
        </a:prstGeom>
        <a:noFill/>
        <a:ln w="9525">
          <a:noFill/>
          <a:miter lim="800000"/>
          <a:headEnd/>
          <a:tailEnd/>
        </a:ln>
      </xdr:spPr>
    </xdr:pic>
    <xdr:clientData fPrintsWithSheet="0"/>
  </xdr:twoCellAnchor>
  <xdr:twoCellAnchor>
    <xdr:from>
      <xdr:col>2</xdr:col>
      <xdr:colOff>139700</xdr:colOff>
      <xdr:row>0</xdr:row>
      <xdr:rowOff>12700</xdr:rowOff>
    </xdr:from>
    <xdr:to>
      <xdr:col>6</xdr:col>
      <xdr:colOff>149225</xdr:colOff>
      <xdr:row>2</xdr:row>
      <xdr:rowOff>146050</xdr:rowOff>
    </xdr:to>
    <xdr:pic>
      <xdr:nvPicPr>
        <xdr:cNvPr id="6" name="29 Imagen" descr="Descripción: los_servicios_m2.jpg"/>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blip>
        <a:srcRect r="70911"/>
        <a:stretch>
          <a:fillRect/>
        </a:stretch>
      </xdr:blipFill>
      <xdr:spPr bwMode="auto">
        <a:xfrm>
          <a:off x="800100" y="12700"/>
          <a:ext cx="1330325" cy="590550"/>
        </a:xfrm>
        <a:prstGeom prst="rect">
          <a:avLst/>
        </a:prstGeom>
        <a:noFill/>
        <a:ln w="9525">
          <a:noFill/>
          <a:miter lim="800000"/>
          <a:headEnd/>
          <a:tailEnd/>
        </a:ln>
      </xdr:spPr>
    </xdr:pic>
    <xdr:clientData/>
  </xdr:twoCellAnchor>
  <xdr:twoCellAnchor>
    <xdr:from>
      <xdr:col>6</xdr:col>
      <xdr:colOff>193675</xdr:colOff>
      <xdr:row>0</xdr:row>
      <xdr:rowOff>12700</xdr:rowOff>
    </xdr:from>
    <xdr:to>
      <xdr:col>10</xdr:col>
      <xdr:colOff>222250</xdr:colOff>
      <xdr:row>2</xdr:row>
      <xdr:rowOff>136525</xdr:rowOff>
    </xdr:to>
    <xdr:pic>
      <xdr:nvPicPr>
        <xdr:cNvPr id="8" name="30 Imagen" descr="Descripción: los_servicios_m2.jpg"/>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l="34386" r="36073"/>
        <a:stretch>
          <a:fillRect/>
        </a:stretch>
      </xdr:blipFill>
      <xdr:spPr bwMode="auto">
        <a:xfrm>
          <a:off x="2174875" y="12700"/>
          <a:ext cx="1349375" cy="581025"/>
        </a:xfrm>
        <a:prstGeom prst="rect">
          <a:avLst/>
        </a:prstGeom>
        <a:noFill/>
        <a:ln w="9525">
          <a:noFill/>
          <a:miter lim="800000"/>
          <a:headEnd/>
          <a:tailEnd/>
        </a:ln>
      </xdr:spPr>
    </xdr:pic>
    <xdr:clientData/>
  </xdr:twoCellAnchor>
  <xdr:twoCellAnchor>
    <xdr:from>
      <xdr:col>10</xdr:col>
      <xdr:colOff>307975</xdr:colOff>
      <xdr:row>1</xdr:row>
      <xdr:rowOff>136525</xdr:rowOff>
    </xdr:from>
    <xdr:to>
      <xdr:col>15</xdr:col>
      <xdr:colOff>120650</xdr:colOff>
      <xdr:row>2</xdr:row>
      <xdr:rowOff>88900</xdr:rowOff>
    </xdr:to>
    <xdr:pic>
      <xdr:nvPicPr>
        <xdr:cNvPr id="9" name="2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l="68701" t="59828" b="15846"/>
        <a:stretch>
          <a:fillRect/>
        </a:stretch>
      </xdr:blipFill>
      <xdr:spPr bwMode="auto">
        <a:xfrm>
          <a:off x="3609975" y="365125"/>
          <a:ext cx="1463675" cy="180975"/>
        </a:xfrm>
        <a:prstGeom prst="rect">
          <a:avLst/>
        </a:prstGeom>
        <a:noFill/>
        <a:ln w="9525">
          <a:noFill/>
          <a:miter lim="800000"/>
          <a:headEnd/>
          <a:tailEnd/>
        </a:ln>
      </xdr:spPr>
    </xdr:pic>
    <xdr:clientData/>
  </xdr:twoCellAnchor>
</xdr:wsDr>
</file>

<file path=xl/drawings/drawing26.xml><?xml version="1.0" encoding="utf-8"?>
<xdr:wsDr xmlns:xdr="http://schemas.openxmlformats.org/drawingml/2006/spreadsheetDrawing" xmlns:a="http://schemas.openxmlformats.org/drawingml/2006/main">
  <xdr:twoCellAnchor>
    <xdr:from>
      <xdr:col>2</xdr:col>
      <xdr:colOff>203200</xdr:colOff>
      <xdr:row>0</xdr:row>
      <xdr:rowOff>47625</xdr:rowOff>
    </xdr:from>
    <xdr:to>
      <xdr:col>6</xdr:col>
      <xdr:colOff>212725</xdr:colOff>
      <xdr:row>2</xdr:row>
      <xdr:rowOff>180975</xdr:rowOff>
    </xdr:to>
    <xdr:pic>
      <xdr:nvPicPr>
        <xdr:cNvPr id="2" name="29 Imagen" descr="Descripción: los_servicios_m2.jpg"/>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r="70911"/>
        <a:stretch>
          <a:fillRect/>
        </a:stretch>
      </xdr:blipFill>
      <xdr:spPr bwMode="auto">
        <a:xfrm>
          <a:off x="863600" y="47625"/>
          <a:ext cx="1330325" cy="590550"/>
        </a:xfrm>
        <a:prstGeom prst="rect">
          <a:avLst/>
        </a:prstGeom>
        <a:noFill/>
        <a:ln w="9525">
          <a:noFill/>
          <a:miter lim="800000"/>
          <a:headEnd/>
          <a:tailEnd/>
        </a:ln>
      </xdr:spPr>
    </xdr:pic>
    <xdr:clientData/>
  </xdr:twoCellAnchor>
  <xdr:twoCellAnchor>
    <xdr:from>
      <xdr:col>6</xdr:col>
      <xdr:colOff>257175</xdr:colOff>
      <xdr:row>0</xdr:row>
      <xdr:rowOff>47625</xdr:rowOff>
    </xdr:from>
    <xdr:to>
      <xdr:col>10</xdr:col>
      <xdr:colOff>285750</xdr:colOff>
      <xdr:row>2</xdr:row>
      <xdr:rowOff>171450</xdr:rowOff>
    </xdr:to>
    <xdr:pic>
      <xdr:nvPicPr>
        <xdr:cNvPr id="3" name="30 Imagen" descr="Descripción: los_servicios_m2.jpg">
          <a:hlinkClick xmlns:r="http://schemas.openxmlformats.org/officeDocument/2006/relationships" r:id="rId2"/>
        </xdr:cNvPr>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blip>
        <a:srcRect l="34386" r="36073"/>
        <a:stretch>
          <a:fillRect/>
        </a:stretch>
      </xdr:blipFill>
      <xdr:spPr bwMode="auto">
        <a:xfrm>
          <a:off x="2238375" y="47625"/>
          <a:ext cx="1349375" cy="581025"/>
        </a:xfrm>
        <a:prstGeom prst="rect">
          <a:avLst/>
        </a:prstGeom>
        <a:noFill/>
        <a:ln w="9525">
          <a:noFill/>
          <a:miter lim="800000"/>
          <a:headEnd/>
          <a:tailEnd/>
        </a:ln>
      </xdr:spPr>
    </xdr:pic>
    <xdr:clientData/>
  </xdr:twoCellAnchor>
  <xdr:twoCellAnchor>
    <xdr:from>
      <xdr:col>11</xdr:col>
      <xdr:colOff>41275</xdr:colOff>
      <xdr:row>1</xdr:row>
      <xdr:rowOff>171450</xdr:rowOff>
    </xdr:from>
    <xdr:to>
      <xdr:col>15</xdr:col>
      <xdr:colOff>184150</xdr:colOff>
      <xdr:row>2</xdr:row>
      <xdr:rowOff>123825</xdr:rowOff>
    </xdr:to>
    <xdr:pic>
      <xdr:nvPicPr>
        <xdr:cNvPr id="4" name="2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l="68701" t="59828" b="15846"/>
        <a:stretch>
          <a:fillRect/>
        </a:stretch>
      </xdr:blipFill>
      <xdr:spPr bwMode="auto">
        <a:xfrm>
          <a:off x="3673475" y="400050"/>
          <a:ext cx="1463675" cy="180975"/>
        </a:xfrm>
        <a:prstGeom prst="rect">
          <a:avLst/>
        </a:prstGeom>
        <a:noFill/>
        <a:ln w="9525">
          <a:noFill/>
          <a:miter lim="800000"/>
          <a:headEnd/>
          <a:tailEnd/>
        </a:ln>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889000</xdr:colOff>
      <xdr:row>0</xdr:row>
      <xdr:rowOff>66675</xdr:rowOff>
    </xdr:from>
    <xdr:to>
      <xdr:col>1</xdr:col>
      <xdr:colOff>2019300</xdr:colOff>
      <xdr:row>3</xdr:row>
      <xdr:rowOff>97790</xdr:rowOff>
    </xdr:to>
    <xdr:pic>
      <xdr:nvPicPr>
        <xdr:cNvPr id="2" name="1 Imagen" descr="Descripción: los_servicios_m2.jpg"/>
        <xdr:cNvPicPr/>
      </xdr:nvPicPr>
      <xdr:blipFill>
        <a:blip xmlns:r="http://schemas.openxmlformats.org/officeDocument/2006/relationships" r:embed="rId1" cstate="print">
          <a:clrChange>
            <a:clrFrom>
              <a:srgbClr val="FFFFFF"/>
            </a:clrFrom>
            <a:clrTo>
              <a:srgbClr val="FFFFFF">
                <a:alpha val="0"/>
              </a:srgbClr>
            </a:clrTo>
          </a:clrChange>
        </a:blip>
        <a:srcRect l="34386" r="36073"/>
        <a:stretch>
          <a:fillRect/>
        </a:stretch>
      </xdr:blipFill>
      <xdr:spPr bwMode="auto">
        <a:xfrm>
          <a:off x="1193800" y="66675"/>
          <a:ext cx="1130300" cy="580390"/>
        </a:xfrm>
        <a:prstGeom prst="rect">
          <a:avLst/>
        </a:prstGeom>
        <a:noFill/>
        <a:ln w="9525">
          <a:noFill/>
          <a:miter lim="800000"/>
          <a:headEnd/>
          <a:tailEnd/>
        </a:ln>
      </xdr:spPr>
    </xdr:pic>
    <xdr:clientData/>
  </xdr:twoCellAnchor>
  <xdr:twoCellAnchor editAs="oneCell">
    <xdr:from>
      <xdr:col>0</xdr:col>
      <xdr:colOff>19050</xdr:colOff>
      <xdr:row>0</xdr:row>
      <xdr:rowOff>69215</xdr:rowOff>
    </xdr:from>
    <xdr:to>
      <xdr:col>1</xdr:col>
      <xdr:colOff>904875</xdr:colOff>
      <xdr:row>3</xdr:row>
      <xdr:rowOff>107950</xdr:rowOff>
    </xdr:to>
    <xdr:pic>
      <xdr:nvPicPr>
        <xdr:cNvPr id="3" name="2 Imagen" descr="Descripción: los_servicios_m2.jpg"/>
        <xdr:cNvPicPr/>
      </xdr:nvPicPr>
      <xdr:blipFill>
        <a:blip xmlns:r="http://schemas.openxmlformats.org/officeDocument/2006/relationships" r:embed="rId2" cstate="print">
          <a:clrChange>
            <a:clrFrom>
              <a:srgbClr val="FFFFFF"/>
            </a:clrFrom>
            <a:clrTo>
              <a:srgbClr val="FFFFFF">
                <a:alpha val="0"/>
              </a:srgbClr>
            </a:clrTo>
          </a:clrChange>
        </a:blip>
        <a:srcRect r="70911"/>
        <a:stretch>
          <a:fillRect/>
        </a:stretch>
      </xdr:blipFill>
      <xdr:spPr bwMode="auto">
        <a:xfrm>
          <a:off x="19050" y="69215"/>
          <a:ext cx="1190625" cy="591185"/>
        </a:xfrm>
        <a:prstGeom prst="rect">
          <a:avLst/>
        </a:prstGeom>
        <a:noFill/>
        <a:ln w="9525">
          <a:noFill/>
          <a:miter lim="800000"/>
          <a:headEnd/>
          <a:tailEnd/>
        </a:ln>
      </xdr:spPr>
    </xdr:pic>
    <xdr:clientData/>
  </xdr:twoCellAnchor>
  <xdr:twoCellAnchor editAs="oneCell">
    <xdr:from>
      <xdr:col>1</xdr:col>
      <xdr:colOff>2035175</xdr:colOff>
      <xdr:row>2</xdr:row>
      <xdr:rowOff>33020</xdr:rowOff>
    </xdr:from>
    <xdr:to>
      <xdr:col>1</xdr:col>
      <xdr:colOff>2305050</xdr:colOff>
      <xdr:row>3</xdr:row>
      <xdr:rowOff>126683</xdr:rowOff>
    </xdr:to>
    <xdr:pic>
      <xdr:nvPicPr>
        <xdr:cNvPr id="4" name="3 Imagen" descr="Logo_SEQ_Resultados.gif"/>
        <xdr:cNvPicPr/>
      </xdr:nvPicPr>
      <xdr:blipFill>
        <a:blip xmlns:r="http://schemas.openxmlformats.org/officeDocument/2006/relationships" r:embed="rId3" cstate="print"/>
        <a:srcRect l="79355" t="65332"/>
        <a:stretch>
          <a:fillRect/>
        </a:stretch>
      </xdr:blipFill>
      <xdr:spPr bwMode="auto">
        <a:xfrm>
          <a:off x="2339975" y="356870"/>
          <a:ext cx="269875" cy="279400"/>
        </a:xfrm>
        <a:prstGeom prst="rect">
          <a:avLst/>
        </a:prstGeom>
        <a:noFill/>
        <a:ln w="9525">
          <a:noFill/>
          <a:miter lim="800000"/>
          <a:headEnd/>
          <a:tailEnd/>
        </a:ln>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1</xdr:col>
      <xdr:colOff>79373</xdr:colOff>
      <xdr:row>9</xdr:row>
      <xdr:rowOff>38100</xdr:rowOff>
    </xdr:from>
    <xdr:to>
      <xdr:col>2</xdr:col>
      <xdr:colOff>819151</xdr:colOff>
      <xdr:row>15</xdr:row>
      <xdr:rowOff>123825</xdr:rowOff>
    </xdr:to>
    <xdr:pic>
      <xdr:nvPicPr>
        <xdr:cNvPr id="26" name="25 Imagen"/>
        <xdr:cNvPicPr/>
      </xdr:nvPicPr>
      <xdr:blipFill>
        <a:blip xmlns:r="http://schemas.openxmlformats.org/officeDocument/2006/relationships" r:embed="rId1">
          <a:clrChange>
            <a:clrFrom>
              <a:srgbClr val="FFFFFF"/>
            </a:clrFrom>
            <a:clrTo>
              <a:srgbClr val="FFFFFF">
                <a:alpha val="0"/>
              </a:srgbClr>
            </a:clrTo>
          </a:clrChange>
          <a:lum bright="-6000" contrast="36000"/>
        </a:blip>
        <a:srcRect/>
        <a:stretch>
          <a:fillRect/>
        </a:stretch>
      </xdr:blipFill>
      <xdr:spPr bwMode="auto">
        <a:xfrm>
          <a:off x="117473" y="1866900"/>
          <a:ext cx="1349378" cy="1000125"/>
        </a:xfrm>
        <a:prstGeom prst="rect">
          <a:avLst/>
        </a:prstGeom>
        <a:noFill/>
        <a:ln w="9525">
          <a:noFill/>
          <a:miter lim="800000"/>
          <a:headEnd/>
          <a:tailEnd/>
        </a:ln>
      </xdr:spPr>
    </xdr:pic>
    <xdr:clientData/>
  </xdr:twoCellAnchor>
  <xdr:twoCellAnchor editAs="oneCell">
    <xdr:from>
      <xdr:col>1</xdr:col>
      <xdr:colOff>7936</xdr:colOff>
      <xdr:row>23</xdr:row>
      <xdr:rowOff>20515</xdr:rowOff>
    </xdr:from>
    <xdr:to>
      <xdr:col>2</xdr:col>
      <xdr:colOff>500063</xdr:colOff>
      <xdr:row>30</xdr:row>
      <xdr:rowOff>111125</xdr:rowOff>
    </xdr:to>
    <xdr:pic>
      <xdr:nvPicPr>
        <xdr:cNvPr id="24" name="23 Imagen"/>
        <xdr:cNvPicPr>
          <a:picLocks noChangeAspect="1" noChangeArrowheads="1"/>
        </xdr:cNvPicPr>
      </xdr:nvPicPr>
      <xdr:blipFill>
        <a:blip xmlns:r="http://schemas.openxmlformats.org/officeDocument/2006/relationships" r:embed="rId2" cstate="print">
          <a:lum bright="-18000" contrast="46000"/>
          <a:extLst>
            <a:ext uri="{28A0092B-C50C-407E-A947-70E740481C1C}">
              <a14:useLocalDpi xmlns:a14="http://schemas.microsoft.com/office/drawing/2010/main" val="0"/>
            </a:ext>
          </a:extLst>
        </a:blip>
        <a:srcRect/>
        <a:stretch>
          <a:fillRect/>
        </a:stretch>
      </xdr:blipFill>
      <xdr:spPr bwMode="auto">
        <a:xfrm>
          <a:off x="46036" y="3982915"/>
          <a:ext cx="1101727" cy="1157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absolute">
    <xdr:from>
      <xdr:col>19</xdr:col>
      <xdr:colOff>184743</xdr:colOff>
      <xdr:row>1</xdr:row>
      <xdr:rowOff>204053</xdr:rowOff>
    </xdr:from>
    <xdr:to>
      <xdr:col>19</xdr:col>
      <xdr:colOff>373073</xdr:colOff>
      <xdr:row>2</xdr:row>
      <xdr:rowOff>126998</xdr:rowOff>
    </xdr:to>
    <xdr:pic>
      <xdr:nvPicPr>
        <xdr:cNvPr id="32" name="Picture 39"/>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schemeClr val="bg2">
              <a:shade val="45000"/>
              <a:satMod val="135000"/>
            </a:schemeClr>
            <a:prstClr val="white"/>
          </a:duotone>
        </a:blip>
        <a:srcRect/>
        <a:stretch>
          <a:fillRect/>
        </a:stretch>
      </xdr:blipFill>
      <xdr:spPr bwMode="auto">
        <a:xfrm>
          <a:off x="8439743" y="346928"/>
          <a:ext cx="188330" cy="161070"/>
        </a:xfrm>
        <a:prstGeom prst="rect">
          <a:avLst/>
        </a:prstGeom>
        <a:noFill/>
        <a:ln w="9525">
          <a:noFill/>
          <a:miter lim="800000"/>
          <a:headEnd/>
          <a:tailEnd/>
        </a:ln>
      </xdr:spPr>
    </xdr:pic>
    <xdr:clientData/>
  </xdr:twoCellAnchor>
  <xdr:twoCellAnchor>
    <xdr:from>
      <xdr:col>17</xdr:col>
      <xdr:colOff>158759</xdr:colOff>
      <xdr:row>1</xdr:row>
      <xdr:rowOff>36756</xdr:rowOff>
    </xdr:from>
    <xdr:to>
      <xdr:col>19</xdr:col>
      <xdr:colOff>119074</xdr:colOff>
      <xdr:row>2</xdr:row>
      <xdr:rowOff>137544</xdr:rowOff>
    </xdr:to>
    <xdr:pic>
      <xdr:nvPicPr>
        <xdr:cNvPr id="31" name="3 Imagen" descr="logoresultados.jpg"/>
        <xdr:cNvPicPr>
          <a:picLocks noChangeAspect="1" noChangeArrowheads="1"/>
        </xdr:cNvPicPr>
      </xdr:nvPicPr>
      <xdr:blipFill>
        <a:blip xmlns:r="http://schemas.openxmlformats.org/officeDocument/2006/relationships" r:embed="rId4" cstate="print">
          <a:clrChange>
            <a:clrFrom>
              <a:srgbClr val="FFFFFE"/>
            </a:clrFrom>
            <a:clrTo>
              <a:srgbClr val="FFFFFE">
                <a:alpha val="0"/>
              </a:srgbClr>
            </a:clrTo>
          </a:clrChange>
        </a:blip>
        <a:srcRect l="4529" t="3762" r="5388" b="4403"/>
        <a:stretch>
          <a:fillRect/>
        </a:stretch>
      </xdr:blipFill>
      <xdr:spPr bwMode="auto">
        <a:xfrm>
          <a:off x="7651759" y="179631"/>
          <a:ext cx="722315" cy="338913"/>
        </a:xfrm>
        <a:prstGeom prst="rect">
          <a:avLst/>
        </a:prstGeom>
        <a:noFill/>
        <a:ln w="9525">
          <a:noFill/>
          <a:miter lim="800000"/>
          <a:headEnd/>
          <a:tailEnd/>
        </a:ln>
      </xdr:spPr>
    </xdr:pic>
    <xdr:clientData/>
  </xdr:twoCellAnchor>
  <xdr:twoCellAnchor editAs="oneCell">
    <xdr:from>
      <xdr:col>1</xdr:col>
      <xdr:colOff>15877</xdr:colOff>
      <xdr:row>1</xdr:row>
      <xdr:rowOff>47624</xdr:rowOff>
    </xdr:from>
    <xdr:to>
      <xdr:col>2</xdr:col>
      <xdr:colOff>650876</xdr:colOff>
      <xdr:row>3</xdr:row>
      <xdr:rowOff>5</xdr:rowOff>
    </xdr:to>
    <xdr:pic>
      <xdr:nvPicPr>
        <xdr:cNvPr id="30" name="29 Imagen"/>
        <xdr:cNvPicPr/>
      </xdr:nvPicPr>
      <xdr:blipFill>
        <a:blip xmlns:r="http://schemas.openxmlformats.org/officeDocument/2006/relationships" r:embed="rId5">
          <a:extLst/>
        </a:blip>
        <a:srcRect/>
        <a:stretch>
          <a:fillRect/>
        </a:stretch>
      </xdr:blipFill>
      <xdr:spPr bwMode="auto">
        <a:xfrm>
          <a:off x="55565" y="190499"/>
          <a:ext cx="1246186" cy="428631"/>
        </a:xfrm>
        <a:prstGeom prst="rect">
          <a:avLst/>
        </a:prstGeom>
        <a:noFill/>
        <a:ln w="9525">
          <a:noFill/>
          <a:miter lim="800000"/>
          <a:headEnd/>
          <a:tailEnd/>
        </a:ln>
      </xdr:spPr>
    </xdr:pic>
    <xdr:clientData/>
  </xdr:twoCellAnchor>
  <xdr:twoCellAnchor editAs="oneCell">
    <xdr:from>
      <xdr:col>1</xdr:col>
      <xdr:colOff>7940</xdr:colOff>
      <xdr:row>9</xdr:row>
      <xdr:rowOff>31381</xdr:rowOff>
    </xdr:from>
    <xdr:to>
      <xdr:col>2</xdr:col>
      <xdr:colOff>873128</xdr:colOff>
      <xdr:row>15</xdr:row>
      <xdr:rowOff>70348</xdr:rowOff>
    </xdr:to>
    <xdr:pic>
      <xdr:nvPicPr>
        <xdr:cNvPr id="25" name="24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46040" y="1860181"/>
          <a:ext cx="1474788" cy="95336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72753</xdr:colOff>
      <xdr:row>38</xdr:row>
      <xdr:rowOff>11829</xdr:rowOff>
    </xdr:from>
    <xdr:to>
      <xdr:col>2</xdr:col>
      <xdr:colOff>641784</xdr:colOff>
      <xdr:row>44</xdr:row>
      <xdr:rowOff>127043</xdr:rowOff>
    </xdr:to>
    <xdr:pic>
      <xdr:nvPicPr>
        <xdr:cNvPr id="21" name="20 Imagen"/>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10853" y="6069729"/>
          <a:ext cx="1178631" cy="10296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55566</xdr:colOff>
      <xdr:row>16</xdr:row>
      <xdr:rowOff>104274</xdr:rowOff>
    </xdr:from>
    <xdr:to>
      <xdr:col>2</xdr:col>
      <xdr:colOff>850674</xdr:colOff>
      <xdr:row>23</xdr:row>
      <xdr:rowOff>49988</xdr:rowOff>
    </xdr:to>
    <xdr:pic>
      <xdr:nvPicPr>
        <xdr:cNvPr id="19" name="18 Imagen"/>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93666" y="2999874"/>
          <a:ext cx="1404708" cy="10125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16</xdr:col>
      <xdr:colOff>103203</xdr:colOff>
      <xdr:row>1</xdr:row>
      <xdr:rowOff>35943</xdr:rowOff>
    </xdr:from>
    <xdr:to>
      <xdr:col>17</xdr:col>
      <xdr:colOff>55578</xdr:colOff>
      <xdr:row>2</xdr:row>
      <xdr:rowOff>149376</xdr:rowOff>
    </xdr:to>
    <xdr:pic>
      <xdr:nvPicPr>
        <xdr:cNvPr id="17" name="7 Imagen" descr="Gobierno horizontal.jpg"/>
        <xdr:cNvPicPr>
          <a:picLocks noChangeAspect="1" noChangeArrowheads="1"/>
        </xdr:cNvPicPr>
      </xdr:nvPicPr>
      <xdr:blipFill>
        <a:blip xmlns:r="http://schemas.openxmlformats.org/officeDocument/2006/relationships" r:embed="rId9" cstate="print">
          <a:clrChange>
            <a:clrFrom>
              <a:srgbClr val="FDFDFD"/>
            </a:clrFrom>
            <a:clrTo>
              <a:srgbClr val="FDFDFD">
                <a:alpha val="0"/>
              </a:srgbClr>
            </a:clrTo>
          </a:clrChange>
        </a:blip>
        <a:srcRect l="2698" r="3052" b="10001"/>
        <a:stretch>
          <a:fillRect/>
        </a:stretch>
      </xdr:blipFill>
      <xdr:spPr bwMode="auto">
        <a:xfrm>
          <a:off x="6818328" y="178818"/>
          <a:ext cx="730250" cy="351558"/>
        </a:xfrm>
        <a:prstGeom prst="rect">
          <a:avLst/>
        </a:prstGeom>
        <a:noFill/>
        <a:ln w="9525">
          <a:noFill/>
          <a:miter lim="800000"/>
          <a:headEnd/>
          <a:tailEnd/>
        </a:ln>
      </xdr:spPr>
    </xdr:pic>
    <xdr:clientData/>
  </xdr:twoCellAnchor>
  <xdr:twoCellAnchor>
    <xdr:from>
      <xdr:col>2</xdr:col>
      <xdr:colOff>413406</xdr:colOff>
      <xdr:row>47</xdr:row>
      <xdr:rowOff>94409</xdr:rowOff>
    </xdr:from>
    <xdr:to>
      <xdr:col>16</xdr:col>
      <xdr:colOff>522665</xdr:colOff>
      <xdr:row>50</xdr:row>
      <xdr:rowOff>153796</xdr:rowOff>
    </xdr:to>
    <xdr:sp macro="" textlink="">
      <xdr:nvSpPr>
        <xdr:cNvPr id="5" name="4 Rectángulo redondeado"/>
        <xdr:cNvSpPr/>
      </xdr:nvSpPr>
      <xdr:spPr>
        <a:xfrm>
          <a:off x="1052141" y="7568733"/>
          <a:ext cx="6171642" cy="530034"/>
        </a:xfrm>
        <a:prstGeom prst="roundRect">
          <a:avLst/>
        </a:prstGeom>
        <a:solidFill>
          <a:schemeClr val="bg1"/>
        </a:solid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00" b="1" baseline="0" smtClean="0">
            <a:solidFill>
              <a:sysClr val="windowText" lastClr="000000"/>
            </a:solidFill>
            <a:latin typeface="+mn-lt"/>
            <a:ea typeface="+mn-ea"/>
            <a:cs typeface="+mn-cs"/>
          </a:endParaRPr>
        </a:p>
        <a:p>
          <a:pPr algn="ctr"/>
          <a:endParaRPr lang="es-ES" sz="100" b="1" baseline="0" smtClean="0">
            <a:solidFill>
              <a:sysClr val="windowText" lastClr="000000"/>
            </a:solidFill>
            <a:latin typeface="+mn-lt"/>
            <a:ea typeface="+mn-ea"/>
            <a:cs typeface="+mn-cs"/>
          </a:endParaRPr>
        </a:p>
        <a:p>
          <a:pPr algn="ctr"/>
          <a:r>
            <a:rPr lang="es-ES" sz="1400" b="1" baseline="0" smtClean="0">
              <a:solidFill>
                <a:schemeClr val="tx1">
                  <a:lumMod val="65000"/>
                  <a:lumOff val="35000"/>
                </a:schemeClr>
              </a:solidFill>
              <a:latin typeface="+mn-lt"/>
              <a:ea typeface="+mn-ea"/>
              <a:cs typeface="+mn-cs"/>
            </a:rPr>
            <a:t>NO  SE  ENCONTRARON  ALUMNOS  QUE  CUMPLAN  LOS  CRITERIOS</a:t>
          </a:r>
          <a:endParaRPr lang="es-ES" sz="1400">
            <a:solidFill>
              <a:schemeClr val="tx1">
                <a:lumMod val="65000"/>
                <a:lumOff val="35000"/>
              </a:schemeClr>
            </a:solidFill>
          </a:endParaRPr>
        </a:p>
      </xdr:txBody>
    </xdr:sp>
    <xdr:clientData/>
  </xdr:twoCellAnchor>
  <xdr:twoCellAnchor>
    <xdr:from>
      <xdr:col>2</xdr:col>
      <xdr:colOff>563563</xdr:colOff>
      <xdr:row>7</xdr:row>
      <xdr:rowOff>0</xdr:rowOff>
    </xdr:from>
    <xdr:to>
      <xdr:col>20</xdr:col>
      <xdr:colOff>0</xdr:colOff>
      <xdr:row>8</xdr:row>
      <xdr:rowOff>85725</xdr:rowOff>
    </xdr:to>
    <xdr:sp macro="" textlink="">
      <xdr:nvSpPr>
        <xdr:cNvPr id="6" name="5 Rectángulo"/>
        <xdr:cNvSpPr/>
      </xdr:nvSpPr>
      <xdr:spPr>
        <a:xfrm>
          <a:off x="1211263" y="1676400"/>
          <a:ext cx="7418387" cy="1333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1</xdr:col>
      <xdr:colOff>600075</xdr:colOff>
      <xdr:row>4</xdr:row>
      <xdr:rowOff>246401</xdr:rowOff>
    </xdr:from>
    <xdr:to>
      <xdr:col>6</xdr:col>
      <xdr:colOff>352425</xdr:colOff>
      <xdr:row>4</xdr:row>
      <xdr:rowOff>246401</xdr:rowOff>
    </xdr:to>
    <xdr:cxnSp macro="">
      <xdr:nvCxnSpPr>
        <xdr:cNvPr id="8" name="7 Conector recto"/>
        <xdr:cNvCxnSpPr/>
      </xdr:nvCxnSpPr>
      <xdr:spPr>
        <a:xfrm>
          <a:off x="633693" y="1277342"/>
          <a:ext cx="2452967"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19050</xdr:colOff>
      <xdr:row>4</xdr:row>
      <xdr:rowOff>246401</xdr:rowOff>
    </xdr:from>
    <xdr:to>
      <xdr:col>12</xdr:col>
      <xdr:colOff>0</xdr:colOff>
      <xdr:row>4</xdr:row>
      <xdr:rowOff>246402</xdr:rowOff>
    </xdr:to>
    <xdr:cxnSp macro="">
      <xdr:nvCxnSpPr>
        <xdr:cNvPr id="11" name="10 Conector recto"/>
        <xdr:cNvCxnSpPr/>
      </xdr:nvCxnSpPr>
      <xdr:spPr>
        <a:xfrm flipV="1">
          <a:off x="4165226" y="1277342"/>
          <a:ext cx="776568"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14</xdr:col>
      <xdr:colOff>323850</xdr:colOff>
      <xdr:row>4</xdr:row>
      <xdr:rowOff>246401</xdr:rowOff>
    </xdr:from>
    <xdr:to>
      <xdr:col>16</xdr:col>
      <xdr:colOff>180975</xdr:colOff>
      <xdr:row>4</xdr:row>
      <xdr:rowOff>246401</xdr:rowOff>
    </xdr:to>
    <xdr:cxnSp macro="">
      <xdr:nvCxnSpPr>
        <xdr:cNvPr id="14" name="13 Conector recto"/>
        <xdr:cNvCxnSpPr/>
      </xdr:nvCxnSpPr>
      <xdr:spPr>
        <a:xfrm>
          <a:off x="6027644" y="1277342"/>
          <a:ext cx="854449"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19050</xdr:colOff>
      <xdr:row>4</xdr:row>
      <xdr:rowOff>246401</xdr:rowOff>
    </xdr:from>
    <xdr:to>
      <xdr:col>19</xdr:col>
      <xdr:colOff>0</xdr:colOff>
      <xdr:row>4</xdr:row>
      <xdr:rowOff>246402</xdr:rowOff>
    </xdr:to>
    <xdr:cxnSp macro="">
      <xdr:nvCxnSpPr>
        <xdr:cNvPr id="16" name="15 Conector recto"/>
        <xdr:cNvCxnSpPr/>
      </xdr:nvCxnSpPr>
      <xdr:spPr>
        <a:xfrm flipV="1">
          <a:off x="7885579" y="1277342"/>
          <a:ext cx="361950" cy="1"/>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19050</xdr:colOff>
      <xdr:row>36</xdr:row>
      <xdr:rowOff>9524</xdr:rowOff>
    </xdr:from>
    <xdr:to>
      <xdr:col>19</xdr:col>
      <xdr:colOff>358920</xdr:colOff>
      <xdr:row>37</xdr:row>
      <xdr:rowOff>28572</xdr:rowOff>
    </xdr:to>
    <xdr:sp macro="" textlink="">
      <xdr:nvSpPr>
        <xdr:cNvPr id="20" name="19 Rectángulo"/>
        <xdr:cNvSpPr/>
      </xdr:nvSpPr>
      <xdr:spPr>
        <a:xfrm>
          <a:off x="57150" y="5762624"/>
          <a:ext cx="8550420" cy="27622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1</xdr:col>
      <xdr:colOff>38098</xdr:colOff>
      <xdr:row>8</xdr:row>
      <xdr:rowOff>1588</xdr:rowOff>
    </xdr:from>
    <xdr:to>
      <xdr:col>20</xdr:col>
      <xdr:colOff>9524</xdr:colOff>
      <xdr:row>32</xdr:row>
      <xdr:rowOff>41275</xdr:rowOff>
    </xdr:to>
    <xdr:sp macro="" textlink="">
      <xdr:nvSpPr>
        <xdr:cNvPr id="18" name="17 Rectángulo"/>
        <xdr:cNvSpPr/>
      </xdr:nvSpPr>
      <xdr:spPr>
        <a:xfrm flipH="1">
          <a:off x="76198" y="1725613"/>
          <a:ext cx="8562976" cy="3649662"/>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1</xdr:col>
      <xdr:colOff>28546</xdr:colOff>
      <xdr:row>37</xdr:row>
      <xdr:rowOff>2300</xdr:rowOff>
    </xdr:from>
    <xdr:to>
      <xdr:col>2</xdr:col>
      <xdr:colOff>723900</xdr:colOff>
      <xdr:row>45</xdr:row>
      <xdr:rowOff>128358</xdr:rowOff>
    </xdr:to>
    <xdr:sp macro="" textlink="">
      <xdr:nvSpPr>
        <xdr:cNvPr id="22" name="21 Rectángulo"/>
        <xdr:cNvSpPr/>
      </xdr:nvSpPr>
      <xdr:spPr>
        <a:xfrm flipH="1">
          <a:off x="66646" y="6012575"/>
          <a:ext cx="1304954" cy="124048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1</xdr:col>
      <xdr:colOff>725</xdr:colOff>
      <xdr:row>0</xdr:row>
      <xdr:rowOff>39684</xdr:rowOff>
    </xdr:from>
    <xdr:to>
      <xdr:col>20</xdr:col>
      <xdr:colOff>7938</xdr:colOff>
      <xdr:row>4</xdr:row>
      <xdr:rowOff>66675</xdr:rowOff>
    </xdr:to>
    <xdr:sp macro="" textlink="">
      <xdr:nvSpPr>
        <xdr:cNvPr id="23" name="22 Rectángulo"/>
        <xdr:cNvSpPr/>
      </xdr:nvSpPr>
      <xdr:spPr>
        <a:xfrm>
          <a:off x="38825" y="39684"/>
          <a:ext cx="8598763" cy="1122366"/>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twoCellAnchor>
    <xdr:from>
      <xdr:col>2</xdr:col>
      <xdr:colOff>657222</xdr:colOff>
      <xdr:row>37</xdr:row>
      <xdr:rowOff>41533</xdr:rowOff>
    </xdr:from>
    <xdr:to>
      <xdr:col>2</xdr:col>
      <xdr:colOff>885825</xdr:colOff>
      <xdr:row>46</xdr:row>
      <xdr:rowOff>1</xdr:rowOff>
    </xdr:to>
    <xdr:sp macro="" textlink="">
      <xdr:nvSpPr>
        <xdr:cNvPr id="29" name="28 Rectángulo"/>
        <xdr:cNvSpPr/>
      </xdr:nvSpPr>
      <xdr:spPr>
        <a:xfrm flipH="1">
          <a:off x="1304922" y="6051808"/>
          <a:ext cx="228603" cy="1225293"/>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pPr algn="ctr"/>
          <a:endParaRPr lang="es-ES" sz="1100"/>
        </a:p>
      </xdr:txBody>
    </xdr:sp>
    <xdr:clientData/>
  </xdr:twoCellAnchor>
</xdr:wsDr>
</file>

<file path=xl/drawings/drawing29.xml><?xml version="1.0" encoding="utf-8"?>
<xdr:wsDr xmlns:xdr="http://schemas.openxmlformats.org/drawingml/2006/spreadsheetDrawing" xmlns:a="http://schemas.openxmlformats.org/drawingml/2006/main">
  <xdr:twoCellAnchor>
    <xdr:from>
      <xdr:col>1</xdr:col>
      <xdr:colOff>609600</xdr:colOff>
      <xdr:row>787</xdr:row>
      <xdr:rowOff>0</xdr:rowOff>
    </xdr:from>
    <xdr:to>
      <xdr:col>5</xdr:col>
      <xdr:colOff>485775</xdr:colOff>
      <xdr:row>787</xdr:row>
      <xdr:rowOff>0</xdr:rowOff>
    </xdr:to>
    <xdr:grpSp>
      <xdr:nvGrpSpPr>
        <xdr:cNvPr id="2" name="Group 58"/>
        <xdr:cNvGrpSpPr>
          <a:grpSpLocks/>
        </xdr:cNvGrpSpPr>
      </xdr:nvGrpSpPr>
      <xdr:grpSpPr bwMode="auto">
        <a:xfrm>
          <a:off x="927100" y="262001000"/>
          <a:ext cx="2638425" cy="0"/>
          <a:chOff x="60" y="3"/>
          <a:chExt cx="259" cy="68"/>
        </a:xfrm>
      </xdr:grpSpPr>
      <xdr:pic>
        <xdr:nvPicPr>
          <xdr:cNvPr id="3" name="Picture 59" descr="Quintana Roo2a"/>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blip>
          <a:srcRect/>
          <a:stretch>
            <a:fillRect/>
          </a:stretch>
        </xdr:blipFill>
        <xdr:spPr bwMode="auto">
          <a:xfrm>
            <a:off x="266" y="3"/>
            <a:ext cx="53" cy="68"/>
          </a:xfrm>
          <a:prstGeom prst="rect">
            <a:avLst/>
          </a:prstGeom>
          <a:noFill/>
          <a:ln w="9525">
            <a:noFill/>
            <a:miter lim="800000"/>
            <a:headEnd/>
            <a:tailEnd/>
          </a:ln>
        </xdr:spPr>
      </xdr:pic>
      <xdr:pic>
        <xdr:nvPicPr>
          <xdr:cNvPr id="4" name="Picture 60" descr="SEyC"/>
          <xdr:cNvPicPr>
            <a:picLocks noChangeAspect="1" noChangeArrowheads="1"/>
          </xdr:cNvPicPr>
        </xdr:nvPicPr>
        <xdr:blipFill>
          <a:blip xmlns:r="http://schemas.openxmlformats.org/officeDocument/2006/relationships" r:embed="rId2">
            <a:clrChange>
              <a:clrFrom>
                <a:srgbClr val="FEFEFE"/>
              </a:clrFrom>
              <a:clrTo>
                <a:srgbClr val="FEFEFE">
                  <a:alpha val="0"/>
                </a:srgbClr>
              </a:clrTo>
            </a:clrChange>
          </a:blip>
          <a:srcRect/>
          <a:stretch>
            <a:fillRect/>
          </a:stretch>
        </xdr:blipFill>
        <xdr:spPr bwMode="auto">
          <a:xfrm>
            <a:off x="60" y="6"/>
            <a:ext cx="144" cy="44"/>
          </a:xfrm>
          <a:prstGeom prst="rect">
            <a:avLst/>
          </a:prstGeom>
          <a:noFill/>
          <a:ln w="9525">
            <a:noFill/>
            <a:miter lim="800000"/>
            <a:headEnd/>
            <a:tailEnd/>
          </a:ln>
        </xdr:spPr>
      </xdr:pic>
    </xdr:grpSp>
    <xdr:clientData/>
  </xdr:twoCellAnchor>
  <xdr:twoCellAnchor>
    <xdr:from>
      <xdr:col>0</xdr:col>
      <xdr:colOff>88999</xdr:colOff>
      <xdr:row>0</xdr:row>
      <xdr:rowOff>173491</xdr:rowOff>
    </xdr:from>
    <xdr:to>
      <xdr:col>2</xdr:col>
      <xdr:colOff>193728</xdr:colOff>
      <xdr:row>2</xdr:row>
      <xdr:rowOff>173473</xdr:rowOff>
    </xdr:to>
    <xdr:pic>
      <xdr:nvPicPr>
        <xdr:cNvPr id="7" name="11 Imagen" descr="Descripción: los_servicios_m2.jpg">
          <a:hlinkClick xmlns:r="http://schemas.openxmlformats.org/officeDocument/2006/relationships" r:id="rId3"/>
        </xdr:cNvPr>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88999" y="173491"/>
          <a:ext cx="1186382" cy="613457"/>
        </a:xfrm>
        <a:prstGeom prst="rect">
          <a:avLst/>
        </a:prstGeom>
        <a:noFill/>
        <a:ln w="9525">
          <a:noFill/>
          <a:miter lim="800000"/>
          <a:headEnd/>
          <a:tailEnd/>
        </a:ln>
      </xdr:spPr>
    </xdr:pic>
    <xdr:clientData/>
  </xdr:twoCellAnchor>
  <xdr:twoCellAnchor>
    <xdr:from>
      <xdr:col>2</xdr:col>
      <xdr:colOff>253887</xdr:colOff>
      <xdr:row>0</xdr:row>
      <xdr:rowOff>183034</xdr:rowOff>
    </xdr:from>
    <xdr:to>
      <xdr:col>4</xdr:col>
      <xdr:colOff>145298</xdr:colOff>
      <xdr:row>2</xdr:row>
      <xdr:rowOff>183016</xdr:rowOff>
    </xdr:to>
    <xdr:pic>
      <xdr:nvPicPr>
        <xdr:cNvPr id="8" name="12 Imagen" descr="Descripción: los_servicios_m2.jpg">
          <a:hlinkClick xmlns:r="http://schemas.openxmlformats.org/officeDocument/2006/relationships" r:id="rId5"/>
        </xdr:cNvPr>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35540" y="183034"/>
          <a:ext cx="1247512" cy="613457"/>
        </a:xfrm>
        <a:prstGeom prst="rect">
          <a:avLst/>
        </a:prstGeom>
        <a:noFill/>
        <a:ln w="9525">
          <a:noFill/>
          <a:miter lim="800000"/>
          <a:headEnd/>
          <a:tailEnd/>
        </a:ln>
      </xdr:spPr>
    </xdr:pic>
    <xdr:clientData/>
  </xdr:twoCellAnchor>
  <xdr:twoCellAnchor>
    <xdr:from>
      <xdr:col>4</xdr:col>
      <xdr:colOff>189714</xdr:colOff>
      <xdr:row>1</xdr:row>
      <xdr:rowOff>204157</xdr:rowOff>
    </xdr:from>
    <xdr:to>
      <xdr:col>8</xdr:col>
      <xdr:colOff>172811</xdr:colOff>
      <xdr:row>2</xdr:row>
      <xdr:rowOff>165295</xdr:rowOff>
    </xdr:to>
    <xdr:pic>
      <xdr:nvPicPr>
        <xdr:cNvPr id="9" name="2 Imagen" descr="Descripción: los_servicios_m2.jpg">
          <a:hlinkClick xmlns:r="http://schemas.openxmlformats.org/officeDocument/2006/relationships" r:id="rId7"/>
        </xdr:cNvPr>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627468" y="510894"/>
          <a:ext cx="1888097" cy="267876"/>
        </a:xfrm>
        <a:prstGeom prst="rect">
          <a:avLst/>
        </a:prstGeom>
        <a:noFill/>
        <a:ln w="9525">
          <a:noFill/>
          <a:miter lim="800000"/>
          <a:headEnd/>
          <a:tailEnd/>
        </a:ln>
      </xdr:spPr>
    </xdr:pic>
    <xdr:clientData/>
  </xdr:twoCellAnchor>
  <xdr:twoCellAnchor>
    <xdr:from>
      <xdr:col>0</xdr:col>
      <xdr:colOff>119063</xdr:colOff>
      <xdr:row>27</xdr:row>
      <xdr:rowOff>68036</xdr:rowOff>
    </xdr:from>
    <xdr:to>
      <xdr:col>2</xdr:col>
      <xdr:colOff>195263</xdr:colOff>
      <xdr:row>28</xdr:row>
      <xdr:rowOff>323170</xdr:rowOff>
    </xdr:to>
    <xdr:pic>
      <xdr:nvPicPr>
        <xdr:cNvPr id="28"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9405938"/>
          <a:ext cx="1079727" cy="612321"/>
        </a:xfrm>
        <a:prstGeom prst="rect">
          <a:avLst/>
        </a:prstGeom>
        <a:noFill/>
        <a:ln w="9525">
          <a:noFill/>
          <a:miter lim="800000"/>
          <a:headEnd/>
          <a:tailEnd/>
        </a:ln>
      </xdr:spPr>
    </xdr:pic>
    <xdr:clientData/>
  </xdr:twoCellAnchor>
  <xdr:twoCellAnchor>
    <xdr:from>
      <xdr:col>2</xdr:col>
      <xdr:colOff>308883</xdr:colOff>
      <xdr:row>27</xdr:row>
      <xdr:rowOff>77561</xdr:rowOff>
    </xdr:from>
    <xdr:to>
      <xdr:col>4</xdr:col>
      <xdr:colOff>385083</xdr:colOff>
      <xdr:row>28</xdr:row>
      <xdr:rowOff>332695</xdr:rowOff>
    </xdr:to>
    <xdr:pic>
      <xdr:nvPicPr>
        <xdr:cNvPr id="29"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9415463"/>
          <a:ext cx="1470932" cy="612321"/>
        </a:xfrm>
        <a:prstGeom prst="rect">
          <a:avLst/>
        </a:prstGeom>
        <a:noFill/>
        <a:ln w="9525">
          <a:noFill/>
          <a:miter lim="800000"/>
          <a:headEnd/>
          <a:tailEnd/>
        </a:ln>
      </xdr:spPr>
    </xdr:pic>
    <xdr:clientData/>
  </xdr:twoCellAnchor>
  <xdr:twoCellAnchor>
    <xdr:from>
      <xdr:col>4</xdr:col>
      <xdr:colOff>459242</xdr:colOff>
      <xdr:row>28</xdr:row>
      <xdr:rowOff>47627</xdr:rowOff>
    </xdr:from>
    <xdr:to>
      <xdr:col>8</xdr:col>
      <xdr:colOff>154442</xdr:colOff>
      <xdr:row>28</xdr:row>
      <xdr:rowOff>315007</xdr:rowOff>
    </xdr:to>
    <xdr:pic>
      <xdr:nvPicPr>
        <xdr:cNvPr id="30"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9742716"/>
          <a:ext cx="2076450" cy="267380"/>
        </a:xfrm>
        <a:prstGeom prst="rect">
          <a:avLst/>
        </a:prstGeom>
        <a:noFill/>
        <a:ln w="9525">
          <a:noFill/>
          <a:miter lim="800000"/>
          <a:headEnd/>
          <a:tailEnd/>
        </a:ln>
      </xdr:spPr>
    </xdr:pic>
    <xdr:clientData/>
  </xdr:twoCellAnchor>
  <xdr:twoCellAnchor>
    <xdr:from>
      <xdr:col>0</xdr:col>
      <xdr:colOff>119063</xdr:colOff>
      <xdr:row>67</xdr:row>
      <xdr:rowOff>85045</xdr:rowOff>
    </xdr:from>
    <xdr:to>
      <xdr:col>2</xdr:col>
      <xdr:colOff>195263</xdr:colOff>
      <xdr:row>68</xdr:row>
      <xdr:rowOff>340179</xdr:rowOff>
    </xdr:to>
    <xdr:pic>
      <xdr:nvPicPr>
        <xdr:cNvPr id="32"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23472322"/>
          <a:ext cx="1079727" cy="612321"/>
        </a:xfrm>
        <a:prstGeom prst="rect">
          <a:avLst/>
        </a:prstGeom>
        <a:noFill/>
        <a:ln w="9525">
          <a:noFill/>
          <a:miter lim="800000"/>
          <a:headEnd/>
          <a:tailEnd/>
        </a:ln>
      </xdr:spPr>
    </xdr:pic>
    <xdr:clientData/>
  </xdr:twoCellAnchor>
  <xdr:twoCellAnchor>
    <xdr:from>
      <xdr:col>2</xdr:col>
      <xdr:colOff>308883</xdr:colOff>
      <xdr:row>67</xdr:row>
      <xdr:rowOff>94570</xdr:rowOff>
    </xdr:from>
    <xdr:to>
      <xdr:col>4</xdr:col>
      <xdr:colOff>385083</xdr:colOff>
      <xdr:row>68</xdr:row>
      <xdr:rowOff>349704</xdr:rowOff>
    </xdr:to>
    <xdr:pic>
      <xdr:nvPicPr>
        <xdr:cNvPr id="33"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23481847"/>
          <a:ext cx="1470932" cy="612321"/>
        </a:xfrm>
        <a:prstGeom prst="rect">
          <a:avLst/>
        </a:prstGeom>
        <a:noFill/>
        <a:ln w="9525">
          <a:noFill/>
          <a:miter lim="800000"/>
          <a:headEnd/>
          <a:tailEnd/>
        </a:ln>
      </xdr:spPr>
    </xdr:pic>
    <xdr:clientData/>
  </xdr:twoCellAnchor>
  <xdr:twoCellAnchor>
    <xdr:from>
      <xdr:col>4</xdr:col>
      <xdr:colOff>459242</xdr:colOff>
      <xdr:row>68</xdr:row>
      <xdr:rowOff>64636</xdr:rowOff>
    </xdr:from>
    <xdr:to>
      <xdr:col>8</xdr:col>
      <xdr:colOff>154442</xdr:colOff>
      <xdr:row>68</xdr:row>
      <xdr:rowOff>332016</xdr:rowOff>
    </xdr:to>
    <xdr:pic>
      <xdr:nvPicPr>
        <xdr:cNvPr id="34"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23809100"/>
          <a:ext cx="2076450" cy="267380"/>
        </a:xfrm>
        <a:prstGeom prst="rect">
          <a:avLst/>
        </a:prstGeom>
        <a:noFill/>
        <a:ln w="9525">
          <a:noFill/>
          <a:miter lim="800000"/>
          <a:headEnd/>
          <a:tailEnd/>
        </a:ln>
      </xdr:spPr>
    </xdr:pic>
    <xdr:clientData/>
  </xdr:twoCellAnchor>
  <xdr:twoCellAnchor>
    <xdr:from>
      <xdr:col>0</xdr:col>
      <xdr:colOff>102054</xdr:colOff>
      <xdr:row>107</xdr:row>
      <xdr:rowOff>85045</xdr:rowOff>
    </xdr:from>
    <xdr:to>
      <xdr:col>2</xdr:col>
      <xdr:colOff>178254</xdr:colOff>
      <xdr:row>108</xdr:row>
      <xdr:rowOff>340179</xdr:rowOff>
    </xdr:to>
    <xdr:pic>
      <xdr:nvPicPr>
        <xdr:cNvPr id="36"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02054" y="37521697"/>
          <a:ext cx="1079727" cy="612321"/>
        </a:xfrm>
        <a:prstGeom prst="rect">
          <a:avLst/>
        </a:prstGeom>
        <a:noFill/>
        <a:ln w="9525">
          <a:noFill/>
          <a:miter lim="800000"/>
          <a:headEnd/>
          <a:tailEnd/>
        </a:ln>
      </xdr:spPr>
    </xdr:pic>
    <xdr:clientData/>
  </xdr:twoCellAnchor>
  <xdr:twoCellAnchor>
    <xdr:from>
      <xdr:col>2</xdr:col>
      <xdr:colOff>291874</xdr:colOff>
      <xdr:row>107</xdr:row>
      <xdr:rowOff>94570</xdr:rowOff>
    </xdr:from>
    <xdr:to>
      <xdr:col>4</xdr:col>
      <xdr:colOff>368074</xdr:colOff>
      <xdr:row>108</xdr:row>
      <xdr:rowOff>349704</xdr:rowOff>
    </xdr:to>
    <xdr:pic>
      <xdr:nvPicPr>
        <xdr:cNvPr id="37"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295401" y="37531222"/>
          <a:ext cx="1470932" cy="612321"/>
        </a:xfrm>
        <a:prstGeom prst="rect">
          <a:avLst/>
        </a:prstGeom>
        <a:noFill/>
        <a:ln w="9525">
          <a:noFill/>
          <a:miter lim="800000"/>
          <a:headEnd/>
          <a:tailEnd/>
        </a:ln>
      </xdr:spPr>
    </xdr:pic>
    <xdr:clientData/>
  </xdr:twoCellAnchor>
  <xdr:twoCellAnchor>
    <xdr:from>
      <xdr:col>4</xdr:col>
      <xdr:colOff>442233</xdr:colOff>
      <xdr:row>108</xdr:row>
      <xdr:rowOff>64636</xdr:rowOff>
    </xdr:from>
    <xdr:to>
      <xdr:col>8</xdr:col>
      <xdr:colOff>137433</xdr:colOff>
      <xdr:row>108</xdr:row>
      <xdr:rowOff>332016</xdr:rowOff>
    </xdr:to>
    <xdr:pic>
      <xdr:nvPicPr>
        <xdr:cNvPr id="38"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40492" y="37858475"/>
          <a:ext cx="2076450" cy="267380"/>
        </a:xfrm>
        <a:prstGeom prst="rect">
          <a:avLst/>
        </a:prstGeom>
        <a:noFill/>
        <a:ln w="9525">
          <a:noFill/>
          <a:miter lim="800000"/>
          <a:headEnd/>
          <a:tailEnd/>
        </a:ln>
      </xdr:spPr>
    </xdr:pic>
    <xdr:clientData/>
  </xdr:twoCellAnchor>
  <xdr:twoCellAnchor>
    <xdr:from>
      <xdr:col>0</xdr:col>
      <xdr:colOff>119063</xdr:colOff>
      <xdr:row>147</xdr:row>
      <xdr:rowOff>85045</xdr:rowOff>
    </xdr:from>
    <xdr:to>
      <xdr:col>2</xdr:col>
      <xdr:colOff>195263</xdr:colOff>
      <xdr:row>148</xdr:row>
      <xdr:rowOff>340179</xdr:rowOff>
    </xdr:to>
    <xdr:pic>
      <xdr:nvPicPr>
        <xdr:cNvPr id="40"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51571072"/>
          <a:ext cx="1079727" cy="612321"/>
        </a:xfrm>
        <a:prstGeom prst="rect">
          <a:avLst/>
        </a:prstGeom>
        <a:noFill/>
        <a:ln w="9525">
          <a:noFill/>
          <a:miter lim="800000"/>
          <a:headEnd/>
          <a:tailEnd/>
        </a:ln>
      </xdr:spPr>
    </xdr:pic>
    <xdr:clientData/>
  </xdr:twoCellAnchor>
  <xdr:twoCellAnchor>
    <xdr:from>
      <xdr:col>2</xdr:col>
      <xdr:colOff>308883</xdr:colOff>
      <xdr:row>147</xdr:row>
      <xdr:rowOff>94570</xdr:rowOff>
    </xdr:from>
    <xdr:to>
      <xdr:col>4</xdr:col>
      <xdr:colOff>385083</xdr:colOff>
      <xdr:row>148</xdr:row>
      <xdr:rowOff>349704</xdr:rowOff>
    </xdr:to>
    <xdr:pic>
      <xdr:nvPicPr>
        <xdr:cNvPr id="41"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51580597"/>
          <a:ext cx="1470932" cy="612321"/>
        </a:xfrm>
        <a:prstGeom prst="rect">
          <a:avLst/>
        </a:prstGeom>
        <a:noFill/>
        <a:ln w="9525">
          <a:noFill/>
          <a:miter lim="800000"/>
          <a:headEnd/>
          <a:tailEnd/>
        </a:ln>
      </xdr:spPr>
    </xdr:pic>
    <xdr:clientData/>
  </xdr:twoCellAnchor>
  <xdr:twoCellAnchor>
    <xdr:from>
      <xdr:col>4</xdr:col>
      <xdr:colOff>459242</xdr:colOff>
      <xdr:row>148</xdr:row>
      <xdr:rowOff>64636</xdr:rowOff>
    </xdr:from>
    <xdr:to>
      <xdr:col>8</xdr:col>
      <xdr:colOff>154442</xdr:colOff>
      <xdr:row>148</xdr:row>
      <xdr:rowOff>332016</xdr:rowOff>
    </xdr:to>
    <xdr:pic>
      <xdr:nvPicPr>
        <xdr:cNvPr id="42"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51907850"/>
          <a:ext cx="2076450" cy="267380"/>
        </a:xfrm>
        <a:prstGeom prst="rect">
          <a:avLst/>
        </a:prstGeom>
        <a:noFill/>
        <a:ln w="9525">
          <a:noFill/>
          <a:miter lim="800000"/>
          <a:headEnd/>
          <a:tailEnd/>
        </a:ln>
      </xdr:spPr>
    </xdr:pic>
    <xdr:clientData/>
  </xdr:twoCellAnchor>
  <xdr:twoCellAnchor>
    <xdr:from>
      <xdr:col>0</xdr:col>
      <xdr:colOff>119063</xdr:colOff>
      <xdr:row>187</xdr:row>
      <xdr:rowOff>85045</xdr:rowOff>
    </xdr:from>
    <xdr:to>
      <xdr:col>2</xdr:col>
      <xdr:colOff>195263</xdr:colOff>
      <xdr:row>188</xdr:row>
      <xdr:rowOff>340179</xdr:rowOff>
    </xdr:to>
    <xdr:pic>
      <xdr:nvPicPr>
        <xdr:cNvPr id="44"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65620447"/>
          <a:ext cx="1079727" cy="612321"/>
        </a:xfrm>
        <a:prstGeom prst="rect">
          <a:avLst/>
        </a:prstGeom>
        <a:noFill/>
        <a:ln w="9525">
          <a:noFill/>
          <a:miter lim="800000"/>
          <a:headEnd/>
          <a:tailEnd/>
        </a:ln>
      </xdr:spPr>
    </xdr:pic>
    <xdr:clientData/>
  </xdr:twoCellAnchor>
  <xdr:twoCellAnchor>
    <xdr:from>
      <xdr:col>2</xdr:col>
      <xdr:colOff>308883</xdr:colOff>
      <xdr:row>187</xdr:row>
      <xdr:rowOff>94570</xdr:rowOff>
    </xdr:from>
    <xdr:to>
      <xdr:col>4</xdr:col>
      <xdr:colOff>385083</xdr:colOff>
      <xdr:row>188</xdr:row>
      <xdr:rowOff>349704</xdr:rowOff>
    </xdr:to>
    <xdr:pic>
      <xdr:nvPicPr>
        <xdr:cNvPr id="45"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65629972"/>
          <a:ext cx="1470932" cy="612321"/>
        </a:xfrm>
        <a:prstGeom prst="rect">
          <a:avLst/>
        </a:prstGeom>
        <a:noFill/>
        <a:ln w="9525">
          <a:noFill/>
          <a:miter lim="800000"/>
          <a:headEnd/>
          <a:tailEnd/>
        </a:ln>
      </xdr:spPr>
    </xdr:pic>
    <xdr:clientData/>
  </xdr:twoCellAnchor>
  <xdr:twoCellAnchor>
    <xdr:from>
      <xdr:col>4</xdr:col>
      <xdr:colOff>459242</xdr:colOff>
      <xdr:row>188</xdr:row>
      <xdr:rowOff>64636</xdr:rowOff>
    </xdr:from>
    <xdr:to>
      <xdr:col>8</xdr:col>
      <xdr:colOff>154442</xdr:colOff>
      <xdr:row>188</xdr:row>
      <xdr:rowOff>332016</xdr:rowOff>
    </xdr:to>
    <xdr:pic>
      <xdr:nvPicPr>
        <xdr:cNvPr id="46"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65957225"/>
          <a:ext cx="2076450" cy="267380"/>
        </a:xfrm>
        <a:prstGeom prst="rect">
          <a:avLst/>
        </a:prstGeom>
        <a:noFill/>
        <a:ln w="9525">
          <a:noFill/>
          <a:miter lim="800000"/>
          <a:headEnd/>
          <a:tailEnd/>
        </a:ln>
      </xdr:spPr>
    </xdr:pic>
    <xdr:clientData/>
  </xdr:twoCellAnchor>
  <xdr:twoCellAnchor>
    <xdr:from>
      <xdr:col>0</xdr:col>
      <xdr:colOff>119063</xdr:colOff>
      <xdr:row>227</xdr:row>
      <xdr:rowOff>85045</xdr:rowOff>
    </xdr:from>
    <xdr:to>
      <xdr:col>2</xdr:col>
      <xdr:colOff>195263</xdr:colOff>
      <xdr:row>228</xdr:row>
      <xdr:rowOff>340179</xdr:rowOff>
    </xdr:to>
    <xdr:pic>
      <xdr:nvPicPr>
        <xdr:cNvPr id="48"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79669822"/>
          <a:ext cx="1079727" cy="612321"/>
        </a:xfrm>
        <a:prstGeom prst="rect">
          <a:avLst/>
        </a:prstGeom>
        <a:noFill/>
        <a:ln w="9525">
          <a:noFill/>
          <a:miter lim="800000"/>
          <a:headEnd/>
          <a:tailEnd/>
        </a:ln>
      </xdr:spPr>
    </xdr:pic>
    <xdr:clientData/>
  </xdr:twoCellAnchor>
  <xdr:twoCellAnchor>
    <xdr:from>
      <xdr:col>2</xdr:col>
      <xdr:colOff>308883</xdr:colOff>
      <xdr:row>227</xdr:row>
      <xdr:rowOff>94570</xdr:rowOff>
    </xdr:from>
    <xdr:to>
      <xdr:col>4</xdr:col>
      <xdr:colOff>385083</xdr:colOff>
      <xdr:row>228</xdr:row>
      <xdr:rowOff>349704</xdr:rowOff>
    </xdr:to>
    <xdr:pic>
      <xdr:nvPicPr>
        <xdr:cNvPr id="49"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79679347"/>
          <a:ext cx="1470932" cy="612321"/>
        </a:xfrm>
        <a:prstGeom prst="rect">
          <a:avLst/>
        </a:prstGeom>
        <a:noFill/>
        <a:ln w="9525">
          <a:noFill/>
          <a:miter lim="800000"/>
          <a:headEnd/>
          <a:tailEnd/>
        </a:ln>
      </xdr:spPr>
    </xdr:pic>
    <xdr:clientData/>
  </xdr:twoCellAnchor>
  <xdr:twoCellAnchor>
    <xdr:from>
      <xdr:col>4</xdr:col>
      <xdr:colOff>459242</xdr:colOff>
      <xdr:row>228</xdr:row>
      <xdr:rowOff>64636</xdr:rowOff>
    </xdr:from>
    <xdr:to>
      <xdr:col>8</xdr:col>
      <xdr:colOff>154442</xdr:colOff>
      <xdr:row>228</xdr:row>
      <xdr:rowOff>332016</xdr:rowOff>
    </xdr:to>
    <xdr:pic>
      <xdr:nvPicPr>
        <xdr:cNvPr id="50"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80006600"/>
          <a:ext cx="2076450" cy="267380"/>
        </a:xfrm>
        <a:prstGeom prst="rect">
          <a:avLst/>
        </a:prstGeom>
        <a:noFill/>
        <a:ln w="9525">
          <a:noFill/>
          <a:miter lim="800000"/>
          <a:headEnd/>
          <a:tailEnd/>
        </a:ln>
      </xdr:spPr>
    </xdr:pic>
    <xdr:clientData/>
  </xdr:twoCellAnchor>
  <xdr:twoCellAnchor>
    <xdr:from>
      <xdr:col>0</xdr:col>
      <xdr:colOff>119063</xdr:colOff>
      <xdr:row>267</xdr:row>
      <xdr:rowOff>85045</xdr:rowOff>
    </xdr:from>
    <xdr:to>
      <xdr:col>2</xdr:col>
      <xdr:colOff>195263</xdr:colOff>
      <xdr:row>268</xdr:row>
      <xdr:rowOff>340179</xdr:rowOff>
    </xdr:to>
    <xdr:pic>
      <xdr:nvPicPr>
        <xdr:cNvPr id="52"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93719197"/>
          <a:ext cx="1079727" cy="612321"/>
        </a:xfrm>
        <a:prstGeom prst="rect">
          <a:avLst/>
        </a:prstGeom>
        <a:noFill/>
        <a:ln w="9525">
          <a:noFill/>
          <a:miter lim="800000"/>
          <a:headEnd/>
          <a:tailEnd/>
        </a:ln>
      </xdr:spPr>
    </xdr:pic>
    <xdr:clientData/>
  </xdr:twoCellAnchor>
  <xdr:twoCellAnchor>
    <xdr:from>
      <xdr:col>2</xdr:col>
      <xdr:colOff>308883</xdr:colOff>
      <xdr:row>267</xdr:row>
      <xdr:rowOff>94570</xdr:rowOff>
    </xdr:from>
    <xdr:to>
      <xdr:col>4</xdr:col>
      <xdr:colOff>385083</xdr:colOff>
      <xdr:row>268</xdr:row>
      <xdr:rowOff>349704</xdr:rowOff>
    </xdr:to>
    <xdr:pic>
      <xdr:nvPicPr>
        <xdr:cNvPr id="53"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93728722"/>
          <a:ext cx="1470932" cy="612321"/>
        </a:xfrm>
        <a:prstGeom prst="rect">
          <a:avLst/>
        </a:prstGeom>
        <a:noFill/>
        <a:ln w="9525">
          <a:noFill/>
          <a:miter lim="800000"/>
          <a:headEnd/>
          <a:tailEnd/>
        </a:ln>
      </xdr:spPr>
    </xdr:pic>
    <xdr:clientData/>
  </xdr:twoCellAnchor>
  <xdr:twoCellAnchor>
    <xdr:from>
      <xdr:col>4</xdr:col>
      <xdr:colOff>459242</xdr:colOff>
      <xdr:row>268</xdr:row>
      <xdr:rowOff>64636</xdr:rowOff>
    </xdr:from>
    <xdr:to>
      <xdr:col>8</xdr:col>
      <xdr:colOff>154442</xdr:colOff>
      <xdr:row>268</xdr:row>
      <xdr:rowOff>332016</xdr:rowOff>
    </xdr:to>
    <xdr:pic>
      <xdr:nvPicPr>
        <xdr:cNvPr id="54"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94055975"/>
          <a:ext cx="2076450" cy="267380"/>
        </a:xfrm>
        <a:prstGeom prst="rect">
          <a:avLst/>
        </a:prstGeom>
        <a:noFill/>
        <a:ln w="9525">
          <a:noFill/>
          <a:miter lim="800000"/>
          <a:headEnd/>
          <a:tailEnd/>
        </a:ln>
      </xdr:spPr>
    </xdr:pic>
    <xdr:clientData/>
  </xdr:twoCellAnchor>
  <xdr:twoCellAnchor>
    <xdr:from>
      <xdr:col>0</xdr:col>
      <xdr:colOff>119063</xdr:colOff>
      <xdr:row>307</xdr:row>
      <xdr:rowOff>85045</xdr:rowOff>
    </xdr:from>
    <xdr:to>
      <xdr:col>2</xdr:col>
      <xdr:colOff>195263</xdr:colOff>
      <xdr:row>308</xdr:row>
      <xdr:rowOff>340179</xdr:rowOff>
    </xdr:to>
    <xdr:pic>
      <xdr:nvPicPr>
        <xdr:cNvPr id="56"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07768572"/>
          <a:ext cx="1079727" cy="612321"/>
        </a:xfrm>
        <a:prstGeom prst="rect">
          <a:avLst/>
        </a:prstGeom>
        <a:noFill/>
        <a:ln w="9525">
          <a:noFill/>
          <a:miter lim="800000"/>
          <a:headEnd/>
          <a:tailEnd/>
        </a:ln>
      </xdr:spPr>
    </xdr:pic>
    <xdr:clientData/>
  </xdr:twoCellAnchor>
  <xdr:twoCellAnchor>
    <xdr:from>
      <xdr:col>2</xdr:col>
      <xdr:colOff>308883</xdr:colOff>
      <xdr:row>307</xdr:row>
      <xdr:rowOff>94570</xdr:rowOff>
    </xdr:from>
    <xdr:to>
      <xdr:col>4</xdr:col>
      <xdr:colOff>385083</xdr:colOff>
      <xdr:row>308</xdr:row>
      <xdr:rowOff>349704</xdr:rowOff>
    </xdr:to>
    <xdr:pic>
      <xdr:nvPicPr>
        <xdr:cNvPr id="57"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07778097"/>
          <a:ext cx="1470932" cy="612321"/>
        </a:xfrm>
        <a:prstGeom prst="rect">
          <a:avLst/>
        </a:prstGeom>
        <a:noFill/>
        <a:ln w="9525">
          <a:noFill/>
          <a:miter lim="800000"/>
          <a:headEnd/>
          <a:tailEnd/>
        </a:ln>
      </xdr:spPr>
    </xdr:pic>
    <xdr:clientData/>
  </xdr:twoCellAnchor>
  <xdr:twoCellAnchor>
    <xdr:from>
      <xdr:col>4</xdr:col>
      <xdr:colOff>459242</xdr:colOff>
      <xdr:row>308</xdr:row>
      <xdr:rowOff>64636</xdr:rowOff>
    </xdr:from>
    <xdr:to>
      <xdr:col>8</xdr:col>
      <xdr:colOff>154442</xdr:colOff>
      <xdr:row>308</xdr:row>
      <xdr:rowOff>332016</xdr:rowOff>
    </xdr:to>
    <xdr:pic>
      <xdr:nvPicPr>
        <xdr:cNvPr id="58"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08105350"/>
          <a:ext cx="2076450" cy="267380"/>
        </a:xfrm>
        <a:prstGeom prst="rect">
          <a:avLst/>
        </a:prstGeom>
        <a:noFill/>
        <a:ln w="9525">
          <a:noFill/>
          <a:miter lim="800000"/>
          <a:headEnd/>
          <a:tailEnd/>
        </a:ln>
      </xdr:spPr>
    </xdr:pic>
    <xdr:clientData/>
  </xdr:twoCellAnchor>
  <xdr:twoCellAnchor>
    <xdr:from>
      <xdr:col>0</xdr:col>
      <xdr:colOff>119063</xdr:colOff>
      <xdr:row>347</xdr:row>
      <xdr:rowOff>85046</xdr:rowOff>
    </xdr:from>
    <xdr:to>
      <xdr:col>2</xdr:col>
      <xdr:colOff>195263</xdr:colOff>
      <xdr:row>348</xdr:row>
      <xdr:rowOff>340180</xdr:rowOff>
    </xdr:to>
    <xdr:pic>
      <xdr:nvPicPr>
        <xdr:cNvPr id="60"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21817948"/>
          <a:ext cx="1079727" cy="612321"/>
        </a:xfrm>
        <a:prstGeom prst="rect">
          <a:avLst/>
        </a:prstGeom>
        <a:noFill/>
        <a:ln w="9525">
          <a:noFill/>
          <a:miter lim="800000"/>
          <a:headEnd/>
          <a:tailEnd/>
        </a:ln>
      </xdr:spPr>
    </xdr:pic>
    <xdr:clientData/>
  </xdr:twoCellAnchor>
  <xdr:twoCellAnchor>
    <xdr:from>
      <xdr:col>2</xdr:col>
      <xdr:colOff>308883</xdr:colOff>
      <xdr:row>347</xdr:row>
      <xdr:rowOff>94571</xdr:rowOff>
    </xdr:from>
    <xdr:to>
      <xdr:col>4</xdr:col>
      <xdr:colOff>385083</xdr:colOff>
      <xdr:row>348</xdr:row>
      <xdr:rowOff>349705</xdr:rowOff>
    </xdr:to>
    <xdr:pic>
      <xdr:nvPicPr>
        <xdr:cNvPr id="61"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21827473"/>
          <a:ext cx="1470932" cy="612321"/>
        </a:xfrm>
        <a:prstGeom prst="rect">
          <a:avLst/>
        </a:prstGeom>
        <a:noFill/>
        <a:ln w="9525">
          <a:noFill/>
          <a:miter lim="800000"/>
          <a:headEnd/>
          <a:tailEnd/>
        </a:ln>
      </xdr:spPr>
    </xdr:pic>
    <xdr:clientData/>
  </xdr:twoCellAnchor>
  <xdr:twoCellAnchor>
    <xdr:from>
      <xdr:col>4</xdr:col>
      <xdr:colOff>459242</xdr:colOff>
      <xdr:row>348</xdr:row>
      <xdr:rowOff>64637</xdr:rowOff>
    </xdr:from>
    <xdr:to>
      <xdr:col>8</xdr:col>
      <xdr:colOff>154442</xdr:colOff>
      <xdr:row>348</xdr:row>
      <xdr:rowOff>332017</xdr:rowOff>
    </xdr:to>
    <xdr:pic>
      <xdr:nvPicPr>
        <xdr:cNvPr id="62"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22154726"/>
          <a:ext cx="2076450" cy="267380"/>
        </a:xfrm>
        <a:prstGeom prst="rect">
          <a:avLst/>
        </a:prstGeom>
        <a:noFill/>
        <a:ln w="9525">
          <a:noFill/>
          <a:miter lim="800000"/>
          <a:headEnd/>
          <a:tailEnd/>
        </a:ln>
      </xdr:spPr>
    </xdr:pic>
    <xdr:clientData/>
  </xdr:twoCellAnchor>
  <xdr:twoCellAnchor>
    <xdr:from>
      <xdr:col>0</xdr:col>
      <xdr:colOff>119063</xdr:colOff>
      <xdr:row>387</xdr:row>
      <xdr:rowOff>85045</xdr:rowOff>
    </xdr:from>
    <xdr:to>
      <xdr:col>2</xdr:col>
      <xdr:colOff>195263</xdr:colOff>
      <xdr:row>388</xdr:row>
      <xdr:rowOff>340179</xdr:rowOff>
    </xdr:to>
    <xdr:pic>
      <xdr:nvPicPr>
        <xdr:cNvPr id="64"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35867322"/>
          <a:ext cx="1079727" cy="612321"/>
        </a:xfrm>
        <a:prstGeom prst="rect">
          <a:avLst/>
        </a:prstGeom>
        <a:noFill/>
        <a:ln w="9525">
          <a:noFill/>
          <a:miter lim="800000"/>
          <a:headEnd/>
          <a:tailEnd/>
        </a:ln>
      </xdr:spPr>
    </xdr:pic>
    <xdr:clientData/>
  </xdr:twoCellAnchor>
  <xdr:twoCellAnchor>
    <xdr:from>
      <xdr:col>2</xdr:col>
      <xdr:colOff>308883</xdr:colOff>
      <xdr:row>387</xdr:row>
      <xdr:rowOff>94570</xdr:rowOff>
    </xdr:from>
    <xdr:to>
      <xdr:col>4</xdr:col>
      <xdr:colOff>385083</xdr:colOff>
      <xdr:row>388</xdr:row>
      <xdr:rowOff>349704</xdr:rowOff>
    </xdr:to>
    <xdr:pic>
      <xdr:nvPicPr>
        <xdr:cNvPr id="65"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35876847"/>
          <a:ext cx="1470932" cy="612321"/>
        </a:xfrm>
        <a:prstGeom prst="rect">
          <a:avLst/>
        </a:prstGeom>
        <a:noFill/>
        <a:ln w="9525">
          <a:noFill/>
          <a:miter lim="800000"/>
          <a:headEnd/>
          <a:tailEnd/>
        </a:ln>
      </xdr:spPr>
    </xdr:pic>
    <xdr:clientData/>
  </xdr:twoCellAnchor>
  <xdr:twoCellAnchor>
    <xdr:from>
      <xdr:col>4</xdr:col>
      <xdr:colOff>459242</xdr:colOff>
      <xdr:row>388</xdr:row>
      <xdr:rowOff>64636</xdr:rowOff>
    </xdr:from>
    <xdr:to>
      <xdr:col>8</xdr:col>
      <xdr:colOff>154442</xdr:colOff>
      <xdr:row>388</xdr:row>
      <xdr:rowOff>332016</xdr:rowOff>
    </xdr:to>
    <xdr:pic>
      <xdr:nvPicPr>
        <xdr:cNvPr id="66"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36204100"/>
          <a:ext cx="2076450" cy="267380"/>
        </a:xfrm>
        <a:prstGeom prst="rect">
          <a:avLst/>
        </a:prstGeom>
        <a:noFill/>
        <a:ln w="9525">
          <a:noFill/>
          <a:miter lim="800000"/>
          <a:headEnd/>
          <a:tailEnd/>
        </a:ln>
      </xdr:spPr>
    </xdr:pic>
    <xdr:clientData/>
  </xdr:twoCellAnchor>
  <xdr:twoCellAnchor>
    <xdr:from>
      <xdr:col>0</xdr:col>
      <xdr:colOff>119063</xdr:colOff>
      <xdr:row>427</xdr:row>
      <xdr:rowOff>85045</xdr:rowOff>
    </xdr:from>
    <xdr:to>
      <xdr:col>2</xdr:col>
      <xdr:colOff>195263</xdr:colOff>
      <xdr:row>428</xdr:row>
      <xdr:rowOff>340179</xdr:rowOff>
    </xdr:to>
    <xdr:pic>
      <xdr:nvPicPr>
        <xdr:cNvPr id="68"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49916697"/>
          <a:ext cx="1079727" cy="612321"/>
        </a:xfrm>
        <a:prstGeom prst="rect">
          <a:avLst/>
        </a:prstGeom>
        <a:noFill/>
        <a:ln w="9525">
          <a:noFill/>
          <a:miter lim="800000"/>
          <a:headEnd/>
          <a:tailEnd/>
        </a:ln>
      </xdr:spPr>
    </xdr:pic>
    <xdr:clientData/>
  </xdr:twoCellAnchor>
  <xdr:twoCellAnchor>
    <xdr:from>
      <xdr:col>2</xdr:col>
      <xdr:colOff>308883</xdr:colOff>
      <xdr:row>427</xdr:row>
      <xdr:rowOff>94570</xdr:rowOff>
    </xdr:from>
    <xdr:to>
      <xdr:col>4</xdr:col>
      <xdr:colOff>385083</xdr:colOff>
      <xdr:row>428</xdr:row>
      <xdr:rowOff>349704</xdr:rowOff>
    </xdr:to>
    <xdr:pic>
      <xdr:nvPicPr>
        <xdr:cNvPr id="69"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49926222"/>
          <a:ext cx="1470932" cy="612321"/>
        </a:xfrm>
        <a:prstGeom prst="rect">
          <a:avLst/>
        </a:prstGeom>
        <a:noFill/>
        <a:ln w="9525">
          <a:noFill/>
          <a:miter lim="800000"/>
          <a:headEnd/>
          <a:tailEnd/>
        </a:ln>
      </xdr:spPr>
    </xdr:pic>
    <xdr:clientData/>
  </xdr:twoCellAnchor>
  <xdr:twoCellAnchor>
    <xdr:from>
      <xdr:col>4</xdr:col>
      <xdr:colOff>459242</xdr:colOff>
      <xdr:row>428</xdr:row>
      <xdr:rowOff>64636</xdr:rowOff>
    </xdr:from>
    <xdr:to>
      <xdr:col>8</xdr:col>
      <xdr:colOff>154442</xdr:colOff>
      <xdr:row>428</xdr:row>
      <xdr:rowOff>332016</xdr:rowOff>
    </xdr:to>
    <xdr:pic>
      <xdr:nvPicPr>
        <xdr:cNvPr id="70"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50253475"/>
          <a:ext cx="2076450" cy="267380"/>
        </a:xfrm>
        <a:prstGeom prst="rect">
          <a:avLst/>
        </a:prstGeom>
        <a:noFill/>
        <a:ln w="9525">
          <a:noFill/>
          <a:miter lim="800000"/>
          <a:headEnd/>
          <a:tailEnd/>
        </a:ln>
      </xdr:spPr>
    </xdr:pic>
    <xdr:clientData/>
  </xdr:twoCellAnchor>
  <xdr:twoCellAnchor>
    <xdr:from>
      <xdr:col>0</xdr:col>
      <xdr:colOff>119063</xdr:colOff>
      <xdr:row>467</xdr:row>
      <xdr:rowOff>85045</xdr:rowOff>
    </xdr:from>
    <xdr:to>
      <xdr:col>2</xdr:col>
      <xdr:colOff>195263</xdr:colOff>
      <xdr:row>468</xdr:row>
      <xdr:rowOff>340179</xdr:rowOff>
    </xdr:to>
    <xdr:pic>
      <xdr:nvPicPr>
        <xdr:cNvPr id="72"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63966072"/>
          <a:ext cx="1079727" cy="612321"/>
        </a:xfrm>
        <a:prstGeom prst="rect">
          <a:avLst/>
        </a:prstGeom>
        <a:noFill/>
        <a:ln w="9525">
          <a:noFill/>
          <a:miter lim="800000"/>
          <a:headEnd/>
          <a:tailEnd/>
        </a:ln>
      </xdr:spPr>
    </xdr:pic>
    <xdr:clientData/>
  </xdr:twoCellAnchor>
  <xdr:twoCellAnchor>
    <xdr:from>
      <xdr:col>2</xdr:col>
      <xdr:colOff>308883</xdr:colOff>
      <xdr:row>467</xdr:row>
      <xdr:rowOff>94570</xdr:rowOff>
    </xdr:from>
    <xdr:to>
      <xdr:col>4</xdr:col>
      <xdr:colOff>385083</xdr:colOff>
      <xdr:row>468</xdr:row>
      <xdr:rowOff>349704</xdr:rowOff>
    </xdr:to>
    <xdr:pic>
      <xdr:nvPicPr>
        <xdr:cNvPr id="73"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63975597"/>
          <a:ext cx="1470932" cy="612321"/>
        </a:xfrm>
        <a:prstGeom prst="rect">
          <a:avLst/>
        </a:prstGeom>
        <a:noFill/>
        <a:ln w="9525">
          <a:noFill/>
          <a:miter lim="800000"/>
          <a:headEnd/>
          <a:tailEnd/>
        </a:ln>
      </xdr:spPr>
    </xdr:pic>
    <xdr:clientData/>
  </xdr:twoCellAnchor>
  <xdr:twoCellAnchor>
    <xdr:from>
      <xdr:col>4</xdr:col>
      <xdr:colOff>459242</xdr:colOff>
      <xdr:row>468</xdr:row>
      <xdr:rowOff>64636</xdr:rowOff>
    </xdr:from>
    <xdr:to>
      <xdr:col>8</xdr:col>
      <xdr:colOff>154442</xdr:colOff>
      <xdr:row>468</xdr:row>
      <xdr:rowOff>332016</xdr:rowOff>
    </xdr:to>
    <xdr:pic>
      <xdr:nvPicPr>
        <xdr:cNvPr id="74"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64302850"/>
          <a:ext cx="2076450" cy="267380"/>
        </a:xfrm>
        <a:prstGeom prst="rect">
          <a:avLst/>
        </a:prstGeom>
        <a:noFill/>
        <a:ln w="9525">
          <a:noFill/>
          <a:miter lim="800000"/>
          <a:headEnd/>
          <a:tailEnd/>
        </a:ln>
      </xdr:spPr>
    </xdr:pic>
    <xdr:clientData/>
  </xdr:twoCellAnchor>
  <xdr:twoCellAnchor>
    <xdr:from>
      <xdr:col>0</xdr:col>
      <xdr:colOff>119063</xdr:colOff>
      <xdr:row>507</xdr:row>
      <xdr:rowOff>85045</xdr:rowOff>
    </xdr:from>
    <xdr:to>
      <xdr:col>2</xdr:col>
      <xdr:colOff>195263</xdr:colOff>
      <xdr:row>508</xdr:row>
      <xdr:rowOff>340179</xdr:rowOff>
    </xdr:to>
    <xdr:pic>
      <xdr:nvPicPr>
        <xdr:cNvPr id="76"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78015447"/>
          <a:ext cx="1079727" cy="612321"/>
        </a:xfrm>
        <a:prstGeom prst="rect">
          <a:avLst/>
        </a:prstGeom>
        <a:noFill/>
        <a:ln w="9525">
          <a:noFill/>
          <a:miter lim="800000"/>
          <a:headEnd/>
          <a:tailEnd/>
        </a:ln>
      </xdr:spPr>
    </xdr:pic>
    <xdr:clientData/>
  </xdr:twoCellAnchor>
  <xdr:twoCellAnchor>
    <xdr:from>
      <xdr:col>2</xdr:col>
      <xdr:colOff>308883</xdr:colOff>
      <xdr:row>507</xdr:row>
      <xdr:rowOff>94570</xdr:rowOff>
    </xdr:from>
    <xdr:to>
      <xdr:col>4</xdr:col>
      <xdr:colOff>385083</xdr:colOff>
      <xdr:row>508</xdr:row>
      <xdr:rowOff>349704</xdr:rowOff>
    </xdr:to>
    <xdr:pic>
      <xdr:nvPicPr>
        <xdr:cNvPr id="77"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78024972"/>
          <a:ext cx="1470932" cy="612321"/>
        </a:xfrm>
        <a:prstGeom prst="rect">
          <a:avLst/>
        </a:prstGeom>
        <a:noFill/>
        <a:ln w="9525">
          <a:noFill/>
          <a:miter lim="800000"/>
          <a:headEnd/>
          <a:tailEnd/>
        </a:ln>
      </xdr:spPr>
    </xdr:pic>
    <xdr:clientData/>
  </xdr:twoCellAnchor>
  <xdr:twoCellAnchor>
    <xdr:from>
      <xdr:col>4</xdr:col>
      <xdr:colOff>459242</xdr:colOff>
      <xdr:row>508</xdr:row>
      <xdr:rowOff>64636</xdr:rowOff>
    </xdr:from>
    <xdr:to>
      <xdr:col>8</xdr:col>
      <xdr:colOff>154442</xdr:colOff>
      <xdr:row>508</xdr:row>
      <xdr:rowOff>332016</xdr:rowOff>
    </xdr:to>
    <xdr:pic>
      <xdr:nvPicPr>
        <xdr:cNvPr id="78"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78352225"/>
          <a:ext cx="2076450" cy="267380"/>
        </a:xfrm>
        <a:prstGeom prst="rect">
          <a:avLst/>
        </a:prstGeom>
        <a:noFill/>
        <a:ln w="9525">
          <a:noFill/>
          <a:miter lim="800000"/>
          <a:headEnd/>
          <a:tailEnd/>
        </a:ln>
      </xdr:spPr>
    </xdr:pic>
    <xdr:clientData/>
  </xdr:twoCellAnchor>
  <xdr:twoCellAnchor>
    <xdr:from>
      <xdr:col>0</xdr:col>
      <xdr:colOff>119063</xdr:colOff>
      <xdr:row>547</xdr:row>
      <xdr:rowOff>85045</xdr:rowOff>
    </xdr:from>
    <xdr:to>
      <xdr:col>2</xdr:col>
      <xdr:colOff>195263</xdr:colOff>
      <xdr:row>548</xdr:row>
      <xdr:rowOff>340179</xdr:rowOff>
    </xdr:to>
    <xdr:pic>
      <xdr:nvPicPr>
        <xdr:cNvPr id="80"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192064822"/>
          <a:ext cx="1079727" cy="612321"/>
        </a:xfrm>
        <a:prstGeom prst="rect">
          <a:avLst/>
        </a:prstGeom>
        <a:noFill/>
        <a:ln w="9525">
          <a:noFill/>
          <a:miter lim="800000"/>
          <a:headEnd/>
          <a:tailEnd/>
        </a:ln>
      </xdr:spPr>
    </xdr:pic>
    <xdr:clientData/>
  </xdr:twoCellAnchor>
  <xdr:twoCellAnchor>
    <xdr:from>
      <xdr:col>2</xdr:col>
      <xdr:colOff>308883</xdr:colOff>
      <xdr:row>547</xdr:row>
      <xdr:rowOff>94570</xdr:rowOff>
    </xdr:from>
    <xdr:to>
      <xdr:col>4</xdr:col>
      <xdr:colOff>385083</xdr:colOff>
      <xdr:row>548</xdr:row>
      <xdr:rowOff>349704</xdr:rowOff>
    </xdr:to>
    <xdr:pic>
      <xdr:nvPicPr>
        <xdr:cNvPr id="81"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192074347"/>
          <a:ext cx="1470932" cy="612321"/>
        </a:xfrm>
        <a:prstGeom prst="rect">
          <a:avLst/>
        </a:prstGeom>
        <a:noFill/>
        <a:ln w="9525">
          <a:noFill/>
          <a:miter lim="800000"/>
          <a:headEnd/>
          <a:tailEnd/>
        </a:ln>
      </xdr:spPr>
    </xdr:pic>
    <xdr:clientData/>
  </xdr:twoCellAnchor>
  <xdr:twoCellAnchor>
    <xdr:from>
      <xdr:col>4</xdr:col>
      <xdr:colOff>459242</xdr:colOff>
      <xdr:row>548</xdr:row>
      <xdr:rowOff>64636</xdr:rowOff>
    </xdr:from>
    <xdr:to>
      <xdr:col>8</xdr:col>
      <xdr:colOff>154442</xdr:colOff>
      <xdr:row>548</xdr:row>
      <xdr:rowOff>332016</xdr:rowOff>
    </xdr:to>
    <xdr:pic>
      <xdr:nvPicPr>
        <xdr:cNvPr id="82"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192401600"/>
          <a:ext cx="2076450" cy="267380"/>
        </a:xfrm>
        <a:prstGeom prst="rect">
          <a:avLst/>
        </a:prstGeom>
        <a:noFill/>
        <a:ln w="9525">
          <a:noFill/>
          <a:miter lim="800000"/>
          <a:headEnd/>
          <a:tailEnd/>
        </a:ln>
      </xdr:spPr>
    </xdr:pic>
    <xdr:clientData/>
  </xdr:twoCellAnchor>
  <xdr:twoCellAnchor>
    <xdr:from>
      <xdr:col>0</xdr:col>
      <xdr:colOff>119063</xdr:colOff>
      <xdr:row>587</xdr:row>
      <xdr:rowOff>85045</xdr:rowOff>
    </xdr:from>
    <xdr:to>
      <xdr:col>2</xdr:col>
      <xdr:colOff>195263</xdr:colOff>
      <xdr:row>588</xdr:row>
      <xdr:rowOff>340179</xdr:rowOff>
    </xdr:to>
    <xdr:pic>
      <xdr:nvPicPr>
        <xdr:cNvPr id="84"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206114197"/>
          <a:ext cx="1079727" cy="612321"/>
        </a:xfrm>
        <a:prstGeom prst="rect">
          <a:avLst/>
        </a:prstGeom>
        <a:noFill/>
        <a:ln w="9525">
          <a:noFill/>
          <a:miter lim="800000"/>
          <a:headEnd/>
          <a:tailEnd/>
        </a:ln>
      </xdr:spPr>
    </xdr:pic>
    <xdr:clientData/>
  </xdr:twoCellAnchor>
  <xdr:twoCellAnchor>
    <xdr:from>
      <xdr:col>2</xdr:col>
      <xdr:colOff>308883</xdr:colOff>
      <xdr:row>587</xdr:row>
      <xdr:rowOff>94570</xdr:rowOff>
    </xdr:from>
    <xdr:to>
      <xdr:col>4</xdr:col>
      <xdr:colOff>385083</xdr:colOff>
      <xdr:row>588</xdr:row>
      <xdr:rowOff>349704</xdr:rowOff>
    </xdr:to>
    <xdr:pic>
      <xdr:nvPicPr>
        <xdr:cNvPr id="85"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206123722"/>
          <a:ext cx="1470932" cy="612321"/>
        </a:xfrm>
        <a:prstGeom prst="rect">
          <a:avLst/>
        </a:prstGeom>
        <a:noFill/>
        <a:ln w="9525">
          <a:noFill/>
          <a:miter lim="800000"/>
          <a:headEnd/>
          <a:tailEnd/>
        </a:ln>
      </xdr:spPr>
    </xdr:pic>
    <xdr:clientData/>
  </xdr:twoCellAnchor>
  <xdr:twoCellAnchor>
    <xdr:from>
      <xdr:col>4</xdr:col>
      <xdr:colOff>459242</xdr:colOff>
      <xdr:row>588</xdr:row>
      <xdr:rowOff>64636</xdr:rowOff>
    </xdr:from>
    <xdr:to>
      <xdr:col>8</xdr:col>
      <xdr:colOff>154442</xdr:colOff>
      <xdr:row>588</xdr:row>
      <xdr:rowOff>332016</xdr:rowOff>
    </xdr:to>
    <xdr:pic>
      <xdr:nvPicPr>
        <xdr:cNvPr id="86"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206450975"/>
          <a:ext cx="2076450" cy="267380"/>
        </a:xfrm>
        <a:prstGeom prst="rect">
          <a:avLst/>
        </a:prstGeom>
        <a:noFill/>
        <a:ln w="9525">
          <a:noFill/>
          <a:miter lim="800000"/>
          <a:headEnd/>
          <a:tailEnd/>
        </a:ln>
      </xdr:spPr>
    </xdr:pic>
    <xdr:clientData/>
  </xdr:twoCellAnchor>
  <xdr:twoCellAnchor>
    <xdr:from>
      <xdr:col>0</xdr:col>
      <xdr:colOff>119063</xdr:colOff>
      <xdr:row>627</xdr:row>
      <xdr:rowOff>85045</xdr:rowOff>
    </xdr:from>
    <xdr:to>
      <xdr:col>2</xdr:col>
      <xdr:colOff>195263</xdr:colOff>
      <xdr:row>628</xdr:row>
      <xdr:rowOff>340179</xdr:rowOff>
    </xdr:to>
    <xdr:pic>
      <xdr:nvPicPr>
        <xdr:cNvPr id="88" name="11 Imagen" descr="Descripción: los_servicios_m2.jpg"/>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r="70911"/>
        <a:stretch>
          <a:fillRect/>
        </a:stretch>
      </xdr:blipFill>
      <xdr:spPr bwMode="auto">
        <a:xfrm>
          <a:off x="119063" y="220163572"/>
          <a:ext cx="1079727" cy="612321"/>
        </a:xfrm>
        <a:prstGeom prst="rect">
          <a:avLst/>
        </a:prstGeom>
        <a:noFill/>
        <a:ln w="9525">
          <a:noFill/>
          <a:miter lim="800000"/>
          <a:headEnd/>
          <a:tailEnd/>
        </a:ln>
      </xdr:spPr>
    </xdr:pic>
    <xdr:clientData/>
  </xdr:twoCellAnchor>
  <xdr:twoCellAnchor>
    <xdr:from>
      <xdr:col>2</xdr:col>
      <xdr:colOff>308883</xdr:colOff>
      <xdr:row>627</xdr:row>
      <xdr:rowOff>94570</xdr:rowOff>
    </xdr:from>
    <xdr:to>
      <xdr:col>4</xdr:col>
      <xdr:colOff>385083</xdr:colOff>
      <xdr:row>628</xdr:row>
      <xdr:rowOff>349704</xdr:rowOff>
    </xdr:to>
    <xdr:pic>
      <xdr:nvPicPr>
        <xdr:cNvPr id="89" name="12 Imagen" descr="Descripción: los_servicios_m2.jpg"/>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blip>
        <a:srcRect l="34386" r="36073"/>
        <a:stretch>
          <a:fillRect/>
        </a:stretch>
      </xdr:blipFill>
      <xdr:spPr bwMode="auto">
        <a:xfrm>
          <a:off x="1312410" y="220173097"/>
          <a:ext cx="1470932" cy="612321"/>
        </a:xfrm>
        <a:prstGeom prst="rect">
          <a:avLst/>
        </a:prstGeom>
        <a:noFill/>
        <a:ln w="9525">
          <a:noFill/>
          <a:miter lim="800000"/>
          <a:headEnd/>
          <a:tailEnd/>
        </a:ln>
      </xdr:spPr>
    </xdr:pic>
    <xdr:clientData/>
  </xdr:twoCellAnchor>
  <xdr:twoCellAnchor>
    <xdr:from>
      <xdr:col>4</xdr:col>
      <xdr:colOff>459242</xdr:colOff>
      <xdr:row>628</xdr:row>
      <xdr:rowOff>64636</xdr:rowOff>
    </xdr:from>
    <xdr:to>
      <xdr:col>8</xdr:col>
      <xdr:colOff>154442</xdr:colOff>
      <xdr:row>628</xdr:row>
      <xdr:rowOff>332016</xdr:rowOff>
    </xdr:to>
    <xdr:pic>
      <xdr:nvPicPr>
        <xdr:cNvPr id="90" name="2 Imagen" descr="Descripción: los_servicios_m2.jpg"/>
        <xdr:cNvPicPr>
          <a:picLocks noChangeAspect="1" noChangeArrowheads="1"/>
        </xdr:cNvPicPr>
      </xdr:nvPicPr>
      <xdr:blipFill>
        <a:blip xmlns:r="http://schemas.openxmlformats.org/officeDocument/2006/relationships" r:embed="rId8" cstate="print">
          <a:clrChange>
            <a:clrFrom>
              <a:srgbClr val="FFFFFF"/>
            </a:clrFrom>
            <a:clrTo>
              <a:srgbClr val="FFFFFF">
                <a:alpha val="0"/>
              </a:srgbClr>
            </a:clrTo>
          </a:clrChange>
        </a:blip>
        <a:srcRect l="68701" t="59828" b="15846"/>
        <a:stretch>
          <a:fillRect/>
        </a:stretch>
      </xdr:blipFill>
      <xdr:spPr bwMode="auto">
        <a:xfrm>
          <a:off x="2857501" y="220500350"/>
          <a:ext cx="2076450" cy="267380"/>
        </a:xfrm>
        <a:prstGeom prst="rect">
          <a:avLst/>
        </a:prstGeom>
        <a:noFill/>
        <a:ln w="9525">
          <a:noFill/>
          <a:miter lim="800000"/>
          <a:headEnd/>
          <a:tailEnd/>
        </a:ln>
      </xdr:spPr>
    </xdr:pic>
    <xdr:clientData/>
  </xdr:twoCellAnchor>
  <xdr:twoCellAnchor>
    <xdr:from>
      <xdr:col>28</xdr:col>
      <xdr:colOff>48113</xdr:colOff>
      <xdr:row>282</xdr:row>
      <xdr:rowOff>59476</xdr:rowOff>
    </xdr:from>
    <xdr:to>
      <xdr:col>44</xdr:col>
      <xdr:colOff>15875</xdr:colOff>
      <xdr:row>283</xdr:row>
      <xdr:rowOff>130914</xdr:rowOff>
    </xdr:to>
    <xdr:sp macro="" textlink="">
      <xdr:nvSpPr>
        <xdr:cNvPr id="6" name="5 Proceso"/>
        <xdr:cNvSpPr/>
      </xdr:nvSpPr>
      <xdr:spPr>
        <a:xfrm>
          <a:off x="19653738" y="97230351"/>
          <a:ext cx="6667012" cy="420688"/>
        </a:xfrm>
        <a:prstGeom prst="flowChartProcess">
          <a:avLst/>
        </a:prstGeom>
        <a:noFill/>
        <a:ln w="41275" cmpd="thickThi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fPrintsWithSheet="0"/>
  </xdr:twoCellAnchor>
  <xdr:twoCellAnchor editAs="absolute">
    <xdr:from>
      <xdr:col>0</xdr:col>
      <xdr:colOff>0</xdr:colOff>
      <xdr:row>448</xdr:row>
      <xdr:rowOff>19050</xdr:rowOff>
    </xdr:from>
    <xdr:to>
      <xdr:col>29</xdr:col>
      <xdr:colOff>205721</xdr:colOff>
      <xdr:row>448</xdr:row>
      <xdr:rowOff>280380</xdr:rowOff>
    </xdr:to>
    <xdr:sp macro="" textlink="">
      <xdr:nvSpPr>
        <xdr:cNvPr id="63" name="62 CuadroTexto"/>
        <xdr:cNvSpPr txBox="1"/>
      </xdr:nvSpPr>
      <xdr:spPr>
        <a:xfrm>
          <a:off x="0" y="154257375"/>
          <a:ext cx="18264543" cy="26133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endParaRPr lang="es-MX" sz="1200">
            <a:latin typeface="Arial" pitchFamily="34" charset="0"/>
            <a:cs typeface="Arial" pitchFamily="34" charset="0"/>
          </a:endParaRPr>
        </a:p>
        <a:p>
          <a:r>
            <a:rPr lang="es-MX" sz="1200" baseline="0">
              <a:latin typeface="Arial" pitchFamily="34" charset="0"/>
              <a:cs typeface="Arial" pitchFamily="34" charset="0"/>
            </a:rPr>
            <a:t>                              X            SAGW7508061A9    078312 E028100.0231422          DOCENTE                   2DPR0580E                                                                      7A                     10                01-10-1996           2°              B   </a:t>
          </a:r>
          <a:endParaRPr lang="es-MX" sz="1200">
            <a:latin typeface="Arial" pitchFamily="34" charset="0"/>
            <a:cs typeface="Arial" pitchFamily="34" charset="0"/>
          </a:endParaRPr>
        </a:p>
      </xdr:txBody>
    </xdr:sp>
    <xdr:clientData fPrintsWithSheet="0"/>
  </xdr:twoCellAnchor>
  <xdr:twoCellAnchor editAs="absolute">
    <xdr:from>
      <xdr:col>0</xdr:col>
      <xdr:colOff>285750</xdr:colOff>
      <xdr:row>461</xdr:row>
      <xdr:rowOff>81034</xdr:rowOff>
    </xdr:from>
    <xdr:to>
      <xdr:col>30</xdr:col>
      <xdr:colOff>140776</xdr:colOff>
      <xdr:row>461</xdr:row>
      <xdr:rowOff>342364</xdr:rowOff>
    </xdr:to>
    <xdr:sp macro="" textlink="">
      <xdr:nvSpPr>
        <xdr:cNvPr id="67" name="66 CuadroTexto"/>
        <xdr:cNvSpPr txBox="1"/>
      </xdr:nvSpPr>
      <xdr:spPr>
        <a:xfrm>
          <a:off x="285750" y="158859609"/>
          <a:ext cx="18236761" cy="261330"/>
        </a:xfrm>
        <a:prstGeom prst="rect">
          <a:avLst/>
        </a:prstGeom>
        <a:solidFill>
          <a:schemeClr val="lt1">
            <a:alpha val="0"/>
          </a:schemeClr>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lang="es-MX" sz="1200" baseline="0">
              <a:latin typeface="Arial" pitchFamily="34" charset="0"/>
              <a:cs typeface="Arial" pitchFamily="34" charset="0"/>
            </a:rPr>
            <a:t>  </a:t>
          </a:r>
          <a:endParaRPr lang="es-MX" sz="1200">
            <a:latin typeface="Arial" pitchFamily="34" charset="0"/>
            <a:cs typeface="Arial" pitchFamily="34" charset="0"/>
          </a:endParaRPr>
        </a:p>
      </xdr:txBody>
    </xdr:sp>
    <xdr:clientData fPrintsWithSheet="0"/>
  </xdr:twoCellAnchor>
  <xdr:twoCellAnchor>
    <xdr:from>
      <xdr:col>18</xdr:col>
      <xdr:colOff>428625</xdr:colOff>
      <xdr:row>467</xdr:row>
      <xdr:rowOff>79375</xdr:rowOff>
    </xdr:from>
    <xdr:to>
      <xdr:col>19</xdr:col>
      <xdr:colOff>368387</xdr:colOff>
      <xdr:row>469</xdr:row>
      <xdr:rowOff>71372</xdr:rowOff>
    </xdr:to>
    <xdr:pic>
      <xdr:nvPicPr>
        <xdr:cNvPr id="71" name="Picture 20" descr="Hispano Americano"/>
        <xdr:cNvPicPr>
          <a:picLocks noChangeAspect="1" noChangeArrowheads="1"/>
        </xdr:cNvPicPr>
      </xdr:nvPicPr>
      <xdr:blipFill>
        <a:blip xmlns:r="http://schemas.openxmlformats.org/officeDocument/2006/relationships" r:embed="rId9"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66750" y="160972500"/>
          <a:ext cx="765262" cy="69049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18</xdr:col>
      <xdr:colOff>365125</xdr:colOff>
      <xdr:row>507</xdr:row>
      <xdr:rowOff>142875</xdr:rowOff>
    </xdr:from>
    <xdr:to>
      <xdr:col>19</xdr:col>
      <xdr:colOff>266787</xdr:colOff>
      <xdr:row>509</xdr:row>
      <xdr:rowOff>153922</xdr:rowOff>
    </xdr:to>
    <xdr:pic>
      <xdr:nvPicPr>
        <xdr:cNvPr id="75" name="Picture 25"/>
        <xdr:cNvPicPr>
          <a:picLocks noChangeAspect="1" noChangeArrowheads="1"/>
        </xdr:cNvPicPr>
      </xdr:nvPicPr>
      <xdr:blipFill>
        <a:blip xmlns:r="http://schemas.openxmlformats.org/officeDocument/2006/relationships" r:embed="rId10"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3303250" y="174783750"/>
          <a:ext cx="727162" cy="70954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absolute">
    <xdr:from>
      <xdr:col>9</xdr:col>
      <xdr:colOff>523874</xdr:colOff>
      <xdr:row>427</xdr:row>
      <xdr:rowOff>114300</xdr:rowOff>
    </xdr:from>
    <xdr:to>
      <xdr:col>9</xdr:col>
      <xdr:colOff>1206499</xdr:colOff>
      <xdr:row>429</xdr:row>
      <xdr:rowOff>219075</xdr:rowOff>
    </xdr:to>
    <xdr:pic>
      <xdr:nvPicPr>
        <xdr:cNvPr id="79" name="Picture 20" descr="2D42F2CD"/>
        <xdr:cNvPicPr>
          <a:picLocks noChangeAspect="1" noChangeArrowheads="1"/>
        </xdr:cNvPicPr>
      </xdr:nvPicPr>
      <xdr:blipFill>
        <a:blip xmlns:r="http://schemas.openxmlformats.org/officeDocument/2006/relationships" r:embed="rId11" cstate="print">
          <a:lum bright="-18000" contrast="78000"/>
          <a:extLst>
            <a:ext uri="{28A0092B-C50C-407E-A947-70E740481C1C}">
              <a14:useLocalDpi xmlns:a14="http://schemas.microsoft.com/office/drawing/2010/main" val="0"/>
            </a:ext>
          </a:extLst>
        </a:blip>
        <a:srcRect l="26920" t="14629" r="25702" b="37930"/>
        <a:stretch>
          <a:fillRect/>
        </a:stretch>
      </xdr:blipFill>
      <xdr:spPr bwMode="auto">
        <a:xfrm>
          <a:off x="5365749" y="147240625"/>
          <a:ext cx="682625" cy="803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lgn="in">
              <a:solidFill>
                <a:srgbClr val="000000"/>
              </a:solidFill>
              <a:miter lim="800000"/>
              <a:headEnd/>
              <a:tailEnd/>
            </a14:hiddenLine>
          </a:ext>
        </a:extLst>
      </xdr:spPr>
    </xdr:pic>
    <xdr:clientData fPrintsWithSheet="0"/>
  </xdr:twoCellAnchor>
  <xdr:twoCellAnchor>
    <xdr:from>
      <xdr:col>18</xdr:col>
      <xdr:colOff>444499</xdr:colOff>
      <xdr:row>387</xdr:row>
      <xdr:rowOff>111125</xdr:rowOff>
    </xdr:from>
    <xdr:to>
      <xdr:col>19</xdr:col>
      <xdr:colOff>396874</xdr:colOff>
      <xdr:row>389</xdr:row>
      <xdr:rowOff>165100</xdr:rowOff>
    </xdr:to>
    <xdr:pic>
      <xdr:nvPicPr>
        <xdr:cNvPr id="83" name="Picture 5" descr="ESCUDO"/>
        <xdr:cNvPicPr>
          <a:picLocks noChangeAspect="1" noChangeArrowheads="1"/>
        </xdr:cNvPicPr>
      </xdr:nvPicPr>
      <xdr:blipFill>
        <a:blip xmlns:r="http://schemas.openxmlformats.org/officeDocument/2006/relationships" r:embed="rId12" cstate="print">
          <a:clrChange>
            <a:clrFrom>
              <a:srgbClr val="FEFEFE"/>
            </a:clrFrom>
            <a:clrTo>
              <a:srgbClr val="FEFEFE">
                <a:alpha val="0"/>
              </a:srgbClr>
            </a:clrTo>
          </a:clrChange>
          <a:extLst>
            <a:ext uri="{28A0092B-C50C-407E-A947-70E740481C1C}">
              <a14:useLocalDpi xmlns:a14="http://schemas.microsoft.com/office/drawing/2010/main" val="0"/>
            </a:ext>
          </a:extLst>
        </a:blip>
        <a:srcRect/>
        <a:stretch>
          <a:fillRect/>
        </a:stretch>
      </xdr:blipFill>
      <xdr:spPr bwMode="auto">
        <a:xfrm>
          <a:off x="13382624" y="133508750"/>
          <a:ext cx="7778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508000</xdr:colOff>
      <xdr:row>347</xdr:row>
      <xdr:rowOff>111125</xdr:rowOff>
    </xdr:from>
    <xdr:to>
      <xdr:col>19</xdr:col>
      <xdr:colOff>333375</xdr:colOff>
      <xdr:row>349</xdr:row>
      <xdr:rowOff>165100</xdr:rowOff>
    </xdr:to>
    <xdr:pic>
      <xdr:nvPicPr>
        <xdr:cNvPr id="87" name="Picture 6"/>
        <xdr:cNvPicPr>
          <a:picLocks noChangeAspect="1" noChangeArrowheads="1"/>
        </xdr:cNvPicPr>
      </xdr:nvPicPr>
      <xdr:blipFill>
        <a:blip xmlns:r="http://schemas.openxmlformats.org/officeDocument/2006/relationships" r:embed="rId13" cstate="print">
          <a:clrChange>
            <a:clrFrom>
              <a:srgbClr val="FFFFFF"/>
            </a:clrFrom>
            <a:clrTo>
              <a:srgbClr val="FFFFFF">
                <a:alpha val="0"/>
              </a:srgbClr>
            </a:clrTo>
          </a:clrChange>
          <a:extLst>
            <a:ext uri="{28A0092B-C50C-407E-A947-70E740481C1C}">
              <a14:useLocalDpi xmlns:a14="http://schemas.microsoft.com/office/drawing/2010/main" val="0"/>
            </a:ext>
          </a:extLst>
        </a:blip>
        <a:srcRect l="3378" t="4146" r="2702"/>
        <a:stretch>
          <a:fillRect/>
        </a:stretch>
      </xdr:blipFill>
      <xdr:spPr bwMode="auto">
        <a:xfrm>
          <a:off x="13446125" y="119761000"/>
          <a:ext cx="650875" cy="75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18</xdr:col>
      <xdr:colOff>460375</xdr:colOff>
      <xdr:row>27</xdr:row>
      <xdr:rowOff>111125</xdr:rowOff>
    </xdr:from>
    <xdr:to>
      <xdr:col>19</xdr:col>
      <xdr:colOff>381000</xdr:colOff>
      <xdr:row>29</xdr:row>
      <xdr:rowOff>79375</xdr:rowOff>
    </xdr:to>
    <xdr:pic>
      <xdr:nvPicPr>
        <xdr:cNvPr id="91" name="Picture 42"/>
        <xdr:cNvPicPr>
          <a:picLocks noChangeAspect="1" noChangeArrowheads="1"/>
        </xdr:cNvPicPr>
      </xdr:nvPicPr>
      <xdr:blipFill>
        <a:blip xmlns:r="http://schemas.openxmlformats.org/officeDocument/2006/relationships" r:embed="rId14">
          <a:clrChange>
            <a:clrFrom>
              <a:srgbClr val="FFFFFF"/>
            </a:clrFrom>
            <a:clrTo>
              <a:srgbClr val="FFFFFF">
                <a:alpha val="0"/>
              </a:srgbClr>
            </a:clrTo>
          </a:clrChange>
          <a:extLst>
            <a:ext uri="{28A0092B-C50C-407E-A947-70E740481C1C}">
              <a14:useLocalDpi xmlns:a14="http://schemas.microsoft.com/office/drawing/2010/main" val="0"/>
            </a:ext>
          </a:extLst>
        </a:blip>
        <a:srcRect b="4385"/>
        <a:stretch>
          <a:fillRect/>
        </a:stretch>
      </xdr:blipFill>
      <xdr:spPr bwMode="auto">
        <a:xfrm>
          <a:off x="13398500" y="9779000"/>
          <a:ext cx="746125" cy="666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18</xdr:col>
      <xdr:colOff>508000</xdr:colOff>
      <xdr:row>0</xdr:row>
      <xdr:rowOff>79375</xdr:rowOff>
    </xdr:from>
    <xdr:to>
      <xdr:col>19</xdr:col>
      <xdr:colOff>331562</xdr:colOff>
      <xdr:row>2</xdr:row>
      <xdr:rowOff>129547</xdr:rowOff>
    </xdr:to>
    <xdr:grpSp>
      <xdr:nvGrpSpPr>
        <xdr:cNvPr id="93" name="Group 1668"/>
        <xdr:cNvGrpSpPr>
          <a:grpSpLocks/>
        </xdr:cNvGrpSpPr>
      </xdr:nvGrpSpPr>
      <xdr:grpSpPr bwMode="auto">
        <a:xfrm>
          <a:off x="12033250" y="79375"/>
          <a:ext cx="649062" cy="685172"/>
          <a:chOff x="1356" y="947"/>
          <a:chExt cx="10139" cy="12108"/>
        </a:xfrm>
      </xdr:grpSpPr>
      <xdr:pic>
        <xdr:nvPicPr>
          <xdr:cNvPr id="94" name="Imagen 6"/>
          <xdr:cNvPicPr>
            <a:picLocks noChangeAspect="1" noChangeArrowheads="1"/>
          </xdr:cNvPicPr>
        </xdr:nvPicPr>
        <xdr:blipFill>
          <a:blip xmlns:r="http://schemas.openxmlformats.org/officeDocument/2006/relationships" r:embed="rId15" cstate="print">
            <a:clrChange>
              <a:clrFrom>
                <a:srgbClr val="00FF80"/>
              </a:clrFrom>
              <a:clrTo>
                <a:srgbClr val="00FF80">
                  <a:alpha val="0"/>
                </a:srgbClr>
              </a:clrTo>
            </a:clrChange>
          </a:blip>
          <a:srcRect/>
          <a:stretch>
            <a:fillRect/>
          </a:stretch>
        </xdr:blipFill>
        <xdr:spPr bwMode="auto">
          <a:xfrm>
            <a:off x="1356" y="947"/>
            <a:ext cx="10139" cy="12108"/>
          </a:xfrm>
          <a:prstGeom prst="rect">
            <a:avLst/>
          </a:prstGeom>
          <a:noFill/>
          <a:ln w="9525">
            <a:noFill/>
            <a:miter lim="800000"/>
            <a:headEnd/>
            <a:tailEnd/>
          </a:ln>
        </xdr:spPr>
      </xdr:pic>
      <xdr:grpSp>
        <xdr:nvGrpSpPr>
          <xdr:cNvPr id="95" name="Group 1670"/>
          <xdr:cNvGrpSpPr>
            <a:grpSpLocks/>
          </xdr:cNvGrpSpPr>
        </xdr:nvGrpSpPr>
        <xdr:grpSpPr bwMode="auto">
          <a:xfrm>
            <a:off x="1740" y="2268"/>
            <a:ext cx="9255" cy="9085"/>
            <a:chOff x="1740" y="2268"/>
            <a:chExt cx="9255" cy="9085"/>
          </a:xfrm>
        </xdr:grpSpPr>
        <xdr:pic>
          <xdr:nvPicPr>
            <xdr:cNvPr id="96" name="Imagen 11"/>
            <xdr:cNvPicPr>
              <a:picLocks noChangeAspect="1" noChangeArrowheads="1"/>
            </xdr:cNvPicPr>
          </xdr:nvPicPr>
          <xdr:blipFill>
            <a:blip xmlns:r="http://schemas.openxmlformats.org/officeDocument/2006/relationships" r:embed="rId16" cstate="print">
              <a:clrChange>
                <a:clrFrom>
                  <a:srgbClr val="00FFFF"/>
                </a:clrFrom>
                <a:clrTo>
                  <a:srgbClr val="00FFFF">
                    <a:alpha val="0"/>
                  </a:srgbClr>
                </a:clrTo>
              </a:clrChange>
            </a:blip>
            <a:srcRect/>
            <a:stretch>
              <a:fillRect/>
            </a:stretch>
          </xdr:blipFill>
          <xdr:spPr bwMode="auto">
            <a:xfrm>
              <a:off x="1740" y="4388"/>
              <a:ext cx="2880" cy="2116"/>
            </a:xfrm>
            <a:prstGeom prst="rect">
              <a:avLst/>
            </a:prstGeom>
            <a:noFill/>
            <a:ln w="9525">
              <a:noFill/>
              <a:miter lim="800000"/>
              <a:headEnd/>
              <a:tailEnd/>
            </a:ln>
          </xdr:spPr>
        </xdr:pic>
        <xdr:pic>
          <xdr:nvPicPr>
            <xdr:cNvPr id="97" name="Imagen 12"/>
            <xdr:cNvPicPr>
              <a:picLocks noChangeAspect="1" noChangeArrowheads="1"/>
            </xdr:cNvPicPr>
          </xdr:nvPicPr>
          <xdr:blipFill>
            <a:blip xmlns:r="http://schemas.openxmlformats.org/officeDocument/2006/relationships" r:embed="rId17" cstate="print">
              <a:clrChange>
                <a:clrFrom>
                  <a:srgbClr val="00FFFF"/>
                </a:clrFrom>
                <a:clrTo>
                  <a:srgbClr val="00FFFF">
                    <a:alpha val="0"/>
                  </a:srgbClr>
                </a:clrTo>
              </a:clrChange>
            </a:blip>
            <a:srcRect t="6712" b="9375"/>
            <a:stretch>
              <a:fillRect/>
            </a:stretch>
          </xdr:blipFill>
          <xdr:spPr bwMode="auto">
            <a:xfrm>
              <a:off x="8086" y="4646"/>
              <a:ext cx="2909" cy="2057"/>
            </a:xfrm>
            <a:prstGeom prst="rect">
              <a:avLst/>
            </a:prstGeom>
            <a:noFill/>
            <a:ln w="9525">
              <a:noFill/>
              <a:miter lim="800000"/>
              <a:headEnd/>
              <a:tailEnd/>
            </a:ln>
          </xdr:spPr>
        </xdr:pic>
        <xdr:sp macro="" textlink="">
          <xdr:nvSpPr>
            <xdr:cNvPr id="98" name="WordArt 1673"/>
            <xdr:cNvSpPr>
              <a:spLocks noChangeArrowheads="1" noChangeShapeType="1" noTextEdit="1"/>
            </xdr:cNvSpPr>
          </xdr:nvSpPr>
          <xdr:spPr bwMode="auto">
            <a:xfrm>
              <a:off x="3306" y="2268"/>
              <a:ext cx="6044" cy="1761"/>
            </a:xfrm>
            <a:prstGeom prst="rect">
              <a:avLst/>
            </a:prstGeom>
          </xdr:spPr>
          <xdr:txBody>
            <a:bodyPr wrap="none" fromWordArt="1">
              <a:prstTxWarp prst="textDeflate">
                <a:avLst>
                  <a:gd name="adj" fmla="val 17681"/>
                </a:avLst>
              </a:prstTxWarp>
            </a:bodyPr>
            <a:lstStyle/>
            <a:p>
              <a:pPr algn="ctr" rtl="0"/>
              <a:r>
                <a:rPr lang="es-ES" sz="3600" kern="10" spc="0">
                  <a:ln w="9525">
                    <a:solidFill>
                      <a:srgbClr val="000000"/>
                    </a:solidFill>
                    <a:round/>
                    <a:headEnd/>
                    <a:tailEnd/>
                  </a:ln>
                  <a:solidFill>
                    <a:srgbClr val="548DD4"/>
                  </a:solidFill>
                  <a:effectLst/>
                  <a:latin typeface="Impact"/>
                </a:rPr>
                <a:t>I  N  S  P  E  C  C  I  O  N</a:t>
              </a:r>
            </a:p>
          </xdr:txBody>
        </xdr:sp>
        <xdr:sp macro="" textlink="">
          <xdr:nvSpPr>
            <xdr:cNvPr id="99" name="WordArt 1674"/>
            <xdr:cNvSpPr>
              <a:spLocks noChangeArrowheads="1" noChangeShapeType="1" noTextEdit="1"/>
            </xdr:cNvSpPr>
          </xdr:nvSpPr>
          <xdr:spPr bwMode="auto">
            <a:xfrm>
              <a:off x="5451" y="4689"/>
              <a:ext cx="1950" cy="2201"/>
            </a:xfrm>
            <a:prstGeom prst="rect">
              <a:avLst/>
            </a:prstGeom>
          </xdr:spPr>
          <xdr:txBody>
            <a:bodyPr wrap="none" fromWordArt="1">
              <a:prstTxWarp prst="textPlain">
                <a:avLst>
                  <a:gd name="adj" fmla="val 50000"/>
                </a:avLst>
              </a:prstTxWarp>
            </a:bodyPr>
            <a:lstStyle/>
            <a:p>
              <a:pPr algn="ctr" rtl="0"/>
              <a:r>
                <a:rPr lang="es-ES" sz="3600" kern="10" spc="0">
                  <a:ln w="9525">
                    <a:solidFill>
                      <a:srgbClr val="938953"/>
                    </a:solidFill>
                    <a:round/>
                    <a:headEnd/>
                    <a:tailEnd/>
                  </a:ln>
                  <a:solidFill>
                    <a:srgbClr val="000000"/>
                  </a:solidFill>
                  <a:effectLst/>
                  <a:latin typeface="Arial Black"/>
                </a:rPr>
                <a:t>0 4 2</a:t>
              </a:r>
            </a:p>
          </xdr:txBody>
        </xdr:sp>
        <xdr:pic>
          <xdr:nvPicPr>
            <xdr:cNvPr id="100" name="Picture 1675"/>
            <xdr:cNvPicPr>
              <a:picLocks noChangeAspect="1" noChangeArrowheads="1"/>
            </xdr:cNvPicPr>
          </xdr:nvPicPr>
          <xdr:blipFill>
            <a:blip xmlns:r="http://schemas.openxmlformats.org/officeDocument/2006/relationships" r:embed="rId18" cstate="print">
              <a:clrChange>
                <a:clrFrom>
                  <a:srgbClr val="FF0000"/>
                </a:clrFrom>
                <a:clrTo>
                  <a:srgbClr val="FF0000">
                    <a:alpha val="0"/>
                  </a:srgbClr>
                </a:clrTo>
              </a:clrChange>
            </a:blip>
            <a:srcRect/>
            <a:stretch>
              <a:fillRect/>
            </a:stretch>
          </xdr:blipFill>
          <xdr:spPr bwMode="auto">
            <a:xfrm>
              <a:off x="5502" y="8826"/>
              <a:ext cx="1881" cy="2527"/>
            </a:xfrm>
            <a:prstGeom prst="rect">
              <a:avLst/>
            </a:prstGeom>
            <a:noFill/>
            <a:ln w="9525">
              <a:noFill/>
              <a:miter lim="800000"/>
              <a:headEnd/>
              <a:tailEnd/>
            </a:ln>
          </xdr:spPr>
        </xdr:pic>
      </xdr:grpSp>
    </xdr:grpSp>
    <xdr:clientData fPrintsWithSheet="0"/>
  </xdr:twoCellAnchor>
  <xdr:twoCellAnchor>
    <xdr:from>
      <xdr:col>18</xdr:col>
      <xdr:colOff>158750</xdr:colOff>
      <xdr:row>427</xdr:row>
      <xdr:rowOff>63500</xdr:rowOff>
    </xdr:from>
    <xdr:to>
      <xdr:col>19</xdr:col>
      <xdr:colOff>550988</xdr:colOff>
      <xdr:row>429</xdr:row>
      <xdr:rowOff>20540</xdr:rowOff>
    </xdr:to>
    <xdr:pic>
      <xdr:nvPicPr>
        <xdr:cNvPr id="92" name="Picture 4" descr="C:\Users\Tony\Desktop\293257_387007088026025_1576382375_n.jpg"/>
        <xdr:cNvPicPr>
          <a:picLocks noChangeAspect="1" noChangeArrowheads="1"/>
        </xdr:cNvPicPr>
      </xdr:nvPicPr>
      <xdr:blipFill rotWithShape="1">
        <a:blip xmlns:r="http://schemas.openxmlformats.org/officeDocument/2006/relationships" r:embed="rId19" cstate="print">
          <a:clrChange>
            <a:clrFrom>
              <a:srgbClr val="FFFFFF"/>
            </a:clrFrom>
            <a:clrTo>
              <a:srgbClr val="FFFFFF">
                <a:alpha val="0"/>
              </a:srgbClr>
            </a:clrTo>
          </a:clrChange>
          <a:extLst>
            <a:ext uri="{28A0092B-C50C-407E-A947-70E740481C1C}">
              <a14:useLocalDpi xmlns:a14="http://schemas.microsoft.com/office/drawing/2010/main" val="0"/>
            </a:ext>
          </a:extLst>
        </a:blip>
        <a:srcRect t="17115" b="29053"/>
        <a:stretch/>
      </xdr:blipFill>
      <xdr:spPr bwMode="auto">
        <a:xfrm>
          <a:off x="13096875" y="147208875"/>
          <a:ext cx="1217738" cy="65554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18</xdr:col>
      <xdr:colOff>443334</xdr:colOff>
      <xdr:row>587</xdr:row>
      <xdr:rowOff>47625</xdr:rowOff>
    </xdr:from>
    <xdr:to>
      <xdr:col>19</xdr:col>
      <xdr:colOff>444248</xdr:colOff>
      <xdr:row>589</xdr:row>
      <xdr:rowOff>206375</xdr:rowOff>
    </xdr:to>
    <xdr:pic>
      <xdr:nvPicPr>
        <xdr:cNvPr id="101" name="Picture 2" descr="C:\Users\Tony\Desktop\264909_229118873782754_3205056_n.jpg"/>
        <xdr:cNvPicPr>
          <a:picLocks noChangeAspect="1" noChangeArrowheads="1"/>
        </xdr:cNvPicPr>
      </xdr:nvPicPr>
      <xdr:blipFill rotWithShape="1">
        <a:blip xmlns:r="http://schemas.openxmlformats.org/officeDocument/2006/relationships" r:embed="rId20" cstate="print">
          <a:clrChange>
            <a:clrFrom>
              <a:srgbClr val="FFFFFF"/>
            </a:clrFrom>
            <a:clrTo>
              <a:srgbClr val="FFFFFF">
                <a:alpha val="0"/>
              </a:srgbClr>
            </a:clrTo>
          </a:clrChange>
          <a:extLst>
            <a:ext uri="{28A0092B-C50C-407E-A947-70E740481C1C}">
              <a14:useLocalDpi xmlns:a14="http://schemas.microsoft.com/office/drawing/2010/main" val="0"/>
            </a:ext>
          </a:extLst>
        </a:blip>
        <a:srcRect l="8943" t="8166" r="7699" b="5366"/>
        <a:stretch/>
      </xdr:blipFill>
      <xdr:spPr bwMode="auto">
        <a:xfrm>
          <a:off x="13381459" y="202184000"/>
          <a:ext cx="826414" cy="857250"/>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18</xdr:col>
      <xdr:colOff>714379</xdr:colOff>
      <xdr:row>67</xdr:row>
      <xdr:rowOff>39687</xdr:rowOff>
    </xdr:from>
    <xdr:to>
      <xdr:col>19</xdr:col>
      <xdr:colOff>357191</xdr:colOff>
      <xdr:row>68</xdr:row>
      <xdr:rowOff>218280</xdr:rowOff>
    </xdr:to>
    <xdr:pic>
      <xdr:nvPicPr>
        <xdr:cNvPr id="102" name="6 Imagen" descr="Gobierno horizontal.jpg"/>
        <xdr:cNvPicPr>
          <a:picLocks noChangeAspect="1" noChangeArrowheads="1"/>
        </xdr:cNvPicPr>
      </xdr:nvPicPr>
      <xdr:blipFill rotWithShape="1">
        <a:blip xmlns:r="http://schemas.openxmlformats.org/officeDocument/2006/relationships" r:embed="rId21" cstate="print">
          <a:clrChange>
            <a:clrFrom>
              <a:srgbClr val="FDFDFD"/>
            </a:clrFrom>
            <a:clrTo>
              <a:srgbClr val="FDFDFD">
                <a:alpha val="0"/>
              </a:srgbClr>
            </a:clrTo>
          </a:clrChange>
        </a:blip>
        <a:srcRect l="2697" r="65245" b="12716"/>
        <a:stretch/>
      </xdr:blipFill>
      <xdr:spPr bwMode="auto">
        <a:xfrm>
          <a:off x="13652504" y="23693437"/>
          <a:ext cx="476250" cy="535781"/>
        </a:xfrm>
        <a:prstGeom prst="rect">
          <a:avLst/>
        </a:prstGeom>
        <a:noFill/>
        <a:ln w="9525">
          <a:noFill/>
          <a:miter lim="800000"/>
          <a:headEnd/>
          <a:tailEnd/>
        </a:ln>
      </xdr:spPr>
    </xdr:pic>
    <xdr:clientData fPrintsWithSheet="0"/>
  </xdr:twoCellAnchor>
  <xdr:twoCellAnchor editAs="oneCell">
    <xdr:from>
      <xdr:col>9</xdr:col>
      <xdr:colOff>890006</xdr:colOff>
      <xdr:row>303</xdr:row>
      <xdr:rowOff>105246</xdr:rowOff>
    </xdr:from>
    <xdr:to>
      <xdr:col>10</xdr:col>
      <xdr:colOff>1117083</xdr:colOff>
      <xdr:row>306</xdr:row>
      <xdr:rowOff>77013</xdr:rowOff>
    </xdr:to>
    <xdr:pic>
      <xdr:nvPicPr>
        <xdr:cNvPr id="178178" name="Picture 2"/>
        <xdr:cNvPicPr>
          <a:picLocks noChangeAspect="1" noChangeArrowheads="1"/>
        </xdr:cNvPicPr>
      </xdr:nvPicPr>
      <xdr:blipFill>
        <a:blip xmlns:r="http://schemas.openxmlformats.org/officeDocument/2006/relationships" r:embed="rId22" cstate="print">
          <a:clrChange>
            <a:clrFrom>
              <a:srgbClr val="FFFFFF"/>
            </a:clrFrom>
            <a:clrTo>
              <a:srgbClr val="FFFFFF">
                <a:alpha val="0"/>
              </a:srgbClr>
            </a:clrTo>
          </a:clrChange>
          <a:lum bright="100000"/>
        </a:blip>
        <a:srcRect/>
        <a:stretch>
          <a:fillRect/>
        </a:stretch>
      </xdr:blipFill>
      <xdr:spPr bwMode="auto">
        <a:xfrm rot="10603590">
          <a:off x="5721779" y="103685291"/>
          <a:ext cx="1768395" cy="1010858"/>
        </a:xfrm>
        <a:prstGeom prst="rect">
          <a:avLst/>
        </a:prstGeom>
        <a:noFill/>
      </xdr:spPr>
    </xdr:pic>
    <xdr:clientData/>
  </xdr:twoCellAnchor>
  <xdr:twoCellAnchor editAs="oneCell">
    <xdr:from>
      <xdr:col>0</xdr:col>
      <xdr:colOff>225136</xdr:colOff>
      <xdr:row>302</xdr:row>
      <xdr:rowOff>103909</xdr:rowOff>
    </xdr:from>
    <xdr:to>
      <xdr:col>3</xdr:col>
      <xdr:colOff>484909</xdr:colOff>
      <xdr:row>305</xdr:row>
      <xdr:rowOff>311727</xdr:rowOff>
    </xdr:to>
    <xdr:pic>
      <xdr:nvPicPr>
        <xdr:cNvPr id="103" name="102 Imagen"/>
        <xdr:cNvPicPr/>
      </xdr:nvPicPr>
      <xdr:blipFill>
        <a:blip xmlns:r="http://schemas.openxmlformats.org/officeDocument/2006/relationships" r:embed="rId23">
          <a:clrChange>
            <a:clrFrom>
              <a:srgbClr val="FFFFFF"/>
            </a:clrFrom>
            <a:clrTo>
              <a:srgbClr val="FFFFFF">
                <a:alpha val="0"/>
              </a:srgbClr>
            </a:clrTo>
          </a:clrChange>
          <a:lum bright="-10000" contrast="2000"/>
        </a:blip>
        <a:srcRect/>
        <a:stretch>
          <a:fillRect/>
        </a:stretch>
      </xdr:blipFill>
      <xdr:spPr bwMode="auto">
        <a:xfrm>
          <a:off x="225136" y="103337591"/>
          <a:ext cx="2112818" cy="1246909"/>
        </a:xfrm>
        <a:prstGeom prst="rect">
          <a:avLst/>
        </a:prstGeom>
        <a:noFill/>
        <a:ln w="9525">
          <a:noFill/>
          <a:miter lim="800000"/>
          <a:headEnd/>
          <a:tailEnd/>
        </a:ln>
      </xdr:spPr>
    </xdr:pic>
    <xdr:clientData/>
  </xdr:twoCellAnchor>
  <xdr:twoCellAnchor editAs="oneCell">
    <xdr:from>
      <xdr:col>0</xdr:col>
      <xdr:colOff>121227</xdr:colOff>
      <xdr:row>382</xdr:row>
      <xdr:rowOff>51955</xdr:rowOff>
    </xdr:from>
    <xdr:to>
      <xdr:col>2</xdr:col>
      <xdr:colOff>472241</xdr:colOff>
      <xdr:row>386</xdr:row>
      <xdr:rowOff>96116</xdr:rowOff>
    </xdr:to>
    <xdr:pic>
      <xdr:nvPicPr>
        <xdr:cNvPr id="105" name="Picture 6"/>
        <xdr:cNvPicPr>
          <a:picLocks noChangeAspect="1" noChangeArrowheads="1"/>
        </xdr:cNvPicPr>
      </xdr:nvPicPr>
      <xdr:blipFill>
        <a:blip xmlns:r="http://schemas.openxmlformats.org/officeDocument/2006/relationships" r:embed="rId24" cstate="print">
          <a:lum bright="-21000" contrast="30000"/>
        </a:blip>
        <a:srcRect/>
        <a:stretch>
          <a:fillRect/>
        </a:stretch>
      </xdr:blipFill>
      <xdr:spPr bwMode="auto">
        <a:xfrm>
          <a:off x="121227" y="130544455"/>
          <a:ext cx="1442059" cy="1429616"/>
        </a:xfrm>
        <a:prstGeom prst="rect">
          <a:avLst/>
        </a:prstGeom>
        <a:noFill/>
      </xdr:spPr>
    </xdr:pic>
    <xdr:clientData/>
  </xdr:twoCellAnchor>
  <xdr:twoCellAnchor editAs="oneCell">
    <xdr:from>
      <xdr:col>0</xdr:col>
      <xdr:colOff>38100</xdr:colOff>
      <xdr:row>62</xdr:row>
      <xdr:rowOff>12521</xdr:rowOff>
    </xdr:from>
    <xdr:to>
      <xdr:col>3</xdr:col>
      <xdr:colOff>57150</xdr:colOff>
      <xdr:row>66</xdr:row>
      <xdr:rowOff>293543</xdr:rowOff>
    </xdr:to>
    <xdr:pic>
      <xdr:nvPicPr>
        <xdr:cNvPr id="106" name="Picture 2"/>
        <xdr:cNvPicPr>
          <a:picLocks noChangeAspect="1" noChangeArrowheads="1"/>
        </xdr:cNvPicPr>
      </xdr:nvPicPr>
      <xdr:blipFill>
        <a:blip xmlns:r="http://schemas.openxmlformats.org/officeDocument/2006/relationships" r:embed="rId25">
          <a:clrChange>
            <a:clrFrom>
              <a:srgbClr val="FFFFFF"/>
            </a:clrFrom>
            <a:clrTo>
              <a:srgbClr val="FFFFFF">
                <a:alpha val="0"/>
              </a:srgbClr>
            </a:clrTo>
          </a:clrChange>
          <a:lum bright="-17000" contrast="27000"/>
        </a:blip>
        <a:srcRect/>
        <a:stretch>
          <a:fillRect/>
        </a:stretch>
      </xdr:blipFill>
      <xdr:spPr bwMode="auto">
        <a:xfrm>
          <a:off x="38100" y="22186721"/>
          <a:ext cx="1885950" cy="1728822"/>
        </a:xfrm>
        <a:prstGeom prst="rect">
          <a:avLst/>
        </a:prstGeom>
        <a:noFill/>
      </xdr:spPr>
    </xdr:pic>
    <xdr:clientData/>
  </xdr:twoCellAnchor>
  <xdr:twoCellAnchor editAs="oneCell">
    <xdr:from>
      <xdr:col>0</xdr:col>
      <xdr:colOff>133351</xdr:colOff>
      <xdr:row>102</xdr:row>
      <xdr:rowOff>66637</xdr:rowOff>
    </xdr:from>
    <xdr:to>
      <xdr:col>4</xdr:col>
      <xdr:colOff>57150</xdr:colOff>
      <xdr:row>107</xdr:row>
      <xdr:rowOff>0</xdr:rowOff>
    </xdr:to>
    <xdr:pic>
      <xdr:nvPicPr>
        <xdr:cNvPr id="178179" name="Picture 3"/>
        <xdr:cNvPicPr>
          <a:picLocks noChangeAspect="1" noChangeArrowheads="1"/>
        </xdr:cNvPicPr>
      </xdr:nvPicPr>
      <xdr:blipFill>
        <a:blip xmlns:r="http://schemas.openxmlformats.org/officeDocument/2006/relationships" r:embed="rId26">
          <a:clrChange>
            <a:clrFrom>
              <a:srgbClr val="FFFFFF"/>
            </a:clrFrom>
            <a:clrTo>
              <a:srgbClr val="FFFFFF">
                <a:alpha val="0"/>
              </a:srgbClr>
            </a:clrTo>
          </a:clrChange>
          <a:lum bright="-37000" contrast="59000"/>
        </a:blip>
        <a:srcRect/>
        <a:stretch>
          <a:fillRect/>
        </a:stretch>
      </xdr:blipFill>
      <xdr:spPr bwMode="auto">
        <a:xfrm>
          <a:off x="133351" y="36490237"/>
          <a:ext cx="2381249" cy="1743113"/>
        </a:xfrm>
        <a:prstGeom prst="rect">
          <a:avLst/>
        </a:prstGeom>
        <a:noFill/>
      </xdr:spPr>
    </xdr:pic>
    <xdr:clientData/>
  </xdr:twoCellAnchor>
  <xdr:twoCellAnchor editAs="oneCell">
    <xdr:from>
      <xdr:col>1</xdr:col>
      <xdr:colOff>0</xdr:colOff>
      <xdr:row>423</xdr:row>
      <xdr:rowOff>0</xdr:rowOff>
    </xdr:from>
    <xdr:to>
      <xdr:col>4</xdr:col>
      <xdr:colOff>341168</xdr:colOff>
      <xdr:row>426</xdr:row>
      <xdr:rowOff>295987</xdr:rowOff>
    </xdr:to>
    <xdr:pic>
      <xdr:nvPicPr>
        <xdr:cNvPr id="107" name="Picture 2"/>
        <xdr:cNvPicPr>
          <a:picLocks noChangeAspect="1" noChangeArrowheads="1"/>
        </xdr:cNvPicPr>
      </xdr:nvPicPr>
      <xdr:blipFill>
        <a:blip xmlns:r="http://schemas.openxmlformats.org/officeDocument/2006/relationships" r:embed="rId27">
          <a:clrChange>
            <a:clrFrom>
              <a:srgbClr val="FFFFFF"/>
            </a:clrFrom>
            <a:clrTo>
              <a:srgbClr val="FFFFFF">
                <a:alpha val="0"/>
              </a:srgbClr>
            </a:clrTo>
          </a:clrChange>
          <a:lum bright="-25000" contrast="36000"/>
        </a:blip>
        <a:srcRect/>
        <a:stretch>
          <a:fillRect/>
        </a:stretch>
      </xdr:blipFill>
      <xdr:spPr bwMode="auto">
        <a:xfrm>
          <a:off x="323850" y="150761700"/>
          <a:ext cx="2474768" cy="1381837"/>
        </a:xfrm>
        <a:prstGeom prst="rect">
          <a:avLst/>
        </a:prstGeom>
        <a:noFill/>
      </xdr:spPr>
    </xdr:pic>
    <xdr:clientData/>
  </xdr:twoCellAnchor>
  <xdr:twoCellAnchor editAs="oneCell">
    <xdr:from>
      <xdr:col>14</xdr:col>
      <xdr:colOff>381000</xdr:colOff>
      <xdr:row>24</xdr:row>
      <xdr:rowOff>95250</xdr:rowOff>
    </xdr:from>
    <xdr:to>
      <xdr:col>18</xdr:col>
      <xdr:colOff>37040</xdr:colOff>
      <xdr:row>26</xdr:row>
      <xdr:rowOff>99021</xdr:rowOff>
    </xdr:to>
    <xdr:pic>
      <xdr:nvPicPr>
        <xdr:cNvPr id="104" name="Picture 53"/>
        <xdr:cNvPicPr>
          <a:picLocks noChangeAspect="1" noChangeArrowheads="1"/>
        </xdr:cNvPicPr>
      </xdr:nvPicPr>
      <xdr:blipFill>
        <a:blip xmlns:r="http://schemas.openxmlformats.org/officeDocument/2006/relationships" r:embed="rId28" cstate="print">
          <a:clrChange>
            <a:clrFrom>
              <a:srgbClr val="FFFFFF"/>
            </a:clrFrom>
            <a:clrTo>
              <a:srgbClr val="FFFFFF">
                <a:alpha val="0"/>
              </a:srgbClr>
            </a:clrTo>
          </a:clrChange>
          <a:lum bright="-6000" contrast="14000"/>
        </a:blip>
        <a:srcRect/>
        <a:stretch>
          <a:fillRect/>
        </a:stretch>
      </xdr:blipFill>
      <xdr:spPr bwMode="auto">
        <a:xfrm>
          <a:off x="10556875" y="8810625"/>
          <a:ext cx="1005415" cy="638771"/>
        </a:xfrm>
        <a:prstGeom prst="rect">
          <a:avLst/>
        </a:prstGeom>
        <a:noFill/>
      </xdr:spPr>
    </xdr:pic>
    <xdr:clientData/>
  </xdr:twoCellAnchor>
  <xdr:twoCellAnchor editAs="absolute">
    <xdr:from>
      <xdr:col>10</xdr:col>
      <xdr:colOff>539750</xdr:colOff>
      <xdr:row>24</xdr:row>
      <xdr:rowOff>17878</xdr:rowOff>
    </xdr:from>
    <xdr:to>
      <xdr:col>10</xdr:col>
      <xdr:colOff>1476375</xdr:colOff>
      <xdr:row>26</xdr:row>
      <xdr:rowOff>284955</xdr:rowOff>
    </xdr:to>
    <xdr:pic>
      <xdr:nvPicPr>
        <xdr:cNvPr id="108" name="Picture 11" descr="Escanear0003"/>
        <xdr:cNvPicPr>
          <a:picLocks noChangeAspect="1" noChangeArrowheads="1"/>
        </xdr:cNvPicPr>
      </xdr:nvPicPr>
      <xdr:blipFill>
        <a:blip xmlns:r="http://schemas.openxmlformats.org/officeDocument/2006/relationships" r:embed="rId29" cstate="print">
          <a:clrChange>
            <a:clrFrom>
              <a:srgbClr val="FFFFFF"/>
            </a:clrFrom>
            <a:clrTo>
              <a:srgbClr val="FFFFFF">
                <a:alpha val="0"/>
              </a:srgbClr>
            </a:clrTo>
          </a:clrChange>
          <a:duotone>
            <a:prstClr val="black"/>
            <a:srgbClr val="0000CC">
              <a:tint val="45000"/>
              <a:satMod val="400000"/>
            </a:srgbClr>
          </a:duotone>
          <a:lum bright="-10000"/>
        </a:blip>
        <a:srcRect/>
        <a:stretch>
          <a:fillRect/>
        </a:stretch>
      </xdr:blipFill>
      <xdr:spPr bwMode="auto">
        <a:xfrm>
          <a:off x="6921500" y="8733253"/>
          <a:ext cx="936625" cy="902077"/>
        </a:xfrm>
        <a:prstGeom prst="rect">
          <a:avLst/>
        </a:prstGeom>
        <a:noFill/>
        <a:ln w="9525">
          <a:no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11</xdr:col>
      <xdr:colOff>504825</xdr:colOff>
      <xdr:row>4</xdr:row>
      <xdr:rowOff>104775</xdr:rowOff>
    </xdr:from>
    <xdr:to>
      <xdr:col>11</xdr:col>
      <xdr:colOff>400050</xdr:colOff>
      <xdr:row>4</xdr:row>
      <xdr:rowOff>104775</xdr:rowOff>
    </xdr:to>
    <xdr:sp macro="" textlink="">
      <xdr:nvSpPr>
        <xdr:cNvPr id="65007" name="Line 44"/>
        <xdr:cNvSpPr>
          <a:spLocks noChangeShapeType="1"/>
        </xdr:cNvSpPr>
      </xdr:nvSpPr>
      <xdr:spPr bwMode="auto">
        <a:xfrm>
          <a:off x="4324350" y="447675"/>
          <a:ext cx="0" cy="0"/>
        </a:xfrm>
        <a:prstGeom prst="line">
          <a:avLst/>
        </a:prstGeom>
        <a:noFill/>
        <a:ln w="19050">
          <a:solidFill>
            <a:srgbClr val="000000"/>
          </a:solidFill>
          <a:round/>
          <a:headEnd/>
          <a:tailEnd/>
        </a:ln>
      </xdr:spPr>
    </xdr:sp>
    <xdr:clientData/>
  </xdr:twoCellAnchor>
  <xdr:twoCellAnchor editAs="oneCell">
    <xdr:from>
      <xdr:col>0</xdr:col>
      <xdr:colOff>28575</xdr:colOff>
      <xdr:row>2</xdr:row>
      <xdr:rowOff>19050</xdr:rowOff>
    </xdr:from>
    <xdr:to>
      <xdr:col>4</xdr:col>
      <xdr:colOff>408454</xdr:colOff>
      <xdr:row>5</xdr:row>
      <xdr:rowOff>9525</xdr:rowOff>
    </xdr:to>
    <xdr:pic>
      <xdr:nvPicPr>
        <xdr:cNvPr id="65008" name="5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28575" y="19050"/>
          <a:ext cx="1181660" cy="494740"/>
        </a:xfrm>
        <a:prstGeom prst="rect">
          <a:avLst/>
        </a:prstGeom>
        <a:noFill/>
        <a:ln w="9525">
          <a:noFill/>
          <a:miter lim="800000"/>
          <a:headEnd/>
          <a:tailEnd/>
        </a:ln>
      </xdr:spPr>
    </xdr:pic>
    <xdr:clientData/>
  </xdr:twoCellAnchor>
  <xdr:twoCellAnchor editAs="oneCell">
    <xdr:from>
      <xdr:col>5</xdr:col>
      <xdr:colOff>51550</xdr:colOff>
      <xdr:row>2</xdr:row>
      <xdr:rowOff>19050</xdr:rowOff>
    </xdr:from>
    <xdr:to>
      <xdr:col>7</xdr:col>
      <xdr:colOff>392207</xdr:colOff>
      <xdr:row>5</xdr:row>
      <xdr:rowOff>9525</xdr:rowOff>
    </xdr:to>
    <xdr:pic>
      <xdr:nvPicPr>
        <xdr:cNvPr id="65010" name="7 Imagen" descr="logoresultados.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4242" r="5455"/>
        <a:stretch>
          <a:fillRect/>
        </a:stretch>
      </xdr:blipFill>
      <xdr:spPr bwMode="auto">
        <a:xfrm>
          <a:off x="1351432" y="19050"/>
          <a:ext cx="1147480" cy="494740"/>
        </a:xfrm>
        <a:prstGeom prst="rect">
          <a:avLst/>
        </a:prstGeom>
        <a:noFill/>
        <a:ln w="9525">
          <a:noFill/>
          <a:miter lim="800000"/>
          <a:headEnd/>
          <a:tailEnd/>
        </a:ln>
      </xdr:spPr>
    </xdr:pic>
    <xdr:clientData/>
  </xdr:twoCellAnchor>
</xdr:wsDr>
</file>

<file path=xl/drawings/drawing30.xml><?xml version="1.0" encoding="utf-8"?>
<xdr:wsDr xmlns:xdr="http://schemas.openxmlformats.org/drawingml/2006/spreadsheetDrawing" xmlns:a="http://schemas.openxmlformats.org/drawingml/2006/main">
  <xdr:twoCellAnchor editAs="absolute">
    <xdr:from>
      <xdr:col>1</xdr:col>
      <xdr:colOff>67501</xdr:colOff>
      <xdr:row>3</xdr:row>
      <xdr:rowOff>103808</xdr:rowOff>
    </xdr:from>
    <xdr:to>
      <xdr:col>3</xdr:col>
      <xdr:colOff>495300</xdr:colOff>
      <xdr:row>7</xdr:row>
      <xdr:rowOff>60463</xdr:rowOff>
    </xdr:to>
    <xdr:pic>
      <xdr:nvPicPr>
        <xdr:cNvPr id="9112" name="Picture 20" descr="Becas de Apoyo"/>
        <xdr:cNvPicPr preferRelativeResize="0">
          <a:picLocks noChangeArrowheads="1"/>
        </xdr:cNvPicPr>
      </xdr:nvPicPr>
      <xdr:blipFill>
        <a:blip xmlns:r="http://schemas.openxmlformats.org/officeDocument/2006/relationships" r:embed="rId1" r:link="rId2" cstate="print"/>
        <a:srcRect/>
        <a:stretch>
          <a:fillRect/>
        </a:stretch>
      </xdr:blipFill>
      <xdr:spPr bwMode="auto">
        <a:xfrm>
          <a:off x="96076" y="637208"/>
          <a:ext cx="1037399" cy="623405"/>
        </a:xfrm>
        <a:prstGeom prst="rect">
          <a:avLst/>
        </a:prstGeom>
        <a:noFill/>
        <a:ln w="9525">
          <a:noFill/>
          <a:miter lim="800000"/>
          <a:headEnd/>
          <a:tailEnd/>
        </a:ln>
      </xdr:spPr>
    </xdr:pic>
    <xdr:clientData fPrintsWithSheet="0"/>
  </xdr:twoCellAnchor>
  <xdr:twoCellAnchor>
    <xdr:from>
      <xdr:col>18</xdr:col>
      <xdr:colOff>76199</xdr:colOff>
      <xdr:row>0</xdr:row>
      <xdr:rowOff>47627</xdr:rowOff>
    </xdr:from>
    <xdr:to>
      <xdr:col>21</xdr:col>
      <xdr:colOff>180974</xdr:colOff>
      <xdr:row>3</xdr:row>
      <xdr:rowOff>76200</xdr:rowOff>
    </xdr:to>
    <xdr:pic>
      <xdr:nvPicPr>
        <xdr:cNvPr id="4" name="3 Imagen" descr="logoresultados.jpg"/>
        <xdr:cNvPicPr>
          <a:picLocks noChangeAspect="1" noChangeArrowheads="1"/>
        </xdr:cNvPicPr>
      </xdr:nvPicPr>
      <xdr:blipFill rotWithShape="1">
        <a:blip xmlns:r="http://schemas.openxmlformats.org/officeDocument/2006/relationships" r:embed="rId3" cstate="print">
          <a:clrChange>
            <a:clrFrom>
              <a:srgbClr val="FFFFFE"/>
            </a:clrFrom>
            <a:clrTo>
              <a:srgbClr val="FFFFFE">
                <a:alpha val="0"/>
              </a:srgbClr>
            </a:clrTo>
          </a:clrChange>
          <a:extLst>
            <a:ext uri="{28A0092B-C50C-407E-A947-70E740481C1C}">
              <a14:useLocalDpi xmlns:a14="http://schemas.microsoft.com/office/drawing/2010/main" val="0"/>
            </a:ext>
          </a:extLst>
        </a:blip>
        <a:srcRect r="4478"/>
        <a:stretch/>
      </xdr:blipFill>
      <xdr:spPr bwMode="auto">
        <a:xfrm>
          <a:off x="8829674" y="47627"/>
          <a:ext cx="1190625" cy="56197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18</xdr:col>
      <xdr:colOff>55561</xdr:colOff>
      <xdr:row>3</xdr:row>
      <xdr:rowOff>84139</xdr:rowOff>
    </xdr:from>
    <xdr:to>
      <xdr:col>21</xdr:col>
      <xdr:colOff>84136</xdr:colOff>
      <xdr:row>7</xdr:row>
      <xdr:rowOff>7939</xdr:rowOff>
    </xdr:to>
    <xdr:pic>
      <xdr:nvPicPr>
        <xdr:cNvPr id="5" name="2 Imagen" descr="Gobierno horizontal.jpg"/>
        <xdr:cNvPicPr>
          <a:picLocks noChangeAspect="1" noChangeArrowheads="1"/>
        </xdr:cNvPicPr>
      </xdr:nvPicPr>
      <xdr:blipFill>
        <a:blip xmlns:r="http://schemas.openxmlformats.org/officeDocument/2006/relationships" r:embed="rId4" cstate="print">
          <a:clrChange>
            <a:clrFrom>
              <a:srgbClr val="FFFFFE"/>
            </a:clrFrom>
            <a:clrTo>
              <a:srgbClr val="FFFFFE">
                <a:alpha val="0"/>
              </a:srgbClr>
            </a:clrTo>
          </a:clrChange>
          <a:extLst>
            <a:ext uri="{28A0092B-C50C-407E-A947-70E740481C1C}">
              <a14:useLocalDpi xmlns:a14="http://schemas.microsoft.com/office/drawing/2010/main" val="0"/>
            </a:ext>
          </a:extLst>
        </a:blip>
        <a:srcRect/>
        <a:stretch>
          <a:fillRect/>
        </a:stretch>
      </xdr:blipFill>
      <xdr:spPr bwMode="auto">
        <a:xfrm>
          <a:off x="8809036" y="617539"/>
          <a:ext cx="1114425" cy="590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47626</xdr:colOff>
      <xdr:row>0</xdr:row>
      <xdr:rowOff>57151</xdr:rowOff>
    </xdr:from>
    <xdr:to>
      <xdr:col>3</xdr:col>
      <xdr:colOff>552450</xdr:colOff>
      <xdr:row>3</xdr:row>
      <xdr:rowOff>19050</xdr:rowOff>
    </xdr:to>
    <xdr:pic>
      <xdr:nvPicPr>
        <xdr:cNvPr id="6" name="5 Imagen"/>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76201" y="57151"/>
          <a:ext cx="1114424"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14</xdr:col>
      <xdr:colOff>342900</xdr:colOff>
      <xdr:row>0</xdr:row>
      <xdr:rowOff>66675</xdr:rowOff>
    </xdr:from>
    <xdr:to>
      <xdr:col>16</xdr:col>
      <xdr:colOff>419100</xdr:colOff>
      <xdr:row>3</xdr:row>
      <xdr:rowOff>28575</xdr:rowOff>
    </xdr:to>
    <xdr:pic>
      <xdr:nvPicPr>
        <xdr:cNvPr id="7" name="6 Imagen"/>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7753350" y="66675"/>
          <a:ext cx="942975"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19</xdr:col>
      <xdr:colOff>133350</xdr:colOff>
      <xdr:row>1</xdr:row>
      <xdr:rowOff>133351</xdr:rowOff>
    </xdr:from>
    <xdr:to>
      <xdr:col>21</xdr:col>
      <xdr:colOff>47626</xdr:colOff>
      <xdr:row>2</xdr:row>
      <xdr:rowOff>176165</xdr:rowOff>
    </xdr:to>
    <xdr:pic>
      <xdr:nvPicPr>
        <xdr:cNvPr id="3" name="2 Imagen" descr="logoresultados.jpg"/>
        <xdr:cNvPicPr>
          <a:picLocks noChangeAspect="1" noChangeArrowheads="1"/>
        </xdr:cNvPicPr>
      </xdr:nvPicPr>
      <xdr:blipFill rotWithShape="1">
        <a:blip xmlns:r="http://schemas.openxmlformats.org/officeDocument/2006/relationships" r:embed="rId1" cstate="print">
          <a:clrChange>
            <a:clrFrom>
              <a:srgbClr val="FFFFFE"/>
            </a:clrFrom>
            <a:clrTo>
              <a:srgbClr val="FFFFFE">
                <a:alpha val="0"/>
              </a:srgbClr>
            </a:clrTo>
          </a:clrChange>
          <a:extLst>
            <a:ext uri="{28A0092B-C50C-407E-A947-70E740481C1C}">
              <a14:useLocalDpi xmlns:a14="http://schemas.microsoft.com/office/drawing/2010/main" val="0"/>
            </a:ext>
          </a:extLst>
        </a:blip>
        <a:srcRect r="4478"/>
        <a:stretch/>
      </xdr:blipFill>
      <xdr:spPr bwMode="auto">
        <a:xfrm>
          <a:off x="6362700" y="171451"/>
          <a:ext cx="485776" cy="2904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131760</xdr:colOff>
      <xdr:row>1</xdr:row>
      <xdr:rowOff>122240</xdr:rowOff>
    </xdr:from>
    <xdr:to>
      <xdr:col>3</xdr:col>
      <xdr:colOff>152996</xdr:colOff>
      <xdr:row>2</xdr:row>
      <xdr:rowOff>219075</xdr:rowOff>
    </xdr:to>
    <xdr:pic>
      <xdr:nvPicPr>
        <xdr:cNvPr id="4" name="2 Imagen" descr="Gobierno horizontal.jpg"/>
        <xdr:cNvPicPr>
          <a:picLocks noChangeAspect="1" noChangeArrowheads="1"/>
        </xdr:cNvPicPr>
      </xdr:nvPicPr>
      <xdr:blipFill rotWithShape="1">
        <a:blip xmlns:r="http://schemas.openxmlformats.org/officeDocument/2006/relationships" r:embed="rId2" cstate="print">
          <a:clrChange>
            <a:clrFrom>
              <a:srgbClr val="FFFFFE"/>
            </a:clrFrom>
            <a:clrTo>
              <a:srgbClr val="FFFFFE">
                <a:alpha val="0"/>
              </a:srgbClr>
            </a:clrTo>
          </a:clrChange>
          <a:extLst>
            <a:ext uri="{28A0092B-C50C-407E-A947-70E740481C1C}">
              <a14:useLocalDpi xmlns:a14="http://schemas.microsoft.com/office/drawing/2010/main" val="0"/>
            </a:ext>
          </a:extLst>
        </a:blip>
        <a:srcRect b="7916"/>
        <a:stretch/>
      </xdr:blipFill>
      <xdr:spPr bwMode="auto">
        <a:xfrm>
          <a:off x="160335" y="160340"/>
          <a:ext cx="687986" cy="3444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xdr:row>
      <xdr:rowOff>76200</xdr:rowOff>
    </xdr:from>
    <xdr:to>
      <xdr:col>4</xdr:col>
      <xdr:colOff>85725</xdr:colOff>
      <xdr:row>3</xdr:row>
      <xdr:rowOff>76199</xdr:rowOff>
    </xdr:to>
    <xdr:pic>
      <xdr:nvPicPr>
        <xdr:cNvPr id="7" name="6 Imagen"/>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6675" y="114300"/>
          <a:ext cx="1047750" cy="49529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247650</xdr:colOff>
      <xdr:row>1</xdr:row>
      <xdr:rowOff>66674</xdr:rowOff>
    </xdr:from>
    <xdr:to>
      <xdr:col>21</xdr:col>
      <xdr:colOff>228600</xdr:colOff>
      <xdr:row>3</xdr:row>
      <xdr:rowOff>66674</xdr:rowOff>
    </xdr:to>
    <xdr:pic>
      <xdr:nvPicPr>
        <xdr:cNvPr id="8" name="7 Imagen"/>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134100" y="104774"/>
          <a:ext cx="895350" cy="4953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31</xdr:col>
      <xdr:colOff>293886</xdr:colOff>
      <xdr:row>1</xdr:row>
      <xdr:rowOff>146456</xdr:rowOff>
    </xdr:from>
    <xdr:to>
      <xdr:col>42</xdr:col>
      <xdr:colOff>4069</xdr:colOff>
      <xdr:row>2</xdr:row>
      <xdr:rowOff>318992</xdr:rowOff>
    </xdr:to>
    <xdr:sp macro="" textlink="">
      <xdr:nvSpPr>
        <xdr:cNvPr id="2" name="1 Rectángulo redondeado"/>
        <xdr:cNvSpPr/>
      </xdr:nvSpPr>
      <xdr:spPr>
        <a:xfrm>
          <a:off x="12107209" y="576243"/>
          <a:ext cx="3160092" cy="602322"/>
        </a:xfrm>
        <a:prstGeom prst="roundRect">
          <a:avLst>
            <a:gd name="adj" fmla="val 17949"/>
          </a:avLst>
        </a:prstGeom>
        <a:solidFill>
          <a:schemeClr val="bg2">
            <a:lumMod val="25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chemeClr val="bg1"/>
              </a:solidFill>
            </a:rPr>
            <a:t>Sesion del Consejo Escolar</a:t>
          </a:r>
        </a:p>
      </xdr:txBody>
    </xdr:sp>
    <xdr:clientData/>
  </xdr:twoCellAnchor>
  <xdr:twoCellAnchor>
    <xdr:from>
      <xdr:col>16</xdr:col>
      <xdr:colOff>165598</xdr:colOff>
      <xdr:row>1</xdr:row>
      <xdr:rowOff>146296</xdr:rowOff>
    </xdr:from>
    <xdr:to>
      <xdr:col>27</xdr:col>
      <xdr:colOff>14817</xdr:colOff>
      <xdr:row>2</xdr:row>
      <xdr:rowOff>318993</xdr:rowOff>
    </xdr:to>
    <xdr:sp macro="" textlink="">
      <xdr:nvSpPr>
        <xdr:cNvPr id="3" name="2 Rectángulo redondeado"/>
        <xdr:cNvSpPr/>
      </xdr:nvSpPr>
      <xdr:spPr>
        <a:xfrm>
          <a:off x="7274500" y="576083"/>
          <a:ext cx="3299128" cy="602483"/>
        </a:xfrm>
        <a:prstGeom prst="roundRect">
          <a:avLst>
            <a:gd name="adj" fmla="val 17949"/>
          </a:avLst>
        </a:prstGeom>
        <a:solidFill>
          <a:schemeClr val="accent3">
            <a:lumMod val="60000"/>
            <a:lumOff val="4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ysClr val="windowText" lastClr="000000"/>
              </a:solidFill>
            </a:rPr>
            <a:t>Sesion de la Asamblea de                   la Comunidad Educativa</a:t>
          </a:r>
        </a:p>
      </xdr:txBody>
    </xdr:sp>
    <xdr:clientData/>
  </xdr:twoCellAnchor>
  <xdr:twoCellAnchor>
    <xdr:from>
      <xdr:col>2</xdr:col>
      <xdr:colOff>1081</xdr:colOff>
      <xdr:row>1</xdr:row>
      <xdr:rowOff>150231</xdr:rowOff>
    </xdr:from>
    <xdr:to>
      <xdr:col>12</xdr:col>
      <xdr:colOff>154781</xdr:colOff>
      <xdr:row>2</xdr:row>
      <xdr:rowOff>323387</xdr:rowOff>
    </xdr:to>
    <xdr:sp macro="" textlink="">
      <xdr:nvSpPr>
        <xdr:cNvPr id="4" name="3 Rectángulo redondeado"/>
        <xdr:cNvSpPr/>
      </xdr:nvSpPr>
      <xdr:spPr>
        <a:xfrm>
          <a:off x="2719191" y="580018"/>
          <a:ext cx="3289980" cy="602942"/>
        </a:xfrm>
        <a:prstGeom prst="roundRect">
          <a:avLst>
            <a:gd name="adj" fmla="val 17949"/>
          </a:avLst>
        </a:prstGeom>
        <a:solidFill>
          <a:schemeClr val="accent6">
            <a:lumMod val="40000"/>
            <a:lumOff val="6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ysClr val="windowText" lastClr="000000"/>
              </a:solidFill>
            </a:rPr>
            <a:t>Convocatoria para construir                 el Consejo Escolar</a:t>
          </a:r>
        </a:p>
      </xdr:txBody>
    </xdr:sp>
    <xdr:clientData/>
  </xdr:twoCellAnchor>
  <xdr:twoCellAnchor>
    <xdr:from>
      <xdr:col>1</xdr:col>
      <xdr:colOff>0</xdr:colOff>
      <xdr:row>0</xdr:row>
      <xdr:rowOff>55759</xdr:rowOff>
    </xdr:from>
    <xdr:to>
      <xdr:col>41</xdr:col>
      <xdr:colOff>286752</xdr:colOff>
      <xdr:row>1</xdr:row>
      <xdr:rowOff>34847</xdr:rowOff>
    </xdr:to>
    <xdr:sp macro="" textlink="">
      <xdr:nvSpPr>
        <xdr:cNvPr id="5" name="4 Rectángulo redondeado"/>
        <xdr:cNvSpPr/>
      </xdr:nvSpPr>
      <xdr:spPr>
        <a:xfrm>
          <a:off x="46463" y="55759"/>
          <a:ext cx="15189893" cy="408875"/>
        </a:xfrm>
        <a:prstGeom prst="roundRect">
          <a:avLst>
            <a:gd name="adj" fmla="val 17949"/>
          </a:avLst>
        </a:prstGeom>
        <a:solidFill>
          <a:schemeClr val="bg2">
            <a:lumMod val="9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2000" b="1">
              <a:solidFill>
                <a:sysClr val="windowText" lastClr="000000"/>
              </a:solidFill>
            </a:rPr>
            <a:t>CONTROL  DE CONSEJOS ESCOLARES</a:t>
          </a:r>
          <a:r>
            <a:rPr lang="es-ES" sz="2000" b="1" baseline="0">
              <a:solidFill>
                <a:sysClr val="windowText" lastClr="000000"/>
              </a:solidFill>
            </a:rPr>
            <a:t> DE LA ZONA 042      2011 / 2012</a:t>
          </a:r>
        </a:p>
      </xdr:txBody>
    </xdr:sp>
    <xdr:clientData/>
  </xdr:twoCellAnchor>
</xdr:wsDr>
</file>

<file path=xl/drawings/drawing33.xml><?xml version="1.0" encoding="utf-8"?>
<xdr:wsDr xmlns:xdr="http://schemas.openxmlformats.org/drawingml/2006/spreadsheetDrawing" xmlns:a="http://schemas.openxmlformats.org/drawingml/2006/main">
  <xdr:twoCellAnchor editAs="absolute">
    <xdr:from>
      <xdr:col>13</xdr:col>
      <xdr:colOff>66676</xdr:colOff>
      <xdr:row>1</xdr:row>
      <xdr:rowOff>66675</xdr:rowOff>
    </xdr:from>
    <xdr:to>
      <xdr:col>15</xdr:col>
      <xdr:colOff>47626</xdr:colOff>
      <xdr:row>3</xdr:row>
      <xdr:rowOff>219075</xdr:rowOff>
    </xdr:to>
    <xdr:pic>
      <xdr:nvPicPr>
        <xdr:cNvPr id="66469" name="Picture 20" descr="Becas de Apoyo"/>
        <xdr:cNvPicPr preferRelativeResize="0">
          <a:picLocks noChangeArrowheads="1"/>
        </xdr:cNvPicPr>
      </xdr:nvPicPr>
      <xdr:blipFill>
        <a:blip xmlns:r="http://schemas.openxmlformats.org/officeDocument/2006/relationships" r:embed="rId1" r:link="rId2" cstate="print"/>
        <a:srcRect/>
        <a:stretch>
          <a:fillRect/>
        </a:stretch>
      </xdr:blipFill>
      <xdr:spPr bwMode="auto">
        <a:xfrm>
          <a:off x="4371976" y="123825"/>
          <a:ext cx="723900" cy="476250"/>
        </a:xfrm>
        <a:prstGeom prst="rect">
          <a:avLst/>
        </a:prstGeom>
        <a:noFill/>
        <a:ln w="9525">
          <a:noFill/>
          <a:miter lim="800000"/>
          <a:headEnd/>
          <a:tailEnd/>
        </a:ln>
      </xdr:spPr>
    </xdr:pic>
    <xdr:clientData/>
  </xdr:twoCellAnchor>
  <xdr:twoCellAnchor editAs="absolute">
    <xdr:from>
      <xdr:col>10</xdr:col>
      <xdr:colOff>352425</xdr:colOff>
      <xdr:row>16</xdr:row>
      <xdr:rowOff>83730</xdr:rowOff>
    </xdr:from>
    <xdr:to>
      <xdr:col>15</xdr:col>
      <xdr:colOff>88446</xdr:colOff>
      <xdr:row>20</xdr:row>
      <xdr:rowOff>47625</xdr:rowOff>
    </xdr:to>
    <xdr:sp macro="" textlink="">
      <xdr:nvSpPr>
        <xdr:cNvPr id="3" name="2 Rectángulo"/>
        <xdr:cNvSpPr/>
      </xdr:nvSpPr>
      <xdr:spPr>
        <a:xfrm>
          <a:off x="3563711" y="2757534"/>
          <a:ext cx="1607003" cy="957216"/>
        </a:xfrm>
        <a:prstGeom prst="rect">
          <a:avLst/>
        </a:prstGeom>
        <a:noFill/>
      </xdr:spPr>
      <xdr:txBody>
        <a:bodyPr wrap="square" lIns="91440" tIns="45720" rIns="91440" bIns="45720">
          <a:noAutofit/>
        </a:bodyPr>
        <a:lstStyle/>
        <a:p>
          <a:pPr algn="ctr"/>
          <a:endParaRPr lang="es-ES" sz="1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endParaRPr lang="es-ES" sz="200" b="1" cap="none" spc="0">
            <a:ln w="1905"/>
            <a:solidFill>
              <a:schemeClr val="bg1"/>
            </a:solidFill>
            <a:effectLst>
              <a:innerShdw blurRad="69850" dist="43180" dir="5400000">
                <a:srgbClr val="000000">
                  <a:alpha val="65000"/>
                </a:srgbClr>
              </a:innerShdw>
            </a:effectLst>
            <a:cs typeface="MV Boli" pitchFamily="2"/>
          </a:endParaRPr>
        </a:p>
        <a:p>
          <a:pPr algn="ctr"/>
          <a:r>
            <a:rPr lang="es-ES" sz="700" b="1" cap="none" spc="0">
              <a:ln w="1905"/>
              <a:solidFill>
                <a:sysClr val="windowText" lastClr="000000"/>
              </a:solidFill>
              <a:effectLst>
                <a:innerShdw blurRad="69850" dist="43180" dir="5400000">
                  <a:srgbClr val="000000">
                    <a:alpha val="65000"/>
                  </a:srgbClr>
                </a:innerShdw>
              </a:effectLst>
            </a:rPr>
            <a:t>Servicios</a:t>
          </a:r>
          <a:r>
            <a:rPr lang="es-ES" sz="700" b="1" cap="none" spc="0" baseline="0">
              <a:ln w="1905"/>
              <a:solidFill>
                <a:sysClr val="windowText" lastClr="000000"/>
              </a:solidFill>
              <a:effectLst>
                <a:innerShdw blurRad="69850" dist="43180" dir="5400000">
                  <a:srgbClr val="000000">
                    <a:alpha val="65000"/>
                  </a:srgbClr>
                </a:innerShdw>
              </a:effectLst>
            </a:rPr>
            <a:t> Educativos de Quintana Roo</a:t>
          </a:r>
        </a:p>
        <a:p>
          <a:pPr algn="ctr"/>
          <a:r>
            <a:rPr lang="es-ES" sz="700" b="1" cap="none" spc="0">
              <a:ln w="1905"/>
              <a:solidFill>
                <a:sysClr val="windowText" lastClr="000000"/>
              </a:solidFill>
              <a:effectLst>
                <a:innerShdw blurRad="69850" dist="43180" dir="5400000">
                  <a:srgbClr val="000000">
                    <a:alpha val="65000"/>
                  </a:srgbClr>
                </a:innerShdw>
              </a:effectLst>
            </a:rPr>
            <a:t>Supervisión Escolar 042</a:t>
          </a:r>
        </a:p>
        <a:p>
          <a:pPr algn="ctr"/>
          <a:r>
            <a:rPr lang="es-ES" sz="700" b="1" cap="none" spc="0">
              <a:ln w="1905"/>
              <a:solidFill>
                <a:sysClr val="windowText" lastClr="000000"/>
              </a:solidFill>
              <a:effectLst>
                <a:innerShdw blurRad="69850" dist="43180" dir="5400000">
                  <a:srgbClr val="000000">
                    <a:alpha val="65000"/>
                  </a:srgbClr>
                </a:innerShdw>
              </a:effectLst>
            </a:rPr>
            <a:t>Educación  Primaria</a:t>
          </a:r>
        </a:p>
        <a:p>
          <a:pPr algn="ctr"/>
          <a:r>
            <a:rPr lang="es-ES" sz="700" b="1" cap="none" spc="0">
              <a:ln w="1905"/>
              <a:solidFill>
                <a:sysClr val="windowText" lastClr="000000"/>
              </a:solidFill>
              <a:effectLst>
                <a:innerShdw blurRad="69850" dist="43180" dir="5400000">
                  <a:srgbClr val="000000">
                    <a:alpha val="65000"/>
                  </a:srgbClr>
                </a:innerShdw>
              </a:effectLst>
            </a:rPr>
            <a:t>C.</a:t>
          </a:r>
          <a:r>
            <a:rPr lang="es-ES" sz="700" b="1" cap="none" spc="0" baseline="0">
              <a:ln w="1905"/>
              <a:solidFill>
                <a:sysClr val="windowText" lastClr="000000"/>
              </a:solidFill>
              <a:effectLst>
                <a:innerShdw blurRad="69850" dist="43180" dir="5400000">
                  <a:srgbClr val="000000">
                    <a:alpha val="65000"/>
                  </a:srgbClr>
                </a:innerShdw>
              </a:effectLst>
            </a:rPr>
            <a:t> C. T.  23FIZ0042  D</a:t>
          </a:r>
        </a:p>
        <a:p>
          <a:pPr algn="ctr"/>
          <a:r>
            <a:rPr lang="es-ES" sz="700" b="1" cap="none" spc="0" baseline="0">
              <a:ln w="1905"/>
              <a:solidFill>
                <a:sysClr val="windowText" lastClr="000000"/>
              </a:solidFill>
              <a:effectLst>
                <a:innerShdw blurRad="69850" dist="43180" dir="5400000">
                  <a:srgbClr val="000000">
                    <a:alpha val="65000"/>
                  </a:srgbClr>
                </a:innerShdw>
              </a:effectLst>
            </a:rPr>
            <a:t>Cancún  Quintana  Roo  Mex.</a:t>
          </a:r>
          <a:endParaRPr lang="es-ES" sz="700" b="1" cap="none" spc="0">
            <a:ln w="1905"/>
            <a:solidFill>
              <a:sysClr val="windowText" lastClr="000000"/>
            </a:solidFill>
            <a:effectLst>
              <a:innerShdw blurRad="69850" dist="43180" dir="5400000">
                <a:srgbClr val="000000">
                  <a:alpha val="65000"/>
                </a:srgbClr>
              </a:innerShdw>
            </a:effectLst>
          </a:endParaRPr>
        </a:p>
      </xdr:txBody>
    </xdr:sp>
    <xdr:clientData/>
  </xdr:twoCellAnchor>
  <xdr:twoCellAnchor editAs="absolute">
    <xdr:from>
      <xdr:col>11</xdr:col>
      <xdr:colOff>251733</xdr:colOff>
      <xdr:row>16</xdr:row>
      <xdr:rowOff>68035</xdr:rowOff>
    </xdr:from>
    <xdr:to>
      <xdr:col>14</xdr:col>
      <xdr:colOff>185058</xdr:colOff>
      <xdr:row>17</xdr:row>
      <xdr:rowOff>276225</xdr:rowOff>
    </xdr:to>
    <xdr:pic>
      <xdr:nvPicPr>
        <xdr:cNvPr id="66471" name="Picture 11" descr="Escanear0003"/>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lum bright="-36000" contrast="20000"/>
        </a:blip>
        <a:srcRect l="21584" t="21774" r="23230" b="60568"/>
        <a:stretch>
          <a:fillRect/>
        </a:stretch>
      </xdr:blipFill>
      <xdr:spPr bwMode="auto">
        <a:xfrm>
          <a:off x="3837215" y="2741839"/>
          <a:ext cx="1055914" cy="344261"/>
        </a:xfrm>
        <a:prstGeom prst="rect">
          <a:avLst/>
        </a:prstGeom>
        <a:noFill/>
        <a:ln w="9525">
          <a:noFill/>
          <a:miter lim="800000"/>
          <a:headEnd/>
          <a:tailEnd/>
        </a:ln>
      </xdr:spPr>
    </xdr:pic>
    <xdr:clientData fPrintsWithSheet="0"/>
  </xdr:twoCellAnchor>
  <xdr:twoCellAnchor editAs="absolute">
    <xdr:from>
      <xdr:col>10</xdr:col>
      <xdr:colOff>323850</xdr:colOff>
      <xdr:row>3</xdr:row>
      <xdr:rowOff>0</xdr:rowOff>
    </xdr:from>
    <xdr:to>
      <xdr:col>11</xdr:col>
      <xdr:colOff>333375</xdr:colOff>
      <xdr:row>4</xdr:row>
      <xdr:rowOff>0</xdr:rowOff>
    </xdr:to>
    <xdr:pic>
      <xdr:nvPicPr>
        <xdr:cNvPr id="66472" name="Picture 39"/>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blip>
        <a:srcRect/>
        <a:stretch>
          <a:fillRect/>
        </a:stretch>
      </xdr:blipFill>
      <xdr:spPr bwMode="auto">
        <a:xfrm>
          <a:off x="3514725" y="381000"/>
          <a:ext cx="381000" cy="228600"/>
        </a:xfrm>
        <a:prstGeom prst="rect">
          <a:avLst/>
        </a:prstGeom>
        <a:noFill/>
        <a:ln w="9525">
          <a:noFill/>
          <a:miter lim="800000"/>
          <a:headEnd/>
          <a:tailEnd/>
        </a:ln>
      </xdr:spPr>
    </xdr:pic>
    <xdr:clientData/>
  </xdr:twoCellAnchor>
  <xdr:twoCellAnchor editAs="oneCell">
    <xdr:from>
      <xdr:col>1</xdr:col>
      <xdr:colOff>57150</xdr:colOff>
      <xdr:row>1</xdr:row>
      <xdr:rowOff>38100</xdr:rowOff>
    </xdr:from>
    <xdr:to>
      <xdr:col>5</xdr:col>
      <xdr:colOff>171450</xdr:colOff>
      <xdr:row>4</xdr:row>
      <xdr:rowOff>38100</xdr:rowOff>
    </xdr:to>
    <xdr:pic>
      <xdr:nvPicPr>
        <xdr:cNvPr id="66473" name="6 Imagen" descr="Gobierno horizontal.jpg"/>
        <xdr:cNvPicPr>
          <a:picLocks noChangeAspect="1" noChangeArrowheads="1"/>
        </xdr:cNvPicPr>
      </xdr:nvPicPr>
      <xdr:blipFill>
        <a:blip xmlns:r="http://schemas.openxmlformats.org/officeDocument/2006/relationships" r:embed="rId5" cstate="print">
          <a:clrChange>
            <a:clrFrom>
              <a:srgbClr val="FDFDFD"/>
            </a:clrFrom>
            <a:clrTo>
              <a:srgbClr val="FDFDFD">
                <a:alpha val="0"/>
              </a:srgbClr>
            </a:clrTo>
          </a:clrChange>
        </a:blip>
        <a:srcRect l="2698" r="3052" b="10001"/>
        <a:stretch>
          <a:fillRect/>
        </a:stretch>
      </xdr:blipFill>
      <xdr:spPr bwMode="auto">
        <a:xfrm>
          <a:off x="104775" y="95250"/>
          <a:ext cx="1400175" cy="552450"/>
        </a:xfrm>
        <a:prstGeom prst="rect">
          <a:avLst/>
        </a:prstGeom>
        <a:noFill/>
        <a:ln w="9525">
          <a:noFill/>
          <a:miter lim="800000"/>
          <a:headEnd/>
          <a:tailEnd/>
        </a:ln>
      </xdr:spPr>
    </xdr:pic>
    <xdr:clientData/>
  </xdr:twoCellAnchor>
  <xdr:twoCellAnchor editAs="oneCell">
    <xdr:from>
      <xdr:col>6</xdr:col>
      <xdr:colOff>123825</xdr:colOff>
      <xdr:row>1</xdr:row>
      <xdr:rowOff>57150</xdr:rowOff>
    </xdr:from>
    <xdr:to>
      <xdr:col>10</xdr:col>
      <xdr:colOff>19050</xdr:colOff>
      <xdr:row>4</xdr:row>
      <xdr:rowOff>28575</xdr:rowOff>
    </xdr:to>
    <xdr:pic>
      <xdr:nvPicPr>
        <xdr:cNvPr id="66474" name="7 Imagen" descr="logoresultados.jpg"/>
        <xdr:cNvPicPr>
          <a:picLocks noChangeAspect="1" noChangeArrowheads="1"/>
        </xdr:cNvPicPr>
      </xdr:nvPicPr>
      <xdr:blipFill>
        <a:blip xmlns:r="http://schemas.openxmlformats.org/officeDocument/2006/relationships" r:embed="rId6" cstate="print">
          <a:clrChange>
            <a:clrFrom>
              <a:srgbClr val="FDFDFD"/>
            </a:clrFrom>
            <a:clrTo>
              <a:srgbClr val="FDFDFD">
                <a:alpha val="0"/>
              </a:srgbClr>
            </a:clrTo>
          </a:clrChange>
        </a:blip>
        <a:srcRect l="4242" r="5455"/>
        <a:stretch>
          <a:fillRect/>
        </a:stretch>
      </xdr:blipFill>
      <xdr:spPr bwMode="auto">
        <a:xfrm>
          <a:off x="1828800" y="114300"/>
          <a:ext cx="1381125" cy="523875"/>
        </a:xfrm>
        <a:prstGeom prst="rect">
          <a:avLst/>
        </a:prstGeom>
        <a:noFill/>
        <a:ln w="9525">
          <a:noFill/>
          <a:miter lim="800000"/>
          <a:headEnd/>
          <a:tailEnd/>
        </a:ln>
      </xdr:spPr>
    </xdr:pic>
    <xdr:clientData/>
  </xdr:twoCellAnchor>
  <xdr:twoCellAnchor>
    <xdr:from>
      <xdr:col>12</xdr:col>
      <xdr:colOff>323849</xdr:colOff>
      <xdr:row>4</xdr:row>
      <xdr:rowOff>47626</xdr:rowOff>
    </xdr:from>
    <xdr:to>
      <xdr:col>14</xdr:col>
      <xdr:colOff>342900</xdr:colOff>
      <xdr:row>8</xdr:row>
      <xdr:rowOff>38100</xdr:rowOff>
    </xdr:to>
    <xdr:grpSp>
      <xdr:nvGrpSpPr>
        <xdr:cNvPr id="66475" name="Group 1668"/>
        <xdr:cNvGrpSpPr>
          <a:grpSpLocks/>
        </xdr:cNvGrpSpPr>
      </xdr:nvGrpSpPr>
      <xdr:grpSpPr bwMode="auto">
        <a:xfrm>
          <a:off x="4235449" y="669926"/>
          <a:ext cx="755651" cy="777874"/>
          <a:chOff x="1356" y="947"/>
          <a:chExt cx="10139" cy="12108"/>
        </a:xfrm>
      </xdr:grpSpPr>
      <xdr:pic>
        <xdr:nvPicPr>
          <xdr:cNvPr id="66476" name="Imagen 6"/>
          <xdr:cNvPicPr>
            <a:picLocks noChangeAspect="1" noChangeArrowheads="1"/>
          </xdr:cNvPicPr>
        </xdr:nvPicPr>
        <xdr:blipFill>
          <a:blip xmlns:r="http://schemas.openxmlformats.org/officeDocument/2006/relationships" r:embed="rId7" cstate="print">
            <a:clrChange>
              <a:clrFrom>
                <a:srgbClr val="00FF80"/>
              </a:clrFrom>
              <a:clrTo>
                <a:srgbClr val="00FF80">
                  <a:alpha val="0"/>
                </a:srgbClr>
              </a:clrTo>
            </a:clrChange>
          </a:blip>
          <a:srcRect/>
          <a:stretch>
            <a:fillRect/>
          </a:stretch>
        </xdr:blipFill>
        <xdr:spPr bwMode="auto">
          <a:xfrm>
            <a:off x="1356" y="947"/>
            <a:ext cx="10139" cy="12108"/>
          </a:xfrm>
          <a:prstGeom prst="rect">
            <a:avLst/>
          </a:prstGeom>
          <a:noFill/>
          <a:ln w="9525">
            <a:noFill/>
            <a:miter lim="800000"/>
            <a:headEnd/>
            <a:tailEnd/>
          </a:ln>
        </xdr:spPr>
      </xdr:pic>
      <xdr:grpSp>
        <xdr:nvGrpSpPr>
          <xdr:cNvPr id="66477" name="Group 1670"/>
          <xdr:cNvGrpSpPr>
            <a:grpSpLocks/>
          </xdr:cNvGrpSpPr>
        </xdr:nvGrpSpPr>
        <xdr:grpSpPr bwMode="auto">
          <a:xfrm>
            <a:off x="1740" y="2173"/>
            <a:ext cx="9255" cy="9180"/>
            <a:chOff x="1740" y="2173"/>
            <a:chExt cx="9255" cy="9180"/>
          </a:xfrm>
        </xdr:grpSpPr>
        <xdr:pic>
          <xdr:nvPicPr>
            <xdr:cNvPr id="66478" name="Imagen 11"/>
            <xdr:cNvPicPr>
              <a:picLocks noChangeAspect="1" noChangeArrowheads="1"/>
            </xdr:cNvPicPr>
          </xdr:nvPicPr>
          <xdr:blipFill>
            <a:blip xmlns:r="http://schemas.openxmlformats.org/officeDocument/2006/relationships" r:embed="rId8" cstate="print">
              <a:clrChange>
                <a:clrFrom>
                  <a:srgbClr val="00FFFF"/>
                </a:clrFrom>
                <a:clrTo>
                  <a:srgbClr val="00FFFF">
                    <a:alpha val="0"/>
                  </a:srgbClr>
                </a:clrTo>
              </a:clrChange>
            </a:blip>
            <a:srcRect/>
            <a:stretch>
              <a:fillRect/>
            </a:stretch>
          </xdr:blipFill>
          <xdr:spPr bwMode="auto">
            <a:xfrm>
              <a:off x="1740" y="4388"/>
              <a:ext cx="2880" cy="2116"/>
            </a:xfrm>
            <a:prstGeom prst="rect">
              <a:avLst/>
            </a:prstGeom>
            <a:noFill/>
            <a:ln w="9525">
              <a:noFill/>
              <a:miter lim="800000"/>
              <a:headEnd/>
              <a:tailEnd/>
            </a:ln>
          </xdr:spPr>
        </xdr:pic>
        <xdr:pic>
          <xdr:nvPicPr>
            <xdr:cNvPr id="66479" name="Imagen 12"/>
            <xdr:cNvPicPr>
              <a:picLocks noChangeAspect="1" noChangeArrowheads="1"/>
            </xdr:cNvPicPr>
          </xdr:nvPicPr>
          <xdr:blipFill>
            <a:blip xmlns:r="http://schemas.openxmlformats.org/officeDocument/2006/relationships" r:embed="rId9" cstate="print">
              <a:clrChange>
                <a:clrFrom>
                  <a:srgbClr val="00FFFF"/>
                </a:clrFrom>
                <a:clrTo>
                  <a:srgbClr val="00FFFF">
                    <a:alpha val="0"/>
                  </a:srgbClr>
                </a:clrTo>
              </a:clrChange>
            </a:blip>
            <a:srcRect t="6712" b="9375"/>
            <a:stretch>
              <a:fillRect/>
            </a:stretch>
          </xdr:blipFill>
          <xdr:spPr bwMode="auto">
            <a:xfrm>
              <a:off x="8086" y="4646"/>
              <a:ext cx="2909" cy="2057"/>
            </a:xfrm>
            <a:prstGeom prst="rect">
              <a:avLst/>
            </a:prstGeom>
            <a:noFill/>
            <a:ln w="9525">
              <a:noFill/>
              <a:miter lim="800000"/>
              <a:headEnd/>
              <a:tailEnd/>
            </a:ln>
          </xdr:spPr>
        </xdr:pic>
        <xdr:sp macro="" textlink="">
          <xdr:nvSpPr>
            <xdr:cNvPr id="66185" name="WordArt 1673"/>
            <xdr:cNvSpPr>
              <a:spLocks noChangeArrowheads="1" noChangeShapeType="1" noTextEdit="1"/>
            </xdr:cNvSpPr>
          </xdr:nvSpPr>
          <xdr:spPr bwMode="auto">
            <a:xfrm>
              <a:off x="3306" y="2268"/>
              <a:ext cx="6044" cy="1761"/>
            </a:xfrm>
            <a:prstGeom prst="rect">
              <a:avLst/>
            </a:prstGeom>
          </xdr:spPr>
          <xdr:txBody>
            <a:bodyPr wrap="none" fromWordArt="1">
              <a:prstTxWarp prst="textDeflate">
                <a:avLst>
                  <a:gd name="adj" fmla="val 17681"/>
                </a:avLst>
              </a:prstTxWarp>
            </a:bodyPr>
            <a:lstStyle/>
            <a:p>
              <a:pPr algn="ctr" rtl="0"/>
              <a:r>
                <a:rPr lang="es-ES" sz="3600" kern="10" spc="0">
                  <a:ln w="9525">
                    <a:solidFill>
                      <a:srgbClr val="000000"/>
                    </a:solidFill>
                    <a:round/>
                    <a:headEnd/>
                    <a:tailEnd/>
                  </a:ln>
                  <a:solidFill>
                    <a:srgbClr val="548DD4"/>
                  </a:solidFill>
                  <a:effectLst/>
                  <a:latin typeface="Impact"/>
                </a:rPr>
                <a:t>I  N  S  P  E  C  C  I  O  N</a:t>
              </a:r>
            </a:p>
          </xdr:txBody>
        </xdr:sp>
        <xdr:sp macro="" textlink="">
          <xdr:nvSpPr>
            <xdr:cNvPr id="66186" name="WordArt 1674"/>
            <xdr:cNvSpPr>
              <a:spLocks noChangeArrowheads="1" noChangeShapeType="1" noTextEdit="1"/>
            </xdr:cNvSpPr>
          </xdr:nvSpPr>
          <xdr:spPr bwMode="auto">
            <a:xfrm>
              <a:off x="5451" y="4689"/>
              <a:ext cx="1950" cy="2201"/>
            </a:xfrm>
            <a:prstGeom prst="rect">
              <a:avLst/>
            </a:prstGeom>
          </xdr:spPr>
          <xdr:txBody>
            <a:bodyPr wrap="none" fromWordArt="1">
              <a:prstTxWarp prst="textPlain">
                <a:avLst>
                  <a:gd name="adj" fmla="val 50000"/>
                </a:avLst>
              </a:prstTxWarp>
            </a:bodyPr>
            <a:lstStyle/>
            <a:p>
              <a:pPr algn="ctr" rtl="0"/>
              <a:r>
                <a:rPr lang="es-ES" sz="3600" kern="10" spc="0">
                  <a:ln w="9525">
                    <a:solidFill>
                      <a:srgbClr val="938953"/>
                    </a:solidFill>
                    <a:round/>
                    <a:headEnd/>
                    <a:tailEnd/>
                  </a:ln>
                  <a:solidFill>
                    <a:srgbClr val="000000"/>
                  </a:solidFill>
                  <a:effectLst/>
                  <a:latin typeface="Arial Black"/>
                </a:rPr>
                <a:t>0 4 2</a:t>
              </a:r>
            </a:p>
          </xdr:txBody>
        </xdr:sp>
        <xdr:pic>
          <xdr:nvPicPr>
            <xdr:cNvPr id="66482" name="Picture 1675"/>
            <xdr:cNvPicPr>
              <a:picLocks noChangeAspect="1" noChangeArrowheads="1"/>
            </xdr:cNvPicPr>
          </xdr:nvPicPr>
          <xdr:blipFill>
            <a:blip xmlns:r="http://schemas.openxmlformats.org/officeDocument/2006/relationships" r:embed="rId10" cstate="print">
              <a:clrChange>
                <a:clrFrom>
                  <a:srgbClr val="FF0000"/>
                </a:clrFrom>
                <a:clrTo>
                  <a:srgbClr val="FF0000">
                    <a:alpha val="0"/>
                  </a:srgbClr>
                </a:clrTo>
              </a:clrChange>
            </a:blip>
            <a:srcRect/>
            <a:stretch>
              <a:fillRect/>
            </a:stretch>
          </xdr:blipFill>
          <xdr:spPr bwMode="auto">
            <a:xfrm>
              <a:off x="5502" y="8826"/>
              <a:ext cx="1881" cy="2527"/>
            </a:xfrm>
            <a:prstGeom prst="rect">
              <a:avLst/>
            </a:prstGeom>
            <a:noFill/>
            <a:ln w="9525">
              <a:noFill/>
              <a:miter lim="800000"/>
              <a:headEnd/>
              <a:tailEnd/>
            </a:ln>
          </xdr:spPr>
        </xdr:pic>
      </xdr:grpSp>
    </xdr:grpSp>
    <xdr:clientData/>
  </xdr:twoCellAnchor>
  <mc:AlternateContent xmlns:mc="http://schemas.openxmlformats.org/markup-compatibility/2006">
    <mc:Choice xmlns:a14="http://schemas.microsoft.com/office/drawing/2010/main" Requires="a14">
      <xdr:twoCellAnchor>
        <xdr:from>
          <xdr:col>1</xdr:col>
          <xdr:colOff>104775</xdr:colOff>
          <xdr:row>4</xdr:row>
          <xdr:rowOff>66675</xdr:rowOff>
        </xdr:from>
        <xdr:to>
          <xdr:col>3</xdr:col>
          <xdr:colOff>323850</xdr:colOff>
          <xdr:row>8</xdr:row>
          <xdr:rowOff>19050</xdr:rowOff>
        </xdr:to>
        <xdr:sp macro="" textlink="">
          <xdr:nvSpPr>
            <xdr:cNvPr id="66188" name="Object 1676" hidden="1">
              <a:extLst>
                <a:ext uri="{63B3BB69-23CF-44E3-9099-C40C66FF867C}">
                  <a14:compatExt spid="_x0000_s66188"/>
                </a:ext>
              </a:extLst>
            </xdr:cNvPr>
            <xdr:cNvSpPr/>
          </xdr:nvSpPr>
          <xdr:spPr>
            <a:xfrm>
              <a:off x="0" y="0"/>
              <a:ext cx="0" cy="0"/>
            </a:xfrm>
            <a:prstGeom prst="rect">
              <a:avLst/>
            </a:prstGeom>
          </xdr:spPr>
        </xdr:sp>
        <xdr:clientData/>
      </xdr:twoCellAnchor>
    </mc:Choice>
    <mc:Fallback/>
  </mc:AlternateContent>
</xdr:wsDr>
</file>

<file path=xl/drawings/drawing34.xml><?xml version="1.0" encoding="utf-8"?>
<xdr:wsDr xmlns:xdr="http://schemas.openxmlformats.org/drawingml/2006/spreadsheetDrawing" xmlns:a="http://schemas.openxmlformats.org/drawingml/2006/main">
  <xdr:twoCellAnchor>
    <xdr:from>
      <xdr:col>31</xdr:col>
      <xdr:colOff>7939</xdr:colOff>
      <xdr:row>1</xdr:row>
      <xdr:rowOff>121460</xdr:rowOff>
    </xdr:from>
    <xdr:to>
      <xdr:col>41</xdr:col>
      <xdr:colOff>31751</xdr:colOff>
      <xdr:row>2</xdr:row>
      <xdr:rowOff>287583</xdr:rowOff>
    </xdr:to>
    <xdr:sp macro="" textlink="">
      <xdr:nvSpPr>
        <xdr:cNvPr id="2" name="1 Rectángulo redondeado"/>
        <xdr:cNvSpPr/>
      </xdr:nvSpPr>
      <xdr:spPr>
        <a:xfrm>
          <a:off x="8945564" y="613585"/>
          <a:ext cx="2722562" cy="562998"/>
        </a:xfrm>
        <a:prstGeom prst="roundRect">
          <a:avLst>
            <a:gd name="adj" fmla="val 17949"/>
          </a:avLst>
        </a:prstGeom>
        <a:solidFill>
          <a:schemeClr val="bg2">
            <a:lumMod val="25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chemeClr val="bg1"/>
              </a:solidFill>
            </a:rPr>
            <a:t>Sesion del Consejo Escolar</a:t>
          </a:r>
        </a:p>
      </xdr:txBody>
    </xdr:sp>
    <xdr:clientData/>
  </xdr:twoCellAnchor>
  <xdr:twoCellAnchor>
    <xdr:from>
      <xdr:col>17</xdr:col>
      <xdr:colOff>23778</xdr:colOff>
      <xdr:row>1</xdr:row>
      <xdr:rowOff>121298</xdr:rowOff>
    </xdr:from>
    <xdr:to>
      <xdr:col>27</xdr:col>
      <xdr:colOff>190498</xdr:colOff>
      <xdr:row>2</xdr:row>
      <xdr:rowOff>301624</xdr:rowOff>
    </xdr:to>
    <xdr:sp macro="" textlink="">
      <xdr:nvSpPr>
        <xdr:cNvPr id="3" name="2 Rectángulo redondeado"/>
        <xdr:cNvSpPr/>
      </xdr:nvSpPr>
      <xdr:spPr>
        <a:xfrm>
          <a:off x="5183153" y="613423"/>
          <a:ext cx="2865470" cy="577201"/>
        </a:xfrm>
        <a:prstGeom prst="roundRect">
          <a:avLst>
            <a:gd name="adj" fmla="val 17949"/>
          </a:avLst>
        </a:prstGeom>
        <a:solidFill>
          <a:schemeClr val="accent3">
            <a:lumMod val="60000"/>
            <a:lumOff val="4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ysClr val="windowText" lastClr="000000"/>
              </a:solidFill>
            </a:rPr>
            <a:t>Sesion de la Asamblea de la Comunidad Educativa</a:t>
          </a:r>
        </a:p>
      </xdr:txBody>
    </xdr:sp>
    <xdr:clientData/>
  </xdr:twoCellAnchor>
  <xdr:twoCellAnchor>
    <xdr:from>
      <xdr:col>2</xdr:col>
      <xdr:colOff>191581</xdr:colOff>
      <xdr:row>1</xdr:row>
      <xdr:rowOff>120105</xdr:rowOff>
    </xdr:from>
    <xdr:to>
      <xdr:col>13</xdr:col>
      <xdr:colOff>75406</xdr:colOff>
      <xdr:row>2</xdr:row>
      <xdr:rowOff>319179</xdr:rowOff>
    </xdr:to>
    <xdr:sp macro="" textlink="">
      <xdr:nvSpPr>
        <xdr:cNvPr id="4" name="3 Rectángulo redondeado"/>
        <xdr:cNvSpPr/>
      </xdr:nvSpPr>
      <xdr:spPr>
        <a:xfrm>
          <a:off x="1302831" y="612230"/>
          <a:ext cx="2852450" cy="595949"/>
        </a:xfrm>
        <a:prstGeom prst="roundRect">
          <a:avLst>
            <a:gd name="adj" fmla="val 17949"/>
          </a:avLst>
        </a:prstGeom>
        <a:solidFill>
          <a:schemeClr val="accent6">
            <a:lumMod val="40000"/>
            <a:lumOff val="6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1600" b="1">
              <a:solidFill>
                <a:sysClr val="windowText" lastClr="000000"/>
              </a:solidFill>
            </a:rPr>
            <a:t>Convocatoria para construir el Consejo Escolar</a:t>
          </a:r>
        </a:p>
      </xdr:txBody>
    </xdr:sp>
    <xdr:clientData/>
  </xdr:twoCellAnchor>
  <xdr:twoCellAnchor>
    <xdr:from>
      <xdr:col>1</xdr:col>
      <xdr:colOff>20024</xdr:colOff>
      <xdr:row>0</xdr:row>
      <xdr:rowOff>106794</xdr:rowOff>
    </xdr:from>
    <xdr:to>
      <xdr:col>41</xdr:col>
      <xdr:colOff>195371</xdr:colOff>
      <xdr:row>1</xdr:row>
      <xdr:rowOff>47625</xdr:rowOff>
    </xdr:to>
    <xdr:sp macro="" textlink="">
      <xdr:nvSpPr>
        <xdr:cNvPr id="5" name="4 Rectángulo redondeado"/>
        <xdr:cNvSpPr/>
      </xdr:nvSpPr>
      <xdr:spPr>
        <a:xfrm>
          <a:off x="67649" y="106794"/>
          <a:ext cx="11764097" cy="432956"/>
        </a:xfrm>
        <a:prstGeom prst="roundRect">
          <a:avLst>
            <a:gd name="adj" fmla="val 17949"/>
          </a:avLst>
        </a:prstGeom>
        <a:solidFill>
          <a:schemeClr val="bg2">
            <a:lumMod val="90000"/>
          </a:schemeClr>
        </a:solidFill>
        <a:ln w="31750">
          <a:solidFill>
            <a:schemeClr val="bg1"/>
          </a:solidFill>
        </a:ln>
      </xdr:spPr>
      <xdr:style>
        <a:lnRef idx="2">
          <a:schemeClr val="accent6"/>
        </a:lnRef>
        <a:fillRef idx="1">
          <a:schemeClr val="lt1"/>
        </a:fillRef>
        <a:effectRef idx="0">
          <a:schemeClr val="accent6"/>
        </a:effectRef>
        <a:fontRef idx="minor">
          <a:schemeClr val="dk1"/>
        </a:fontRef>
      </xdr:style>
      <xdr:txBody>
        <a:bodyPr rtlCol="0" anchor="ctr"/>
        <a:lstStyle/>
        <a:p>
          <a:pPr algn="ctr"/>
          <a:r>
            <a:rPr lang="es-ES" sz="2000" b="1">
              <a:solidFill>
                <a:sysClr val="windowText" lastClr="000000"/>
              </a:solidFill>
            </a:rPr>
            <a:t>CONTROL  DE CONSEJOS ESCOLARES</a:t>
          </a:r>
          <a:r>
            <a:rPr lang="es-ES" sz="2000" b="1" baseline="0">
              <a:solidFill>
                <a:sysClr val="windowText" lastClr="000000"/>
              </a:solidFill>
            </a:rPr>
            <a:t> DE LA ZONA 042      2011 / 2012</a:t>
          </a:r>
        </a:p>
      </xdr:txBody>
    </xdr:sp>
    <xdr:clientData/>
  </xdr:twoCellAnchor>
</xdr:wsDr>
</file>

<file path=xl/drawings/drawing35.xml><?xml version="1.0" encoding="utf-8"?>
<xdr:wsDr xmlns:xdr="http://schemas.openxmlformats.org/drawingml/2006/spreadsheetDrawing" xmlns:a="http://schemas.openxmlformats.org/drawingml/2006/main">
  <xdr:twoCellAnchor editAs="absolute">
    <xdr:from>
      <xdr:col>0</xdr:col>
      <xdr:colOff>4</xdr:colOff>
      <xdr:row>0</xdr:row>
      <xdr:rowOff>0</xdr:rowOff>
    </xdr:from>
    <xdr:to>
      <xdr:col>28</xdr:col>
      <xdr:colOff>195543</xdr:colOff>
      <xdr:row>27</xdr:row>
      <xdr:rowOff>171450</xdr:rowOff>
    </xdr:to>
    <xdr:graphicFrame macro="">
      <xdr:nvGraphicFramePr>
        <xdr:cNvPr id="7" name="6 Gráfico"/>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20</xdr:col>
      <xdr:colOff>76200</xdr:colOff>
      <xdr:row>41</xdr:row>
      <xdr:rowOff>0</xdr:rowOff>
    </xdr:from>
    <xdr:to>
      <xdr:col>28</xdr:col>
      <xdr:colOff>323850</xdr:colOff>
      <xdr:row>41</xdr:row>
      <xdr:rowOff>0</xdr:rowOff>
    </xdr:to>
    <xdr:sp macro="" textlink="">
      <xdr:nvSpPr>
        <xdr:cNvPr id="83096" name="Line 5"/>
        <xdr:cNvSpPr>
          <a:spLocks noChangeShapeType="1"/>
        </xdr:cNvSpPr>
      </xdr:nvSpPr>
      <xdr:spPr bwMode="auto">
        <a:xfrm>
          <a:off x="7400925" y="7343775"/>
          <a:ext cx="2238375" cy="0"/>
        </a:xfrm>
        <a:prstGeom prst="line">
          <a:avLst/>
        </a:prstGeom>
        <a:noFill/>
        <a:ln w="9525">
          <a:solidFill>
            <a:srgbClr val="000000"/>
          </a:solidFill>
          <a:round/>
          <a:headEnd/>
          <a:tailEnd/>
        </a:ln>
      </xdr:spPr>
    </xdr:sp>
    <xdr:clientData/>
  </xdr:twoCellAnchor>
  <xdr:twoCellAnchor editAs="oneCell">
    <xdr:from>
      <xdr:col>1</xdr:col>
      <xdr:colOff>9525</xdr:colOff>
      <xdr:row>1</xdr:row>
      <xdr:rowOff>9525</xdr:rowOff>
    </xdr:from>
    <xdr:to>
      <xdr:col>4</xdr:col>
      <xdr:colOff>128427</xdr:colOff>
      <xdr:row>3</xdr:row>
      <xdr:rowOff>123825</xdr:rowOff>
    </xdr:to>
    <xdr:pic>
      <xdr:nvPicPr>
        <xdr:cNvPr id="83099" name="10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52334" y="41632"/>
          <a:ext cx="1157020" cy="510283"/>
        </a:xfrm>
        <a:prstGeom prst="rect">
          <a:avLst/>
        </a:prstGeom>
        <a:noFill/>
        <a:ln w="9525">
          <a:noFill/>
          <a:miter lim="800000"/>
          <a:headEnd/>
          <a:tailEnd/>
        </a:ln>
      </xdr:spPr>
    </xdr:pic>
    <xdr:clientData/>
  </xdr:twoCellAnchor>
  <xdr:twoCellAnchor editAs="oneCell">
    <xdr:from>
      <xdr:col>4</xdr:col>
      <xdr:colOff>228382</xdr:colOff>
      <xdr:row>1</xdr:row>
      <xdr:rowOff>9525</xdr:rowOff>
    </xdr:from>
    <xdr:to>
      <xdr:col>6</xdr:col>
      <xdr:colOff>385281</xdr:colOff>
      <xdr:row>3</xdr:row>
      <xdr:rowOff>123825</xdr:rowOff>
    </xdr:to>
    <xdr:pic>
      <xdr:nvPicPr>
        <xdr:cNvPr id="83101" name="12 Imagen" descr="logoresultados.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4242" r="5455"/>
        <a:stretch>
          <a:fillRect/>
        </a:stretch>
      </xdr:blipFill>
      <xdr:spPr bwMode="auto">
        <a:xfrm>
          <a:off x="1330713" y="41632"/>
          <a:ext cx="1109399" cy="510283"/>
        </a:xfrm>
        <a:prstGeom prst="rect">
          <a:avLst/>
        </a:prstGeom>
        <a:noFill/>
        <a:ln w="9525">
          <a:noFill/>
          <a:miter lim="800000"/>
          <a:headEnd/>
          <a:tailEnd/>
        </a:ln>
      </xdr:spPr>
    </xdr:pic>
    <xdr:clientData/>
  </xdr:twoCellAnchor>
  <xdr:twoCellAnchor editAs="absolute">
    <xdr:from>
      <xdr:col>2</xdr:col>
      <xdr:colOff>363868</xdr:colOff>
      <xdr:row>35</xdr:row>
      <xdr:rowOff>32111</xdr:rowOff>
    </xdr:from>
    <xdr:to>
      <xdr:col>6</xdr:col>
      <xdr:colOff>107022</xdr:colOff>
      <xdr:row>41</xdr:row>
      <xdr:rowOff>149831</xdr:rowOff>
    </xdr:to>
    <xdr:pic>
      <xdr:nvPicPr>
        <xdr:cNvPr id="8" name="Picture 11" descr="Escanear0003"/>
        <xdr:cNvPicPr>
          <a:picLocks noChangeAspect="1" noChangeArrowheads="1"/>
        </xdr:cNvPicPr>
      </xdr:nvPicPr>
      <xdr:blipFill>
        <a:blip xmlns:r="http://schemas.openxmlformats.org/officeDocument/2006/relationships" r:embed="rId3"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652829" y="5982560"/>
          <a:ext cx="1487620" cy="1380586"/>
        </a:xfrm>
        <a:prstGeom prst="rect">
          <a:avLst/>
        </a:prstGeom>
        <a:noFill/>
        <a:ln w="9525">
          <a:noFill/>
          <a:miter lim="800000"/>
          <a:headEnd/>
          <a:tailEnd/>
        </a:ln>
      </xdr:spPr>
    </xdr:pic>
    <xdr:clientData fPrintsWithSheet="0"/>
  </xdr:twoCellAnchor>
</xdr:wsDr>
</file>

<file path=xl/drawings/drawing5.xml><?xml version="1.0" encoding="utf-8"?>
<xdr:wsDr xmlns:xdr="http://schemas.openxmlformats.org/drawingml/2006/spreadsheetDrawing" xmlns:a="http://schemas.openxmlformats.org/drawingml/2006/main">
  <xdr:twoCellAnchor>
    <xdr:from>
      <xdr:col>12</xdr:col>
      <xdr:colOff>114300</xdr:colOff>
      <xdr:row>50</xdr:row>
      <xdr:rowOff>47625</xdr:rowOff>
    </xdr:from>
    <xdr:to>
      <xdr:col>12</xdr:col>
      <xdr:colOff>457200</xdr:colOff>
      <xdr:row>50</xdr:row>
      <xdr:rowOff>114300</xdr:rowOff>
    </xdr:to>
    <xdr:sp macro="" textlink="">
      <xdr:nvSpPr>
        <xdr:cNvPr id="2" name="WordArt 42"/>
        <xdr:cNvSpPr>
          <a:spLocks noChangeArrowheads="1" noChangeShapeType="1" noTextEdit="1"/>
        </xdr:cNvSpPr>
      </xdr:nvSpPr>
      <xdr:spPr bwMode="auto">
        <a:xfrm>
          <a:off x="5838825" y="5791200"/>
          <a:ext cx="342900" cy="0"/>
        </a:xfrm>
        <a:prstGeom prst="rect">
          <a:avLst/>
        </a:prstGeom>
      </xdr:spPr>
      <xdr:txBody>
        <a:bodyPr wrap="none" fromWordArt="1">
          <a:prstTxWarp prst="textPlain">
            <a:avLst>
              <a:gd name="adj" fmla="val 50000"/>
            </a:avLst>
          </a:prstTxWarp>
        </a:bodyPr>
        <a:lstStyle/>
        <a:p>
          <a:pPr algn="ctr" rtl="0"/>
          <a:r>
            <a:rPr lang="es-MX" sz="1800" kern="10" spc="0">
              <a:ln w="9525">
                <a:solidFill>
                  <a:srgbClr val="000000"/>
                </a:solidFill>
                <a:round/>
                <a:headEnd/>
                <a:tailEnd/>
              </a:ln>
              <a:solidFill>
                <a:srgbClr val="000000"/>
              </a:solidFill>
              <a:effectLst/>
              <a:latin typeface="Times New Roman"/>
              <a:cs typeface="Times New Roman"/>
            </a:rPr>
            <a:t>T O T A L :</a:t>
          </a:r>
        </a:p>
      </xdr:txBody>
    </xdr:sp>
    <xdr:clientData/>
  </xdr:twoCellAnchor>
  <xdr:twoCellAnchor>
    <xdr:from>
      <xdr:col>0</xdr:col>
      <xdr:colOff>19050</xdr:colOff>
      <xdr:row>1</xdr:row>
      <xdr:rowOff>0</xdr:rowOff>
    </xdr:from>
    <xdr:to>
      <xdr:col>6</xdr:col>
      <xdr:colOff>495300</xdr:colOff>
      <xdr:row>5</xdr:row>
      <xdr:rowOff>38100</xdr:rowOff>
    </xdr:to>
    <xdr:grpSp>
      <xdr:nvGrpSpPr>
        <xdr:cNvPr id="42867" name="9 Grupo"/>
        <xdr:cNvGrpSpPr>
          <a:grpSpLocks/>
        </xdr:cNvGrpSpPr>
      </xdr:nvGrpSpPr>
      <xdr:grpSpPr bwMode="auto">
        <a:xfrm>
          <a:off x="19050" y="0"/>
          <a:ext cx="2332008" cy="523336"/>
          <a:chOff x="19050" y="0"/>
          <a:chExt cx="1982827" cy="552700"/>
        </a:xfrm>
      </xdr:grpSpPr>
      <xdr:pic>
        <xdr:nvPicPr>
          <xdr:cNvPr id="42868" name="6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19050" y="0"/>
            <a:ext cx="843426" cy="552700"/>
          </a:xfrm>
          <a:prstGeom prst="rect">
            <a:avLst/>
          </a:prstGeom>
          <a:noFill/>
          <a:ln w="9525">
            <a:noFill/>
            <a:miter lim="800000"/>
            <a:headEnd/>
            <a:tailEnd/>
          </a:ln>
        </xdr:spPr>
      </xdr:pic>
      <xdr:pic>
        <xdr:nvPicPr>
          <xdr:cNvPr id="42869" name="7 Imagen"/>
          <xdr:cNvPicPr>
            <a:picLocks noChangeAspect="1" noChangeArrowheads="1"/>
          </xdr:cNvPicPr>
        </xdr:nvPicPr>
        <xdr:blipFill>
          <a:blip xmlns:r="http://schemas.openxmlformats.org/officeDocument/2006/relationships" r:embed="rId2" cstate="print">
            <a:clrChange>
              <a:clrFrom>
                <a:srgbClr val="FDFFFF"/>
              </a:clrFrom>
              <a:clrTo>
                <a:srgbClr val="FDFFFF">
                  <a:alpha val="0"/>
                </a:srgbClr>
              </a:clrTo>
            </a:clrChange>
          </a:blip>
          <a:srcRect l="71185" t="34247" b="6776"/>
          <a:stretch>
            <a:fillRect/>
          </a:stretch>
        </xdr:blipFill>
        <xdr:spPr bwMode="auto">
          <a:xfrm>
            <a:off x="1614952" y="250908"/>
            <a:ext cx="386925" cy="282592"/>
          </a:xfrm>
          <a:prstGeom prst="rect">
            <a:avLst/>
          </a:prstGeom>
          <a:noFill/>
          <a:ln w="9525">
            <a:noFill/>
            <a:miter lim="800000"/>
            <a:headEnd/>
            <a:tailEnd/>
          </a:ln>
        </xdr:spPr>
      </xdr:pic>
      <xdr:pic>
        <xdr:nvPicPr>
          <xdr:cNvPr id="42870" name="8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862477" y="0"/>
            <a:ext cx="762000" cy="543175"/>
          </a:xfrm>
          <a:prstGeom prst="rect">
            <a:avLst/>
          </a:prstGeom>
          <a:noFill/>
          <a:ln w="9525">
            <a:noFill/>
            <a:miter lim="800000"/>
            <a:headEnd/>
            <a:tailEnd/>
          </a:ln>
        </xdr:spPr>
      </xdr:pic>
    </xdr:grpSp>
    <xdr:clientData/>
  </xdr:twoCellAnchor>
  <xdr:twoCellAnchor editAs="absolute">
    <xdr:from>
      <xdr:col>12</xdr:col>
      <xdr:colOff>215657</xdr:colOff>
      <xdr:row>31</xdr:row>
      <xdr:rowOff>17972</xdr:rowOff>
    </xdr:from>
    <xdr:to>
      <xdr:col>26</xdr:col>
      <xdr:colOff>693704</xdr:colOff>
      <xdr:row>58</xdr:row>
      <xdr:rowOff>152404</xdr:rowOff>
    </xdr:to>
    <xdr:pic>
      <xdr:nvPicPr>
        <xdr:cNvPr id="8" name="Picture 11" descr="Escanear0003"/>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prstClr val="black"/>
            <a:srgbClr val="D9C3A5">
              <a:tint val="50000"/>
              <a:satMod val="180000"/>
            </a:srgbClr>
          </a:duotone>
          <a:extLst/>
        </a:blip>
        <a:srcRect/>
        <a:stretch>
          <a:fillRect/>
        </a:stretch>
      </xdr:blipFill>
      <xdr:spPr bwMode="auto">
        <a:xfrm>
          <a:off x="5068015" y="6119364"/>
          <a:ext cx="1394604" cy="1221719"/>
        </a:xfrm>
        <a:prstGeom prst="rect">
          <a:avLst/>
        </a:prstGeom>
        <a:noFill/>
        <a:ln w="9525">
          <a:noFill/>
          <a:miter lim="800000"/>
          <a:headEnd/>
          <a:tailEn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10</xdr:col>
      <xdr:colOff>152400</xdr:colOff>
      <xdr:row>7</xdr:row>
      <xdr:rowOff>0</xdr:rowOff>
    </xdr:from>
    <xdr:to>
      <xdr:col>29</xdr:col>
      <xdr:colOff>95250</xdr:colOff>
      <xdr:row>11</xdr:row>
      <xdr:rowOff>0</xdr:rowOff>
    </xdr:to>
    <xdr:sp macro="" textlink="">
      <xdr:nvSpPr>
        <xdr:cNvPr id="11" name="WordArt 9"/>
        <xdr:cNvSpPr>
          <a:spLocks noChangeArrowheads="1" noChangeShapeType="1" noTextEdit="1"/>
        </xdr:cNvSpPr>
      </xdr:nvSpPr>
      <xdr:spPr bwMode="auto">
        <a:xfrm>
          <a:off x="1962150" y="1038225"/>
          <a:ext cx="3381375" cy="571500"/>
        </a:xfrm>
        <a:prstGeom prst="rect">
          <a:avLst/>
        </a:prstGeom>
        <a:solidFill>
          <a:sysClr val="window" lastClr="FFFFFF"/>
        </a:solidFill>
        <a:effectLst/>
      </xdr:spPr>
      <xdr:txBody>
        <a:bodyPr wrap="none" fromWordArt="1">
          <a:prstTxWarp prst="textWave1">
            <a:avLst>
              <a:gd name="adj1" fmla="val 13005"/>
              <a:gd name="adj2" fmla="val 0"/>
            </a:avLst>
          </a:prstTxWarp>
          <a:scene3d>
            <a:camera prst="orthographicFront"/>
            <a:lightRig rig="balanced" dir="t">
              <a:rot lat="0" lon="0" rev="2100000"/>
            </a:lightRig>
          </a:scene3d>
          <a:sp3d extrusionH="57150" prstMaterial="metal">
            <a:bevelT w="38100" h="25400"/>
            <a:contourClr>
              <a:schemeClr val="bg2"/>
            </a:contourClr>
          </a:sp3d>
        </a:bodyPr>
        <a:lstStyle/>
        <a:p>
          <a:pPr algn="ctr" rtl="0"/>
          <a:r>
            <a:rPr lang="es-MX" sz="3600" b="1" i="0" kern="10" cap="none" spc="0">
              <a:ln w="50800"/>
              <a:solidFill>
                <a:schemeClr val="tx1">
                  <a:lumMod val="50000"/>
                  <a:lumOff val="50000"/>
                </a:schemeClr>
              </a:solidFill>
              <a:effectLst/>
              <a:latin typeface="Arial Black"/>
            </a:rPr>
            <a:t>RECONOCIMIENTO</a:t>
          </a:r>
        </a:p>
      </xdr:txBody>
    </xdr:sp>
    <xdr:clientData/>
  </xdr:twoCellAnchor>
  <xdr:twoCellAnchor>
    <xdr:from>
      <xdr:col>15</xdr:col>
      <xdr:colOff>161925</xdr:colOff>
      <xdr:row>5</xdr:row>
      <xdr:rowOff>57150</xdr:rowOff>
    </xdr:from>
    <xdr:to>
      <xdr:col>24</xdr:col>
      <xdr:colOff>114300</xdr:colOff>
      <xdr:row>6</xdr:row>
      <xdr:rowOff>66675</xdr:rowOff>
    </xdr:to>
    <xdr:sp macro="" textlink="">
      <xdr:nvSpPr>
        <xdr:cNvPr id="12" name="WordArt 10"/>
        <xdr:cNvSpPr>
          <a:spLocks noChangeArrowheads="1" noChangeShapeType="1" noTextEdit="1"/>
        </xdr:cNvSpPr>
      </xdr:nvSpPr>
      <xdr:spPr bwMode="auto">
        <a:xfrm>
          <a:off x="2876550" y="809625"/>
          <a:ext cx="1581150" cy="152400"/>
        </a:xfrm>
        <a:prstGeom prst="rect">
          <a:avLst/>
        </a:prstGeom>
        <a:solidFill>
          <a:schemeClr val="bg1"/>
        </a:solidFill>
      </xdr:spPr>
      <xdr:style>
        <a:lnRef idx="0">
          <a:scrgbClr r="0" g="0" b="0"/>
        </a:lnRef>
        <a:fillRef idx="1001">
          <a:schemeClr val="lt2"/>
        </a:fillRef>
        <a:effectRef idx="0">
          <a:scrgbClr r="0" g="0" b="0"/>
        </a:effectRef>
        <a:fontRef idx="major"/>
      </xdr:style>
      <xdr:txBody>
        <a:bodyPr wrap="none" fromWordArt="1">
          <a:prstTxWarp prst="textPlain">
            <a:avLst>
              <a:gd name="adj" fmla="val 50000"/>
            </a:avLst>
          </a:prstTxWarp>
        </a:bodyPr>
        <a:lstStyle/>
        <a:p>
          <a:pPr algn="ctr" rtl="0"/>
          <a:r>
            <a:rPr lang="es-MX" sz="3600" b="1" kern="10"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latin typeface="Arial Unicode MS" pitchFamily="34" charset="-128"/>
              <a:ea typeface="Arial Unicode MS" pitchFamily="34" charset="-128"/>
              <a:cs typeface="Arial Unicode MS" pitchFamily="34" charset="-128"/>
            </a:rPr>
            <a:t>OTORGA   EL   </a:t>
          </a:r>
          <a:r>
            <a:rPr lang="es-MX" sz="3600" b="1" kern="10" cap="none" spc="0" baseline="0">
              <a:ln w="10541" cmpd="sng">
                <a:solidFill>
                  <a:srgbClr val="7D7D7D">
                    <a:tint val="100000"/>
                    <a:shade val="100000"/>
                    <a:satMod val="110000"/>
                  </a:srgbClr>
                </a:solidFill>
                <a:prstDash val="solid"/>
              </a:ln>
              <a:solidFill>
                <a:schemeClr val="bg1"/>
              </a:solidFill>
              <a:effectLst/>
              <a:latin typeface="Arial Unicode MS" pitchFamily="34" charset="-128"/>
              <a:ea typeface="Arial Unicode MS" pitchFamily="34" charset="-128"/>
              <a:cs typeface="Arial Unicode MS" pitchFamily="34" charset="-128"/>
            </a:rPr>
            <a:t>PRESENTE</a:t>
          </a:r>
          <a:r>
            <a:rPr lang="es-MX" sz="3600" b="1" kern="10"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latin typeface="Arial Unicode MS" pitchFamily="34" charset="-128"/>
              <a:ea typeface="Arial Unicode MS" pitchFamily="34" charset="-128"/>
              <a:cs typeface="Arial Unicode MS" pitchFamily="34" charset="-128"/>
            </a:rPr>
            <a:t> :</a:t>
          </a:r>
        </a:p>
      </xdr:txBody>
    </xdr:sp>
    <xdr:clientData/>
  </xdr:twoCellAnchor>
  <xdr:twoCellAnchor>
    <xdr:from>
      <xdr:col>19</xdr:col>
      <xdr:colOff>66675</xdr:colOff>
      <xdr:row>11</xdr:row>
      <xdr:rowOff>95250</xdr:rowOff>
    </xdr:from>
    <xdr:to>
      <xdr:col>20</xdr:col>
      <xdr:colOff>123825</xdr:colOff>
      <xdr:row>13</xdr:row>
      <xdr:rowOff>9525</xdr:rowOff>
    </xdr:to>
    <xdr:sp macro="" textlink="">
      <xdr:nvSpPr>
        <xdr:cNvPr id="16" name="WordArt 10"/>
        <xdr:cNvSpPr>
          <a:spLocks noChangeArrowheads="1" noChangeShapeType="1" noTextEdit="1"/>
        </xdr:cNvSpPr>
      </xdr:nvSpPr>
      <xdr:spPr bwMode="auto">
        <a:xfrm>
          <a:off x="3505200" y="1704975"/>
          <a:ext cx="238125" cy="200025"/>
        </a:xfrm>
        <a:prstGeom prst="rect">
          <a:avLst/>
        </a:prstGeom>
        <a:solidFill>
          <a:schemeClr val="bg1"/>
        </a:solidFill>
      </xdr:spPr>
      <xdr:style>
        <a:lnRef idx="0">
          <a:scrgbClr r="0" g="0" b="0"/>
        </a:lnRef>
        <a:fillRef idx="1001">
          <a:schemeClr val="lt2"/>
        </a:fillRef>
        <a:effectRef idx="0">
          <a:scrgbClr r="0" g="0" b="0"/>
        </a:effectRef>
        <a:fontRef idx="major"/>
      </xdr:style>
      <xdr:txBody>
        <a:bodyPr wrap="none" fromWordArt="1">
          <a:prstTxWarp prst="textPlain">
            <a:avLst>
              <a:gd name="adj" fmla="val 50000"/>
            </a:avLst>
          </a:prstTxWarp>
        </a:bodyPr>
        <a:lstStyle/>
        <a:p>
          <a:pPr algn="ctr" rtl="0"/>
          <a:r>
            <a:rPr lang="es-MX" sz="3600" b="1" kern="10" cap="none" spc="0">
              <a:ln w="10541" cmpd="sng">
                <a:solidFill>
                  <a:srgbClr val="7D7D7D">
                    <a:tint val="100000"/>
                    <a:shade val="100000"/>
                    <a:satMod val="110000"/>
                  </a:srgbClr>
                </a:solidFill>
                <a:prstDash val="solid"/>
              </a:ln>
              <a:gradFill>
                <a:gsLst>
                  <a:gs pos="0">
                    <a:srgbClr val="FFFFFF">
                      <a:tint val="40000"/>
                      <a:satMod val="250000"/>
                    </a:srgbClr>
                  </a:gs>
                  <a:gs pos="9000">
                    <a:srgbClr val="FFFFFF">
                      <a:tint val="52000"/>
                      <a:satMod val="300000"/>
                    </a:srgbClr>
                  </a:gs>
                  <a:gs pos="50000">
                    <a:srgbClr val="FFFFFF">
                      <a:shade val="20000"/>
                      <a:satMod val="300000"/>
                    </a:srgbClr>
                  </a:gs>
                  <a:gs pos="79000">
                    <a:srgbClr val="FFFFFF">
                      <a:tint val="52000"/>
                      <a:satMod val="300000"/>
                    </a:srgbClr>
                  </a:gs>
                  <a:gs pos="100000">
                    <a:srgbClr val="FFFFFF">
                      <a:tint val="40000"/>
                      <a:satMod val="250000"/>
                    </a:srgbClr>
                  </a:gs>
                </a:gsLst>
                <a:lin ang="5400000"/>
              </a:gradFill>
              <a:effectLst/>
              <a:latin typeface="Arial Unicode MS" pitchFamily="34" charset="-128"/>
              <a:ea typeface="Arial Unicode MS" pitchFamily="34" charset="-128"/>
              <a:cs typeface="Arial Unicode MS" pitchFamily="34" charset="-128"/>
            </a:rPr>
            <a:t>A:</a:t>
          </a:r>
        </a:p>
      </xdr:txBody>
    </xdr:sp>
    <xdr:clientData/>
  </xdr:twoCellAnchor>
  <xdr:twoCellAnchor editAs="absolute">
    <xdr:from>
      <xdr:col>1</xdr:col>
      <xdr:colOff>66676</xdr:colOff>
      <xdr:row>5</xdr:row>
      <xdr:rowOff>19050</xdr:rowOff>
    </xdr:from>
    <xdr:to>
      <xdr:col>7</xdr:col>
      <xdr:colOff>85726</xdr:colOff>
      <xdr:row>11</xdr:row>
      <xdr:rowOff>25293</xdr:rowOff>
    </xdr:to>
    <xdr:pic>
      <xdr:nvPicPr>
        <xdr:cNvPr id="86060" name="Picture 39"/>
        <xdr:cNvPicPr>
          <a:picLocks noChangeAspect="1" noChangeArrowheads="1"/>
        </xdr:cNvPicPr>
      </xdr:nvPicPr>
      <xdr:blipFill>
        <a:blip xmlns:r="http://schemas.openxmlformats.org/officeDocument/2006/relationships" r:embed="rId1" cstate="print">
          <a:clrChange>
            <a:clrFrom>
              <a:srgbClr val="FFFFFF"/>
            </a:clrFrom>
            <a:clrTo>
              <a:srgbClr val="FFFFFF">
                <a:alpha val="0"/>
              </a:srgbClr>
            </a:clrTo>
          </a:clrChange>
        </a:blip>
        <a:srcRect/>
        <a:stretch>
          <a:fillRect/>
        </a:stretch>
      </xdr:blipFill>
      <xdr:spPr bwMode="auto">
        <a:xfrm>
          <a:off x="247651" y="771525"/>
          <a:ext cx="1104900" cy="863493"/>
        </a:xfrm>
        <a:prstGeom prst="rect">
          <a:avLst/>
        </a:prstGeom>
        <a:noFill/>
        <a:ln w="9525">
          <a:noFill/>
          <a:miter lim="800000"/>
          <a:headEnd/>
          <a:tailEnd/>
        </a:ln>
      </xdr:spPr>
    </xdr:pic>
    <xdr:clientData/>
  </xdr:twoCellAnchor>
  <xdr:twoCellAnchor editAs="oneCell">
    <xdr:from>
      <xdr:col>56</xdr:col>
      <xdr:colOff>133350</xdr:colOff>
      <xdr:row>5</xdr:row>
      <xdr:rowOff>76200</xdr:rowOff>
    </xdr:from>
    <xdr:to>
      <xdr:col>58</xdr:col>
      <xdr:colOff>600075</xdr:colOff>
      <xdr:row>11</xdr:row>
      <xdr:rowOff>47625</xdr:rowOff>
    </xdr:to>
    <xdr:pic>
      <xdr:nvPicPr>
        <xdr:cNvPr id="86061" name="6 Imagen" descr="Gobierno horizontal.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2698" r="3052" b="10001"/>
        <a:stretch>
          <a:fillRect/>
        </a:stretch>
      </xdr:blipFill>
      <xdr:spPr bwMode="auto">
        <a:xfrm>
          <a:off x="7410450" y="828675"/>
          <a:ext cx="1990725" cy="828675"/>
        </a:xfrm>
        <a:prstGeom prst="rect">
          <a:avLst/>
        </a:prstGeom>
        <a:noFill/>
        <a:ln w="9525">
          <a:noFill/>
          <a:miter lim="800000"/>
          <a:headEnd/>
          <a:tailEnd/>
        </a:ln>
      </xdr:spPr>
    </xdr:pic>
    <xdr:clientData/>
  </xdr:twoCellAnchor>
  <xdr:twoCellAnchor editAs="oneCell">
    <xdr:from>
      <xdr:col>56</xdr:col>
      <xdr:colOff>123825</xdr:colOff>
      <xdr:row>0</xdr:row>
      <xdr:rowOff>0</xdr:rowOff>
    </xdr:from>
    <xdr:to>
      <xdr:col>58</xdr:col>
      <xdr:colOff>390525</xdr:colOff>
      <xdr:row>5</xdr:row>
      <xdr:rowOff>76200</xdr:rowOff>
    </xdr:to>
    <xdr:pic>
      <xdr:nvPicPr>
        <xdr:cNvPr id="86062" name="7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7400925" y="0"/>
          <a:ext cx="1790700" cy="828675"/>
        </a:xfrm>
        <a:prstGeom prst="rect">
          <a:avLst/>
        </a:prstGeom>
        <a:noFill/>
        <a:ln w="9525">
          <a:noFill/>
          <a:miter lim="800000"/>
          <a:headEnd/>
          <a:tailEnd/>
        </a:ln>
      </xdr:spPr>
    </xdr:pic>
    <xdr:clientData/>
  </xdr:twoCellAnchor>
  <xdr:twoCellAnchor editAs="absolute">
    <xdr:from>
      <xdr:col>2</xdr:col>
      <xdr:colOff>85725</xdr:colOff>
      <xdr:row>30</xdr:row>
      <xdr:rowOff>95250</xdr:rowOff>
    </xdr:from>
    <xdr:to>
      <xdr:col>7</xdr:col>
      <xdr:colOff>123825</xdr:colOff>
      <xdr:row>37</xdr:row>
      <xdr:rowOff>9525</xdr:rowOff>
    </xdr:to>
    <xdr:pic>
      <xdr:nvPicPr>
        <xdr:cNvPr id="13" name="Picture 11" descr="Escanear0003"/>
        <xdr:cNvPicPr>
          <a:picLocks noChangeAspect="1" noChangeArrowheads="1"/>
        </xdr:cNvPicPr>
      </xdr:nvPicPr>
      <xdr:blipFill>
        <a:blip xmlns:r="http://schemas.openxmlformats.org/officeDocument/2006/relationships" r:embed="rId4" cstate="print">
          <a:clrChange>
            <a:clrFrom>
              <a:srgbClr val="FFFFFF"/>
            </a:clrFrom>
            <a:clrTo>
              <a:srgbClr val="FFFFFF">
                <a:alpha val="0"/>
              </a:srgbClr>
            </a:clrTo>
          </a:clrChange>
          <a:duotone>
            <a:prstClr val="black"/>
            <a:srgbClr val="0000CC">
              <a:tint val="45000"/>
              <a:satMod val="400000"/>
            </a:srgbClr>
          </a:duotone>
          <a:lum bright="-10000"/>
        </a:blip>
        <a:srcRect/>
        <a:stretch>
          <a:fillRect/>
        </a:stretch>
      </xdr:blipFill>
      <xdr:spPr bwMode="auto">
        <a:xfrm>
          <a:off x="447675" y="4067175"/>
          <a:ext cx="942975" cy="895350"/>
        </a:xfrm>
        <a:prstGeom prst="rect">
          <a:avLst/>
        </a:prstGeom>
        <a:noFill/>
        <a:ln w="9525">
          <a:noFill/>
          <a:miter lim="800000"/>
          <a:headEnd/>
          <a:tailEnd/>
        </a:ln>
      </xdr:spPr>
    </xdr:pic>
    <xdr:clientData/>
  </xdr:twoCellAnchor>
  <xdr:twoCellAnchor editAs="oneCell">
    <xdr:from>
      <xdr:col>36</xdr:col>
      <xdr:colOff>171450</xdr:colOff>
      <xdr:row>37</xdr:row>
      <xdr:rowOff>55245</xdr:rowOff>
    </xdr:from>
    <xdr:to>
      <xdr:col>39</xdr:col>
      <xdr:colOff>171450</xdr:colOff>
      <xdr:row>40</xdr:row>
      <xdr:rowOff>133350</xdr:rowOff>
    </xdr:to>
    <xdr:pic>
      <xdr:nvPicPr>
        <xdr:cNvPr id="14" name="13 Imagen"/>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6686550" y="5008245"/>
          <a:ext cx="542925" cy="50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14288</xdr:colOff>
      <xdr:row>37</xdr:row>
      <xdr:rowOff>41164</xdr:rowOff>
    </xdr:from>
    <xdr:to>
      <xdr:col>2</xdr:col>
      <xdr:colOff>142875</xdr:colOff>
      <xdr:row>40</xdr:row>
      <xdr:rowOff>138114</xdr:rowOff>
    </xdr:to>
    <xdr:pic>
      <xdr:nvPicPr>
        <xdr:cNvPr id="15" name="14 Imagen"/>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5400000">
          <a:off x="-3231" y="5011683"/>
          <a:ext cx="525575" cy="49053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47627</xdr:colOff>
      <xdr:row>38</xdr:row>
      <xdr:rowOff>133349</xdr:rowOff>
    </xdr:from>
    <xdr:to>
      <xdr:col>22</xdr:col>
      <xdr:colOff>0</xdr:colOff>
      <xdr:row>40</xdr:row>
      <xdr:rowOff>104774</xdr:rowOff>
    </xdr:to>
    <xdr:pic>
      <xdr:nvPicPr>
        <xdr:cNvPr id="17" name="16 Imagen"/>
        <xdr:cNvPicPr>
          <a:picLocks noChangeAspect="1" noChangeArrowheads="1"/>
        </xdr:cNvPicPr>
      </xdr:nvPicPr>
      <xdr:blipFill>
        <a:blip xmlns:r="http://schemas.openxmlformats.org/officeDocument/2006/relationships" r:embed="rId6"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05177" y="5229224"/>
          <a:ext cx="676273" cy="257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37</xdr:col>
      <xdr:colOff>27625</xdr:colOff>
      <xdr:row>0</xdr:row>
      <xdr:rowOff>8571</xdr:rowOff>
    </xdr:from>
    <xdr:to>
      <xdr:col>39</xdr:col>
      <xdr:colOff>172405</xdr:colOff>
      <xdr:row>3</xdr:row>
      <xdr:rowOff>84771</xdr:rowOff>
    </xdr:to>
    <xdr:pic>
      <xdr:nvPicPr>
        <xdr:cNvPr id="18" name="17 Imagen"/>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6200000">
          <a:off x="6705602" y="26669"/>
          <a:ext cx="542925" cy="50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19050</xdr:colOff>
      <xdr:row>0</xdr:row>
      <xdr:rowOff>9525</xdr:rowOff>
    </xdr:from>
    <xdr:to>
      <xdr:col>3</xdr:col>
      <xdr:colOff>19050</xdr:colOff>
      <xdr:row>3</xdr:row>
      <xdr:rowOff>49530</xdr:rowOff>
    </xdr:to>
    <xdr:pic>
      <xdr:nvPicPr>
        <xdr:cNvPr id="19" name="18 Imagen"/>
        <xdr:cNvPicPr>
          <a:picLocks noChangeAspect="1" noChangeArrowheads="1"/>
        </xdr:cNvPicPr>
      </xdr:nvPicPr>
      <xdr:blipFill>
        <a:blip xmlns:r="http://schemas.openxmlformats.org/officeDocument/2006/relationships" r:embed="rId5">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rot="10800000">
          <a:off x="19050" y="9525"/>
          <a:ext cx="542925" cy="5067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18</xdr:col>
      <xdr:colOff>85727</xdr:colOff>
      <xdr:row>0</xdr:row>
      <xdr:rowOff>38100</xdr:rowOff>
    </xdr:from>
    <xdr:to>
      <xdr:col>22</xdr:col>
      <xdr:colOff>38100</xdr:colOff>
      <xdr:row>1</xdr:row>
      <xdr:rowOff>57150</xdr:rowOff>
    </xdr:to>
    <xdr:pic>
      <xdr:nvPicPr>
        <xdr:cNvPr id="20" name="19 Imagen"/>
        <xdr:cNvPicPr>
          <a:picLocks noChangeAspect="1" noChangeArrowheads="1"/>
        </xdr:cNvPicPr>
      </xdr:nvPicPr>
      <xdr:blipFill>
        <a:blip xmlns:r="http://schemas.openxmlformats.org/officeDocument/2006/relationships" r:embed="rId7" cstate="print">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3343277" y="38100"/>
          <a:ext cx="676273" cy="1809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mc:AlternateContent xmlns:mc="http://schemas.openxmlformats.org/markup-compatibility/2006">
    <mc:Choice xmlns:a14="http://schemas.microsoft.com/office/drawing/2010/main" Requires="a14">
      <xdr:twoCellAnchor>
        <xdr:from>
          <xdr:col>32</xdr:col>
          <xdr:colOff>114300</xdr:colOff>
          <xdr:row>3</xdr:row>
          <xdr:rowOff>133350</xdr:rowOff>
        </xdr:from>
        <xdr:to>
          <xdr:col>38</xdr:col>
          <xdr:colOff>47625</xdr:colOff>
          <xdr:row>10</xdr:row>
          <xdr:rowOff>114300</xdr:rowOff>
        </xdr:to>
        <xdr:sp macro="" textlink="">
          <xdr:nvSpPr>
            <xdr:cNvPr id="6146" name="Object 2" hidden="1">
              <a:extLst>
                <a:ext uri="{63B3BB69-23CF-44E3-9099-C40C66FF867C}">
                  <a14:compatExt spid="_x0000_s6146"/>
                </a:ext>
              </a:extLst>
            </xdr:cNvPr>
            <xdr:cNvSpPr/>
          </xdr:nvSpPr>
          <xdr:spPr>
            <a:xfrm>
              <a:off x="0" y="0"/>
              <a:ext cx="0" cy="0"/>
            </a:xfrm>
            <a:prstGeom prst="rect">
              <a:avLst/>
            </a:prstGeom>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20292</xdr:colOff>
      <xdr:row>0</xdr:row>
      <xdr:rowOff>0</xdr:rowOff>
    </xdr:from>
    <xdr:to>
      <xdr:col>4</xdr:col>
      <xdr:colOff>204580</xdr:colOff>
      <xdr:row>3</xdr:row>
      <xdr:rowOff>95250</xdr:rowOff>
    </xdr:to>
    <xdr:pic>
      <xdr:nvPicPr>
        <xdr:cNvPr id="2" name="1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45140" y="0"/>
          <a:ext cx="1219614" cy="617054"/>
        </a:xfrm>
        <a:prstGeom prst="rect">
          <a:avLst/>
        </a:prstGeom>
        <a:noFill/>
        <a:ln w="9525">
          <a:noFill/>
          <a:miter lim="800000"/>
          <a:headEnd/>
          <a:tailEnd/>
        </a:ln>
      </xdr:spPr>
    </xdr:pic>
    <xdr:clientData/>
  </xdr:twoCellAnchor>
  <xdr:twoCellAnchor editAs="oneCell">
    <xdr:from>
      <xdr:col>17</xdr:col>
      <xdr:colOff>21135</xdr:colOff>
      <xdr:row>0</xdr:row>
      <xdr:rowOff>0</xdr:rowOff>
    </xdr:from>
    <xdr:to>
      <xdr:col>19</xdr:col>
      <xdr:colOff>344571</xdr:colOff>
      <xdr:row>3</xdr:row>
      <xdr:rowOff>95250</xdr:rowOff>
    </xdr:to>
    <xdr:pic>
      <xdr:nvPicPr>
        <xdr:cNvPr id="4" name="3 Imagen" descr="logoresultados.jpg"/>
        <xdr:cNvPicPr>
          <a:picLocks noChangeAspect="1" noChangeArrowheads="1"/>
        </xdr:cNvPicPr>
      </xdr:nvPicPr>
      <xdr:blipFill>
        <a:blip xmlns:r="http://schemas.openxmlformats.org/officeDocument/2006/relationships" r:embed="rId2" cstate="print">
          <a:clrChange>
            <a:clrFrom>
              <a:srgbClr val="FDFDFD"/>
            </a:clrFrom>
            <a:clrTo>
              <a:srgbClr val="FDFDFD">
                <a:alpha val="0"/>
              </a:srgbClr>
            </a:clrTo>
          </a:clrChange>
        </a:blip>
        <a:srcRect l="4242" r="5455"/>
        <a:stretch>
          <a:fillRect/>
        </a:stretch>
      </xdr:blipFill>
      <xdr:spPr bwMode="auto">
        <a:xfrm>
          <a:off x="6241374" y="0"/>
          <a:ext cx="1052306" cy="617054"/>
        </a:xfrm>
        <a:prstGeom prst="rect">
          <a:avLst/>
        </a:prstGeom>
        <a:noFill/>
        <a:ln w="9525">
          <a:noFill/>
          <a:miter lim="800000"/>
          <a:headEnd/>
          <a:tailEnd/>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57150</xdr:colOff>
      <xdr:row>0</xdr:row>
      <xdr:rowOff>47625</xdr:rowOff>
    </xdr:from>
    <xdr:to>
      <xdr:col>5</xdr:col>
      <xdr:colOff>47625</xdr:colOff>
      <xdr:row>3</xdr:row>
      <xdr:rowOff>152400</xdr:rowOff>
    </xdr:to>
    <xdr:pic>
      <xdr:nvPicPr>
        <xdr:cNvPr id="52589" name="1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85725" y="47625"/>
          <a:ext cx="1447800" cy="733425"/>
        </a:xfrm>
        <a:prstGeom prst="rect">
          <a:avLst/>
        </a:prstGeom>
        <a:noFill/>
        <a:ln w="9525">
          <a:noFill/>
          <a:miter lim="800000"/>
          <a:headEnd/>
          <a:tailEnd/>
        </a:ln>
      </xdr:spPr>
    </xdr:pic>
    <xdr:clientData/>
  </xdr:twoCellAnchor>
  <xdr:twoCellAnchor editAs="oneCell">
    <xdr:from>
      <xdr:col>8</xdr:col>
      <xdr:colOff>371475</xdr:colOff>
      <xdr:row>2</xdr:row>
      <xdr:rowOff>19050</xdr:rowOff>
    </xdr:from>
    <xdr:to>
      <xdr:col>10</xdr:col>
      <xdr:colOff>342900</xdr:colOff>
      <xdr:row>3</xdr:row>
      <xdr:rowOff>152400</xdr:rowOff>
    </xdr:to>
    <xdr:pic>
      <xdr:nvPicPr>
        <xdr:cNvPr id="52590" name="3 Imagen"/>
        <xdr:cNvPicPr>
          <a:picLocks noChangeAspect="1" noChangeArrowheads="1"/>
        </xdr:cNvPicPr>
      </xdr:nvPicPr>
      <xdr:blipFill>
        <a:blip xmlns:r="http://schemas.openxmlformats.org/officeDocument/2006/relationships" r:embed="rId2" cstate="print">
          <a:clrChange>
            <a:clrFrom>
              <a:srgbClr val="FFFFFB"/>
            </a:clrFrom>
            <a:clrTo>
              <a:srgbClr val="FFFFFB">
                <a:alpha val="0"/>
              </a:srgbClr>
            </a:clrTo>
          </a:clrChange>
        </a:blip>
        <a:srcRect l="71185" t="34247" b="6776"/>
        <a:stretch>
          <a:fillRect/>
        </a:stretch>
      </xdr:blipFill>
      <xdr:spPr bwMode="auto">
        <a:xfrm>
          <a:off x="3009900" y="438150"/>
          <a:ext cx="733425" cy="342900"/>
        </a:xfrm>
        <a:prstGeom prst="rect">
          <a:avLst/>
        </a:prstGeom>
        <a:noFill/>
        <a:ln w="9525">
          <a:noFill/>
          <a:miter lim="800000"/>
          <a:headEnd/>
          <a:tailEnd/>
        </a:ln>
      </xdr:spPr>
    </xdr:pic>
    <xdr:clientData/>
  </xdr:twoCellAnchor>
  <xdr:twoCellAnchor editAs="oneCell">
    <xdr:from>
      <xdr:col>5</xdr:col>
      <xdr:colOff>152400</xdr:colOff>
      <xdr:row>0</xdr:row>
      <xdr:rowOff>47625</xdr:rowOff>
    </xdr:from>
    <xdr:to>
      <xdr:col>8</xdr:col>
      <xdr:colOff>238125</xdr:colOff>
      <xdr:row>3</xdr:row>
      <xdr:rowOff>152400</xdr:rowOff>
    </xdr:to>
    <xdr:pic>
      <xdr:nvPicPr>
        <xdr:cNvPr id="52591" name="2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1638300" y="47625"/>
          <a:ext cx="1238250" cy="733425"/>
        </a:xfrm>
        <a:prstGeom prst="rect">
          <a:avLst/>
        </a:prstGeom>
        <a:noFill/>
        <a:ln w="9525">
          <a:noFill/>
          <a:miter lim="800000"/>
          <a:headEnd/>
          <a:tailEnd/>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1</xdr:col>
      <xdr:colOff>20170</xdr:colOff>
      <xdr:row>0</xdr:row>
      <xdr:rowOff>39781</xdr:rowOff>
    </xdr:from>
    <xdr:to>
      <xdr:col>5</xdr:col>
      <xdr:colOff>201145</xdr:colOff>
      <xdr:row>3</xdr:row>
      <xdr:rowOff>144556</xdr:rowOff>
    </xdr:to>
    <xdr:pic>
      <xdr:nvPicPr>
        <xdr:cNvPr id="75075" name="1 Imagen" descr="Gobierno horizontal.jpg"/>
        <xdr:cNvPicPr>
          <a:picLocks noChangeAspect="1" noChangeArrowheads="1"/>
        </xdr:cNvPicPr>
      </xdr:nvPicPr>
      <xdr:blipFill>
        <a:blip xmlns:r="http://schemas.openxmlformats.org/officeDocument/2006/relationships" r:embed="rId1" cstate="print">
          <a:clrChange>
            <a:clrFrom>
              <a:srgbClr val="FDFDFD"/>
            </a:clrFrom>
            <a:clrTo>
              <a:srgbClr val="FDFDFD">
                <a:alpha val="0"/>
              </a:srgbClr>
            </a:clrTo>
          </a:clrChange>
        </a:blip>
        <a:srcRect l="2698" r="3052" b="10001"/>
        <a:stretch>
          <a:fillRect/>
        </a:stretch>
      </xdr:blipFill>
      <xdr:spPr bwMode="auto">
        <a:xfrm>
          <a:off x="53788" y="39781"/>
          <a:ext cx="1682563" cy="743510"/>
        </a:xfrm>
        <a:prstGeom prst="rect">
          <a:avLst/>
        </a:prstGeom>
        <a:noFill/>
        <a:ln w="9525">
          <a:noFill/>
          <a:miter lim="800000"/>
          <a:headEnd/>
          <a:tailEnd/>
        </a:ln>
      </xdr:spPr>
    </xdr:pic>
    <xdr:clientData/>
  </xdr:twoCellAnchor>
  <xdr:twoCellAnchor editAs="oneCell">
    <xdr:from>
      <xdr:col>9</xdr:col>
      <xdr:colOff>400050</xdr:colOff>
      <xdr:row>153</xdr:row>
      <xdr:rowOff>47625</xdr:rowOff>
    </xdr:from>
    <xdr:to>
      <xdr:col>11</xdr:col>
      <xdr:colOff>311524</xdr:colOff>
      <xdr:row>155</xdr:row>
      <xdr:rowOff>9525</xdr:rowOff>
    </xdr:to>
    <xdr:pic>
      <xdr:nvPicPr>
        <xdr:cNvPr id="75076" name="3 Imagen"/>
        <xdr:cNvPicPr>
          <a:picLocks noChangeAspect="1" noChangeArrowheads="1"/>
        </xdr:cNvPicPr>
      </xdr:nvPicPr>
      <xdr:blipFill>
        <a:blip xmlns:r="http://schemas.openxmlformats.org/officeDocument/2006/relationships" r:embed="rId2" cstate="print">
          <a:clrChange>
            <a:clrFrom>
              <a:srgbClr val="FFFFFB"/>
            </a:clrFrom>
            <a:clrTo>
              <a:srgbClr val="FFFFFB">
                <a:alpha val="0"/>
              </a:srgbClr>
            </a:clrTo>
          </a:clrChange>
        </a:blip>
        <a:srcRect l="71185" t="34247" b="6776"/>
        <a:stretch>
          <a:fillRect/>
        </a:stretch>
      </xdr:blipFill>
      <xdr:spPr bwMode="auto">
        <a:xfrm>
          <a:off x="3305175" y="32575500"/>
          <a:ext cx="733425" cy="400050"/>
        </a:xfrm>
        <a:prstGeom prst="rect">
          <a:avLst/>
        </a:prstGeom>
        <a:noFill/>
        <a:ln w="9525">
          <a:noFill/>
          <a:miter lim="800000"/>
          <a:headEnd/>
          <a:tailEnd/>
        </a:ln>
      </xdr:spPr>
    </xdr:pic>
    <xdr:clientData/>
  </xdr:twoCellAnchor>
  <xdr:twoCellAnchor editAs="oneCell">
    <xdr:from>
      <xdr:col>15</xdr:col>
      <xdr:colOff>304800</xdr:colOff>
      <xdr:row>0</xdr:row>
      <xdr:rowOff>28575</xdr:rowOff>
    </xdr:from>
    <xdr:to>
      <xdr:col>19</xdr:col>
      <xdr:colOff>304239</xdr:colOff>
      <xdr:row>3</xdr:row>
      <xdr:rowOff>133350</xdr:rowOff>
    </xdr:to>
    <xdr:pic>
      <xdr:nvPicPr>
        <xdr:cNvPr id="75077" name="2 Imagen" descr="logoresultados.jpg"/>
        <xdr:cNvPicPr>
          <a:picLocks noChangeAspect="1" noChangeArrowheads="1"/>
        </xdr:cNvPicPr>
      </xdr:nvPicPr>
      <xdr:blipFill>
        <a:blip xmlns:r="http://schemas.openxmlformats.org/officeDocument/2006/relationships" r:embed="rId3" cstate="print">
          <a:clrChange>
            <a:clrFrom>
              <a:srgbClr val="FDFDFD"/>
            </a:clrFrom>
            <a:clrTo>
              <a:srgbClr val="FDFDFD">
                <a:alpha val="0"/>
              </a:srgbClr>
            </a:clrTo>
          </a:clrChange>
        </a:blip>
        <a:srcRect l="4242" r="5455"/>
        <a:stretch>
          <a:fillRect/>
        </a:stretch>
      </xdr:blipFill>
      <xdr:spPr bwMode="auto">
        <a:xfrm>
          <a:off x="5648325" y="28575"/>
          <a:ext cx="1657350" cy="733425"/>
        </a:xfrm>
        <a:prstGeom prst="rect">
          <a:avLst/>
        </a:prstGeom>
        <a:noFill/>
        <a:ln w="952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HP%20PRO/Downloads/Estadistica%20ZE%20042.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HP%20PRO/Downloads/Plantilla%20ZE%2004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HP%20PRO/Downloads/Documents%20and%20Settings/Administrador/Escritorio/MENU%20PRINCIPAL.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Tony/Desktop/Estadistica%20ZE%20042.xlsb"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Users/HP%20PRO/Downloads/Vta.%20de%20Inspecc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Users/HP%20PRO/Downloads/T.E.%20Zona%20042.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Users/HP%20PRO/Downloads/Estadistica%20ZE%2004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Users/HP%20PRO/Downloads/ESTADIS%20ZE%2004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ENERAL"/>
      <sheetName val="E OFICIALES"/>
      <sheetName val="E PARTICULARES"/>
      <sheetName val="0055K"/>
      <sheetName val="0491L"/>
      <sheetName val="0492K"/>
      <sheetName val="0564N"/>
      <sheetName val="0570Y"/>
      <sheetName val="0572W"/>
      <sheetName val="0581D"/>
      <sheetName val="0593I"/>
      <sheetName val="0640C"/>
      <sheetName val="0681C"/>
      <sheetName val="0688W"/>
      <sheetName val="ESC_O_12"/>
      <sheetName val="ESC_O_13"/>
      <sheetName val="ESC_O_14"/>
      <sheetName val="ESC_O_15"/>
      <sheetName val="ESC_O_16"/>
      <sheetName val="ESC_O_17"/>
      <sheetName val="ESC_O_18"/>
      <sheetName val="0099M"/>
      <sheetName val="0100L"/>
      <sheetName val="0125U"/>
      <sheetName val="0156N"/>
      <sheetName val="0163X"/>
      <sheetName val="ESC_P_06"/>
      <sheetName val="ESC_P_07"/>
      <sheetName val="ESC_P_08"/>
      <sheetName val="ESC_P_09"/>
      <sheetName val="ESC_P_10"/>
      <sheetName val="ESC_P_11"/>
      <sheetName val="ESC_P_12"/>
      <sheetName val="ESC_P_13"/>
      <sheetName val="ESC_P_14"/>
      <sheetName val="ESC_P_15"/>
      <sheetName val="ESC_P_16"/>
      <sheetName val="ESC_P_17"/>
      <sheetName val="ESC_P_18"/>
    </sheetNames>
    <sheetDataSet>
      <sheetData sheetId="0" refreshError="1"/>
      <sheetData sheetId="1" refreshError="1"/>
      <sheetData sheetId="2" refreshError="1"/>
      <sheetData sheetId="3">
        <row r="3">
          <cell r="S3" t="str">
            <v>antonia-sari02@hotmail</v>
          </cell>
        </row>
        <row r="6">
          <cell r="C6" t="str">
            <v>KABAH</v>
          </cell>
          <cell r="H6" t="str">
            <v>23DPR0055K</v>
          </cell>
          <cell r="Q6" t="str">
            <v>X</v>
          </cell>
        </row>
        <row r="7">
          <cell r="Q7" t="str">
            <v>X</v>
          </cell>
        </row>
        <row r="8">
          <cell r="C8" t="str">
            <v>C. OCOSINGO CON OCOTEPEC</v>
          </cell>
          <cell r="I8" t="str">
            <v>9981 49 34 04</v>
          </cell>
          <cell r="Q8" t="str">
            <v>X</v>
          </cell>
        </row>
        <row r="9">
          <cell r="U9" t="str">
            <v>X</v>
          </cell>
        </row>
        <row r="10">
          <cell r="C10" t="str">
            <v>CANCÚN</v>
          </cell>
          <cell r="I10" t="str">
            <v>BENITO JUAREZ</v>
          </cell>
          <cell r="Q10" t="str">
            <v>X</v>
          </cell>
        </row>
        <row r="13">
          <cell r="E13" t="str">
            <v>X</v>
          </cell>
          <cell r="P13">
            <v>12</v>
          </cell>
          <cell r="Q13">
            <v>1</v>
          </cell>
        </row>
        <row r="18">
          <cell r="F18">
            <v>1</v>
          </cell>
        </row>
        <row r="19">
          <cell r="V19">
            <v>1</v>
          </cell>
        </row>
        <row r="20">
          <cell r="V20">
            <v>8</v>
          </cell>
        </row>
        <row r="21">
          <cell r="H21">
            <v>12</v>
          </cell>
        </row>
        <row r="22">
          <cell r="H22">
            <v>1</v>
          </cell>
        </row>
        <row r="23">
          <cell r="H23">
            <v>1</v>
          </cell>
          <cell r="V23">
            <v>9</v>
          </cell>
        </row>
        <row r="24">
          <cell r="H24">
            <v>1</v>
          </cell>
        </row>
        <row r="26">
          <cell r="O26">
            <v>0</v>
          </cell>
        </row>
        <row r="31">
          <cell r="D31">
            <v>32</v>
          </cell>
          <cell r="E31">
            <v>25</v>
          </cell>
          <cell r="G31">
            <v>39</v>
          </cell>
          <cell r="H31">
            <v>29</v>
          </cell>
          <cell r="J31">
            <v>29</v>
          </cell>
          <cell r="K31">
            <v>33</v>
          </cell>
          <cell r="M31">
            <v>35</v>
          </cell>
          <cell r="N31">
            <v>33</v>
          </cell>
          <cell r="P31">
            <v>45</v>
          </cell>
          <cell r="Q31">
            <v>20</v>
          </cell>
          <cell r="S31">
            <v>39</v>
          </cell>
          <cell r="T31">
            <v>31</v>
          </cell>
        </row>
        <row r="32">
          <cell r="D32">
            <v>1</v>
          </cell>
          <cell r="E32">
            <v>4</v>
          </cell>
          <cell r="G32">
            <v>1</v>
          </cell>
          <cell r="H32">
            <v>3</v>
          </cell>
          <cell r="K32">
            <v>1</v>
          </cell>
          <cell r="N32">
            <v>1</v>
          </cell>
          <cell r="P32">
            <v>1</v>
          </cell>
          <cell r="Q32">
            <v>1</v>
          </cell>
          <cell r="S32">
            <v>1</v>
          </cell>
          <cell r="T32">
            <v>2</v>
          </cell>
        </row>
        <row r="34">
          <cell r="D34">
            <v>3</v>
          </cell>
          <cell r="E34">
            <v>3</v>
          </cell>
          <cell r="G34">
            <v>4</v>
          </cell>
          <cell r="H34">
            <v>4</v>
          </cell>
          <cell r="J34">
            <v>1</v>
          </cell>
          <cell r="K34">
            <v>5</v>
          </cell>
          <cell r="M34">
            <v>6</v>
          </cell>
          <cell r="N34">
            <v>3</v>
          </cell>
          <cell r="P34">
            <v>10</v>
          </cell>
          <cell r="Q34">
            <v>4</v>
          </cell>
          <cell r="S34">
            <v>10</v>
          </cell>
          <cell r="T34">
            <v>3</v>
          </cell>
        </row>
        <row r="35">
          <cell r="F35">
            <v>56</v>
          </cell>
          <cell r="I35">
            <v>64</v>
          </cell>
          <cell r="L35">
            <v>57</v>
          </cell>
          <cell r="O35">
            <v>60</v>
          </cell>
          <cell r="R35">
            <v>53</v>
          </cell>
          <cell r="U35">
            <v>60</v>
          </cell>
          <cell r="X35">
            <v>350</v>
          </cell>
        </row>
        <row r="38">
          <cell r="D38">
            <v>2</v>
          </cell>
          <cell r="G38">
            <v>2</v>
          </cell>
          <cell r="J38">
            <v>2</v>
          </cell>
          <cell r="M38">
            <v>2</v>
          </cell>
          <cell r="P38">
            <v>2</v>
          </cell>
          <cell r="S38">
            <v>2</v>
          </cell>
        </row>
        <row r="39">
          <cell r="E39">
            <v>2</v>
          </cell>
          <cell r="F39">
            <v>2</v>
          </cell>
          <cell r="H39">
            <v>2</v>
          </cell>
          <cell r="I39">
            <v>2</v>
          </cell>
          <cell r="K39">
            <v>2</v>
          </cell>
          <cell r="L39">
            <v>2</v>
          </cell>
          <cell r="N39">
            <v>2</v>
          </cell>
          <cell r="O39">
            <v>2</v>
          </cell>
          <cell r="P39">
            <v>1</v>
          </cell>
          <cell r="Q39">
            <v>1</v>
          </cell>
          <cell r="R39">
            <v>2</v>
          </cell>
          <cell r="S39">
            <v>1</v>
          </cell>
          <cell r="T39">
            <v>1</v>
          </cell>
          <cell r="U39">
            <v>2</v>
          </cell>
        </row>
        <row r="44">
          <cell r="F44" t="str">
            <v>ANTONIA CERVANTES BENITEZ</v>
          </cell>
          <cell r="O44" t="str">
            <v>JESUS MARTIN RICALDE CASTRO</v>
          </cell>
        </row>
      </sheetData>
      <sheetData sheetId="4">
        <row r="3">
          <cell r="S3" t="str">
            <v>toloc65@hotmail.com</v>
          </cell>
        </row>
        <row r="6">
          <cell r="C6" t="str">
            <v>8 DE OCTUBRE</v>
          </cell>
          <cell r="H6" t="str">
            <v>23DPR0491L</v>
          </cell>
          <cell r="Q6" t="str">
            <v>X</v>
          </cell>
        </row>
        <row r="7">
          <cell r="Q7" t="str">
            <v>X</v>
          </cell>
        </row>
        <row r="8">
          <cell r="C8" t="str">
            <v xml:space="preserve">REG. 96 MZS. 89 Y 90 </v>
          </cell>
          <cell r="I8" t="str">
            <v>9988-95-00-52</v>
          </cell>
          <cell r="Q8" t="str">
            <v>X</v>
          </cell>
        </row>
        <row r="9">
          <cell r="U9" t="str">
            <v>X</v>
          </cell>
        </row>
        <row r="10">
          <cell r="C10" t="str">
            <v>CANCUN</v>
          </cell>
          <cell r="I10" t="str">
            <v>BENITO JUAREZ</v>
          </cell>
          <cell r="Q10" t="str">
            <v>X</v>
          </cell>
        </row>
        <row r="13">
          <cell r="E13" t="str">
            <v>X</v>
          </cell>
          <cell r="P13">
            <v>14</v>
          </cell>
          <cell r="Q13">
            <v>1</v>
          </cell>
          <cell r="R13">
            <v>1</v>
          </cell>
        </row>
        <row r="18">
          <cell r="F18">
            <v>1</v>
          </cell>
        </row>
        <row r="19">
          <cell r="V19">
            <v>1</v>
          </cell>
        </row>
        <row r="20">
          <cell r="V20">
            <v>4</v>
          </cell>
        </row>
        <row r="21">
          <cell r="H21">
            <v>14</v>
          </cell>
        </row>
        <row r="22">
          <cell r="H22">
            <v>1</v>
          </cell>
        </row>
        <row r="23">
          <cell r="H23">
            <v>1</v>
          </cell>
          <cell r="V23">
            <v>5</v>
          </cell>
        </row>
        <row r="24">
          <cell r="H24">
            <v>2</v>
          </cell>
        </row>
        <row r="26">
          <cell r="K26">
            <v>42</v>
          </cell>
          <cell r="M26">
            <v>26</v>
          </cell>
          <cell r="O26">
            <v>68</v>
          </cell>
        </row>
        <row r="31">
          <cell r="D31">
            <v>45</v>
          </cell>
          <cell r="E31">
            <v>43</v>
          </cell>
          <cell r="G31">
            <v>36</v>
          </cell>
          <cell r="H31">
            <v>33</v>
          </cell>
          <cell r="J31">
            <v>34</v>
          </cell>
          <cell r="K31">
            <v>27</v>
          </cell>
          <cell r="M31">
            <v>52</v>
          </cell>
          <cell r="N31">
            <v>34</v>
          </cell>
          <cell r="P31">
            <v>34</v>
          </cell>
          <cell r="Q31">
            <v>36</v>
          </cell>
          <cell r="S31">
            <v>28</v>
          </cell>
          <cell r="T31">
            <v>37</v>
          </cell>
        </row>
        <row r="32">
          <cell r="D32">
            <v>3</v>
          </cell>
          <cell r="E32">
            <v>3</v>
          </cell>
          <cell r="G32">
            <v>2</v>
          </cell>
          <cell r="H32">
            <v>1</v>
          </cell>
          <cell r="J32">
            <v>4</v>
          </cell>
          <cell r="K32">
            <v>2</v>
          </cell>
          <cell r="M32">
            <v>3</v>
          </cell>
          <cell r="N32">
            <v>2</v>
          </cell>
          <cell r="T32">
            <v>2</v>
          </cell>
        </row>
        <row r="34">
          <cell r="D34">
            <v>6</v>
          </cell>
          <cell r="E34">
            <v>1</v>
          </cell>
          <cell r="G34">
            <v>3</v>
          </cell>
          <cell r="H34">
            <v>3</v>
          </cell>
          <cell r="J34">
            <v>3</v>
          </cell>
          <cell r="K34">
            <v>1</v>
          </cell>
          <cell r="M34">
            <v>5</v>
          </cell>
          <cell r="N34">
            <v>2</v>
          </cell>
          <cell r="P34">
            <v>1</v>
          </cell>
        </row>
        <row r="35">
          <cell r="F35">
            <v>87</v>
          </cell>
          <cell r="I35">
            <v>66</v>
          </cell>
          <cell r="L35">
            <v>63</v>
          </cell>
          <cell r="O35">
            <v>84</v>
          </cell>
          <cell r="R35">
            <v>69</v>
          </cell>
          <cell r="U35">
            <v>67</v>
          </cell>
          <cell r="X35">
            <v>436</v>
          </cell>
        </row>
        <row r="38">
          <cell r="D38">
            <v>3</v>
          </cell>
          <cell r="G38">
            <v>2</v>
          </cell>
          <cell r="J38">
            <v>2</v>
          </cell>
          <cell r="M38">
            <v>3</v>
          </cell>
          <cell r="P38">
            <v>2</v>
          </cell>
          <cell r="S38">
            <v>2</v>
          </cell>
        </row>
        <row r="39">
          <cell r="D39">
            <v>1</v>
          </cell>
          <cell r="E39">
            <v>2</v>
          </cell>
          <cell r="F39">
            <v>3</v>
          </cell>
          <cell r="H39">
            <v>2</v>
          </cell>
          <cell r="I39">
            <v>2</v>
          </cell>
          <cell r="K39">
            <v>2</v>
          </cell>
          <cell r="L39">
            <v>2</v>
          </cell>
          <cell r="N39">
            <v>3</v>
          </cell>
          <cell r="O39">
            <v>3</v>
          </cell>
          <cell r="P39">
            <v>2</v>
          </cell>
          <cell r="R39">
            <v>2</v>
          </cell>
          <cell r="S39">
            <v>1</v>
          </cell>
          <cell r="U39">
            <v>1</v>
          </cell>
        </row>
        <row r="44">
          <cell r="F44" t="str">
            <v>MANUEL JESUS BALAM XIU</v>
          </cell>
          <cell r="O44" t="str">
            <v>JESUS MARTIN RICALDE CASTRO</v>
          </cell>
        </row>
      </sheetData>
      <sheetData sheetId="5">
        <row r="3">
          <cell r="S3" t="str">
            <v>esmerald_96@hotmail.com</v>
          </cell>
        </row>
        <row r="6">
          <cell r="C6" t="str">
            <v>8 DE OCTUBRE</v>
          </cell>
          <cell r="H6" t="str">
            <v>23DPR0492K</v>
          </cell>
          <cell r="U6" t="str">
            <v>X</v>
          </cell>
        </row>
        <row r="7">
          <cell r="Q7" t="str">
            <v>X</v>
          </cell>
        </row>
        <row r="8">
          <cell r="C8" t="str">
            <v>REG. 96 MZAS. 89 Y 90 C. 127</v>
          </cell>
          <cell r="I8" t="str">
            <v>9982 25 54 93</v>
          </cell>
          <cell r="Q8" t="str">
            <v>X</v>
          </cell>
        </row>
        <row r="9">
          <cell r="U9" t="str">
            <v>X</v>
          </cell>
        </row>
        <row r="10">
          <cell r="C10" t="str">
            <v>CANCUN</v>
          </cell>
          <cell r="I10" t="str">
            <v>BENITO JUAREZ</v>
          </cell>
          <cell r="Q10" t="str">
            <v>X</v>
          </cell>
        </row>
        <row r="13">
          <cell r="E13" t="str">
            <v>X</v>
          </cell>
        </row>
        <row r="20">
          <cell r="F20">
            <v>1</v>
          </cell>
          <cell r="V20">
            <v>6</v>
          </cell>
        </row>
        <row r="21">
          <cell r="H21">
            <v>11</v>
          </cell>
        </row>
        <row r="22">
          <cell r="H22">
            <v>1</v>
          </cell>
        </row>
        <row r="23">
          <cell r="V23">
            <v>6</v>
          </cell>
        </row>
        <row r="24">
          <cell r="H24">
            <v>2</v>
          </cell>
        </row>
        <row r="26">
          <cell r="O26">
            <v>0</v>
          </cell>
        </row>
        <row r="31">
          <cell r="D31">
            <v>12</v>
          </cell>
          <cell r="E31">
            <v>18</v>
          </cell>
          <cell r="G31">
            <v>37</v>
          </cell>
          <cell r="H31">
            <v>28</v>
          </cell>
          <cell r="J31">
            <v>23</v>
          </cell>
          <cell r="K31">
            <v>28</v>
          </cell>
          <cell r="M31">
            <v>17</v>
          </cell>
          <cell r="N31">
            <v>17</v>
          </cell>
          <cell r="P31">
            <v>23</v>
          </cell>
          <cell r="Q31">
            <v>25</v>
          </cell>
          <cell r="S31">
            <v>25</v>
          </cell>
          <cell r="T31">
            <v>21</v>
          </cell>
        </row>
        <row r="32">
          <cell r="D32">
            <v>3</v>
          </cell>
          <cell r="E32">
            <v>2</v>
          </cell>
          <cell r="G32">
            <v>2</v>
          </cell>
          <cell r="H32">
            <v>5</v>
          </cell>
          <cell r="J32">
            <v>1</v>
          </cell>
          <cell r="K32">
            <v>5</v>
          </cell>
          <cell r="M32">
            <v>1</v>
          </cell>
          <cell r="N32">
            <v>2</v>
          </cell>
          <cell r="P32">
            <v>2</v>
          </cell>
          <cell r="Q32">
            <v>1</v>
          </cell>
          <cell r="S32">
            <v>1</v>
          </cell>
          <cell r="T32">
            <v>1</v>
          </cell>
        </row>
        <row r="34">
          <cell r="D34">
            <v>1</v>
          </cell>
          <cell r="E34">
            <v>2</v>
          </cell>
          <cell r="G34">
            <v>8</v>
          </cell>
          <cell r="H34">
            <v>6</v>
          </cell>
          <cell r="J34">
            <v>5</v>
          </cell>
          <cell r="K34">
            <v>3</v>
          </cell>
          <cell r="N34">
            <v>2</v>
          </cell>
          <cell r="P34">
            <v>3</v>
          </cell>
          <cell r="Q34">
            <v>2</v>
          </cell>
          <cell r="S34">
            <v>4</v>
          </cell>
          <cell r="T34">
            <v>1</v>
          </cell>
        </row>
        <row r="35">
          <cell r="F35">
            <v>32</v>
          </cell>
          <cell r="I35">
            <v>58</v>
          </cell>
          <cell r="L35">
            <v>49</v>
          </cell>
          <cell r="O35">
            <v>35</v>
          </cell>
          <cell r="R35">
            <v>46</v>
          </cell>
          <cell r="U35">
            <v>43</v>
          </cell>
          <cell r="X35">
            <v>263</v>
          </cell>
        </row>
        <row r="38">
          <cell r="D38">
            <v>1</v>
          </cell>
          <cell r="G38">
            <v>2</v>
          </cell>
          <cell r="J38">
            <v>2</v>
          </cell>
          <cell r="M38">
            <v>1</v>
          </cell>
          <cell r="P38">
            <v>2</v>
          </cell>
          <cell r="S38">
            <v>2</v>
          </cell>
        </row>
        <row r="39">
          <cell r="E39">
            <v>1</v>
          </cell>
          <cell r="F39">
            <v>1</v>
          </cell>
          <cell r="H39">
            <v>2</v>
          </cell>
          <cell r="I39">
            <v>2</v>
          </cell>
          <cell r="J39">
            <v>2</v>
          </cell>
          <cell r="L39">
            <v>2</v>
          </cell>
          <cell r="M39">
            <v>1</v>
          </cell>
          <cell r="O39">
            <v>1</v>
          </cell>
          <cell r="P39">
            <v>1</v>
          </cell>
          <cell r="Q39">
            <v>1</v>
          </cell>
          <cell r="R39">
            <v>2</v>
          </cell>
          <cell r="S39">
            <v>1</v>
          </cell>
          <cell r="T39">
            <v>1</v>
          </cell>
          <cell r="U39">
            <v>2</v>
          </cell>
        </row>
        <row r="44">
          <cell r="F44" t="str">
            <v>LIDIA ESMERALDA CARDEÑA BENITEZ</v>
          </cell>
          <cell r="O44" t="str">
            <v>JESUS MARTIN RICALDE CASTRO</v>
          </cell>
        </row>
      </sheetData>
      <sheetData sheetId="6">
        <row r="3">
          <cell r="S3" t="str">
            <v>m.roxana07@hotmail.com</v>
          </cell>
        </row>
        <row r="6">
          <cell r="C6" t="str">
            <v>DERECHOS DEL NIÑO</v>
          </cell>
          <cell r="H6" t="str">
            <v>23DPR0564N</v>
          </cell>
          <cell r="Q6" t="str">
            <v>X</v>
          </cell>
        </row>
        <row r="7">
          <cell r="Q7" t="str">
            <v>X</v>
          </cell>
        </row>
        <row r="8">
          <cell r="C8" t="str">
            <v>REG. 96 MZ. 23 L. 1 C. 12</v>
          </cell>
          <cell r="I8" t="str">
            <v>9988-43-76-43</v>
          </cell>
          <cell r="Q8" t="str">
            <v>X</v>
          </cell>
        </row>
        <row r="9">
          <cell r="U9" t="str">
            <v>X</v>
          </cell>
        </row>
        <row r="10">
          <cell r="C10" t="str">
            <v>CANCUN</v>
          </cell>
          <cell r="I10" t="str">
            <v>BENITO JUAREZ</v>
          </cell>
          <cell r="Q10" t="str">
            <v>X</v>
          </cell>
        </row>
        <row r="13">
          <cell r="E13" t="str">
            <v>X</v>
          </cell>
          <cell r="P13">
            <v>12</v>
          </cell>
          <cell r="R13">
            <v>1</v>
          </cell>
        </row>
        <row r="18">
          <cell r="F18">
            <v>1</v>
          </cell>
        </row>
        <row r="19">
          <cell r="V19">
            <v>1</v>
          </cell>
        </row>
        <row r="20">
          <cell r="V20">
            <v>4</v>
          </cell>
        </row>
        <row r="21">
          <cell r="H21">
            <v>12</v>
          </cell>
        </row>
        <row r="22">
          <cell r="H22">
            <v>1</v>
          </cell>
        </row>
        <row r="23">
          <cell r="V23">
            <v>5</v>
          </cell>
        </row>
        <row r="24">
          <cell r="H24">
            <v>1</v>
          </cell>
        </row>
        <row r="26">
          <cell r="O26">
            <v>0</v>
          </cell>
        </row>
        <row r="31">
          <cell r="D31">
            <v>30</v>
          </cell>
          <cell r="E31">
            <v>37</v>
          </cell>
          <cell r="G31">
            <v>34</v>
          </cell>
          <cell r="H31">
            <v>35</v>
          </cell>
          <cell r="J31">
            <v>31</v>
          </cell>
          <cell r="K31">
            <v>36</v>
          </cell>
          <cell r="M31">
            <v>36</v>
          </cell>
          <cell r="N31">
            <v>21</v>
          </cell>
          <cell r="P31">
            <v>28</v>
          </cell>
          <cell r="Q31">
            <v>22</v>
          </cell>
          <cell r="S31">
            <v>33</v>
          </cell>
          <cell r="T31">
            <v>27</v>
          </cell>
        </row>
        <row r="32">
          <cell r="D32">
            <v>2</v>
          </cell>
          <cell r="E32">
            <v>1</v>
          </cell>
          <cell r="G32">
            <v>2</v>
          </cell>
          <cell r="H32">
            <v>2</v>
          </cell>
          <cell r="J32">
            <v>1</v>
          </cell>
          <cell r="M32">
            <v>2</v>
          </cell>
          <cell r="S32">
            <v>1</v>
          </cell>
          <cell r="T32">
            <v>2</v>
          </cell>
        </row>
        <row r="34">
          <cell r="D34">
            <v>3</v>
          </cell>
          <cell r="E34">
            <v>5</v>
          </cell>
          <cell r="G34">
            <v>2</v>
          </cell>
          <cell r="H34">
            <v>1</v>
          </cell>
          <cell r="J34">
            <v>5</v>
          </cell>
          <cell r="M34">
            <v>2</v>
          </cell>
          <cell r="N34">
            <v>1</v>
          </cell>
          <cell r="P34">
            <v>4</v>
          </cell>
          <cell r="Q34">
            <v>1</v>
          </cell>
          <cell r="T34">
            <v>2</v>
          </cell>
        </row>
        <row r="35">
          <cell r="F35">
            <v>62</v>
          </cell>
          <cell r="I35">
            <v>70</v>
          </cell>
          <cell r="L35">
            <v>63</v>
          </cell>
          <cell r="O35">
            <v>56</v>
          </cell>
          <cell r="R35">
            <v>45</v>
          </cell>
          <cell r="U35">
            <v>61</v>
          </cell>
          <cell r="X35">
            <v>357</v>
          </cell>
        </row>
        <row r="38">
          <cell r="D38">
            <v>2</v>
          </cell>
          <cell r="G38">
            <v>2</v>
          </cell>
          <cell r="J38">
            <v>2</v>
          </cell>
          <cell r="M38">
            <v>2</v>
          </cell>
          <cell r="P38">
            <v>2</v>
          </cell>
          <cell r="S38">
            <v>2</v>
          </cell>
        </row>
        <row r="39">
          <cell r="E39">
            <v>2</v>
          </cell>
          <cell r="F39">
            <v>2</v>
          </cell>
          <cell r="H39">
            <v>2</v>
          </cell>
          <cell r="I39">
            <v>2</v>
          </cell>
          <cell r="J39">
            <v>1</v>
          </cell>
          <cell r="K39">
            <v>1</v>
          </cell>
          <cell r="L39">
            <v>2</v>
          </cell>
          <cell r="M39">
            <v>2</v>
          </cell>
          <cell r="O39">
            <v>2</v>
          </cell>
          <cell r="P39">
            <v>1</v>
          </cell>
          <cell r="Q39">
            <v>1</v>
          </cell>
          <cell r="R39">
            <v>2</v>
          </cell>
          <cell r="S39">
            <v>2</v>
          </cell>
          <cell r="U39">
            <v>2</v>
          </cell>
        </row>
        <row r="44">
          <cell r="F44" t="str">
            <v>CETINA CHAY  JUAN CARLOS</v>
          </cell>
          <cell r="O44" t="str">
            <v>JESUS MARTIN RICALDE CASTRO</v>
          </cell>
        </row>
      </sheetData>
      <sheetData sheetId="7">
        <row r="3">
          <cell r="S3" t="str">
            <v>carcox_68@hotmail.com</v>
          </cell>
        </row>
        <row r="6">
          <cell r="C6" t="str">
            <v>DERECHOS DEL NIÑO</v>
          </cell>
          <cell r="H6" t="str">
            <v>23DPR0570Y</v>
          </cell>
          <cell r="U6" t="str">
            <v>X</v>
          </cell>
        </row>
        <row r="7">
          <cell r="Q7" t="str">
            <v>X</v>
          </cell>
        </row>
        <row r="8">
          <cell r="C8" t="str">
            <v>REG. 96 INFONAVIT</v>
          </cell>
          <cell r="I8" t="str">
            <v>9981-09-97-59</v>
          </cell>
          <cell r="Q8" t="str">
            <v>X</v>
          </cell>
        </row>
        <row r="9">
          <cell r="U9" t="str">
            <v>X</v>
          </cell>
        </row>
        <row r="10">
          <cell r="C10" t="str">
            <v>CANCUN</v>
          </cell>
          <cell r="I10" t="str">
            <v>BENITO JUAREZ</v>
          </cell>
          <cell r="Q10" t="str">
            <v>X</v>
          </cell>
        </row>
        <row r="13">
          <cell r="E13" t="str">
            <v>X</v>
          </cell>
        </row>
        <row r="18">
          <cell r="F18">
            <v>1</v>
          </cell>
        </row>
        <row r="19">
          <cell r="V19">
            <v>1</v>
          </cell>
        </row>
        <row r="20">
          <cell r="V20">
            <v>6</v>
          </cell>
        </row>
        <row r="21">
          <cell r="H21">
            <v>9</v>
          </cell>
        </row>
        <row r="22">
          <cell r="H22">
            <v>1</v>
          </cell>
        </row>
        <row r="23">
          <cell r="V23">
            <v>7</v>
          </cell>
        </row>
        <row r="24">
          <cell r="H24">
            <v>1</v>
          </cell>
        </row>
        <row r="26">
          <cell r="O26">
            <v>0</v>
          </cell>
        </row>
        <row r="31">
          <cell r="D31">
            <v>13</v>
          </cell>
          <cell r="E31">
            <v>14</v>
          </cell>
          <cell r="G31">
            <v>21</v>
          </cell>
          <cell r="H31">
            <v>14</v>
          </cell>
          <cell r="J31">
            <v>19</v>
          </cell>
          <cell r="K31">
            <v>12</v>
          </cell>
          <cell r="M31">
            <v>13</v>
          </cell>
          <cell r="N31">
            <v>10</v>
          </cell>
          <cell r="P31">
            <v>18</v>
          </cell>
          <cell r="Q31">
            <v>14</v>
          </cell>
          <cell r="S31">
            <v>34</v>
          </cell>
          <cell r="T31">
            <v>31</v>
          </cell>
        </row>
        <row r="32">
          <cell r="D32">
            <v>1</v>
          </cell>
          <cell r="E32">
            <v>2</v>
          </cell>
          <cell r="G32">
            <v>2</v>
          </cell>
          <cell r="H32">
            <v>1</v>
          </cell>
          <cell r="J32">
            <v>4</v>
          </cell>
          <cell r="K32">
            <v>2</v>
          </cell>
          <cell r="M32">
            <v>4</v>
          </cell>
          <cell r="N32">
            <v>2</v>
          </cell>
          <cell r="P32">
            <v>1</v>
          </cell>
          <cell r="Q32">
            <v>1</v>
          </cell>
        </row>
        <row r="34">
          <cell r="D34">
            <v>2</v>
          </cell>
          <cell r="G34">
            <v>3</v>
          </cell>
          <cell r="H34">
            <v>3</v>
          </cell>
          <cell r="J34">
            <v>4</v>
          </cell>
          <cell r="K34">
            <v>5</v>
          </cell>
          <cell r="M34">
            <v>3</v>
          </cell>
          <cell r="P34">
            <v>2</v>
          </cell>
          <cell r="Q34">
            <v>1</v>
          </cell>
          <cell r="S34">
            <v>3</v>
          </cell>
        </row>
        <row r="35">
          <cell r="F35">
            <v>28</v>
          </cell>
          <cell r="I35">
            <v>32</v>
          </cell>
          <cell r="L35">
            <v>28</v>
          </cell>
          <cell r="O35">
            <v>26</v>
          </cell>
          <cell r="R35">
            <v>31</v>
          </cell>
          <cell r="U35">
            <v>62</v>
          </cell>
          <cell r="X35">
            <v>207</v>
          </cell>
        </row>
        <row r="38">
          <cell r="D38">
            <v>1</v>
          </cell>
          <cell r="G38">
            <v>1</v>
          </cell>
          <cell r="J38">
            <v>1</v>
          </cell>
          <cell r="M38">
            <v>1</v>
          </cell>
          <cell r="P38">
            <v>1</v>
          </cell>
          <cell r="S38">
            <v>2</v>
          </cell>
        </row>
        <row r="39">
          <cell r="E39">
            <v>1</v>
          </cell>
          <cell r="F39">
            <v>1</v>
          </cell>
          <cell r="H39">
            <v>1</v>
          </cell>
          <cell r="I39">
            <v>1</v>
          </cell>
          <cell r="J39">
            <v>1</v>
          </cell>
          <cell r="L39">
            <v>1</v>
          </cell>
          <cell r="M39">
            <v>1</v>
          </cell>
          <cell r="O39">
            <v>1</v>
          </cell>
          <cell r="Q39">
            <v>1</v>
          </cell>
          <cell r="R39">
            <v>1</v>
          </cell>
          <cell r="S39">
            <v>2</v>
          </cell>
          <cell r="U39">
            <v>2</v>
          </cell>
        </row>
        <row r="44">
          <cell r="F44" t="str">
            <v>CARLOS ENRIQUE COOX YAH</v>
          </cell>
          <cell r="O44" t="str">
            <v>JESUS MARTIN RICALDE CASTRO</v>
          </cell>
        </row>
      </sheetData>
      <sheetData sheetId="8">
        <row r="3">
          <cell r="S3" t="str">
            <v>neydi_carrillo@hotmail.com</v>
          </cell>
        </row>
        <row r="6">
          <cell r="C6" t="str">
            <v>CUITLAHUAC</v>
          </cell>
          <cell r="H6" t="str">
            <v>23DPR0572W</v>
          </cell>
          <cell r="Q6" t="str">
            <v>X</v>
          </cell>
        </row>
        <row r="7">
          <cell r="Q7" t="str">
            <v>X</v>
          </cell>
        </row>
        <row r="8">
          <cell r="C8" t="str">
            <v>REG. 510 MZ. 36 L. 1 Y 2 COL JACINTO PAT</v>
          </cell>
          <cell r="I8" t="str">
            <v>9985 78 74 49</v>
          </cell>
          <cell r="Q8" t="str">
            <v>X</v>
          </cell>
        </row>
        <row r="9">
          <cell r="U9" t="str">
            <v>X</v>
          </cell>
        </row>
        <row r="10">
          <cell r="C10" t="str">
            <v>CANCUN</v>
          </cell>
          <cell r="I10" t="str">
            <v>BENITO JUAREZ</v>
          </cell>
          <cell r="Q10" t="str">
            <v>X</v>
          </cell>
        </row>
        <row r="13">
          <cell r="E13" t="str">
            <v>X</v>
          </cell>
          <cell r="P13">
            <v>13</v>
          </cell>
          <cell r="S13">
            <v>1</v>
          </cell>
        </row>
        <row r="18">
          <cell r="F18">
            <v>1</v>
          </cell>
        </row>
        <row r="19">
          <cell r="V19">
            <v>1</v>
          </cell>
        </row>
        <row r="20">
          <cell r="V20">
            <v>7</v>
          </cell>
        </row>
        <row r="21">
          <cell r="H21">
            <v>13</v>
          </cell>
        </row>
        <row r="23">
          <cell r="V23">
            <v>8</v>
          </cell>
        </row>
        <row r="24">
          <cell r="H24">
            <v>2</v>
          </cell>
        </row>
        <row r="26">
          <cell r="K26">
            <v>37</v>
          </cell>
          <cell r="M26">
            <v>31</v>
          </cell>
          <cell r="O26">
            <v>68</v>
          </cell>
        </row>
        <row r="31">
          <cell r="D31">
            <v>47</v>
          </cell>
          <cell r="E31">
            <v>49</v>
          </cell>
          <cell r="G31">
            <v>28</v>
          </cell>
          <cell r="H31">
            <v>34</v>
          </cell>
          <cell r="J31">
            <v>23</v>
          </cell>
          <cell r="K31">
            <v>30</v>
          </cell>
          <cell r="M31">
            <v>33</v>
          </cell>
          <cell r="N31">
            <v>33</v>
          </cell>
          <cell r="P31">
            <v>25</v>
          </cell>
          <cell r="Q31">
            <v>43</v>
          </cell>
          <cell r="S31">
            <v>38</v>
          </cell>
          <cell r="T31">
            <v>30</v>
          </cell>
        </row>
        <row r="32">
          <cell r="D32">
            <v>6</v>
          </cell>
          <cell r="E32">
            <v>2</v>
          </cell>
          <cell r="G32">
            <v>3</v>
          </cell>
          <cell r="J32">
            <v>4</v>
          </cell>
          <cell r="K32">
            <v>3</v>
          </cell>
          <cell r="M32">
            <v>1</v>
          </cell>
          <cell r="N32">
            <v>2</v>
          </cell>
          <cell r="P32">
            <v>2</v>
          </cell>
          <cell r="Q32">
            <v>2</v>
          </cell>
          <cell r="T32">
            <v>2</v>
          </cell>
        </row>
        <row r="34">
          <cell r="D34">
            <v>3</v>
          </cell>
          <cell r="E34">
            <v>6</v>
          </cell>
          <cell r="G34">
            <v>4</v>
          </cell>
          <cell r="H34">
            <v>5</v>
          </cell>
          <cell r="J34">
            <v>4</v>
          </cell>
          <cell r="K34">
            <v>2</v>
          </cell>
          <cell r="M34">
            <v>2</v>
          </cell>
          <cell r="N34">
            <v>1</v>
          </cell>
          <cell r="P34">
            <v>1</v>
          </cell>
          <cell r="Q34">
            <v>2</v>
          </cell>
        </row>
        <row r="35">
          <cell r="F35">
            <v>95</v>
          </cell>
          <cell r="I35">
            <v>56</v>
          </cell>
          <cell r="L35">
            <v>54</v>
          </cell>
          <cell r="O35">
            <v>66</v>
          </cell>
          <cell r="R35">
            <v>69</v>
          </cell>
          <cell r="U35">
            <v>70</v>
          </cell>
          <cell r="X35">
            <v>410</v>
          </cell>
        </row>
        <row r="38">
          <cell r="D38">
            <v>3</v>
          </cell>
          <cell r="G38">
            <v>2</v>
          </cell>
          <cell r="J38">
            <v>2</v>
          </cell>
          <cell r="M38">
            <v>2</v>
          </cell>
          <cell r="P38">
            <v>2</v>
          </cell>
          <cell r="S38">
            <v>2</v>
          </cell>
        </row>
        <row r="39">
          <cell r="E39">
            <v>3</v>
          </cell>
          <cell r="F39">
            <v>3</v>
          </cell>
          <cell r="H39">
            <v>2</v>
          </cell>
          <cell r="I39">
            <v>2</v>
          </cell>
          <cell r="K39">
            <v>2</v>
          </cell>
          <cell r="L39">
            <v>2</v>
          </cell>
          <cell r="N39">
            <v>2</v>
          </cell>
          <cell r="O39">
            <v>2</v>
          </cell>
          <cell r="P39">
            <v>2</v>
          </cell>
          <cell r="R39">
            <v>2</v>
          </cell>
          <cell r="S39">
            <v>2</v>
          </cell>
          <cell r="U39">
            <v>2</v>
          </cell>
        </row>
        <row r="44">
          <cell r="F44" t="str">
            <v>DZIB TUZ MANUEL JESUS</v>
          </cell>
          <cell r="O44" t="str">
            <v>JESUS MARTIN RICALDE CASTRO</v>
          </cell>
        </row>
      </sheetData>
      <sheetData sheetId="9">
        <row r="3">
          <cell r="S3" t="str">
            <v>gemelamarcar@hotmail.com</v>
          </cell>
        </row>
        <row r="6">
          <cell r="C6" t="str">
            <v>CUITLAHUAC</v>
          </cell>
          <cell r="H6" t="str">
            <v>23DPR0581D</v>
          </cell>
          <cell r="U6" t="str">
            <v>X</v>
          </cell>
        </row>
        <row r="7">
          <cell r="Q7" t="str">
            <v>X</v>
          </cell>
        </row>
        <row r="8">
          <cell r="C8" t="str">
            <v>REG. 510 MZ. 36 L. 1 Y 2</v>
          </cell>
          <cell r="I8" t="str">
            <v>9987-34-95-64</v>
          </cell>
          <cell r="U8" t="str">
            <v>X</v>
          </cell>
        </row>
        <row r="9">
          <cell r="U9" t="str">
            <v>X</v>
          </cell>
        </row>
        <row r="10">
          <cell r="C10" t="str">
            <v>CANCUN</v>
          </cell>
          <cell r="I10" t="str">
            <v>BENITO JUAREZ</v>
          </cell>
          <cell r="Q10" t="str">
            <v>X</v>
          </cell>
        </row>
        <row r="13">
          <cell r="E13" t="str">
            <v>X</v>
          </cell>
        </row>
        <row r="17">
          <cell r="F17">
            <v>1</v>
          </cell>
        </row>
        <row r="20">
          <cell r="V20">
            <v>3</v>
          </cell>
        </row>
        <row r="21">
          <cell r="H21">
            <v>5</v>
          </cell>
        </row>
        <row r="22">
          <cell r="H22">
            <v>1</v>
          </cell>
        </row>
        <row r="23">
          <cell r="V23">
            <v>3</v>
          </cell>
        </row>
        <row r="24">
          <cell r="H24">
            <v>1</v>
          </cell>
        </row>
        <row r="26">
          <cell r="O26">
            <v>0</v>
          </cell>
        </row>
        <row r="31">
          <cell r="J31">
            <v>13</v>
          </cell>
          <cell r="K31">
            <v>9</v>
          </cell>
          <cell r="M31">
            <v>12</v>
          </cell>
          <cell r="N31">
            <v>10</v>
          </cell>
          <cell r="P31">
            <v>16</v>
          </cell>
          <cell r="Q31">
            <v>11</v>
          </cell>
          <cell r="S31">
            <v>22</v>
          </cell>
          <cell r="T31">
            <v>22</v>
          </cell>
        </row>
        <row r="32">
          <cell r="J32">
            <v>1</v>
          </cell>
          <cell r="K32">
            <v>1</v>
          </cell>
          <cell r="M32">
            <v>1</v>
          </cell>
          <cell r="P32">
            <v>1</v>
          </cell>
          <cell r="S32">
            <v>1</v>
          </cell>
        </row>
        <row r="34">
          <cell r="J34">
            <v>2</v>
          </cell>
          <cell r="M34">
            <v>2</v>
          </cell>
          <cell r="P34">
            <v>1</v>
          </cell>
          <cell r="Q34">
            <v>3</v>
          </cell>
          <cell r="S34">
            <v>1</v>
          </cell>
          <cell r="T34">
            <v>1</v>
          </cell>
        </row>
        <row r="35">
          <cell r="F35">
            <v>0</v>
          </cell>
          <cell r="I35">
            <v>0</v>
          </cell>
          <cell r="L35">
            <v>22</v>
          </cell>
          <cell r="O35">
            <v>21</v>
          </cell>
          <cell r="R35">
            <v>24</v>
          </cell>
          <cell r="U35">
            <v>43</v>
          </cell>
          <cell r="X35">
            <v>110</v>
          </cell>
        </row>
        <row r="38">
          <cell r="J38">
            <v>1</v>
          </cell>
          <cell r="M38">
            <v>1</v>
          </cell>
          <cell r="P38">
            <v>1</v>
          </cell>
          <cell r="S38">
            <v>2</v>
          </cell>
        </row>
        <row r="39">
          <cell r="F39">
            <v>0</v>
          </cell>
          <cell r="I39">
            <v>0</v>
          </cell>
          <cell r="K39">
            <v>1</v>
          </cell>
          <cell r="L39">
            <v>1</v>
          </cell>
          <cell r="N39">
            <v>1</v>
          </cell>
          <cell r="O39">
            <v>1</v>
          </cell>
          <cell r="P39">
            <v>1</v>
          </cell>
          <cell r="R39">
            <v>1</v>
          </cell>
          <cell r="S39">
            <v>2</v>
          </cell>
          <cell r="U39">
            <v>2</v>
          </cell>
        </row>
        <row r="44">
          <cell r="F44" t="str">
            <v>PUCH GOMEZ MADAI ROXANA</v>
          </cell>
          <cell r="O44" t="str">
            <v>JESUS MARTIN RICALDE CASTRO</v>
          </cell>
        </row>
      </sheetData>
      <sheetData sheetId="10">
        <row r="3">
          <cell r="S3" t="str">
            <v>manueljesu_95@hotmail.com</v>
          </cell>
        </row>
        <row r="6">
          <cell r="C6" t="str">
            <v>KABAH</v>
          </cell>
          <cell r="H6" t="str">
            <v>23DPR0593I</v>
          </cell>
          <cell r="U6" t="str">
            <v>X</v>
          </cell>
        </row>
        <row r="7">
          <cell r="Q7" t="str">
            <v>X</v>
          </cell>
        </row>
        <row r="8">
          <cell r="C8" t="str">
            <v>SMZ. 48 MZA. 13 L. 2 C. OCOSINGO</v>
          </cell>
          <cell r="I8" t="str">
            <v>998 2-51-88-28</v>
          </cell>
          <cell r="U8" t="str">
            <v>X</v>
          </cell>
        </row>
        <row r="9">
          <cell r="U9" t="str">
            <v>X</v>
          </cell>
        </row>
        <row r="10">
          <cell r="C10" t="str">
            <v>CANCUN</v>
          </cell>
          <cell r="I10" t="str">
            <v>BENITO JUAREZ</v>
          </cell>
          <cell r="U10" t="str">
            <v>X</v>
          </cell>
        </row>
        <row r="13">
          <cell r="E13" t="str">
            <v>X</v>
          </cell>
        </row>
        <row r="19">
          <cell r="F19">
            <v>1</v>
          </cell>
        </row>
        <row r="20">
          <cell r="V20">
            <v>2</v>
          </cell>
        </row>
        <row r="21">
          <cell r="H21">
            <v>1</v>
          </cell>
        </row>
        <row r="22">
          <cell r="H22">
            <v>1</v>
          </cell>
        </row>
        <row r="23">
          <cell r="V23">
            <v>2</v>
          </cell>
        </row>
        <row r="24">
          <cell r="H24">
            <v>1</v>
          </cell>
        </row>
        <row r="26">
          <cell r="O26">
            <v>0</v>
          </cell>
        </row>
        <row r="31">
          <cell r="P31">
            <v>9</v>
          </cell>
          <cell r="Q31">
            <v>11</v>
          </cell>
          <cell r="S31">
            <v>16</v>
          </cell>
          <cell r="T31">
            <v>12</v>
          </cell>
        </row>
        <row r="32">
          <cell r="Q32">
            <v>1</v>
          </cell>
          <cell r="S32">
            <v>1</v>
          </cell>
        </row>
        <row r="34">
          <cell r="P34">
            <v>1</v>
          </cell>
          <cell r="Q34">
            <v>1</v>
          </cell>
          <cell r="S34">
            <v>4</v>
          </cell>
          <cell r="T34">
            <v>2</v>
          </cell>
        </row>
        <row r="35">
          <cell r="F35">
            <v>0</v>
          </cell>
          <cell r="I35">
            <v>0</v>
          </cell>
          <cell r="L35">
            <v>0</v>
          </cell>
          <cell r="O35">
            <v>0</v>
          </cell>
          <cell r="R35">
            <v>19</v>
          </cell>
          <cell r="U35">
            <v>23</v>
          </cell>
          <cell r="X35">
            <v>42</v>
          </cell>
        </row>
        <row r="38">
          <cell r="P38">
            <v>1</v>
          </cell>
          <cell r="S38">
            <v>1</v>
          </cell>
        </row>
        <row r="39">
          <cell r="F39">
            <v>0</v>
          </cell>
          <cell r="I39">
            <v>0</v>
          </cell>
          <cell r="L39">
            <v>0</v>
          </cell>
          <cell r="O39">
            <v>0</v>
          </cell>
          <cell r="P39">
            <v>1</v>
          </cell>
          <cell r="R39">
            <v>1</v>
          </cell>
          <cell r="T39">
            <v>1</v>
          </cell>
          <cell r="U39">
            <v>1</v>
          </cell>
        </row>
        <row r="44">
          <cell r="F44" t="str">
            <v>MANUEL JESUS DZIB TUZ</v>
          </cell>
          <cell r="O44" t="str">
            <v>JESUS MARTIN RICALDE CASTRO</v>
          </cell>
        </row>
      </sheetData>
      <sheetData sheetId="11">
        <row r="3">
          <cell r="S3" t="str">
            <v>arjonasantoyo@hotmail.com</v>
          </cell>
        </row>
        <row r="6">
          <cell r="C6" t="str">
            <v>ANTONIO MEDIZ BOLIO</v>
          </cell>
          <cell r="H6" t="str">
            <v>23DPR0640C</v>
          </cell>
          <cell r="Q6" t="str">
            <v>X</v>
          </cell>
        </row>
        <row r="7">
          <cell r="Q7" t="str">
            <v>X</v>
          </cell>
        </row>
        <row r="8">
          <cell r="C8" t="str">
            <v>SMZ. 502 MZ. 2 L. 1 COL. PEHALTUN</v>
          </cell>
          <cell r="I8" t="str">
            <v>9981 98 41 36</v>
          </cell>
          <cell r="Q8" t="str">
            <v>X</v>
          </cell>
        </row>
        <row r="9">
          <cell r="U9" t="str">
            <v>X</v>
          </cell>
        </row>
        <row r="10">
          <cell r="C10" t="str">
            <v>CANCUN</v>
          </cell>
          <cell r="I10" t="str">
            <v>BENITO JUAREZ</v>
          </cell>
          <cell r="Q10" t="str">
            <v>X</v>
          </cell>
        </row>
        <row r="13">
          <cell r="E13" t="str">
            <v>X</v>
          </cell>
          <cell r="P13">
            <v>12</v>
          </cell>
          <cell r="Q13">
            <v>1</v>
          </cell>
        </row>
        <row r="18">
          <cell r="F18">
            <v>1</v>
          </cell>
        </row>
        <row r="19">
          <cell r="V19">
            <v>1</v>
          </cell>
        </row>
        <row r="20">
          <cell r="V20">
            <v>11</v>
          </cell>
        </row>
        <row r="21">
          <cell r="H21">
            <v>12</v>
          </cell>
        </row>
        <row r="22">
          <cell r="H22">
            <v>1</v>
          </cell>
          <cell r="V22">
            <v>1</v>
          </cell>
        </row>
        <row r="23">
          <cell r="H23">
            <v>1</v>
          </cell>
          <cell r="V23">
            <v>13</v>
          </cell>
        </row>
        <row r="24">
          <cell r="H24">
            <v>1</v>
          </cell>
        </row>
        <row r="26">
          <cell r="K26">
            <v>19</v>
          </cell>
          <cell r="M26">
            <v>23</v>
          </cell>
          <cell r="O26">
            <v>42</v>
          </cell>
        </row>
        <row r="31">
          <cell r="D31">
            <v>30</v>
          </cell>
          <cell r="E31">
            <v>24</v>
          </cell>
          <cell r="G31">
            <v>37</v>
          </cell>
          <cell r="H31">
            <v>22</v>
          </cell>
          <cell r="J31">
            <v>42</v>
          </cell>
          <cell r="K31">
            <v>25</v>
          </cell>
          <cell r="M31">
            <v>26</v>
          </cell>
          <cell r="N31">
            <v>39</v>
          </cell>
          <cell r="P31">
            <v>36</v>
          </cell>
          <cell r="Q31">
            <v>32</v>
          </cell>
          <cell r="S31">
            <v>40</v>
          </cell>
          <cell r="T31">
            <v>30</v>
          </cell>
        </row>
        <row r="32">
          <cell r="D32">
            <v>4</v>
          </cell>
          <cell r="E32">
            <v>4</v>
          </cell>
          <cell r="G32">
            <v>4</v>
          </cell>
          <cell r="H32">
            <v>3</v>
          </cell>
          <cell r="J32">
            <v>3</v>
          </cell>
          <cell r="K32">
            <v>1</v>
          </cell>
          <cell r="M32">
            <v>2</v>
          </cell>
          <cell r="N32">
            <v>3</v>
          </cell>
          <cell r="P32">
            <v>3</v>
          </cell>
          <cell r="Q32">
            <v>3</v>
          </cell>
          <cell r="S32">
            <v>1</v>
          </cell>
          <cell r="T32">
            <v>3</v>
          </cell>
        </row>
        <row r="34">
          <cell r="D34">
            <v>3</v>
          </cell>
          <cell r="E34">
            <v>8</v>
          </cell>
          <cell r="G34">
            <v>10</v>
          </cell>
          <cell r="H34">
            <v>3</v>
          </cell>
          <cell r="J34">
            <v>13</v>
          </cell>
          <cell r="K34">
            <v>11</v>
          </cell>
          <cell r="M34">
            <v>2</v>
          </cell>
          <cell r="N34">
            <v>4</v>
          </cell>
          <cell r="P34">
            <v>3</v>
          </cell>
          <cell r="Q34">
            <v>7</v>
          </cell>
          <cell r="S34">
            <v>7</v>
          </cell>
          <cell r="T34">
            <v>1</v>
          </cell>
        </row>
        <row r="35">
          <cell r="F35">
            <v>51</v>
          </cell>
          <cell r="I35">
            <v>53</v>
          </cell>
          <cell r="L35">
            <v>47</v>
          </cell>
          <cell r="O35">
            <v>64</v>
          </cell>
          <cell r="R35">
            <v>64</v>
          </cell>
          <cell r="U35">
            <v>66</v>
          </cell>
          <cell r="X35">
            <v>345</v>
          </cell>
        </row>
        <row r="38">
          <cell r="D38">
            <v>2</v>
          </cell>
          <cell r="G38">
            <v>2</v>
          </cell>
          <cell r="J38">
            <v>2</v>
          </cell>
          <cell r="M38">
            <v>2</v>
          </cell>
          <cell r="P38">
            <v>2</v>
          </cell>
          <cell r="S38">
            <v>2</v>
          </cell>
        </row>
        <row r="39">
          <cell r="D39">
            <v>1</v>
          </cell>
          <cell r="E39">
            <v>1</v>
          </cell>
          <cell r="F39">
            <v>2</v>
          </cell>
          <cell r="H39">
            <v>2</v>
          </cell>
          <cell r="I39">
            <v>2</v>
          </cell>
          <cell r="K39">
            <v>2</v>
          </cell>
          <cell r="L39">
            <v>2</v>
          </cell>
          <cell r="N39">
            <v>2</v>
          </cell>
          <cell r="O39">
            <v>2</v>
          </cell>
          <cell r="Q39">
            <v>2</v>
          </cell>
          <cell r="R39">
            <v>2</v>
          </cell>
          <cell r="S39">
            <v>2</v>
          </cell>
          <cell r="U39">
            <v>2</v>
          </cell>
        </row>
        <row r="44">
          <cell r="F44" t="str">
            <v>MARCO ANTONIO ARJONA SANTOYO</v>
          </cell>
          <cell r="O44" t="str">
            <v>JESUS MARTIN RICALDE CASTRO</v>
          </cell>
        </row>
      </sheetData>
      <sheetData sheetId="12">
        <row r="3">
          <cell r="S3" t="str">
            <v>esc.manuelcrescenciorejon.tm@hotmail.com</v>
          </cell>
        </row>
        <row r="6">
          <cell r="C6" t="str">
            <v>MANUEL CRESCENCIO REJON</v>
          </cell>
          <cell r="H6" t="str">
            <v>23DPR0681C</v>
          </cell>
          <cell r="Q6" t="str">
            <v>X</v>
          </cell>
        </row>
        <row r="7">
          <cell r="Q7" t="str">
            <v>X</v>
          </cell>
        </row>
        <row r="8">
          <cell r="C8" t="str">
            <v>REG. 95 MZA. 129 L. 2</v>
          </cell>
          <cell r="I8" t="str">
            <v>9987 34 27 50</v>
          </cell>
          <cell r="Q8" t="str">
            <v>X</v>
          </cell>
        </row>
        <row r="9">
          <cell r="U9" t="str">
            <v>X</v>
          </cell>
        </row>
        <row r="10">
          <cell r="C10" t="str">
            <v>CANCUN</v>
          </cell>
          <cell r="I10" t="str">
            <v>BENITO JUAREZ</v>
          </cell>
          <cell r="Q10" t="str">
            <v>X</v>
          </cell>
        </row>
        <row r="13">
          <cell r="E13" t="str">
            <v>X</v>
          </cell>
          <cell r="P13">
            <v>7</v>
          </cell>
        </row>
        <row r="18">
          <cell r="F18">
            <v>1</v>
          </cell>
        </row>
        <row r="19">
          <cell r="V19">
            <v>1</v>
          </cell>
        </row>
        <row r="20">
          <cell r="V20">
            <v>2</v>
          </cell>
        </row>
        <row r="21">
          <cell r="H21">
            <v>7</v>
          </cell>
          <cell r="V21">
            <v>1</v>
          </cell>
        </row>
        <row r="22">
          <cell r="H22">
            <v>1</v>
          </cell>
        </row>
        <row r="23">
          <cell r="V23">
            <v>4</v>
          </cell>
        </row>
        <row r="24">
          <cell r="H24">
            <v>1</v>
          </cell>
        </row>
        <row r="26">
          <cell r="K26">
            <v>18</v>
          </cell>
          <cell r="M26">
            <v>16</v>
          </cell>
          <cell r="O26">
            <v>34</v>
          </cell>
        </row>
        <row r="31">
          <cell r="D31">
            <v>19</v>
          </cell>
          <cell r="E31">
            <v>15</v>
          </cell>
          <cell r="G31">
            <v>23</v>
          </cell>
          <cell r="H31">
            <v>12</v>
          </cell>
          <cell r="J31">
            <v>20</v>
          </cell>
          <cell r="K31">
            <v>14</v>
          </cell>
          <cell r="M31">
            <v>20</v>
          </cell>
          <cell r="N31">
            <v>14</v>
          </cell>
          <cell r="P31">
            <v>34</v>
          </cell>
          <cell r="Q31">
            <v>24</v>
          </cell>
          <cell r="S31">
            <v>21</v>
          </cell>
          <cell r="T31">
            <v>13</v>
          </cell>
        </row>
        <row r="32">
          <cell r="E32">
            <v>1</v>
          </cell>
          <cell r="H32">
            <v>1</v>
          </cell>
          <cell r="J32">
            <v>2</v>
          </cell>
          <cell r="K32">
            <v>1</v>
          </cell>
          <cell r="M32">
            <v>1</v>
          </cell>
          <cell r="N32">
            <v>2</v>
          </cell>
          <cell r="P32">
            <v>3</v>
          </cell>
          <cell r="Q32">
            <v>3</v>
          </cell>
          <cell r="S32">
            <v>1</v>
          </cell>
          <cell r="T32">
            <v>1</v>
          </cell>
        </row>
        <row r="34">
          <cell r="H34">
            <v>3</v>
          </cell>
          <cell r="J34">
            <v>1</v>
          </cell>
          <cell r="K34">
            <v>1</v>
          </cell>
          <cell r="M34">
            <v>1</v>
          </cell>
          <cell r="N34">
            <v>1</v>
          </cell>
          <cell r="P34">
            <v>4</v>
          </cell>
          <cell r="Q34">
            <v>3</v>
          </cell>
          <cell r="S34">
            <v>2</v>
          </cell>
        </row>
        <row r="35">
          <cell r="F35">
            <v>35</v>
          </cell>
          <cell r="I35">
            <v>33</v>
          </cell>
          <cell r="L35">
            <v>35</v>
          </cell>
          <cell r="O35">
            <v>35</v>
          </cell>
          <cell r="R35">
            <v>57</v>
          </cell>
          <cell r="U35">
            <v>34</v>
          </cell>
          <cell r="X35">
            <v>229</v>
          </cell>
        </row>
        <row r="38">
          <cell r="D38">
            <v>1</v>
          </cell>
          <cell r="G38">
            <v>1</v>
          </cell>
          <cell r="J38">
            <v>1</v>
          </cell>
          <cell r="M38">
            <v>1</v>
          </cell>
          <cell r="P38">
            <v>2</v>
          </cell>
          <cell r="S38">
            <v>1</v>
          </cell>
        </row>
        <row r="39">
          <cell r="D39">
            <v>1</v>
          </cell>
          <cell r="F39">
            <v>1</v>
          </cell>
          <cell r="H39">
            <v>1</v>
          </cell>
          <cell r="I39">
            <v>1</v>
          </cell>
          <cell r="K39">
            <v>1</v>
          </cell>
          <cell r="L39">
            <v>1</v>
          </cell>
          <cell r="N39">
            <v>1</v>
          </cell>
          <cell r="O39">
            <v>1</v>
          </cell>
          <cell r="P39">
            <v>2</v>
          </cell>
          <cell r="R39">
            <v>2</v>
          </cell>
          <cell r="T39">
            <v>1</v>
          </cell>
          <cell r="U39">
            <v>1</v>
          </cell>
        </row>
        <row r="44">
          <cell r="F44" t="str">
            <v>DULCE RUTH CERVERA VIDAL</v>
          </cell>
          <cell r="O44" t="str">
            <v>JESUS MARTIN RICALDE CASTRO</v>
          </cell>
        </row>
      </sheetData>
      <sheetData sheetId="13">
        <row r="35">
          <cell r="U35">
            <v>0</v>
          </cell>
        </row>
        <row r="39">
          <cell r="U39">
            <v>0</v>
          </cell>
        </row>
        <row r="44">
          <cell r="O44" t="str">
            <v>JESUS MARTIN RICALDE CASTRO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ow r="3">
          <cell r="S3" t="str">
            <v>manantialcedu@hotmail.com</v>
          </cell>
        </row>
        <row r="6">
          <cell r="C6" t="str">
            <v>CENTRO EDUCATIVO EL MANANTIAL</v>
          </cell>
          <cell r="H6" t="str">
            <v>23PPR0099M</v>
          </cell>
          <cell r="Q6" t="str">
            <v>X</v>
          </cell>
        </row>
        <row r="7">
          <cell r="Q7" t="str">
            <v>X</v>
          </cell>
        </row>
        <row r="8">
          <cell r="C8" t="str">
            <v>AV. KABAH L. 7 MZ. 3 SMZ. 43</v>
          </cell>
          <cell r="I8" t="str">
            <v>9987 34 70 49</v>
          </cell>
          <cell r="U8" t="str">
            <v>X</v>
          </cell>
        </row>
        <row r="9">
          <cell r="U9" t="str">
            <v>X</v>
          </cell>
        </row>
        <row r="10">
          <cell r="C10" t="str">
            <v>CANCUN</v>
          </cell>
          <cell r="I10" t="str">
            <v>BENITO JUAREZ</v>
          </cell>
          <cell r="U10" t="str">
            <v>X</v>
          </cell>
        </row>
        <row r="13">
          <cell r="I13" t="str">
            <v>X</v>
          </cell>
          <cell r="P13">
            <v>4</v>
          </cell>
          <cell r="R13">
            <v>1</v>
          </cell>
          <cell r="S13">
            <v>2</v>
          </cell>
        </row>
        <row r="17">
          <cell r="F17">
            <v>1</v>
          </cell>
        </row>
        <row r="21">
          <cell r="H21">
            <v>3</v>
          </cell>
        </row>
        <row r="22">
          <cell r="H22">
            <v>1</v>
          </cell>
        </row>
        <row r="23">
          <cell r="V23">
            <v>0</v>
          </cell>
        </row>
        <row r="24">
          <cell r="H24">
            <v>1</v>
          </cell>
        </row>
        <row r="25">
          <cell r="H25">
            <v>5</v>
          </cell>
        </row>
        <row r="26">
          <cell r="K26">
            <v>7</v>
          </cell>
          <cell r="M26">
            <v>8</v>
          </cell>
          <cell r="O26">
            <v>15</v>
          </cell>
        </row>
        <row r="31">
          <cell r="D31">
            <v>6</v>
          </cell>
          <cell r="E31">
            <v>3</v>
          </cell>
          <cell r="G31">
            <v>7</v>
          </cell>
          <cell r="H31">
            <v>6</v>
          </cell>
          <cell r="J31">
            <v>4</v>
          </cell>
          <cell r="K31">
            <v>4</v>
          </cell>
          <cell r="M31">
            <v>10</v>
          </cell>
          <cell r="N31">
            <v>3</v>
          </cell>
          <cell r="P31">
            <v>10</v>
          </cell>
          <cell r="Q31">
            <v>7</v>
          </cell>
          <cell r="S31">
            <v>5</v>
          </cell>
          <cell r="T31">
            <v>8</v>
          </cell>
        </row>
        <row r="32">
          <cell r="E32">
            <v>1</v>
          </cell>
          <cell r="G32">
            <v>1</v>
          </cell>
          <cell r="H32">
            <v>3</v>
          </cell>
          <cell r="K32">
            <v>3</v>
          </cell>
          <cell r="M32">
            <v>1</v>
          </cell>
          <cell r="Q32">
            <v>3</v>
          </cell>
          <cell r="S32">
            <v>2</v>
          </cell>
          <cell r="T32">
            <v>1</v>
          </cell>
        </row>
        <row r="34">
          <cell r="E34">
            <v>1</v>
          </cell>
          <cell r="G34">
            <v>1</v>
          </cell>
          <cell r="H34">
            <v>1</v>
          </cell>
          <cell r="M34">
            <v>1</v>
          </cell>
          <cell r="Q34">
            <v>1</v>
          </cell>
        </row>
        <row r="35">
          <cell r="F35">
            <v>9</v>
          </cell>
          <cell r="I35">
            <v>15</v>
          </cell>
          <cell r="L35">
            <v>11</v>
          </cell>
          <cell r="O35">
            <v>13</v>
          </cell>
          <cell r="R35">
            <v>19</v>
          </cell>
          <cell r="X35">
            <v>83</v>
          </cell>
        </row>
        <row r="38">
          <cell r="D38">
            <v>1</v>
          </cell>
          <cell r="G38">
            <v>1</v>
          </cell>
          <cell r="J38">
            <v>1</v>
          </cell>
          <cell r="M38">
            <v>1</v>
          </cell>
          <cell r="P38">
            <v>1</v>
          </cell>
          <cell r="S38">
            <v>1</v>
          </cell>
        </row>
        <row r="39">
          <cell r="E39">
            <v>1</v>
          </cell>
          <cell r="F39">
            <v>1</v>
          </cell>
          <cell r="I39">
            <v>0</v>
          </cell>
          <cell r="J39">
            <v>1</v>
          </cell>
          <cell r="L39">
            <v>1</v>
          </cell>
          <cell r="O39">
            <v>0</v>
          </cell>
          <cell r="P39">
            <v>1</v>
          </cell>
          <cell r="R39">
            <v>1</v>
          </cell>
          <cell r="T39">
            <v>1</v>
          </cell>
        </row>
        <row r="44">
          <cell r="F44" t="str">
            <v>AURORA LETICIA TUCUCH SANTOS</v>
          </cell>
          <cell r="O44" t="str">
            <v>JESUS MARTIN RICALDE CASTRO</v>
          </cell>
        </row>
      </sheetData>
      <sheetData sheetId="22">
        <row r="3">
          <cell r="S3" t="str">
            <v>centroescolarhispano@hotmail.com</v>
          </cell>
        </row>
        <row r="6">
          <cell r="C6" t="str">
            <v>COLEGIO HISPANOAMERICANO LA LUNA</v>
          </cell>
          <cell r="H6" t="str">
            <v>23PPR0100L</v>
          </cell>
          <cell r="Q6" t="str">
            <v>X</v>
          </cell>
        </row>
        <row r="7">
          <cell r="Q7" t="str">
            <v>X</v>
          </cell>
        </row>
        <row r="8">
          <cell r="C8" t="str">
            <v>REG. 311 SMZ. 313 MADROÑO 131</v>
          </cell>
          <cell r="I8" t="str">
            <v>9981 23 57 16</v>
          </cell>
          <cell r="Q8" t="str">
            <v>X</v>
          </cell>
        </row>
        <row r="9">
          <cell r="U9" t="str">
            <v>X</v>
          </cell>
        </row>
        <row r="10">
          <cell r="C10" t="str">
            <v>CANCUN</v>
          </cell>
          <cell r="I10" t="str">
            <v>BENITO JUAREZ</v>
          </cell>
          <cell r="U10" t="str">
            <v>X</v>
          </cell>
        </row>
        <row r="13">
          <cell r="I13" t="str">
            <v>X</v>
          </cell>
          <cell r="P13">
            <v>6</v>
          </cell>
          <cell r="S13">
            <v>1</v>
          </cell>
          <cell r="U13">
            <v>1</v>
          </cell>
        </row>
        <row r="17">
          <cell r="F17">
            <v>1</v>
          </cell>
        </row>
        <row r="21">
          <cell r="H21">
            <v>5</v>
          </cell>
        </row>
        <row r="22">
          <cell r="H22">
            <v>1</v>
          </cell>
        </row>
        <row r="23">
          <cell r="V23">
            <v>0</v>
          </cell>
        </row>
        <row r="24">
          <cell r="H24">
            <v>1</v>
          </cell>
        </row>
        <row r="25">
          <cell r="H25">
            <v>4</v>
          </cell>
        </row>
        <row r="26">
          <cell r="K26">
            <v>12</v>
          </cell>
          <cell r="M26">
            <v>11</v>
          </cell>
          <cell r="O26">
            <v>23</v>
          </cell>
        </row>
        <row r="31">
          <cell r="D31">
            <v>11</v>
          </cell>
          <cell r="E31">
            <v>4</v>
          </cell>
          <cell r="G31">
            <v>9</v>
          </cell>
          <cell r="H31">
            <v>8</v>
          </cell>
          <cell r="J31">
            <v>9</v>
          </cell>
          <cell r="K31">
            <v>15</v>
          </cell>
          <cell r="M31">
            <v>7</v>
          </cell>
          <cell r="N31">
            <v>5</v>
          </cell>
          <cell r="P31">
            <v>9</v>
          </cell>
          <cell r="Q31">
            <v>10</v>
          </cell>
          <cell r="S31">
            <v>12</v>
          </cell>
          <cell r="T31">
            <v>8</v>
          </cell>
        </row>
        <row r="32">
          <cell r="E32">
            <v>3</v>
          </cell>
          <cell r="G32">
            <v>2</v>
          </cell>
          <cell r="H32">
            <v>3</v>
          </cell>
          <cell r="K32">
            <v>3</v>
          </cell>
          <cell r="M32">
            <v>2</v>
          </cell>
          <cell r="N32">
            <v>1</v>
          </cell>
          <cell r="P32">
            <v>3</v>
          </cell>
          <cell r="Q32">
            <v>3</v>
          </cell>
          <cell r="S32">
            <v>5</v>
          </cell>
          <cell r="T32">
            <v>1</v>
          </cell>
        </row>
        <row r="34">
          <cell r="D34">
            <v>1</v>
          </cell>
          <cell r="H34">
            <v>1</v>
          </cell>
          <cell r="K34">
            <v>1</v>
          </cell>
          <cell r="P34">
            <v>1</v>
          </cell>
        </row>
        <row r="35">
          <cell r="F35">
            <v>17</v>
          </cell>
          <cell r="I35">
            <v>21</v>
          </cell>
          <cell r="L35">
            <v>26</v>
          </cell>
          <cell r="O35">
            <v>15</v>
          </cell>
          <cell r="R35">
            <v>24</v>
          </cell>
          <cell r="U35">
            <v>26</v>
          </cell>
          <cell r="X35">
            <v>129</v>
          </cell>
        </row>
        <row r="38">
          <cell r="D38">
            <v>1</v>
          </cell>
          <cell r="G38">
            <v>1</v>
          </cell>
          <cell r="J38">
            <v>1</v>
          </cell>
          <cell r="M38">
            <v>1</v>
          </cell>
          <cell r="P38">
            <v>1</v>
          </cell>
          <cell r="S38">
            <v>1</v>
          </cell>
        </row>
        <row r="39">
          <cell r="E39">
            <v>1</v>
          </cell>
          <cell r="F39">
            <v>1</v>
          </cell>
          <cell r="H39">
            <v>1</v>
          </cell>
          <cell r="I39">
            <v>1</v>
          </cell>
          <cell r="K39">
            <v>1</v>
          </cell>
          <cell r="L39">
            <v>1</v>
          </cell>
          <cell r="N39">
            <v>1</v>
          </cell>
          <cell r="O39">
            <v>1</v>
          </cell>
          <cell r="Q39">
            <v>1</v>
          </cell>
          <cell r="R39">
            <v>1</v>
          </cell>
          <cell r="T39">
            <v>1</v>
          </cell>
          <cell r="U39">
            <v>1</v>
          </cell>
        </row>
        <row r="44">
          <cell r="F44" t="str">
            <v xml:space="preserve">CRUZ MARTINEZ BELEM </v>
          </cell>
          <cell r="O44" t="str">
            <v>JESUS MARTIN RICALDE CASTRO</v>
          </cell>
        </row>
      </sheetData>
      <sheetData sheetId="23">
        <row r="3">
          <cell r="S3" t="str">
            <v>pspatriciarv@hotmail.com</v>
          </cell>
        </row>
        <row r="6">
          <cell r="C6" t="str">
            <v>JOSE VASCONCELOS</v>
          </cell>
          <cell r="H6" t="str">
            <v>23PPR0125U</v>
          </cell>
          <cell r="Q6" t="str">
            <v>X</v>
          </cell>
        </row>
        <row r="7">
          <cell r="Q7" t="str">
            <v>X</v>
          </cell>
        </row>
        <row r="8">
          <cell r="C8" t="str">
            <v>AV. POLITECNICO SMZ. 502 MZ. 8</v>
          </cell>
          <cell r="I8" t="str">
            <v>9981 47 65 68</v>
          </cell>
          <cell r="U8" t="str">
            <v>X</v>
          </cell>
        </row>
        <row r="9">
          <cell r="U9" t="str">
            <v>X</v>
          </cell>
        </row>
        <row r="10">
          <cell r="C10" t="str">
            <v>CANCUN</v>
          </cell>
          <cell r="I10" t="str">
            <v>BANITO JUAREZ</v>
          </cell>
          <cell r="U10" t="str">
            <v>X</v>
          </cell>
        </row>
        <row r="13">
          <cell r="I13" t="str">
            <v>X</v>
          </cell>
          <cell r="P13">
            <v>4</v>
          </cell>
          <cell r="R13">
            <v>1</v>
          </cell>
          <cell r="S13">
            <v>1</v>
          </cell>
          <cell r="U13">
            <v>1</v>
          </cell>
        </row>
        <row r="18">
          <cell r="F18">
            <v>1</v>
          </cell>
        </row>
        <row r="21">
          <cell r="H21">
            <v>4</v>
          </cell>
        </row>
        <row r="22">
          <cell r="H22">
            <v>1</v>
          </cell>
        </row>
        <row r="23">
          <cell r="V23">
            <v>0</v>
          </cell>
        </row>
        <row r="24">
          <cell r="H24">
            <v>1</v>
          </cell>
        </row>
        <row r="25">
          <cell r="H25">
            <v>1</v>
          </cell>
        </row>
        <row r="26">
          <cell r="K26">
            <v>6</v>
          </cell>
          <cell r="M26">
            <v>7</v>
          </cell>
          <cell r="O26">
            <v>13</v>
          </cell>
        </row>
        <row r="31">
          <cell r="D31">
            <v>5</v>
          </cell>
          <cell r="E31">
            <v>2</v>
          </cell>
          <cell r="G31">
            <v>7</v>
          </cell>
          <cell r="H31">
            <v>2</v>
          </cell>
          <cell r="J31">
            <v>9</v>
          </cell>
          <cell r="K31">
            <v>3</v>
          </cell>
          <cell r="M31">
            <v>5</v>
          </cell>
          <cell r="N31">
            <v>6</v>
          </cell>
          <cell r="P31">
            <v>10</v>
          </cell>
          <cell r="Q31">
            <v>2</v>
          </cell>
          <cell r="S31">
            <v>5</v>
          </cell>
          <cell r="T31">
            <v>2</v>
          </cell>
        </row>
        <row r="32">
          <cell r="E32">
            <v>1</v>
          </cell>
          <cell r="G32">
            <v>1</v>
          </cell>
          <cell r="K32">
            <v>1</v>
          </cell>
          <cell r="M32">
            <v>2</v>
          </cell>
          <cell r="P32">
            <v>1</v>
          </cell>
          <cell r="S32">
            <v>1</v>
          </cell>
          <cell r="T32">
            <v>1</v>
          </cell>
        </row>
        <row r="34">
          <cell r="M34">
            <v>1</v>
          </cell>
          <cell r="N34">
            <v>1</v>
          </cell>
          <cell r="P34">
            <v>2</v>
          </cell>
          <cell r="S34">
            <v>1</v>
          </cell>
        </row>
        <row r="35">
          <cell r="F35">
            <v>8</v>
          </cell>
          <cell r="I35">
            <v>10</v>
          </cell>
          <cell r="L35">
            <v>13</v>
          </cell>
          <cell r="O35">
            <v>11</v>
          </cell>
          <cell r="R35">
            <v>11</v>
          </cell>
          <cell r="U35">
            <v>8</v>
          </cell>
          <cell r="X35">
            <v>61</v>
          </cell>
        </row>
        <row r="38">
          <cell r="D38">
            <v>1</v>
          </cell>
          <cell r="G38">
            <v>1</v>
          </cell>
          <cell r="J38">
            <v>1</v>
          </cell>
          <cell r="M38">
            <v>1</v>
          </cell>
          <cell r="P38">
            <v>1</v>
          </cell>
          <cell r="S38">
            <v>1</v>
          </cell>
        </row>
        <row r="39">
          <cell r="E39">
            <v>1</v>
          </cell>
          <cell r="F39">
            <v>1</v>
          </cell>
          <cell r="I39">
            <v>0</v>
          </cell>
          <cell r="K39">
            <v>1</v>
          </cell>
          <cell r="L39">
            <v>1</v>
          </cell>
          <cell r="N39">
            <v>1</v>
          </cell>
          <cell r="O39">
            <v>1</v>
          </cell>
          <cell r="Q39">
            <v>1</v>
          </cell>
          <cell r="R39">
            <v>1</v>
          </cell>
          <cell r="U39">
            <v>0</v>
          </cell>
        </row>
        <row r="44">
          <cell r="F44" t="str">
            <v>PATRICIA RUIZ VALLE</v>
          </cell>
          <cell r="O44" t="str">
            <v>JESUS MARTIN RICALDE CASTRO</v>
          </cell>
        </row>
      </sheetData>
      <sheetData sheetId="24">
        <row r="3">
          <cell r="S3" t="str">
            <v>cilaqroo@hotmail.com</v>
          </cell>
        </row>
        <row r="6">
          <cell r="C6" t="str">
            <v>CENTRO INFANTIL LATINOAMERICANO</v>
          </cell>
          <cell r="H6" t="str">
            <v>23PPR0156N</v>
          </cell>
          <cell r="Q6" t="str">
            <v>X</v>
          </cell>
        </row>
        <row r="7">
          <cell r="Q7" t="str">
            <v>X</v>
          </cell>
        </row>
        <row r="8">
          <cell r="C8" t="str">
            <v>AV. CANCÚN MZ. 25 L. 6</v>
          </cell>
          <cell r="I8" t="str">
            <v>9985 77 44 15</v>
          </cell>
          <cell r="U8" t="str">
            <v>X</v>
          </cell>
        </row>
        <row r="9">
          <cell r="U9" t="str">
            <v>X</v>
          </cell>
        </row>
        <row r="10">
          <cell r="C10" t="str">
            <v>CANCUN</v>
          </cell>
          <cell r="I10" t="str">
            <v>BENITO JUAREZ</v>
          </cell>
          <cell r="U10" t="str">
            <v>X</v>
          </cell>
        </row>
        <row r="13">
          <cell r="I13" t="str">
            <v>X</v>
          </cell>
          <cell r="P13">
            <v>4</v>
          </cell>
          <cell r="R13">
            <v>1</v>
          </cell>
        </row>
        <row r="18">
          <cell r="F18">
            <v>1</v>
          </cell>
        </row>
        <row r="21">
          <cell r="H21">
            <v>2</v>
          </cell>
        </row>
        <row r="23">
          <cell r="V23">
            <v>0</v>
          </cell>
        </row>
        <row r="24">
          <cell r="H24">
            <v>1</v>
          </cell>
        </row>
        <row r="25">
          <cell r="H25">
            <v>3</v>
          </cell>
        </row>
        <row r="26">
          <cell r="K26">
            <v>9</v>
          </cell>
          <cell r="M26">
            <v>9</v>
          </cell>
          <cell r="O26">
            <v>18</v>
          </cell>
        </row>
        <row r="31">
          <cell r="D31">
            <v>10</v>
          </cell>
          <cell r="E31">
            <v>6</v>
          </cell>
          <cell r="G31">
            <v>10</v>
          </cell>
          <cell r="H31">
            <v>4</v>
          </cell>
          <cell r="J31">
            <v>6</v>
          </cell>
          <cell r="K31">
            <v>3</v>
          </cell>
          <cell r="M31">
            <v>7</v>
          </cell>
          <cell r="N31">
            <v>4</v>
          </cell>
        </row>
        <row r="32">
          <cell r="H32">
            <v>1</v>
          </cell>
          <cell r="J32">
            <v>1</v>
          </cell>
          <cell r="M32">
            <v>1</v>
          </cell>
        </row>
        <row r="34">
          <cell r="D34">
            <v>1</v>
          </cell>
          <cell r="G34">
            <v>2</v>
          </cell>
          <cell r="M34">
            <v>1</v>
          </cell>
        </row>
        <row r="35">
          <cell r="F35">
            <v>15</v>
          </cell>
          <cell r="I35">
            <v>13</v>
          </cell>
          <cell r="L35">
            <v>10</v>
          </cell>
          <cell r="O35">
            <v>11</v>
          </cell>
          <cell r="R35">
            <v>0</v>
          </cell>
          <cell r="U35">
            <v>0</v>
          </cell>
          <cell r="X35">
            <v>49</v>
          </cell>
        </row>
        <row r="38">
          <cell r="D38">
            <v>1</v>
          </cell>
          <cell r="G38">
            <v>1</v>
          </cell>
          <cell r="J38">
            <v>1</v>
          </cell>
          <cell r="M38">
            <v>1</v>
          </cell>
        </row>
        <row r="39">
          <cell r="E39">
            <v>1</v>
          </cell>
          <cell r="F39">
            <v>1</v>
          </cell>
          <cell r="I39">
            <v>0</v>
          </cell>
          <cell r="K39">
            <v>1</v>
          </cell>
          <cell r="L39">
            <v>1</v>
          </cell>
          <cell r="O39">
            <v>0</v>
          </cell>
          <cell r="R39">
            <v>0</v>
          </cell>
          <cell r="U39">
            <v>0</v>
          </cell>
        </row>
        <row r="44">
          <cell r="F44" t="str">
            <v>G.CANTO PUERTO REBECA</v>
          </cell>
          <cell r="O44" t="str">
            <v>JESUS MARTIN RICALDE CASTRO</v>
          </cell>
        </row>
      </sheetData>
      <sheetData sheetId="25">
        <row r="3">
          <cell r="S3" t="str">
            <v>glorita05111@hotmail.com</v>
          </cell>
        </row>
        <row r="6">
          <cell r="C6" t="str">
            <v>COLEGIO KING DAVID</v>
          </cell>
          <cell r="H6" t="str">
            <v>23PPR0163X</v>
          </cell>
          <cell r="Q6" t="str">
            <v>X</v>
          </cell>
        </row>
        <row r="7">
          <cell r="Q7" t="str">
            <v>X</v>
          </cell>
        </row>
        <row r="8">
          <cell r="C8" t="str">
            <v>SM-313  MZA-20  LTE-3  AV-FONATUR</v>
          </cell>
          <cell r="I8" t="str">
            <v>9981 79 87 49</v>
          </cell>
          <cell r="U8" t="str">
            <v>X</v>
          </cell>
        </row>
        <row r="9">
          <cell r="U9" t="str">
            <v>X</v>
          </cell>
        </row>
        <row r="10">
          <cell r="C10" t="str">
            <v xml:space="preserve">CANCUN  </v>
          </cell>
          <cell r="I10" t="str">
            <v>BENITO JUAREZ</v>
          </cell>
          <cell r="U10" t="str">
            <v>X</v>
          </cell>
        </row>
        <row r="13">
          <cell r="I13" t="str">
            <v>X</v>
          </cell>
          <cell r="P13">
            <v>6</v>
          </cell>
          <cell r="R13">
            <v>1</v>
          </cell>
          <cell r="S13">
            <v>1</v>
          </cell>
        </row>
        <row r="17">
          <cell r="F17">
            <v>1</v>
          </cell>
        </row>
        <row r="21">
          <cell r="H21">
            <v>8</v>
          </cell>
        </row>
        <row r="22">
          <cell r="H22">
            <v>1</v>
          </cell>
        </row>
        <row r="23">
          <cell r="V23">
            <v>0</v>
          </cell>
        </row>
        <row r="24">
          <cell r="H24">
            <v>1</v>
          </cell>
        </row>
        <row r="25">
          <cell r="H25">
            <v>7</v>
          </cell>
        </row>
        <row r="26">
          <cell r="K26">
            <v>13</v>
          </cell>
          <cell r="M26">
            <v>15</v>
          </cell>
          <cell r="O26">
            <v>28</v>
          </cell>
        </row>
        <row r="31">
          <cell r="D31">
            <v>18</v>
          </cell>
          <cell r="E31">
            <v>23</v>
          </cell>
          <cell r="G31">
            <v>14</v>
          </cell>
          <cell r="H31">
            <v>13</v>
          </cell>
          <cell r="J31">
            <v>11</v>
          </cell>
          <cell r="K31">
            <v>14</v>
          </cell>
          <cell r="M31">
            <v>11</v>
          </cell>
          <cell r="N31">
            <v>12</v>
          </cell>
          <cell r="P31">
            <v>16</v>
          </cell>
          <cell r="Q31">
            <v>17</v>
          </cell>
          <cell r="S31">
            <v>5</v>
          </cell>
          <cell r="T31">
            <v>4</v>
          </cell>
        </row>
        <row r="32">
          <cell r="D32">
            <v>3</v>
          </cell>
          <cell r="G32">
            <v>2</v>
          </cell>
          <cell r="H32">
            <v>1</v>
          </cell>
          <cell r="J32">
            <v>1</v>
          </cell>
          <cell r="K32">
            <v>1</v>
          </cell>
          <cell r="M32">
            <v>1</v>
          </cell>
          <cell r="T32">
            <v>1</v>
          </cell>
        </row>
        <row r="34">
          <cell r="D34">
            <v>2</v>
          </cell>
          <cell r="H34">
            <v>1</v>
          </cell>
          <cell r="K34">
            <v>1</v>
          </cell>
          <cell r="M34">
            <v>1</v>
          </cell>
          <cell r="Q34">
            <v>1</v>
          </cell>
        </row>
        <row r="35">
          <cell r="F35">
            <v>42</v>
          </cell>
          <cell r="I35">
            <v>29</v>
          </cell>
          <cell r="L35">
            <v>26</v>
          </cell>
          <cell r="O35">
            <v>23</v>
          </cell>
          <cell r="R35">
            <v>32</v>
          </cell>
          <cell r="U35">
            <v>10</v>
          </cell>
          <cell r="X35">
            <v>162</v>
          </cell>
        </row>
        <row r="38">
          <cell r="D38">
            <v>2</v>
          </cell>
          <cell r="G38">
            <v>2</v>
          </cell>
          <cell r="J38">
            <v>2</v>
          </cell>
          <cell r="M38">
            <v>1</v>
          </cell>
          <cell r="P38">
            <v>2</v>
          </cell>
          <cell r="S38">
            <v>1</v>
          </cell>
        </row>
        <row r="39">
          <cell r="E39">
            <v>2</v>
          </cell>
          <cell r="F39">
            <v>2</v>
          </cell>
          <cell r="H39">
            <v>2</v>
          </cell>
          <cell r="I39">
            <v>2</v>
          </cell>
          <cell r="K39">
            <v>2</v>
          </cell>
          <cell r="L39">
            <v>2</v>
          </cell>
          <cell r="N39">
            <v>1</v>
          </cell>
          <cell r="O39">
            <v>1</v>
          </cell>
          <cell r="P39">
            <v>1</v>
          </cell>
          <cell r="Q39">
            <v>1</v>
          </cell>
          <cell r="R39">
            <v>2</v>
          </cell>
          <cell r="U39">
            <v>0</v>
          </cell>
        </row>
        <row r="44">
          <cell r="F44" t="str">
            <v>MIRANDA VALDEZ MARIA ALMA</v>
          </cell>
          <cell r="O44" t="str">
            <v>JESUS MARTIN RICALDE CASTRO</v>
          </cell>
        </row>
      </sheetData>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 042"/>
    </sheetNames>
    <sheetDataSet>
      <sheetData sheetId="0" refreshError="1">
        <row r="1">
          <cell r="X1" t="str">
            <v>BENITO JUAREZ</v>
          </cell>
        </row>
        <row r="3">
          <cell r="W3" t="str">
            <v>042</v>
          </cell>
        </row>
        <row r="4">
          <cell r="U4" t="str">
            <v>QUINTANA ROO</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U"/>
    </sheetNames>
    <sheetDataSet>
      <sheetData sheetId="0" refreshError="1">
        <row r="15">
          <cell r="E15" t="str">
            <v>004 CANCUN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 GENERAL"/>
      <sheetName val="E OFICIALES"/>
      <sheetName val="E PARTICULARES"/>
      <sheetName val="0055K"/>
      <sheetName val="0491L"/>
      <sheetName val="0492K"/>
      <sheetName val="0564N"/>
      <sheetName val="0570Y"/>
      <sheetName val="0572W"/>
      <sheetName val="0581D"/>
      <sheetName val="0593I"/>
      <sheetName val="0640C"/>
      <sheetName val="0681C"/>
      <sheetName val="0688W"/>
      <sheetName val="ESC_O_12"/>
      <sheetName val="ESC_O_13"/>
      <sheetName val="ESC_O_14"/>
      <sheetName val="ESC_O_15"/>
      <sheetName val="ESC_O_16"/>
      <sheetName val="ESC_O_17"/>
      <sheetName val="ESC_O_18"/>
      <sheetName val="0099M"/>
      <sheetName val="0100L"/>
      <sheetName val="0125U"/>
      <sheetName val="0156N"/>
      <sheetName val="0163X"/>
      <sheetName val="ESC_P_06"/>
      <sheetName val="ESC_P_07"/>
      <sheetName val="ESC_P_08"/>
      <sheetName val="ESC_P_09"/>
      <sheetName val="ESC_P_10"/>
      <sheetName val="ESC_P_11"/>
      <sheetName val="ESC_P_12"/>
      <sheetName val="ESC_P_13"/>
      <sheetName val="ESC_P_14"/>
      <sheetName val="ESC_P_15"/>
      <sheetName val="ESC_P_16"/>
      <sheetName val="ESC_P_17"/>
      <sheetName val="ESC_P_18"/>
    </sheetNames>
    <sheetDataSet>
      <sheetData sheetId="0"/>
      <sheetData sheetId="1">
        <row r="1">
          <cell r="V1" t="str">
            <v>2011-2012</v>
          </cell>
        </row>
        <row r="2">
          <cell r="V2" t="str">
            <v>23FIZ0042</v>
          </cell>
        </row>
        <row r="3">
          <cell r="V3" t="str">
            <v>9981 30 19 11</v>
          </cell>
        </row>
        <row r="4">
          <cell r="D4" t="str">
            <v>REG. 93 MZA.33 L. 14 AV. MIGUEL HIDALGO</v>
          </cell>
          <cell r="R4" t="str">
            <v xml:space="preserve">martincancun69@hotmail.com </v>
          </cell>
        </row>
        <row r="11">
          <cell r="G11">
            <v>0</v>
          </cell>
        </row>
        <row r="14">
          <cell r="W14">
            <v>0</v>
          </cell>
        </row>
        <row r="15">
          <cell r="W15">
            <v>0</v>
          </cell>
        </row>
        <row r="17">
          <cell r="W17">
            <v>0</v>
          </cell>
        </row>
        <row r="19">
          <cell r="W19">
            <v>1</v>
          </cell>
        </row>
        <row r="20">
          <cell r="W20">
            <v>2</v>
          </cell>
        </row>
        <row r="23">
          <cell r="V23">
            <v>4</v>
          </cell>
        </row>
        <row r="26">
          <cell r="D26">
            <v>4</v>
          </cell>
          <cell r="E26">
            <v>0</v>
          </cell>
          <cell r="G26">
            <v>10</v>
          </cell>
          <cell r="H26">
            <v>7</v>
          </cell>
          <cell r="J26">
            <v>7</v>
          </cell>
          <cell r="K26">
            <v>4</v>
          </cell>
          <cell r="M26">
            <v>5</v>
          </cell>
          <cell r="N26">
            <v>0</v>
          </cell>
          <cell r="P26">
            <v>4</v>
          </cell>
          <cell r="Q26">
            <v>1</v>
          </cell>
          <cell r="S26">
            <v>9</v>
          </cell>
          <cell r="T26">
            <v>1</v>
          </cell>
        </row>
        <row r="42">
          <cell r="G42" t="str">
            <v>JESUS MARTIN RICALDE CASTRO</v>
          </cell>
        </row>
      </sheetData>
      <sheetData sheetId="2">
        <row r="7">
          <cell r="H7">
            <v>5</v>
          </cell>
        </row>
        <row r="14">
          <cell r="W14">
            <v>0</v>
          </cell>
        </row>
        <row r="15">
          <cell r="W15">
            <v>0</v>
          </cell>
        </row>
        <row r="26">
          <cell r="D26">
            <v>0</v>
          </cell>
          <cell r="E26">
            <v>0</v>
          </cell>
          <cell r="G26">
            <v>0</v>
          </cell>
          <cell r="H26">
            <v>0</v>
          </cell>
          <cell r="J26">
            <v>0</v>
          </cell>
          <cell r="K26">
            <v>0</v>
          </cell>
          <cell r="M26">
            <v>0</v>
          </cell>
          <cell r="N26">
            <v>0</v>
          </cell>
          <cell r="P26">
            <v>0</v>
          </cell>
          <cell r="Q26">
            <v>0</v>
          </cell>
          <cell r="S26">
            <v>0</v>
          </cell>
          <cell r="T26">
            <v>0</v>
          </cell>
        </row>
      </sheetData>
      <sheetData sheetId="3">
        <row r="3">
          <cell r="S3" t="str">
            <v>caloscetin4226@hotmail.com</v>
          </cell>
        </row>
        <row r="8">
          <cell r="C8" t="str">
            <v>C. OCOSINGO CON OCOTEPEC</v>
          </cell>
        </row>
        <row r="19">
          <cell r="O19">
            <v>0</v>
          </cell>
        </row>
        <row r="20">
          <cell r="O20">
            <v>0</v>
          </cell>
        </row>
        <row r="28">
          <cell r="D28">
            <v>2</v>
          </cell>
          <cell r="E28">
            <v>0</v>
          </cell>
          <cell r="F28">
            <v>2</v>
          </cell>
          <cell r="G28">
            <v>1</v>
          </cell>
          <cell r="H28">
            <v>5</v>
          </cell>
          <cell r="I28">
            <v>6</v>
          </cell>
          <cell r="J28">
            <v>2</v>
          </cell>
          <cell r="K28">
            <v>4</v>
          </cell>
          <cell r="L28">
            <v>6</v>
          </cell>
          <cell r="M28">
            <v>3</v>
          </cell>
          <cell r="N28">
            <v>0</v>
          </cell>
          <cell r="O28">
            <v>3</v>
          </cell>
          <cell r="P28">
            <v>1</v>
          </cell>
          <cell r="Q28">
            <v>1</v>
          </cell>
          <cell r="R28">
            <v>2</v>
          </cell>
          <cell r="S28">
            <v>2</v>
          </cell>
          <cell r="T28">
            <v>1</v>
          </cell>
          <cell r="U28">
            <v>3</v>
          </cell>
        </row>
        <row r="38">
          <cell r="D38">
            <v>2</v>
          </cell>
          <cell r="E38">
            <v>0</v>
          </cell>
          <cell r="F38">
            <v>0</v>
          </cell>
          <cell r="G38">
            <v>2</v>
          </cell>
          <cell r="H38">
            <v>0</v>
          </cell>
          <cell r="I38">
            <v>0</v>
          </cell>
          <cell r="J38">
            <v>2</v>
          </cell>
          <cell r="K38">
            <v>0</v>
          </cell>
          <cell r="L38">
            <v>0</v>
          </cell>
          <cell r="M38">
            <v>2</v>
          </cell>
          <cell r="N38">
            <v>0</v>
          </cell>
          <cell r="O38">
            <v>0</v>
          </cell>
          <cell r="P38">
            <v>2</v>
          </cell>
          <cell r="Q38">
            <v>0</v>
          </cell>
          <cell r="R38">
            <v>0</v>
          </cell>
          <cell r="S38">
            <v>2</v>
          </cell>
          <cell r="T38">
            <v>0</v>
          </cell>
          <cell r="U38">
            <v>0</v>
          </cell>
        </row>
      </sheetData>
      <sheetData sheetId="4">
        <row r="3">
          <cell r="S3" t="str">
            <v>primaria8_octubre@hotmail.com</v>
          </cell>
        </row>
        <row r="8">
          <cell r="C8" t="str">
            <v xml:space="preserve">REG. 96 MZS. 89 Y 90 </v>
          </cell>
        </row>
        <row r="19">
          <cell r="O19">
            <v>0</v>
          </cell>
        </row>
        <row r="20">
          <cell r="O20">
            <v>0</v>
          </cell>
        </row>
        <row r="28">
          <cell r="D28">
            <v>1</v>
          </cell>
          <cell r="E28">
            <v>0</v>
          </cell>
          <cell r="F28">
            <v>1</v>
          </cell>
          <cell r="G28">
            <v>4</v>
          </cell>
          <cell r="H28">
            <v>2</v>
          </cell>
          <cell r="I28">
            <v>6</v>
          </cell>
          <cell r="J28">
            <v>3</v>
          </cell>
          <cell r="K28">
            <v>0</v>
          </cell>
          <cell r="L28">
            <v>3</v>
          </cell>
          <cell r="M28">
            <v>1</v>
          </cell>
          <cell r="N28">
            <v>0</v>
          </cell>
          <cell r="O28">
            <v>1</v>
          </cell>
          <cell r="P28">
            <v>3</v>
          </cell>
          <cell r="Q28">
            <v>0</v>
          </cell>
          <cell r="R28">
            <v>3</v>
          </cell>
          <cell r="S28">
            <v>0</v>
          </cell>
          <cell r="T28">
            <v>0</v>
          </cell>
          <cell r="U28">
            <v>0</v>
          </cell>
        </row>
        <row r="38">
          <cell r="D38">
            <v>2</v>
          </cell>
          <cell r="E38">
            <v>0</v>
          </cell>
          <cell r="F38">
            <v>0</v>
          </cell>
          <cell r="G38">
            <v>3</v>
          </cell>
          <cell r="H38">
            <v>0</v>
          </cell>
          <cell r="I38">
            <v>0</v>
          </cell>
          <cell r="J38">
            <v>2</v>
          </cell>
          <cell r="K38">
            <v>0</v>
          </cell>
          <cell r="L38">
            <v>0</v>
          </cell>
          <cell r="M38">
            <v>2</v>
          </cell>
          <cell r="N38">
            <v>0</v>
          </cell>
          <cell r="O38">
            <v>0</v>
          </cell>
          <cell r="P38">
            <v>3</v>
          </cell>
          <cell r="Q38">
            <v>0</v>
          </cell>
          <cell r="R38">
            <v>0</v>
          </cell>
          <cell r="S38">
            <v>2</v>
          </cell>
          <cell r="T38">
            <v>0</v>
          </cell>
          <cell r="U38">
            <v>0</v>
          </cell>
        </row>
      </sheetData>
      <sheetData sheetId="5">
        <row r="3">
          <cell r="S3" t="str">
            <v>dolphin_95@hotmail.com</v>
          </cell>
        </row>
        <row r="8">
          <cell r="C8" t="str">
            <v>REG. 96 MZAS. 89 Y 90 C. 127</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2</v>
          </cell>
          <cell r="E38">
            <v>0</v>
          </cell>
          <cell r="F38">
            <v>0</v>
          </cell>
          <cell r="G38">
            <v>1</v>
          </cell>
          <cell r="H38">
            <v>0</v>
          </cell>
          <cell r="I38">
            <v>0</v>
          </cell>
          <cell r="J38">
            <v>2</v>
          </cell>
          <cell r="K38">
            <v>0</v>
          </cell>
          <cell r="L38">
            <v>0</v>
          </cell>
          <cell r="M38">
            <v>2</v>
          </cell>
          <cell r="N38">
            <v>0</v>
          </cell>
          <cell r="O38">
            <v>0</v>
          </cell>
          <cell r="P38">
            <v>2</v>
          </cell>
          <cell r="Q38">
            <v>0</v>
          </cell>
          <cell r="R38">
            <v>0</v>
          </cell>
          <cell r="S38">
            <v>1</v>
          </cell>
          <cell r="T38">
            <v>0</v>
          </cell>
          <cell r="U38">
            <v>0</v>
          </cell>
        </row>
      </sheetData>
      <sheetData sheetId="6">
        <row r="3">
          <cell r="S3" t="str">
            <v>m.roxana07@hotmail.com</v>
          </cell>
        </row>
        <row r="8">
          <cell r="C8" t="str">
            <v>REG. 96 MZ. 23 L. 1 C. 12</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2</v>
          </cell>
          <cell r="E38">
            <v>0</v>
          </cell>
          <cell r="F38">
            <v>0</v>
          </cell>
          <cell r="G38">
            <v>2</v>
          </cell>
          <cell r="H38">
            <v>0</v>
          </cell>
          <cell r="I38">
            <v>0</v>
          </cell>
          <cell r="J38">
            <v>2</v>
          </cell>
          <cell r="K38">
            <v>0</v>
          </cell>
          <cell r="L38">
            <v>0</v>
          </cell>
          <cell r="M38">
            <v>2</v>
          </cell>
          <cell r="N38">
            <v>0</v>
          </cell>
          <cell r="O38">
            <v>0</v>
          </cell>
          <cell r="P38">
            <v>2</v>
          </cell>
          <cell r="Q38">
            <v>0</v>
          </cell>
          <cell r="R38">
            <v>0</v>
          </cell>
          <cell r="S38">
            <v>2</v>
          </cell>
          <cell r="T38">
            <v>0</v>
          </cell>
          <cell r="U38">
            <v>0</v>
          </cell>
        </row>
      </sheetData>
      <sheetData sheetId="7">
        <row r="3">
          <cell r="S3" t="str">
            <v>carcox_68@hotmail.com</v>
          </cell>
        </row>
        <row r="8">
          <cell r="C8" t="str">
            <v>REG. 96 INFONAVIT</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1</v>
          </cell>
          <cell r="N38">
            <v>0</v>
          </cell>
          <cell r="O38">
            <v>0</v>
          </cell>
          <cell r="P38">
            <v>2</v>
          </cell>
          <cell r="Q38">
            <v>0</v>
          </cell>
          <cell r="R38">
            <v>0</v>
          </cell>
          <cell r="S38">
            <v>1</v>
          </cell>
          <cell r="T38">
            <v>0</v>
          </cell>
          <cell r="U38">
            <v>0</v>
          </cell>
        </row>
      </sheetData>
      <sheetData sheetId="8">
        <row r="3">
          <cell r="S3" t="str">
            <v>neydi_carrillo@hotmail.com</v>
          </cell>
        </row>
        <row r="8">
          <cell r="C8" t="str">
            <v>REG. 510 MZ. 36 L. 1 Y 2 COL JACINTO PAT</v>
          </cell>
          <cell r="I8" t="str">
            <v xml:space="preserve">9985-78-74-49 </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2</v>
          </cell>
          <cell r="E38">
            <v>0</v>
          </cell>
          <cell r="F38">
            <v>0</v>
          </cell>
          <cell r="G38">
            <v>2</v>
          </cell>
          <cell r="H38">
            <v>0</v>
          </cell>
          <cell r="I38">
            <v>0</v>
          </cell>
          <cell r="J38">
            <v>2</v>
          </cell>
          <cell r="K38">
            <v>0</v>
          </cell>
          <cell r="L38">
            <v>0</v>
          </cell>
          <cell r="M38">
            <v>2</v>
          </cell>
          <cell r="N38">
            <v>0</v>
          </cell>
          <cell r="O38">
            <v>0</v>
          </cell>
          <cell r="P38">
            <v>3</v>
          </cell>
          <cell r="Q38">
            <v>0</v>
          </cell>
          <cell r="R38">
            <v>0</v>
          </cell>
          <cell r="S38">
            <v>2</v>
          </cell>
          <cell r="T38">
            <v>0</v>
          </cell>
          <cell r="U38">
            <v>0</v>
          </cell>
        </row>
      </sheetData>
      <sheetData sheetId="9">
        <row r="3">
          <cell r="S3" t="str">
            <v>gemelamarcar@hotmail.com</v>
          </cell>
        </row>
        <row r="8">
          <cell r="C8" t="str">
            <v>REG. 510 MZ. 36 L. 1 Y 2</v>
          </cell>
          <cell r="I8" t="str">
            <v>9987-34-95-64</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2</v>
          </cell>
          <cell r="N38">
            <v>0</v>
          </cell>
          <cell r="O38">
            <v>0</v>
          </cell>
          <cell r="P38">
            <v>1</v>
          </cell>
          <cell r="Q38">
            <v>0</v>
          </cell>
          <cell r="R38">
            <v>0</v>
          </cell>
          <cell r="S38">
            <v>1</v>
          </cell>
          <cell r="T38">
            <v>0</v>
          </cell>
          <cell r="U38">
            <v>0</v>
          </cell>
        </row>
      </sheetData>
      <sheetData sheetId="10">
        <row r="3">
          <cell r="S3" t="str">
            <v>bonsai@hotmail.com</v>
          </cell>
        </row>
        <row r="8">
          <cell r="C8" t="str">
            <v>SMZ. 48 MZA. 13 L. 2 C. OCOSINGO</v>
          </cell>
          <cell r="I8" t="str">
            <v>998 2-51-88-28</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0</v>
          </cell>
          <cell r="E38">
            <v>0</v>
          </cell>
          <cell r="F38">
            <v>0</v>
          </cell>
          <cell r="G38">
            <v>0</v>
          </cell>
          <cell r="H38">
            <v>0</v>
          </cell>
          <cell r="I38">
            <v>0</v>
          </cell>
          <cell r="J38">
            <v>1</v>
          </cell>
          <cell r="K38">
            <v>0</v>
          </cell>
          <cell r="L38">
            <v>0</v>
          </cell>
          <cell r="M38">
            <v>1</v>
          </cell>
          <cell r="N38">
            <v>0</v>
          </cell>
          <cell r="O38">
            <v>0</v>
          </cell>
          <cell r="P38">
            <v>1</v>
          </cell>
          <cell r="Q38">
            <v>0</v>
          </cell>
          <cell r="R38">
            <v>0</v>
          </cell>
          <cell r="S38">
            <v>1</v>
          </cell>
          <cell r="T38">
            <v>0</v>
          </cell>
          <cell r="U38">
            <v>0</v>
          </cell>
        </row>
      </sheetData>
      <sheetData sheetId="11">
        <row r="3">
          <cell r="S3" t="str">
            <v>arjonasantoyo@hotmail.com</v>
          </cell>
        </row>
        <row r="8">
          <cell r="C8" t="str">
            <v>SMZ. 502 MZ. 2 L. 1 COL. PEHALTUN</v>
          </cell>
          <cell r="I8" t="str">
            <v>998 2-51-27-95</v>
          </cell>
        </row>
        <row r="19">
          <cell r="O19">
            <v>0</v>
          </cell>
        </row>
        <row r="20">
          <cell r="O20">
            <v>0</v>
          </cell>
        </row>
        <row r="28">
          <cell r="D28">
            <v>1</v>
          </cell>
          <cell r="E28">
            <v>0</v>
          </cell>
          <cell r="F28">
            <v>1</v>
          </cell>
          <cell r="G28">
            <v>5</v>
          </cell>
          <cell r="H28">
            <v>0</v>
          </cell>
          <cell r="I28">
            <v>5</v>
          </cell>
          <cell r="J28">
            <v>2</v>
          </cell>
          <cell r="K28">
            <v>0</v>
          </cell>
          <cell r="L28">
            <v>2</v>
          </cell>
          <cell r="M28">
            <v>1</v>
          </cell>
          <cell r="N28">
            <v>0</v>
          </cell>
          <cell r="O28">
            <v>1</v>
          </cell>
          <cell r="P28">
            <v>0</v>
          </cell>
          <cell r="Q28">
            <v>0</v>
          </cell>
          <cell r="R28">
            <v>0</v>
          </cell>
          <cell r="S28">
            <v>7</v>
          </cell>
          <cell r="T28">
            <v>0</v>
          </cell>
          <cell r="U28">
            <v>7</v>
          </cell>
        </row>
        <row r="38">
          <cell r="D38">
            <v>2</v>
          </cell>
          <cell r="E38">
            <v>0</v>
          </cell>
          <cell r="F38">
            <v>0</v>
          </cell>
          <cell r="G38">
            <v>2</v>
          </cell>
          <cell r="H38">
            <v>0</v>
          </cell>
          <cell r="I38">
            <v>0</v>
          </cell>
          <cell r="J38">
            <v>2</v>
          </cell>
          <cell r="K38">
            <v>0</v>
          </cell>
          <cell r="L38">
            <v>0</v>
          </cell>
          <cell r="M38">
            <v>2</v>
          </cell>
          <cell r="N38">
            <v>0</v>
          </cell>
          <cell r="O38">
            <v>0</v>
          </cell>
          <cell r="P38">
            <v>2</v>
          </cell>
          <cell r="Q38">
            <v>0</v>
          </cell>
          <cell r="R38">
            <v>0</v>
          </cell>
          <cell r="S38">
            <v>2</v>
          </cell>
          <cell r="T38">
            <v>0</v>
          </cell>
          <cell r="U38">
            <v>0</v>
          </cell>
        </row>
      </sheetData>
      <sheetData sheetId="12">
        <row r="3">
          <cell r="S3" t="str">
            <v>esc.manuelcrescenciorejon.tm@hotmail.com</v>
          </cell>
        </row>
        <row r="8">
          <cell r="C8" t="str">
            <v>REG. 95 MZA. 129 L. 2</v>
          </cell>
          <cell r="I8" t="str">
            <v>998 2-52-31-19</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2</v>
          </cell>
          <cell r="K38">
            <v>0</v>
          </cell>
          <cell r="L38">
            <v>0</v>
          </cell>
          <cell r="M38">
            <v>1</v>
          </cell>
          <cell r="N38">
            <v>0</v>
          </cell>
          <cell r="O38">
            <v>0</v>
          </cell>
          <cell r="P38">
            <v>1</v>
          </cell>
          <cell r="Q38">
            <v>0</v>
          </cell>
          <cell r="R38">
            <v>0</v>
          </cell>
          <cell r="S38">
            <v>1</v>
          </cell>
          <cell r="T38">
            <v>0</v>
          </cell>
          <cell r="U38">
            <v>0</v>
          </cell>
        </row>
      </sheetData>
      <sheetData sheetId="13">
        <row r="3">
          <cell r="S3" t="str">
            <v>antonia-sari02@hotmail.com</v>
          </cell>
        </row>
        <row r="8">
          <cell r="C8" t="str">
            <v>REG. 95 MZ. 129 L. 2</v>
          </cell>
          <cell r="I8" t="str">
            <v>9981 49 34 04</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0</v>
          </cell>
          <cell r="E38">
            <v>0</v>
          </cell>
          <cell r="F38">
            <v>0</v>
          </cell>
          <cell r="G38">
            <v>0</v>
          </cell>
          <cell r="H38">
            <v>0</v>
          </cell>
          <cell r="I38">
            <v>0</v>
          </cell>
          <cell r="J38">
            <v>1</v>
          </cell>
          <cell r="K38">
            <v>0</v>
          </cell>
          <cell r="L38">
            <v>0</v>
          </cell>
          <cell r="M38">
            <v>2</v>
          </cell>
          <cell r="N38">
            <v>0</v>
          </cell>
          <cell r="O38">
            <v>0</v>
          </cell>
          <cell r="P38">
            <v>1</v>
          </cell>
          <cell r="Q38">
            <v>0</v>
          </cell>
          <cell r="R38">
            <v>0</v>
          </cell>
          <cell r="S38">
            <v>1</v>
          </cell>
          <cell r="T38">
            <v>0</v>
          </cell>
          <cell r="U38">
            <v>0</v>
          </cell>
        </row>
      </sheetData>
      <sheetData sheetId="14">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15">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16">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17">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18">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19">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0">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1">
        <row r="3">
          <cell r="S3" t="str">
            <v>manantialcedu@hotmail.com</v>
          </cell>
        </row>
        <row r="8">
          <cell r="C8" t="str">
            <v>AV. KABAH L. 7 MZ. 3 SMZ. 43</v>
          </cell>
          <cell r="I8" t="str">
            <v>998 8-80-63-67</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1</v>
          </cell>
          <cell r="N38">
            <v>0</v>
          </cell>
          <cell r="O38">
            <v>0</v>
          </cell>
          <cell r="P38">
            <v>1</v>
          </cell>
          <cell r="Q38">
            <v>0</v>
          </cell>
          <cell r="R38">
            <v>0</v>
          </cell>
          <cell r="S38">
            <v>1</v>
          </cell>
          <cell r="T38">
            <v>0</v>
          </cell>
          <cell r="U38">
            <v>0</v>
          </cell>
        </row>
      </sheetData>
      <sheetData sheetId="22">
        <row r="3">
          <cell r="S3" t="str">
            <v>centroescolarhispano@hotmail.com</v>
          </cell>
        </row>
        <row r="8">
          <cell r="C8" t="str">
            <v>REG. 311 SMZ. 313 MADROÑO 131</v>
          </cell>
          <cell r="I8" t="str">
            <v>998 8-02-30-40</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1</v>
          </cell>
          <cell r="N38">
            <v>0</v>
          </cell>
          <cell r="O38">
            <v>0</v>
          </cell>
          <cell r="P38">
            <v>1</v>
          </cell>
          <cell r="Q38">
            <v>0</v>
          </cell>
          <cell r="R38">
            <v>0</v>
          </cell>
          <cell r="S38">
            <v>1</v>
          </cell>
          <cell r="T38">
            <v>0</v>
          </cell>
          <cell r="U38">
            <v>0</v>
          </cell>
        </row>
      </sheetData>
      <sheetData sheetId="23">
        <row r="3">
          <cell r="S3" t="str">
            <v>pspatriciarv@hotmail.com</v>
          </cell>
        </row>
        <row r="8">
          <cell r="C8" t="str">
            <v>AV. POLITECNICO SMZ. 502 MZ. 8</v>
          </cell>
          <cell r="I8" t="str">
            <v>998 8-98-98-90</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1</v>
          </cell>
          <cell r="N38">
            <v>0</v>
          </cell>
          <cell r="O38">
            <v>0</v>
          </cell>
          <cell r="P38">
            <v>1</v>
          </cell>
          <cell r="Q38">
            <v>0</v>
          </cell>
          <cell r="R38">
            <v>0</v>
          </cell>
          <cell r="S38">
            <v>1</v>
          </cell>
          <cell r="T38">
            <v>0</v>
          </cell>
          <cell r="U38">
            <v>0</v>
          </cell>
        </row>
      </sheetData>
      <sheetData sheetId="24">
        <row r="3">
          <cell r="S3" t="str">
            <v>cilaqroo@hotmail.com</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5">
        <row r="3">
          <cell r="S3" t="str">
            <v>missgrisizaguirre@hotmail.com</v>
          </cell>
        </row>
        <row r="8">
          <cell r="C8" t="str">
            <v>SM-313  MZA-20  LTE-3  AV-FONATUR</v>
          </cell>
        </row>
        <row r="19">
          <cell r="O19">
            <v>0</v>
          </cell>
        </row>
        <row r="20">
          <cell r="O20">
            <v>0</v>
          </cell>
        </row>
        <row r="28">
          <cell r="D28">
            <v>0</v>
          </cell>
          <cell r="E28">
            <v>0</v>
          </cell>
          <cell r="F28">
            <v>0</v>
          </cell>
          <cell r="G28">
            <v>0</v>
          </cell>
          <cell r="H28">
            <v>0</v>
          </cell>
          <cell r="I28">
            <v>0</v>
          </cell>
          <cell r="J28">
            <v>0</v>
          </cell>
          <cell r="K28">
            <v>0</v>
          </cell>
          <cell r="L28">
            <v>0</v>
          </cell>
          <cell r="M28">
            <v>0</v>
          </cell>
          <cell r="N28">
            <v>0</v>
          </cell>
          <cell r="O28">
            <v>0</v>
          </cell>
          <cell r="P28">
            <v>0</v>
          </cell>
          <cell r="Q28">
            <v>0</v>
          </cell>
          <cell r="R28">
            <v>0</v>
          </cell>
          <cell r="S28">
            <v>0</v>
          </cell>
          <cell r="T28">
            <v>0</v>
          </cell>
          <cell r="U28">
            <v>0</v>
          </cell>
        </row>
        <row r="38">
          <cell r="D38">
            <v>1</v>
          </cell>
          <cell r="E38">
            <v>0</v>
          </cell>
          <cell r="F38">
            <v>0</v>
          </cell>
          <cell r="G38">
            <v>1</v>
          </cell>
          <cell r="H38">
            <v>0</v>
          </cell>
          <cell r="I38">
            <v>0</v>
          </cell>
          <cell r="J38">
            <v>1</v>
          </cell>
          <cell r="K38">
            <v>0</v>
          </cell>
          <cell r="L38">
            <v>0</v>
          </cell>
          <cell r="M38">
            <v>1</v>
          </cell>
          <cell r="N38">
            <v>0</v>
          </cell>
          <cell r="O38">
            <v>0</v>
          </cell>
          <cell r="P38">
            <v>1</v>
          </cell>
          <cell r="Q38">
            <v>0</v>
          </cell>
          <cell r="R38">
            <v>0</v>
          </cell>
          <cell r="S38">
            <v>1</v>
          </cell>
          <cell r="T38">
            <v>0</v>
          </cell>
          <cell r="U38">
            <v>0</v>
          </cell>
        </row>
      </sheetData>
      <sheetData sheetId="26">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7">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8">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29">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0">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1">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2">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3">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4">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5">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6">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7">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 sheetId="38">
        <row r="19">
          <cell r="O19">
            <v>0</v>
          </cell>
        </row>
        <row r="20">
          <cell r="O20">
            <v>0</v>
          </cell>
        </row>
        <row r="38">
          <cell r="D38">
            <v>0</v>
          </cell>
          <cell r="E38">
            <v>0</v>
          </cell>
          <cell r="F38">
            <v>0</v>
          </cell>
          <cell r="G38">
            <v>0</v>
          </cell>
          <cell r="H38">
            <v>0</v>
          </cell>
          <cell r="I38">
            <v>0</v>
          </cell>
          <cell r="J38">
            <v>0</v>
          </cell>
          <cell r="K38">
            <v>0</v>
          </cell>
          <cell r="L38">
            <v>0</v>
          </cell>
          <cell r="M38">
            <v>0</v>
          </cell>
          <cell r="N38">
            <v>0</v>
          </cell>
          <cell r="O38">
            <v>0</v>
          </cell>
          <cell r="P38">
            <v>0</v>
          </cell>
          <cell r="Q38">
            <v>0</v>
          </cell>
          <cell r="R38">
            <v>0</v>
          </cell>
          <cell r="S38">
            <v>0</v>
          </cell>
          <cell r="T38">
            <v>0</v>
          </cell>
          <cell r="U38">
            <v>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TA DE INSP."/>
      <sheetName val="F-3"/>
      <sheetName val="F-4"/>
      <sheetName val="F-5"/>
      <sheetName val="F-6"/>
      <sheetName val="ETIQUETA"/>
      <sheetName val="ACUSE"/>
      <sheetName val="POSTAL"/>
      <sheetName val="TARJETAS"/>
      <sheetName val="DIPLOMA"/>
      <sheetName val="GUIA DE VIS. GPO."/>
      <sheetName val="ESTIMULO DOCEN"/>
      <sheetName val="GUIA DE VIS. DTOR"/>
      <sheetName val="GUIA DE VIS. DTOR final"/>
      <sheetName val="ESCALAFON"/>
      <sheetName val="LIB. DTOR"/>
      <sheetName val="LIB. MTRO"/>
      <sheetName val="PERS"/>
      <sheetName val="REL-P-APF"/>
    </sheetNames>
    <sheetDataSet>
      <sheetData sheetId="0" refreshError="1">
        <row r="41">
          <cell r="AH41" t="str">
            <v>JESUS MARTIN RICALDE CASTRO</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Z.E.042"/>
      <sheetName val="0055K"/>
      <sheetName val="0491L"/>
      <sheetName val="0492K"/>
      <sheetName val="0564N"/>
      <sheetName val="0570Y"/>
      <sheetName val="0572W"/>
      <sheetName val="0581D"/>
      <sheetName val="0593I"/>
      <sheetName val="0640C"/>
      <sheetName val="0681C"/>
      <sheetName val="0688W"/>
      <sheetName val="A (12)"/>
      <sheetName val="A (13)"/>
      <sheetName val="A (14)"/>
      <sheetName val="A (15)"/>
    </sheetNames>
    <sheetDataSet>
      <sheetData sheetId="0"/>
      <sheetData sheetId="1">
        <row r="15">
          <cell r="O15">
            <v>23100.93</v>
          </cell>
        </row>
        <row r="20">
          <cell r="H20">
            <v>60800</v>
          </cell>
        </row>
        <row r="21">
          <cell r="H21">
            <v>0</v>
          </cell>
        </row>
        <row r="22">
          <cell r="H22">
            <v>0</v>
          </cell>
        </row>
        <row r="23">
          <cell r="O23">
            <v>83900.93</v>
          </cell>
        </row>
        <row r="27">
          <cell r="H27">
            <v>40208.71</v>
          </cell>
        </row>
        <row r="28">
          <cell r="H28">
            <v>24125.22</v>
          </cell>
        </row>
        <row r="29">
          <cell r="H29">
            <v>16083.48</v>
          </cell>
        </row>
        <row r="30">
          <cell r="O30">
            <v>80417.41</v>
          </cell>
        </row>
        <row r="32">
          <cell r="O32">
            <v>3483.5199999999895</v>
          </cell>
        </row>
      </sheetData>
      <sheetData sheetId="2">
        <row r="15">
          <cell r="O15">
            <v>1761</v>
          </cell>
        </row>
        <row r="20">
          <cell r="H20">
            <v>55550</v>
          </cell>
        </row>
        <row r="21">
          <cell r="H21">
            <v>0</v>
          </cell>
        </row>
        <row r="22">
          <cell r="H22">
            <v>0</v>
          </cell>
        </row>
        <row r="23">
          <cell r="O23">
            <v>57311</v>
          </cell>
        </row>
        <row r="27">
          <cell r="H27">
            <v>28845</v>
          </cell>
        </row>
        <row r="28">
          <cell r="H28">
            <v>15019</v>
          </cell>
        </row>
        <row r="29">
          <cell r="H29">
            <v>10346.5</v>
          </cell>
        </row>
        <row r="30">
          <cell r="O30">
            <v>54210.5</v>
          </cell>
        </row>
        <row r="32">
          <cell r="O32">
            <v>3100.5</v>
          </cell>
        </row>
      </sheetData>
      <sheetData sheetId="3">
        <row r="15">
          <cell r="O15">
            <v>1977.46</v>
          </cell>
        </row>
        <row r="20">
          <cell r="H20">
            <v>27559.99</v>
          </cell>
        </row>
        <row r="21">
          <cell r="H21">
            <v>0</v>
          </cell>
        </row>
        <row r="22">
          <cell r="H22">
            <v>0</v>
          </cell>
        </row>
        <row r="23">
          <cell r="O23">
            <v>29537.45</v>
          </cell>
        </row>
        <row r="27">
          <cell r="H27">
            <v>14031.89</v>
          </cell>
        </row>
        <row r="28">
          <cell r="H28">
            <v>8039.49</v>
          </cell>
        </row>
        <row r="29">
          <cell r="H29">
            <v>4923.6000000000004</v>
          </cell>
        </row>
        <row r="30">
          <cell r="O30">
            <v>26994.979999999996</v>
          </cell>
        </row>
        <row r="32">
          <cell r="O32">
            <v>2542.4700000000048</v>
          </cell>
        </row>
      </sheetData>
      <sheetData sheetId="4">
        <row r="15">
          <cell r="O15">
            <v>0</v>
          </cell>
        </row>
        <row r="20">
          <cell r="H20">
            <v>31580</v>
          </cell>
        </row>
        <row r="21">
          <cell r="H21">
            <v>0</v>
          </cell>
        </row>
        <row r="22">
          <cell r="H22">
            <v>0</v>
          </cell>
        </row>
        <row r="23">
          <cell r="O23">
            <v>31580</v>
          </cell>
        </row>
        <row r="27">
          <cell r="H27">
            <v>15790</v>
          </cell>
        </row>
        <row r="28">
          <cell r="H28">
            <v>9474</v>
          </cell>
        </row>
        <row r="29">
          <cell r="H29">
            <v>6316</v>
          </cell>
        </row>
        <row r="30">
          <cell r="O30">
            <v>31580</v>
          </cell>
        </row>
        <row r="32">
          <cell r="O32">
            <v>0</v>
          </cell>
        </row>
      </sheetData>
      <sheetData sheetId="5">
        <row r="15">
          <cell r="O15">
            <v>32740.06</v>
          </cell>
        </row>
        <row r="20">
          <cell r="H20">
            <v>25340</v>
          </cell>
        </row>
        <row r="21">
          <cell r="H21">
            <v>0</v>
          </cell>
        </row>
        <row r="22">
          <cell r="H22">
            <v>0</v>
          </cell>
        </row>
        <row r="23">
          <cell r="O23">
            <v>58080.06</v>
          </cell>
        </row>
        <row r="27">
          <cell r="H27">
            <v>12373.26</v>
          </cell>
        </row>
        <row r="28">
          <cell r="H28">
            <v>7423.94</v>
          </cell>
        </row>
        <row r="29">
          <cell r="H29">
            <v>4949.29</v>
          </cell>
        </row>
        <row r="30">
          <cell r="O30">
            <v>24746.49</v>
          </cell>
        </row>
        <row r="32">
          <cell r="O32">
            <v>33333.569999999992</v>
          </cell>
        </row>
      </sheetData>
      <sheetData sheetId="6">
        <row r="15">
          <cell r="O15">
            <v>0</v>
          </cell>
        </row>
        <row r="20">
          <cell r="H20">
            <v>34200</v>
          </cell>
        </row>
        <row r="21">
          <cell r="H21">
            <v>0</v>
          </cell>
        </row>
        <row r="22">
          <cell r="H22">
            <v>0</v>
          </cell>
        </row>
        <row r="23">
          <cell r="O23">
            <v>34200</v>
          </cell>
        </row>
        <row r="27">
          <cell r="H27">
            <v>17100</v>
          </cell>
        </row>
        <row r="28">
          <cell r="H28">
            <v>10260</v>
          </cell>
        </row>
        <row r="29">
          <cell r="H29">
            <v>6840</v>
          </cell>
        </row>
        <row r="30">
          <cell r="O30">
            <v>34200</v>
          </cell>
        </row>
        <row r="32">
          <cell r="O32">
            <v>0</v>
          </cell>
        </row>
      </sheetData>
      <sheetData sheetId="7">
        <row r="15">
          <cell r="O15">
            <v>0</v>
          </cell>
        </row>
        <row r="20">
          <cell r="H20">
            <v>17400</v>
          </cell>
        </row>
        <row r="21">
          <cell r="H21">
            <v>0</v>
          </cell>
        </row>
        <row r="22">
          <cell r="H22">
            <v>0</v>
          </cell>
        </row>
        <row r="23">
          <cell r="O23">
            <v>17400</v>
          </cell>
        </row>
        <row r="27">
          <cell r="H27">
            <v>8700</v>
          </cell>
        </row>
        <row r="28">
          <cell r="H28">
            <v>5220</v>
          </cell>
        </row>
        <row r="29">
          <cell r="H29">
            <v>3480</v>
          </cell>
        </row>
        <row r="30">
          <cell r="O30">
            <v>17400</v>
          </cell>
        </row>
        <row r="32">
          <cell r="O32">
            <v>0</v>
          </cell>
        </row>
      </sheetData>
      <sheetData sheetId="8">
        <row r="15">
          <cell r="O15">
            <v>0</v>
          </cell>
        </row>
        <row r="20">
          <cell r="H20">
            <v>0</v>
          </cell>
        </row>
        <row r="21">
          <cell r="H21">
            <v>0</v>
          </cell>
        </row>
        <row r="22">
          <cell r="H22">
            <v>0</v>
          </cell>
        </row>
        <row r="23">
          <cell r="O23">
            <v>0</v>
          </cell>
        </row>
        <row r="27">
          <cell r="H27">
            <v>0</v>
          </cell>
        </row>
        <row r="28">
          <cell r="H28">
            <v>0</v>
          </cell>
        </row>
        <row r="29">
          <cell r="H29">
            <v>0</v>
          </cell>
        </row>
        <row r="30">
          <cell r="O30">
            <v>0</v>
          </cell>
        </row>
        <row r="32">
          <cell r="O32">
            <v>0</v>
          </cell>
        </row>
      </sheetData>
      <sheetData sheetId="9">
        <row r="15">
          <cell r="O15">
            <v>14801.91</v>
          </cell>
        </row>
        <row r="20">
          <cell r="H20">
            <v>47000</v>
          </cell>
        </row>
        <row r="21">
          <cell r="H21">
            <v>0</v>
          </cell>
        </row>
        <row r="22">
          <cell r="H22">
            <v>0</v>
          </cell>
        </row>
        <row r="23">
          <cell r="O23">
            <v>61801.91</v>
          </cell>
        </row>
        <row r="27">
          <cell r="H27">
            <v>23898.25</v>
          </cell>
        </row>
        <row r="28">
          <cell r="H28">
            <v>14338.95</v>
          </cell>
        </row>
        <row r="29">
          <cell r="H29">
            <v>9559.31</v>
          </cell>
        </row>
        <row r="30">
          <cell r="O30">
            <v>47796.509999999995</v>
          </cell>
        </row>
        <row r="32">
          <cell r="O32">
            <v>14005.400000000009</v>
          </cell>
        </row>
      </sheetData>
      <sheetData sheetId="10">
        <row r="15">
          <cell r="O15">
            <v>136.55000000000001</v>
          </cell>
        </row>
        <row r="20">
          <cell r="H20">
            <v>19513.580000000002</v>
          </cell>
        </row>
        <row r="21">
          <cell r="H21">
            <v>0</v>
          </cell>
        </row>
        <row r="22">
          <cell r="H22">
            <v>0</v>
          </cell>
        </row>
        <row r="23">
          <cell r="O23">
            <v>19650.13</v>
          </cell>
        </row>
        <row r="27">
          <cell r="H27">
            <v>9902.5499999999993</v>
          </cell>
        </row>
        <row r="28">
          <cell r="H28">
            <v>5867.69</v>
          </cell>
        </row>
        <row r="29">
          <cell r="H29">
            <v>3879.89</v>
          </cell>
        </row>
        <row r="30">
          <cell r="O30">
            <v>19650.129999999997</v>
          </cell>
        </row>
        <row r="32">
          <cell r="O32">
            <v>0</v>
          </cell>
        </row>
      </sheetData>
      <sheetData sheetId="11">
        <row r="15">
          <cell r="O15">
            <v>4349.2</v>
          </cell>
        </row>
        <row r="20">
          <cell r="H20">
            <v>12900</v>
          </cell>
        </row>
        <row r="21">
          <cell r="H21">
            <v>0</v>
          </cell>
        </row>
        <row r="22">
          <cell r="H22">
            <v>0</v>
          </cell>
        </row>
        <row r="23">
          <cell r="O23">
            <v>17249.2</v>
          </cell>
        </row>
        <row r="27">
          <cell r="H27">
            <v>8624.6</v>
          </cell>
        </row>
        <row r="28">
          <cell r="H28">
            <v>5174.76</v>
          </cell>
        </row>
        <row r="29">
          <cell r="H29">
            <v>3449.84</v>
          </cell>
        </row>
        <row r="30">
          <cell r="O30">
            <v>17249.2</v>
          </cell>
        </row>
        <row r="32">
          <cell r="O32">
            <v>0</v>
          </cell>
        </row>
      </sheetData>
      <sheetData sheetId="12"/>
      <sheetData sheetId="13"/>
      <sheetData sheetId="14"/>
      <sheetData sheetId="15"/>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TA DE INSP."/>
      <sheetName val="F-3"/>
      <sheetName val="F-4"/>
      <sheetName val="F-5"/>
      <sheetName val="F-6"/>
      <sheetName val="GUIA DE VIS. GPO."/>
      <sheetName val="GUIA DE VIS. DTOR"/>
      <sheetName val="GUIA DE VIS. DTOR final"/>
      <sheetName val="LIB. MTRO"/>
      <sheetName val="LIB. DTOR"/>
      <sheetName val="ESTIMULO DOCEN"/>
      <sheetName val="ESCALAFON"/>
      <sheetName val="POSTAL"/>
      <sheetName val="DIPLOMA"/>
      <sheetName val="ACUSE"/>
      <sheetName val="ETIQUETA"/>
      <sheetName val="TARJETAS"/>
      <sheetName val="REL-APF-CONS."/>
      <sheetName val="PERS"/>
      <sheetName val="A-B"/>
      <sheetName val="E GENERAL"/>
      <sheetName val="E OFICIALES"/>
      <sheetName val="E PARTICULARES"/>
      <sheetName val="0055K"/>
      <sheetName val="0491L"/>
      <sheetName val="0492K"/>
      <sheetName val="0564N"/>
      <sheetName val="0570Y"/>
      <sheetName val="0572W"/>
      <sheetName val="0581D"/>
      <sheetName val="0593I"/>
      <sheetName val="0640C"/>
      <sheetName val="0681C"/>
      <sheetName val="0688W"/>
      <sheetName val="0099M"/>
      <sheetName val="0100L"/>
      <sheetName val="0125U"/>
      <sheetName val="0156N"/>
      <sheetName val="ESC_O_12"/>
    </sheetNames>
    <sheetDataSet>
      <sheetData sheetId="0">
        <row r="23">
          <cell r="V23" t="str">
            <v>C</v>
          </cell>
        </row>
        <row r="39">
          <cell r="L39">
            <v>2</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ISITA DE INSP."/>
      <sheetName val="F-3"/>
      <sheetName val="F-4"/>
      <sheetName val="F-5"/>
      <sheetName val="F-6"/>
      <sheetName val="GUIA DE VIS. GPO."/>
      <sheetName val="GUIA DE VIS. DTOR"/>
      <sheetName val="GUIA DE VIS. DTOR final"/>
      <sheetName val="LIB. MTRO"/>
      <sheetName val="LIB. DTOR"/>
      <sheetName val="ESTIMULO DOCEN"/>
      <sheetName val="ESCALAFON"/>
      <sheetName val="POSTAL"/>
      <sheetName val="DIPLOMA"/>
      <sheetName val="ACUSE"/>
      <sheetName val="ETIQUETA"/>
      <sheetName val="TARJETAS"/>
      <sheetName val="REL-APF-CONS."/>
      <sheetName val="PERS"/>
      <sheetName val="A-B"/>
      <sheetName val="0491L"/>
      <sheetName val="0492K"/>
      <sheetName val="0564N"/>
      <sheetName val="0570Y"/>
      <sheetName val="0572W"/>
      <sheetName val="0581D"/>
      <sheetName val="0593I"/>
      <sheetName val="0640C"/>
      <sheetName val="0681C"/>
      <sheetName val="0688W"/>
      <sheetName val="0099M"/>
      <sheetName val="0100L"/>
      <sheetName val="0125U"/>
      <sheetName val="0000X"/>
      <sheetName val="E GENERAL"/>
      <sheetName val="E OFICIALES"/>
      <sheetName val="E PARTICULARES"/>
      <sheetName val="0055K"/>
      <sheetName val="ESC_O_12"/>
      <sheetName val="ESC_O_13"/>
      <sheetName val="ESC_O_14"/>
      <sheetName val="ESC_O_15"/>
      <sheetName val="ESC_O_16"/>
      <sheetName val="ESC_O_17"/>
      <sheetName val="ESC_O_18"/>
      <sheetName val="0156N"/>
      <sheetName val="ESC_P_06"/>
      <sheetName val="ESC_P_07"/>
      <sheetName val="ESC_P_08"/>
      <sheetName val="ESC_P_09"/>
      <sheetName val="ESC_P_10"/>
      <sheetName val="ESC_P_11"/>
      <sheetName val="ESC_P_12"/>
      <sheetName val="ESC_P_13"/>
      <sheetName val="ESC_P_14"/>
      <sheetName val="ESC_P_15"/>
      <sheetName val="ESC_P_16"/>
      <sheetName val="ESC_P_17"/>
      <sheetName val="ESC_P_18"/>
      <sheetName val="E OFICIALES "/>
    </sheetNames>
    <sheetDataSet>
      <sheetData sheetId="0">
        <row r="1">
          <cell r="V1">
            <v>0</v>
          </cell>
        </row>
        <row r="8">
          <cell r="C8">
            <v>0</v>
          </cell>
        </row>
        <row r="35">
          <cell r="X35">
            <v>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6">
          <cell r="C6" t="str">
            <v>8 DE OCTUBRE</v>
          </cell>
        </row>
      </sheetData>
      <sheetData sheetId="21">
        <row r="6">
          <cell r="C6" t="str">
            <v>8 DE OCTUBRE</v>
          </cell>
        </row>
      </sheetData>
      <sheetData sheetId="22">
        <row r="6">
          <cell r="C6" t="str">
            <v>DERECHOS DEL NIÑO</v>
          </cell>
        </row>
      </sheetData>
      <sheetData sheetId="23">
        <row r="6">
          <cell r="C6" t="str">
            <v>DERECHOS DEL NIÑO</v>
          </cell>
        </row>
      </sheetData>
      <sheetData sheetId="24">
        <row r="6">
          <cell r="C6" t="str">
            <v>CUITLAHUAC</v>
          </cell>
        </row>
      </sheetData>
      <sheetData sheetId="25">
        <row r="6">
          <cell r="C6" t="str">
            <v>CUITLAHUAC</v>
          </cell>
        </row>
      </sheetData>
      <sheetData sheetId="26">
        <row r="6">
          <cell r="C6" t="str">
            <v>KABAH</v>
          </cell>
        </row>
      </sheetData>
      <sheetData sheetId="27">
        <row r="6">
          <cell r="C6" t="str">
            <v>ANTONIO MEDIZ BOLIO</v>
          </cell>
        </row>
      </sheetData>
      <sheetData sheetId="28">
        <row r="6">
          <cell r="C6" t="str">
            <v>MANUEL CRESCENCIO REJON</v>
          </cell>
        </row>
      </sheetData>
      <sheetData sheetId="29">
        <row r="3">
          <cell r="R3">
            <v>0</v>
          </cell>
        </row>
      </sheetData>
      <sheetData sheetId="30">
        <row r="6">
          <cell r="C6" t="str">
            <v>CENTRO EDUCATIVO EL MANANTIAL</v>
          </cell>
        </row>
      </sheetData>
      <sheetData sheetId="31">
        <row r="6">
          <cell r="C6" t="str">
            <v>COLEGIO HISPANOAMERICANO LA LUNA</v>
          </cell>
        </row>
      </sheetData>
      <sheetData sheetId="32">
        <row r="6">
          <cell r="C6" t="str">
            <v>JOSE VASCONCELOS</v>
          </cell>
        </row>
      </sheetData>
      <sheetData sheetId="33">
        <row r="6">
          <cell r="C6" t="str">
            <v>COLEGIO KING DAVID</v>
          </cell>
        </row>
      </sheetData>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11.xml"/><Relationship Id="rId1" Type="http://schemas.openxmlformats.org/officeDocument/2006/relationships/printerSettings" Target="../printerSettings/printerSettings11.bin"/><Relationship Id="rId4" Type="http://schemas.openxmlformats.org/officeDocument/2006/relationships/comments" Target="../comments7.xml"/></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12.xml"/><Relationship Id="rId1" Type="http://schemas.openxmlformats.org/officeDocument/2006/relationships/printerSettings" Target="../printerSettings/printerSettings12.bin"/><Relationship Id="rId4" Type="http://schemas.openxmlformats.org/officeDocument/2006/relationships/comments" Target="../comments8.xml"/></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3.xml"/><Relationship Id="rId1" Type="http://schemas.openxmlformats.org/officeDocument/2006/relationships/printerSettings" Target="../printerSettings/printerSettings13.bin"/><Relationship Id="rId4" Type="http://schemas.openxmlformats.org/officeDocument/2006/relationships/comments" Target="../comments9.xm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4.xml"/><Relationship Id="rId1" Type="http://schemas.openxmlformats.org/officeDocument/2006/relationships/printerSettings" Target="../printerSettings/printerSettings14.bin"/><Relationship Id="rId4" Type="http://schemas.openxmlformats.org/officeDocument/2006/relationships/comments" Target="../comments10.xml"/></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6.xml"/><Relationship Id="rId1" Type="http://schemas.openxmlformats.org/officeDocument/2006/relationships/printerSettings" Target="../printerSettings/printerSettings16.bin"/><Relationship Id="rId5" Type="http://schemas.openxmlformats.org/officeDocument/2006/relationships/image" Target="../media/image14.png"/><Relationship Id="rId4" Type="http://schemas.openxmlformats.org/officeDocument/2006/relationships/oleObject" Target="../embeddings/oleObject2.bin"/></Relationships>
</file>

<file path=xl/worksheets/_rels/sheet17.xml.rels><?xml version="1.0" encoding="UTF-8" standalone="yes"?>
<Relationships xmlns="http://schemas.openxmlformats.org/package/2006/relationships"><Relationship Id="rId3" Type="http://schemas.openxmlformats.org/officeDocument/2006/relationships/hyperlink" Target="mailto:macelo_dam69@hotmail.com" TargetMode="External"/><Relationship Id="rId2" Type="http://schemas.openxmlformats.org/officeDocument/2006/relationships/hyperlink" Target="mailto:martincancun69@hotmail.com" TargetMode="External"/><Relationship Id="rId1" Type="http://schemas.openxmlformats.org/officeDocument/2006/relationships/hyperlink" Target="mailto:tonygarcia58@hotmail.com" TargetMode="External"/><Relationship Id="rId5" Type="http://schemas.openxmlformats.org/officeDocument/2006/relationships/drawing" Target="../drawings/drawing17.xml"/><Relationship Id="rId4"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hyperlink" Target="mailto:carloscetin4226@hotmail.com" TargetMode="External"/><Relationship Id="rId1" Type="http://schemas.openxmlformats.org/officeDocument/2006/relationships/hyperlink" Target="mailto:carloscetin4226@hotmail.com" TargetMode="External"/><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9.xml"/><Relationship Id="rId1" Type="http://schemas.openxmlformats.org/officeDocument/2006/relationships/printerSettings" Target="../printerSettings/printerSettings19.bin"/><Relationship Id="rId4" Type="http://schemas.openxmlformats.org/officeDocument/2006/relationships/comments" Target="../comments1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20.xml"/><Relationship Id="rId1" Type="http://schemas.openxmlformats.org/officeDocument/2006/relationships/printerSettings" Target="../printerSettings/printerSettings20.bin"/><Relationship Id="rId4" Type="http://schemas.openxmlformats.org/officeDocument/2006/relationships/comments" Target="../comments12.xml"/></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1.xml"/><Relationship Id="rId1" Type="http://schemas.openxmlformats.org/officeDocument/2006/relationships/printerSettings" Target="../printerSettings/printerSettings21.bin"/><Relationship Id="rId4" Type="http://schemas.openxmlformats.org/officeDocument/2006/relationships/comments" Target="../comments13.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22.xml"/><Relationship Id="rId1" Type="http://schemas.openxmlformats.org/officeDocument/2006/relationships/printerSettings" Target="../printerSettings/printerSettings22.bin"/><Relationship Id="rId4" Type="http://schemas.openxmlformats.org/officeDocument/2006/relationships/comments" Target="../comments14.xml"/></Relationships>
</file>

<file path=xl/worksheets/_rels/sheet23.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23.xml"/><Relationship Id="rId1" Type="http://schemas.openxmlformats.org/officeDocument/2006/relationships/printerSettings" Target="../printerSettings/printerSettings23.bin"/><Relationship Id="rId4" Type="http://schemas.openxmlformats.org/officeDocument/2006/relationships/comments" Target="../comments15.xml"/></Relationships>
</file>

<file path=xl/worksheets/_rels/sheet24.xml.rels><?xml version="1.0" encoding="UTF-8" standalone="yes"?>
<Relationships xmlns="http://schemas.openxmlformats.org/package/2006/relationships"><Relationship Id="rId3" Type="http://schemas.openxmlformats.org/officeDocument/2006/relationships/vmlDrawing" Target="../drawings/vmlDrawing17.vml"/><Relationship Id="rId2" Type="http://schemas.openxmlformats.org/officeDocument/2006/relationships/drawing" Target="../drawings/drawing24.xml"/><Relationship Id="rId1" Type="http://schemas.openxmlformats.org/officeDocument/2006/relationships/printerSettings" Target="../printerSettings/printerSettings24.bin"/><Relationship Id="rId4" Type="http://schemas.openxmlformats.org/officeDocument/2006/relationships/comments" Target="../comments16.xml"/></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vmlDrawing" Target="../drawings/vmlDrawing18.vml"/><Relationship Id="rId2" Type="http://schemas.openxmlformats.org/officeDocument/2006/relationships/drawing" Target="../drawings/drawing26.xml"/><Relationship Id="rId1" Type="http://schemas.openxmlformats.org/officeDocument/2006/relationships/printerSettings" Target="../printerSettings/printerSettings26.bin"/><Relationship Id="rId4" Type="http://schemas.openxmlformats.org/officeDocument/2006/relationships/comments" Target="../comments17.xml"/></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3" Type="http://schemas.openxmlformats.org/officeDocument/2006/relationships/vmlDrawing" Target="../drawings/vmlDrawing19.vml"/><Relationship Id="rId2" Type="http://schemas.openxmlformats.org/officeDocument/2006/relationships/drawing" Target="../drawings/drawing29.xml"/><Relationship Id="rId1" Type="http://schemas.openxmlformats.org/officeDocument/2006/relationships/printerSettings" Target="../printerSettings/printerSettings29.bin"/><Relationship Id="rId4" Type="http://schemas.openxmlformats.org/officeDocument/2006/relationships/comments" Target="../comments18.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3" Type="http://schemas.openxmlformats.org/officeDocument/2006/relationships/hyperlink" Target="http://sistemas.seyc.gob.mx/sicap/" TargetMode="External"/><Relationship Id="rId2" Type="http://schemas.openxmlformats.org/officeDocument/2006/relationships/hyperlink" Target="http://zonaescolar042.jimdo.com/" TargetMode="External"/><Relationship Id="rId1" Type="http://schemas.openxmlformats.org/officeDocument/2006/relationships/hyperlink" Target="http://www.repuce.sep.gob.mx/REPUCE/" TargetMode="External"/><Relationship Id="rId5" Type="http://schemas.openxmlformats.org/officeDocument/2006/relationships/drawing" Target="../drawings/drawing32.xml"/><Relationship Id="rId4" Type="http://schemas.openxmlformats.org/officeDocument/2006/relationships/hyperlink" Target="http://controlescolar.seyc.gob.mx/siceeb/sistema/home/" TargetMode="External"/></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0.vml"/><Relationship Id="rId2" Type="http://schemas.openxmlformats.org/officeDocument/2006/relationships/drawing" Target="../drawings/drawing33.xml"/><Relationship Id="rId1" Type="http://schemas.openxmlformats.org/officeDocument/2006/relationships/printerSettings" Target="../printerSettings/printerSettings32.bin"/><Relationship Id="rId5" Type="http://schemas.openxmlformats.org/officeDocument/2006/relationships/image" Target="../media/image14.png"/><Relationship Id="rId4" Type="http://schemas.openxmlformats.org/officeDocument/2006/relationships/oleObject" Target="../embeddings/oleObject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hyperlink" Target="http://sistemas.seyc.gob.mx/sicap/" TargetMode="External"/><Relationship Id="rId2" Type="http://schemas.openxmlformats.org/officeDocument/2006/relationships/hyperlink" Target="http://zonaescolar042.jimdo.com/" TargetMode="External"/><Relationship Id="rId1" Type="http://schemas.openxmlformats.org/officeDocument/2006/relationships/hyperlink" Target="http://www.repuce.sep.gob.mx/REPUCE/" TargetMode="External"/><Relationship Id="rId6" Type="http://schemas.openxmlformats.org/officeDocument/2006/relationships/drawing" Target="../drawings/drawing34.xml"/><Relationship Id="rId5" Type="http://schemas.openxmlformats.org/officeDocument/2006/relationships/printerSettings" Target="../printerSettings/printerSettings35.bin"/><Relationship Id="rId4" Type="http://schemas.openxmlformats.org/officeDocument/2006/relationships/hyperlink" Target="http://controlescolar.seyc.gob.mx/siceeb/sistema/home/" TargetMode="External"/></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mailto:martincancun69@hotmail-com"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6.xml"/><Relationship Id="rId1" Type="http://schemas.openxmlformats.org/officeDocument/2006/relationships/printerSettings" Target="../printerSettings/printerSettings6.bin"/><Relationship Id="rId6" Type="http://schemas.openxmlformats.org/officeDocument/2006/relationships/comments" Target="../comments2.xml"/><Relationship Id="rId5" Type="http://schemas.openxmlformats.org/officeDocument/2006/relationships/image" Target="../media/image14.png"/><Relationship Id="rId4" Type="http://schemas.openxmlformats.org/officeDocument/2006/relationships/oleObject" Target="../embeddings/oleObject1.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8.xml"/><Relationship Id="rId1" Type="http://schemas.openxmlformats.org/officeDocument/2006/relationships/printerSettings" Target="../printerSettings/printerSettings8.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5.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tabColor theme="7" tint="-0.499984740745262"/>
  </sheetPr>
  <dimension ref="A1:LX63"/>
  <sheetViews>
    <sheetView view="pageBreakPreview" zoomScale="90" zoomScaleNormal="106" zoomScaleSheetLayoutView="90" workbookViewId="0">
      <selection activeCell="MA18" sqref="MA18"/>
    </sheetView>
  </sheetViews>
  <sheetFormatPr baseColWidth="10" defaultRowHeight="12.75"/>
  <cols>
    <col min="1" max="1" width="0.28515625" style="17" customWidth="1"/>
    <col min="2" max="3" width="3.5703125" style="17" customWidth="1"/>
    <col min="4" max="8" width="7.5703125" style="17" customWidth="1"/>
    <col min="9" max="9" width="0.85546875" style="17" customWidth="1"/>
    <col min="10" max="31" width="2.7109375" style="17" customWidth="1"/>
    <col min="32" max="33" width="2.7109375" style="17" hidden="1" customWidth="1"/>
    <col min="34" max="35" width="2.7109375" style="17" customWidth="1"/>
    <col min="36" max="37" width="2.85546875" style="17" customWidth="1"/>
    <col min="38" max="47" width="3" style="17" customWidth="1"/>
    <col min="48" max="48" width="2.140625" style="17" customWidth="1"/>
    <col min="49" max="49" width="0.140625" style="2785" customWidth="1"/>
    <col min="50" max="50" width="4" style="85" hidden="1" customWidth="1"/>
    <col min="51" max="51" width="2.7109375" style="85" hidden="1" customWidth="1"/>
    <col min="52" max="52" width="4.140625" style="85" hidden="1" customWidth="1"/>
    <col min="53" max="54" width="4" style="85" hidden="1" customWidth="1"/>
    <col min="55" max="55" width="4.5703125" style="85" hidden="1" customWidth="1"/>
    <col min="56" max="56" width="3.28515625" style="85" hidden="1" customWidth="1"/>
    <col min="57" max="57" width="4.140625" style="85" hidden="1" customWidth="1"/>
    <col min="58" max="58" width="3.85546875" style="85" hidden="1" customWidth="1"/>
    <col min="59" max="104" width="4" style="85" hidden="1" customWidth="1"/>
    <col min="105" max="105" width="3.42578125" style="85" hidden="1" customWidth="1"/>
    <col min="106" max="107" width="4" style="85" hidden="1" customWidth="1"/>
    <col min="108" max="108" width="3.7109375" style="85" hidden="1" customWidth="1"/>
    <col min="109" max="112" width="4" style="85" hidden="1" customWidth="1"/>
    <col min="113" max="113" width="3.28515625" style="85" hidden="1" customWidth="1"/>
    <col min="114" max="137" width="4" style="85" hidden="1" customWidth="1"/>
    <col min="138" max="142" width="4" style="74" hidden="1" customWidth="1"/>
    <col min="143" max="164" width="3.7109375" style="74" hidden="1" customWidth="1"/>
    <col min="165" max="165" width="4.5703125" style="74" hidden="1" customWidth="1"/>
    <col min="166" max="179" width="3.7109375" style="74" hidden="1" customWidth="1"/>
    <col min="180" max="180" width="3.5703125" style="74" hidden="1" customWidth="1"/>
    <col min="181" max="184" width="3.7109375" style="74" hidden="1" customWidth="1"/>
    <col min="185" max="192" width="3.7109375" style="778" hidden="1" customWidth="1"/>
    <col min="193" max="193" width="3.7109375" style="74" hidden="1" customWidth="1"/>
    <col min="194" max="214" width="3.42578125" style="74" hidden="1" customWidth="1"/>
    <col min="215" max="215" width="5.140625" style="74" hidden="1" customWidth="1"/>
    <col min="216" max="281" width="5" style="74" hidden="1" customWidth="1"/>
    <col min="282" max="287" width="4.85546875" style="17" hidden="1" customWidth="1"/>
    <col min="288" max="293" width="4.42578125" style="17" hidden="1" customWidth="1"/>
    <col min="294" max="314" width="4" style="17" hidden="1" customWidth="1"/>
    <col min="315" max="335" width="4.42578125" style="17" hidden="1" customWidth="1"/>
    <col min="336" max="336" width="11.42578125" style="17" customWidth="1"/>
    <col min="337" max="16384" width="11.42578125" style="17"/>
  </cols>
  <sheetData>
    <row r="1" spans="1:336" ht="12.75" customHeight="1">
      <c r="A1" s="16"/>
      <c r="B1" s="118"/>
      <c r="C1" s="2"/>
      <c r="D1" s="2"/>
      <c r="E1" s="3"/>
      <c r="F1" s="2"/>
      <c r="G1" s="2"/>
      <c r="H1" s="2"/>
      <c r="I1" s="2"/>
      <c r="J1" s="2"/>
      <c r="K1" s="2"/>
      <c r="L1" s="2"/>
      <c r="M1" s="2"/>
      <c r="N1" s="2"/>
      <c r="O1" s="2"/>
      <c r="P1" s="2"/>
      <c r="Q1" s="2"/>
      <c r="R1" s="2"/>
      <c r="S1" s="2"/>
      <c r="T1" s="80" t="s">
        <v>22</v>
      </c>
      <c r="U1" s="2"/>
      <c r="V1" s="4"/>
      <c r="W1" s="2"/>
      <c r="X1" s="2"/>
      <c r="Y1" s="2"/>
      <c r="Z1" s="2"/>
      <c r="AA1" s="2"/>
      <c r="AB1" s="2"/>
      <c r="AC1" s="2"/>
      <c r="AD1" s="2"/>
      <c r="AE1" s="2"/>
      <c r="AF1" s="2"/>
      <c r="AG1" s="2"/>
      <c r="AH1" s="2"/>
      <c r="AI1" s="2"/>
      <c r="AJ1" s="2"/>
      <c r="AK1" s="2"/>
      <c r="AL1" s="2"/>
      <c r="AM1" s="2"/>
      <c r="AN1" s="2"/>
      <c r="AO1" s="2"/>
      <c r="AP1" s="2"/>
      <c r="AQ1" s="2"/>
      <c r="AR1" s="2"/>
      <c r="AS1" s="2"/>
      <c r="AT1" s="2"/>
      <c r="AU1" s="2"/>
      <c r="AV1" s="11"/>
      <c r="AW1" s="2783" t="s">
        <v>79</v>
      </c>
      <c r="AX1" s="3770" t="s">
        <v>104</v>
      </c>
      <c r="AY1" s="3771"/>
      <c r="AZ1" s="3771"/>
      <c r="BA1" s="3771"/>
      <c r="BB1" s="3771"/>
      <c r="BC1" s="3771"/>
      <c r="BD1" s="3771"/>
      <c r="BE1" s="3771"/>
      <c r="BF1" s="3772"/>
      <c r="BG1" s="3770" t="s">
        <v>70</v>
      </c>
      <c r="BH1" s="3771"/>
      <c r="BI1" s="3771"/>
      <c r="BJ1" s="3771"/>
      <c r="BK1" s="3771"/>
      <c r="BL1" s="3771"/>
      <c r="BM1" s="3771"/>
      <c r="BN1" s="3771"/>
      <c r="BO1" s="3771"/>
      <c r="BP1" s="3771"/>
      <c r="BQ1" s="3771"/>
      <c r="BR1" s="3771"/>
      <c r="BS1" s="3771"/>
      <c r="BT1" s="3771"/>
      <c r="BU1" s="3771"/>
      <c r="BV1" s="3771"/>
      <c r="BW1" s="3771"/>
      <c r="BX1" s="3771"/>
      <c r="BY1" s="3771"/>
      <c r="BZ1" s="3771"/>
      <c r="CA1" s="3772"/>
      <c r="CB1" s="3770" t="s">
        <v>71</v>
      </c>
      <c r="CC1" s="3771"/>
      <c r="CD1" s="3771"/>
      <c r="CE1" s="3771"/>
      <c r="CF1" s="3771"/>
      <c r="CG1" s="3771"/>
      <c r="CH1" s="3771"/>
      <c r="CI1" s="3771"/>
      <c r="CJ1" s="3771"/>
      <c r="CK1" s="3771"/>
      <c r="CL1" s="3771"/>
      <c r="CM1" s="3771"/>
      <c r="CN1" s="3771"/>
      <c r="CO1" s="3771"/>
      <c r="CP1" s="3771"/>
      <c r="CQ1" s="3771"/>
      <c r="CR1" s="3771"/>
      <c r="CS1" s="3771"/>
      <c r="CT1" s="3771"/>
      <c r="CU1" s="3771"/>
      <c r="CV1" s="3772"/>
      <c r="CW1" s="3773" t="s">
        <v>72</v>
      </c>
      <c r="CX1" s="3774"/>
      <c r="CY1" s="3774"/>
      <c r="CZ1" s="3774"/>
      <c r="DA1" s="3774"/>
      <c r="DB1" s="3774"/>
      <c r="DC1" s="3774"/>
      <c r="DD1" s="3774"/>
      <c r="DE1" s="3774"/>
      <c r="DF1" s="3774"/>
      <c r="DG1" s="3774"/>
      <c r="DH1" s="3774"/>
      <c r="DI1" s="3774"/>
      <c r="DJ1" s="3774"/>
      <c r="DK1" s="3774"/>
      <c r="DL1" s="3774"/>
      <c r="DM1" s="3774"/>
      <c r="DN1" s="3774"/>
      <c r="DO1" s="3774"/>
      <c r="DP1" s="3774"/>
      <c r="DQ1" s="3775"/>
      <c r="DR1" s="3770" t="s">
        <v>73</v>
      </c>
      <c r="DS1" s="3771"/>
      <c r="DT1" s="3771"/>
      <c r="DU1" s="3771"/>
      <c r="DV1" s="3771"/>
      <c r="DW1" s="3771"/>
      <c r="DX1" s="3771"/>
      <c r="DY1" s="3771"/>
      <c r="DZ1" s="3771"/>
      <c r="EA1" s="3771"/>
      <c r="EB1" s="3771"/>
      <c r="EC1" s="3771"/>
      <c r="ED1" s="3771"/>
      <c r="EE1" s="3771"/>
      <c r="EF1" s="3771"/>
      <c r="EG1" s="3771"/>
      <c r="EH1" s="3771"/>
      <c r="EI1" s="3771"/>
      <c r="EJ1" s="3771"/>
      <c r="EK1" s="3771"/>
      <c r="EL1" s="3772"/>
      <c r="EM1" s="3776" t="s">
        <v>74</v>
      </c>
      <c r="EN1" s="3777"/>
      <c r="EO1" s="3777"/>
      <c r="EP1" s="3777"/>
      <c r="EQ1" s="3777"/>
      <c r="ER1" s="3777"/>
      <c r="ES1" s="3777"/>
      <c r="ET1" s="3777"/>
      <c r="EU1" s="3777"/>
      <c r="EV1" s="3777"/>
      <c r="EW1" s="3777"/>
      <c r="EX1" s="3777"/>
      <c r="EY1" s="3777"/>
      <c r="EZ1" s="3777"/>
      <c r="FA1" s="3777"/>
      <c r="FB1" s="3777"/>
      <c r="FC1" s="3777"/>
      <c r="FD1" s="3777"/>
      <c r="FE1" s="3777"/>
      <c r="FF1" s="3777"/>
      <c r="FG1" s="3778"/>
      <c r="FH1" s="3776" t="s">
        <v>713</v>
      </c>
      <c r="FI1" s="3777"/>
      <c r="FJ1" s="3777"/>
      <c r="FK1" s="3777"/>
      <c r="FL1" s="3777"/>
      <c r="FM1" s="3777"/>
      <c r="FN1" s="3777"/>
      <c r="FO1" s="3777"/>
      <c r="FP1" s="3777"/>
      <c r="FQ1" s="3777"/>
      <c r="FR1" s="3777"/>
      <c r="FS1" s="3777"/>
      <c r="FT1" s="3777"/>
      <c r="FU1" s="3777"/>
      <c r="FV1" s="3777"/>
      <c r="FW1" s="3777"/>
      <c r="FX1" s="3777"/>
      <c r="FY1" s="3777"/>
      <c r="FZ1" s="3777"/>
      <c r="GA1" s="3777"/>
      <c r="GB1" s="3778"/>
      <c r="GC1" s="2236"/>
      <c r="GD1" s="2237" t="s">
        <v>765</v>
      </c>
      <c r="GE1" s="2237" t="s">
        <v>766</v>
      </c>
      <c r="GF1" s="2237" t="s">
        <v>767</v>
      </c>
      <c r="GG1" s="781" t="s">
        <v>771</v>
      </c>
      <c r="GH1" s="781" t="s">
        <v>772</v>
      </c>
      <c r="GI1" s="781" t="s">
        <v>773</v>
      </c>
      <c r="GJ1" s="2237"/>
      <c r="GK1" s="2238" t="s">
        <v>780</v>
      </c>
      <c r="GL1" s="3797" t="s">
        <v>1749</v>
      </c>
      <c r="GM1" s="3798"/>
      <c r="GN1" s="3798"/>
      <c r="GO1" s="3798"/>
      <c r="GP1" s="3798"/>
      <c r="GQ1" s="3798"/>
      <c r="GR1" s="3798"/>
      <c r="GS1" s="3798"/>
      <c r="GT1" s="3798"/>
      <c r="GU1" s="3798"/>
      <c r="GV1" s="3798"/>
      <c r="GW1" s="3798"/>
      <c r="GX1" s="3798"/>
      <c r="GY1" s="3798"/>
      <c r="GZ1" s="3798"/>
      <c r="HA1" s="3798"/>
      <c r="HB1" s="3798"/>
      <c r="HC1" s="3798"/>
      <c r="HD1" s="3798"/>
      <c r="HE1" s="3771">
        <f>COUNTA(GM2:HF21,si,"X")</f>
        <v>402</v>
      </c>
      <c r="HF1" s="3772"/>
      <c r="HG1" s="1903"/>
      <c r="HH1" s="1904"/>
      <c r="HI1" s="3804" t="s">
        <v>1407</v>
      </c>
      <c r="HJ1" s="3805"/>
      <c r="HK1" s="3805"/>
      <c r="HL1" s="3805"/>
      <c r="HM1" s="3805"/>
      <c r="HN1" s="3805"/>
      <c r="HO1" s="3805"/>
      <c r="HP1" s="3806"/>
      <c r="HQ1" s="3807" t="s">
        <v>1408</v>
      </c>
      <c r="HR1" s="3807"/>
      <c r="HS1" s="3807"/>
      <c r="HT1" s="3807"/>
      <c r="HU1" s="3807"/>
      <c r="HV1" s="3807"/>
      <c r="HW1" s="3807"/>
      <c r="HX1" s="3807"/>
      <c r="HY1" s="3807"/>
      <c r="HZ1" s="3807"/>
      <c r="IA1" s="3807"/>
      <c r="IB1" s="3807"/>
      <c r="IC1" s="3807"/>
      <c r="ID1" s="3807"/>
      <c r="IE1" s="3807"/>
      <c r="IF1" s="3807"/>
      <c r="IG1" s="3904" t="s">
        <v>1409</v>
      </c>
      <c r="IH1" s="3904"/>
      <c r="II1" s="3904"/>
      <c r="IJ1" s="3904"/>
      <c r="IK1" s="3904"/>
      <c r="IL1" s="3904"/>
      <c r="IM1" s="3904"/>
      <c r="IN1" s="3904"/>
      <c r="IO1" s="3904"/>
      <c r="IP1" s="3904"/>
      <c r="IQ1" s="3904"/>
      <c r="IR1" s="3904"/>
      <c r="IS1" s="3904"/>
      <c r="IT1" s="3904"/>
      <c r="IU1" s="3904"/>
      <c r="IV1" s="3881" t="s">
        <v>1774</v>
      </c>
      <c r="IW1" s="3882"/>
      <c r="IX1" s="3882"/>
      <c r="IY1" s="3882"/>
      <c r="IZ1" s="3882"/>
      <c r="JA1" s="3883"/>
      <c r="JB1" s="1905" t="s">
        <v>393</v>
      </c>
      <c r="JC1" s="1906" t="s">
        <v>8</v>
      </c>
      <c r="JD1" s="3901" t="s">
        <v>1126</v>
      </c>
      <c r="JE1" s="3879"/>
      <c r="JF1" s="3879"/>
      <c r="JG1" s="3879"/>
      <c r="JH1" s="3879">
        <f>SUM(JD3:JI21)</f>
        <v>3320</v>
      </c>
      <c r="JI1" s="3880"/>
      <c r="JJ1" s="3899" t="s">
        <v>423</v>
      </c>
      <c r="JK1" s="3900"/>
      <c r="JL1" s="3900"/>
      <c r="JM1" s="3900"/>
      <c r="JN1" s="3879">
        <f>SUM(JJ3:JO21)</f>
        <v>243</v>
      </c>
      <c r="JO1" s="3880"/>
      <c r="JP1" s="3897" t="s">
        <v>434</v>
      </c>
      <c r="JQ1" s="3898"/>
      <c r="JR1" s="3898"/>
      <c r="JS1" s="3898"/>
      <c r="JT1" s="3879">
        <f>SUM(JP3:JU21)</f>
        <v>330</v>
      </c>
      <c r="JU1" s="3880"/>
      <c r="JV1" s="3895" t="s">
        <v>848</v>
      </c>
      <c r="JW1" s="3896"/>
      <c r="JX1" s="3896"/>
      <c r="JY1" s="3896"/>
      <c r="JZ1" s="3879">
        <f>SUM(JV3:KA21)</f>
        <v>3233</v>
      </c>
      <c r="KA1" s="3880"/>
      <c r="KB1" s="3902" t="s">
        <v>1142</v>
      </c>
      <c r="KC1" s="3903"/>
      <c r="KD1" s="3903"/>
      <c r="KE1" s="3903"/>
      <c r="KF1" s="3879">
        <f>SUM(KB3:KG21)</f>
        <v>0</v>
      </c>
      <c r="KG1" s="3880"/>
      <c r="KH1" s="3776" t="s">
        <v>2000</v>
      </c>
      <c r="KI1" s="3777"/>
      <c r="KJ1" s="3777"/>
      <c r="KK1" s="3777"/>
      <c r="KL1" s="3777"/>
      <c r="KM1" s="3777"/>
      <c r="KN1" s="3777"/>
      <c r="KO1" s="3777"/>
      <c r="KP1" s="3777"/>
      <c r="KQ1" s="3777"/>
      <c r="KR1" s="3777"/>
      <c r="KS1" s="3777"/>
      <c r="KT1" s="3777"/>
      <c r="KU1" s="3777"/>
      <c r="KV1" s="3777"/>
      <c r="KW1" s="3777"/>
      <c r="KX1" s="3777"/>
      <c r="KY1" s="3777"/>
      <c r="KZ1" s="3777"/>
      <c r="LA1" s="3777"/>
      <c r="LB1" s="3778"/>
      <c r="LC1" s="3776" t="s">
        <v>2104</v>
      </c>
      <c r="LD1" s="3777"/>
      <c r="LE1" s="3777"/>
      <c r="LF1" s="3777"/>
      <c r="LG1" s="3777"/>
      <c r="LH1" s="3777"/>
      <c r="LI1" s="3777"/>
      <c r="LJ1" s="3777"/>
      <c r="LK1" s="3777"/>
      <c r="LL1" s="3777"/>
      <c r="LM1" s="3777"/>
      <c r="LN1" s="3777"/>
      <c r="LO1" s="3777"/>
      <c r="LP1" s="3777"/>
      <c r="LQ1" s="3777"/>
      <c r="LR1" s="3777"/>
      <c r="LS1" s="3777"/>
      <c r="LT1" s="3777"/>
      <c r="LU1" s="3777"/>
      <c r="LV1" s="3777"/>
      <c r="LW1" s="3778"/>
      <c r="LX1" s="27" t="s">
        <v>79</v>
      </c>
    </row>
    <row r="2" spans="1:336" s="18" customFormat="1" ht="12.75" customHeight="1">
      <c r="A2" s="125"/>
      <c r="B2" s="123"/>
      <c r="C2" s="2258"/>
      <c r="D2" s="2258"/>
      <c r="E2" s="3"/>
      <c r="F2" s="2"/>
      <c r="G2" s="2258"/>
      <c r="H2" s="2258"/>
      <c r="I2" s="2258"/>
      <c r="J2" s="2258"/>
      <c r="K2" s="2258"/>
      <c r="L2" s="2258"/>
      <c r="M2" s="2258"/>
      <c r="N2" s="2258"/>
      <c r="O2" s="2258"/>
      <c r="P2" s="2258"/>
      <c r="Q2" s="2258"/>
      <c r="R2" s="2258"/>
      <c r="S2" s="2258"/>
      <c r="T2" s="80" t="s">
        <v>196</v>
      </c>
      <c r="U2" s="2258"/>
      <c r="V2" s="4"/>
      <c r="W2" s="2258"/>
      <c r="X2" s="2258"/>
      <c r="Y2" s="2258"/>
      <c r="Z2" s="2258"/>
      <c r="AA2" s="2258"/>
      <c r="AB2" s="2258"/>
      <c r="AC2" s="2258"/>
      <c r="AD2" s="2258"/>
      <c r="AE2" s="2258"/>
      <c r="AF2" s="2936"/>
      <c r="AG2" s="2936"/>
      <c r="AH2" s="2258"/>
      <c r="AI2" s="2258"/>
      <c r="AJ2" s="2258"/>
      <c r="AK2" s="2258"/>
      <c r="AL2" s="2258"/>
      <c r="AM2" s="2258"/>
      <c r="AN2" s="2258"/>
      <c r="AO2" s="2258"/>
      <c r="AP2" s="2258"/>
      <c r="AQ2" s="2258"/>
      <c r="AR2" s="2863"/>
      <c r="AS2" s="2258"/>
      <c r="AT2" s="2258"/>
      <c r="AU2" s="2258"/>
      <c r="AV2" s="2257"/>
      <c r="AW2" s="2783" t="s">
        <v>79</v>
      </c>
      <c r="AX2" s="1907">
        <v>1</v>
      </c>
      <c r="AY2" s="1908" t="str">
        <f>Plantillas!D$32</f>
        <v>KABAH</v>
      </c>
      <c r="AZ2" s="1908" t="str">
        <f>Plantillas!M$32</f>
        <v>23DPR0055K</v>
      </c>
      <c r="BA2" s="1908" t="str">
        <f>Plantillas!Q$32</f>
        <v>MATUTINO</v>
      </c>
      <c r="BB2" s="1915">
        <f>Plantillas!Z$63</f>
        <v>12</v>
      </c>
      <c r="BC2" s="1909" t="str">
        <f>Plantillas!C$33</f>
        <v>SM-48 C-OCOSINGO CON OCOTEPEC</v>
      </c>
      <c r="BD2" s="1908" t="str">
        <f>Plantillas!P$33</f>
        <v>9981 49 34 04</v>
      </c>
      <c r="BE2" s="1910" t="str">
        <f>Plantillas!E$67</f>
        <v>CERVANTES BENITEZ * ANTONIA</v>
      </c>
      <c r="BF2" s="1910">
        <f>Plantillas!AA$63</f>
        <v>350</v>
      </c>
      <c r="BG2" s="1907">
        <v>1</v>
      </c>
      <c r="BH2" s="1908" t="str">
        <f>Plantillas!B$37</f>
        <v>CERVANTES BENITEZ * ANTONIA</v>
      </c>
      <c r="BI2" s="1908" t="str">
        <f>Plantillas!B$38</f>
        <v>ARANDA ESCALANTE * ARELI GUADALUPE</v>
      </c>
      <c r="BJ2" s="1908" t="str">
        <f>Plantillas!B$39</f>
        <v>AKE QUEB * MARIANA DEL CONSUELO</v>
      </c>
      <c r="BK2" s="1908" t="str">
        <f>Plantillas!B$40</f>
        <v>MORENO CARDENAS * IGNACIA</v>
      </c>
      <c r="BL2" s="1908" t="str">
        <f>Plantillas!B$41</f>
        <v>GONGORA SANTOS * GRACIELA</v>
      </c>
      <c r="BM2" s="1908" t="str">
        <f>Plantillas!B$42</f>
        <v>VARGAS GARCIA * DEBRA DORIS DEL SAGRARIO</v>
      </c>
      <c r="BN2" s="1908" t="str">
        <f>Plantillas!B$43</f>
        <v>CASTRO LOPEZ * SOSIMA PETRA</v>
      </c>
      <c r="BO2" s="1908" t="str">
        <f>Plantillas!B$44</f>
        <v>SANCHEZ BUSTAMANTE * CONCEPCION</v>
      </c>
      <c r="BP2" s="1908" t="str">
        <f>Plantillas!B$45</f>
        <v>VIVEROS SALAZAR *NORA</v>
      </c>
      <c r="BQ2" s="1911" t="str">
        <f>Plantillas!B$46</f>
        <v>XIU VELAZQUEZ * JOSE MANUEL</v>
      </c>
      <c r="BR2" s="1911" t="str">
        <f>Plantillas!B$47</f>
        <v>MARTIN QUINTAL * SIHARELI CONCEPCION</v>
      </c>
      <c r="BS2" s="1911" t="str">
        <f>Plantillas!B$48</f>
        <v>ALEMAN SANTOS * MIRIAM</v>
      </c>
      <c r="BT2" s="1911" t="str">
        <f>Plantillas!B$49</f>
        <v>CRUZ PEREZ * FRANCISCO</v>
      </c>
      <c r="BU2" s="1911" t="str">
        <f>Plantillas!B$50</f>
        <v>GONGORA * TERESITA DEL CARMEN</v>
      </c>
      <c r="BV2" s="1911" t="str">
        <f>Plantillas!B$51</f>
        <v>ARGUELLES GARCIA * MAYRA LUCELY</v>
      </c>
      <c r="BW2" s="1911">
        <f>Plantillas!B$52</f>
        <v>0</v>
      </c>
      <c r="BX2" s="1911">
        <f>Plantillas!B$53</f>
        <v>0</v>
      </c>
      <c r="BY2" s="1911" t="str">
        <f>Plantillas!B$54</f>
        <v>GARDUÑO CASTILLO * MERLI ROCIO</v>
      </c>
      <c r="BZ2" s="1911" t="str">
        <f>Plantillas!B$55</f>
        <v>POOT QUEB *LUIS ARMANDO</v>
      </c>
      <c r="CA2" s="1912">
        <f>Plantillas!B$56</f>
        <v>0</v>
      </c>
      <c r="CB2" s="1355">
        <v>1</v>
      </c>
      <c r="CC2" s="1911" t="str">
        <f>Plantillas!J$37</f>
        <v>CEBA641230GX0</v>
      </c>
      <c r="CD2" s="1911" t="str">
        <f>Plantillas!J$38</f>
        <v>AAEA820728V25</v>
      </c>
      <c r="CE2" s="1911" t="str">
        <f>Plantillas!J$39</f>
        <v>AEQM701008HL2</v>
      </c>
      <c r="CF2" s="1911" t="str">
        <f>Plantillas!J$40</f>
        <v>MOCI710325EVA</v>
      </c>
      <c r="CG2" s="1911" t="str">
        <f>Plantillas!J$41</f>
        <v>GOSG720804RM7</v>
      </c>
      <c r="CH2" s="1911" t="str">
        <f>Plantillas!J$42</f>
        <v>VAGD571220UB2</v>
      </c>
      <c r="CI2" s="1911" t="str">
        <f>Plantillas!J$43</f>
        <v>CALS720517BFA</v>
      </c>
      <c r="CJ2" s="1911" t="str">
        <f>Plantillas!J$44</f>
        <v>SABC641208519</v>
      </c>
      <c r="CK2" s="1911" t="str">
        <f>Plantillas!J$45</f>
        <v>VISN610207QM0</v>
      </c>
      <c r="CL2" s="1911" t="str">
        <f>Plantillas!J$46</f>
        <v>XIVM780420LJ4</v>
      </c>
      <c r="CM2" s="1911" t="str">
        <f>Plantillas!J$47</f>
        <v>MAQS911208-BX9</v>
      </c>
      <c r="CN2" s="1911" t="str">
        <f>Plantillas!J$48</f>
        <v>AESM711024QNA</v>
      </c>
      <c r="CO2" s="1911" t="str">
        <f>Plantillas!J$49</f>
        <v>CUPF7111299H0</v>
      </c>
      <c r="CP2" s="1911" t="str">
        <f>Plantillas!J$50</f>
        <v>GOTE710913H14</v>
      </c>
      <c r="CQ2" s="1911" t="str">
        <f>Plantillas!J$51</f>
        <v>AUGM7601167K6</v>
      </c>
      <c r="CR2" s="1911">
        <f>Plantillas!J$52</f>
        <v>0</v>
      </c>
      <c r="CS2" s="1911">
        <f>Plantillas!J$53</f>
        <v>0</v>
      </c>
      <c r="CT2" s="1911">
        <f>Plantillas!J$54</f>
        <v>0</v>
      </c>
      <c r="CU2" s="1911">
        <f>Plantillas!J$55</f>
        <v>0</v>
      </c>
      <c r="CV2" s="1912">
        <f>Plantillas!J$56</f>
        <v>0</v>
      </c>
      <c r="CW2" s="1355">
        <v>1</v>
      </c>
      <c r="CX2" s="1911" t="str">
        <f>Plantillas!K$37</f>
        <v>078312 E022100.0231688</v>
      </c>
      <c r="CY2" s="1911" t="str">
        <f>Plantillas!K$38</f>
        <v>078312 E028100.0230501</v>
      </c>
      <c r="CZ2" s="1911" t="str">
        <f>Plantillas!K$39</f>
        <v>078312 E028100.0233023</v>
      </c>
      <c r="DA2" s="1911" t="str">
        <f>Plantillas!K$40</f>
        <v>078312 E028100.0232722</v>
      </c>
      <c r="DB2" s="1911" t="str">
        <f>Plantillas!K$41</f>
        <v>078312 E028100.0233382</v>
      </c>
      <c r="DC2" s="1911" t="str">
        <f>Plantillas!K$42</f>
        <v>078312 E028100.0232821</v>
      </c>
      <c r="DD2" s="1911" t="str">
        <f>Plantillas!K$43</f>
        <v>078312 E028100.0232759</v>
      </c>
      <c r="DE2" s="1911" t="str">
        <f>Plantillas!K$44</f>
        <v>078312 E028100.0233935</v>
      </c>
      <c r="DF2" s="1911" t="str">
        <f>Plantillas!K$45</f>
        <v>078312 E028100.0232459</v>
      </c>
      <c r="DG2" s="1911" t="str">
        <f>Plantillas!K$46</f>
        <v>078312 E028100.0040223</v>
      </c>
      <c r="DH2" s="1911" t="str">
        <f>Plantillas!K$47</f>
        <v>078312E028100.0234567</v>
      </c>
      <c r="DI2" s="1911" t="str">
        <f>Plantillas!K$48</f>
        <v>078312 E028100.0233330</v>
      </c>
      <c r="DJ2" s="1911" t="str">
        <f>Plantillas!K$49</f>
        <v>078312 E028100.0233698</v>
      </c>
      <c r="DK2" s="1911" t="str">
        <f>Plantillas!K$50</f>
        <v>072303 S0180700.0300489</v>
      </c>
      <c r="DL2" s="1911" t="str">
        <f>Plantillas!K$51</f>
        <v>074823 E076302.0230140</v>
      </c>
      <c r="DM2" s="1911">
        <f>Plantillas!K$52</f>
        <v>0</v>
      </c>
      <c r="DN2" s="1911">
        <f>Plantillas!K$53</f>
        <v>0</v>
      </c>
      <c r="DO2" s="1911">
        <f>Plantillas!K$54</f>
        <v>0</v>
      </c>
      <c r="DP2" s="1911">
        <f>Plantillas!K$55</f>
        <v>0</v>
      </c>
      <c r="DQ2" s="1912">
        <f>Plantillas!K$56</f>
        <v>0</v>
      </c>
      <c r="DR2" s="1355">
        <v>1</v>
      </c>
      <c r="DS2" s="1911" t="str">
        <f>Plantillas!L$37</f>
        <v>DIRECTOR</v>
      </c>
      <c r="DT2" s="1911" t="str">
        <f>Plantillas!L$38</f>
        <v>DOCENTE</v>
      </c>
      <c r="DU2" s="1911" t="str">
        <f>Plantillas!L$39</f>
        <v>DOCENTE</v>
      </c>
      <c r="DV2" s="1911" t="str">
        <f>Plantillas!L$40</f>
        <v>DOCENTE</v>
      </c>
      <c r="DW2" s="1911" t="str">
        <f>Plantillas!L$41</f>
        <v>DOCENTE</v>
      </c>
      <c r="DX2" s="1911" t="str">
        <f>Plantillas!L$42</f>
        <v>DOCENTE</v>
      </c>
      <c r="DY2" s="1911" t="str">
        <f>Plantillas!L$43</f>
        <v>DOCENTE</v>
      </c>
      <c r="DZ2" s="1911" t="str">
        <f>Plantillas!L$44</f>
        <v>DOCENTE</v>
      </c>
      <c r="EA2" s="1911" t="str">
        <f>Plantillas!L$45</f>
        <v>DOCENTE</v>
      </c>
      <c r="EB2" s="1911" t="str">
        <f>Plantillas!L$46</f>
        <v>DOCENTE</v>
      </c>
      <c r="EC2" s="1911" t="str">
        <f>Plantillas!L$47</f>
        <v>DOCENTE</v>
      </c>
      <c r="ED2" s="1911" t="str">
        <f>Plantillas!L$48</f>
        <v>DOCENTE</v>
      </c>
      <c r="EE2" s="1911" t="str">
        <f>Plantillas!L$49</f>
        <v>DOCENTE</v>
      </c>
      <c r="EF2" s="1911" t="str">
        <f>Plantillas!L$50</f>
        <v>INTENDENTE</v>
      </c>
      <c r="EG2" s="1911" t="str">
        <f>Plantillas!L$51</f>
        <v>E. FISICA</v>
      </c>
      <c r="EH2" s="1911">
        <f>Plantillas!L$52</f>
        <v>0</v>
      </c>
      <c r="EI2" s="1911">
        <f>Plantillas!L$53</f>
        <v>0</v>
      </c>
      <c r="EJ2" s="1911">
        <f>Plantillas!L$54</f>
        <v>0</v>
      </c>
      <c r="EK2" s="1911">
        <f>Plantillas!L$55</f>
        <v>0</v>
      </c>
      <c r="EL2" s="1912">
        <f>Plantillas!L$56</f>
        <v>0</v>
      </c>
      <c r="EM2" s="1355">
        <v>1</v>
      </c>
      <c r="EN2" s="1913">
        <f>Plantillas!U$37</f>
        <v>10</v>
      </c>
      <c r="EO2" s="1913">
        <f>Plantillas!U$38</f>
        <v>10</v>
      </c>
      <c r="EP2" s="1913">
        <f>Plantillas!U$39</f>
        <v>10</v>
      </c>
      <c r="EQ2" s="1913">
        <f>Plantillas!U$40</f>
        <v>10</v>
      </c>
      <c r="ER2" s="1913">
        <f>Plantillas!U$41</f>
        <v>10</v>
      </c>
      <c r="ES2" s="1913">
        <f>Plantillas!U$42</f>
        <v>10</v>
      </c>
      <c r="ET2" s="1913">
        <f>Plantillas!U$43</f>
        <v>10</v>
      </c>
      <c r="EU2" s="1913">
        <f>Plantillas!U$44</f>
        <v>10</v>
      </c>
      <c r="EV2" s="1913">
        <f>Plantillas!U$45</f>
        <v>10</v>
      </c>
      <c r="EW2" s="1913">
        <f>Plantillas!U$46</f>
        <v>10</v>
      </c>
      <c r="EX2" s="1913">
        <f>Plantillas!U$47</f>
        <v>10</v>
      </c>
      <c r="EY2" s="1913">
        <f>Plantillas!U$48</f>
        <v>20</v>
      </c>
      <c r="EZ2" s="1913">
        <f>Plantillas!U$49</f>
        <v>10</v>
      </c>
      <c r="FA2" s="1913">
        <f>Plantillas!U$50</f>
        <v>10</v>
      </c>
      <c r="FB2" s="1913">
        <f>Plantillas!U$51</f>
        <v>10</v>
      </c>
      <c r="FC2" s="1913">
        <f>Plantillas!U$52</f>
        <v>0</v>
      </c>
      <c r="FD2" s="1913">
        <f>Plantillas!U$53</f>
        <v>0</v>
      </c>
      <c r="FE2" s="1913">
        <f>Plantillas!U$54</f>
        <v>0</v>
      </c>
      <c r="FF2" s="1913">
        <f>Plantillas!U$55</f>
        <v>0</v>
      </c>
      <c r="FG2" s="1914">
        <f>Plantillas!U$56</f>
        <v>0</v>
      </c>
      <c r="FH2" s="1355">
        <v>1</v>
      </c>
      <c r="FI2" s="1913" t="str">
        <f>Plantillas!T$37</f>
        <v>7D</v>
      </c>
      <c r="FJ2" s="1913">
        <f>Plantillas!T$38</f>
        <v>0</v>
      </c>
      <c r="FK2" s="1913" t="str">
        <f>Plantillas!T$39</f>
        <v>7A</v>
      </c>
      <c r="FL2" s="1913" t="str">
        <f>Plantillas!T$40</f>
        <v>7A</v>
      </c>
      <c r="FM2" s="1913">
        <f>Plantillas!T$41</f>
        <v>0</v>
      </c>
      <c r="FN2" s="1913" t="str">
        <f>Plantillas!T$42</f>
        <v>7A</v>
      </c>
      <c r="FO2" s="1913" t="str">
        <f>Plantillas!T$43</f>
        <v>7A</v>
      </c>
      <c r="FP2" s="1913" t="str">
        <f>Plantillas!T$44</f>
        <v>7A</v>
      </c>
      <c r="FQ2" s="1913" t="str">
        <f>Plantillas!T$45</f>
        <v>7A</v>
      </c>
      <c r="FR2" s="1913">
        <f>Plantillas!T$46</f>
        <v>0</v>
      </c>
      <c r="FS2" s="1913">
        <f>Plantillas!T$47</f>
        <v>0</v>
      </c>
      <c r="FT2" s="1913" t="str">
        <f>Plantillas!T$48</f>
        <v>7A</v>
      </c>
      <c r="FU2" s="1913" t="str">
        <f>Plantillas!T$49</f>
        <v>7A</v>
      </c>
      <c r="FV2" s="1913" t="str">
        <f>Plantillas!T$50</f>
        <v>7B</v>
      </c>
      <c r="FW2" s="1913">
        <f>Plantillas!T$51</f>
        <v>0</v>
      </c>
      <c r="FX2" s="1913">
        <f>Plantillas!T$52</f>
        <v>0</v>
      </c>
      <c r="FY2" s="1913">
        <f>Plantillas!T$53</f>
        <v>0</v>
      </c>
      <c r="FZ2" s="1913">
        <f>Plantillas!T$54</f>
        <v>0</v>
      </c>
      <c r="GA2" s="1913">
        <f>Plantillas!T$55</f>
        <v>0</v>
      </c>
      <c r="GB2" s="1914">
        <f>Plantillas!T$56</f>
        <v>0</v>
      </c>
      <c r="GC2" s="1355">
        <v>1</v>
      </c>
      <c r="GD2" s="1356">
        <f>Plantillas!V$66</f>
        <v>56</v>
      </c>
      <c r="GE2" s="1356">
        <f>Plantillas!W$66</f>
        <v>64</v>
      </c>
      <c r="GF2" s="1356">
        <f>Plantillas!X$66</f>
        <v>57</v>
      </c>
      <c r="GG2" s="1356">
        <f>Plantillas!Y$66</f>
        <v>60</v>
      </c>
      <c r="GH2" s="1356">
        <f>Plantillas!Z$66</f>
        <v>53</v>
      </c>
      <c r="GI2" s="1356">
        <f>Plantillas!AA$66</f>
        <v>60</v>
      </c>
      <c r="GJ2" s="1356">
        <f>SUM(GD2:GI2)</f>
        <v>350</v>
      </c>
      <c r="GK2" s="1357">
        <f>Plantillas!U$66</f>
        <v>0</v>
      </c>
      <c r="GL2" s="1355">
        <v>1</v>
      </c>
      <c r="GM2" s="1915">
        <f>Plantillas!H$37</f>
        <v>0</v>
      </c>
      <c r="GN2" s="1915">
        <f>Plantillas!H$38</f>
        <v>0</v>
      </c>
      <c r="GO2" s="1915">
        <f>Plantillas!H$39</f>
        <v>0</v>
      </c>
      <c r="GP2" s="1915">
        <f>Plantillas!H$40</f>
        <v>0</v>
      </c>
      <c r="GQ2" s="1915">
        <f>Plantillas!H$41</f>
        <v>0</v>
      </c>
      <c r="GR2" s="1915">
        <f>Plantillas!H$42</f>
        <v>0</v>
      </c>
      <c r="GS2" s="1915">
        <f>Plantillas!H$43</f>
        <v>0</v>
      </c>
      <c r="GT2" s="1915">
        <f>Plantillas!H$44</f>
        <v>0</v>
      </c>
      <c r="GU2" s="1915">
        <f>Plantillas!H$45</f>
        <v>0</v>
      </c>
      <c r="GV2" s="1915" t="str">
        <f>Plantillas!H$46</f>
        <v>X</v>
      </c>
      <c r="GW2" s="1915">
        <f>Plantillas!H$47</f>
        <v>0</v>
      </c>
      <c r="GX2" s="1915">
        <f>Plantillas!H$48</f>
        <v>0</v>
      </c>
      <c r="GY2" s="1915" t="str">
        <f>Plantillas!H$49</f>
        <v>X</v>
      </c>
      <c r="GZ2" s="1915">
        <f>Plantillas!H$50</f>
        <v>0</v>
      </c>
      <c r="HA2" s="1915">
        <f>Plantillas!H$51</f>
        <v>0</v>
      </c>
      <c r="HB2" s="1915">
        <f>Plantillas!H$52</f>
        <v>0</v>
      </c>
      <c r="HC2" s="1915">
        <f>Plantillas!H$53</f>
        <v>0</v>
      </c>
      <c r="HD2" s="1915">
        <f>Plantillas!H$54</f>
        <v>0</v>
      </c>
      <c r="HE2" s="1915">
        <f>Plantillas!H$55</f>
        <v>0</v>
      </c>
      <c r="HF2" s="1916">
        <f>Plantillas!H$56</f>
        <v>0</v>
      </c>
      <c r="HG2" s="778">
        <v>0</v>
      </c>
      <c r="HH2" s="1917">
        <v>2</v>
      </c>
      <c r="HI2" s="1918">
        <v>3</v>
      </c>
      <c r="HJ2" s="1919">
        <v>4</v>
      </c>
      <c r="HK2" s="1919">
        <v>5</v>
      </c>
      <c r="HL2" s="1919">
        <v>6</v>
      </c>
      <c r="HM2" s="1919">
        <v>7</v>
      </c>
      <c r="HN2" s="1919">
        <v>8</v>
      </c>
      <c r="HO2" s="1919">
        <v>9</v>
      </c>
      <c r="HP2" s="1920">
        <v>10</v>
      </c>
      <c r="HQ2" s="1918">
        <v>11</v>
      </c>
      <c r="HR2" s="1919">
        <v>12</v>
      </c>
      <c r="HS2" s="1919">
        <v>13</v>
      </c>
      <c r="HT2" s="1919">
        <v>14</v>
      </c>
      <c r="HU2" s="1919">
        <v>15</v>
      </c>
      <c r="HV2" s="1919">
        <v>16</v>
      </c>
      <c r="HW2" s="1919">
        <v>17</v>
      </c>
      <c r="HX2" s="1919">
        <v>18</v>
      </c>
      <c r="HY2" s="1919">
        <v>19</v>
      </c>
      <c r="HZ2" s="1919">
        <v>20</v>
      </c>
      <c r="IA2" s="1919">
        <v>21</v>
      </c>
      <c r="IB2" s="1919">
        <v>22</v>
      </c>
      <c r="IC2" s="1919">
        <v>23</v>
      </c>
      <c r="ID2" s="1919">
        <v>24</v>
      </c>
      <c r="IE2" s="1919">
        <v>25</v>
      </c>
      <c r="IF2" s="1920">
        <v>26</v>
      </c>
      <c r="IG2" s="1918">
        <v>27</v>
      </c>
      <c r="IH2" s="1919">
        <v>28</v>
      </c>
      <c r="II2" s="1919">
        <v>29</v>
      </c>
      <c r="IJ2" s="1919">
        <v>30</v>
      </c>
      <c r="IK2" s="1919">
        <v>31</v>
      </c>
      <c r="IL2" s="1919">
        <v>32</v>
      </c>
      <c r="IM2" s="1919">
        <v>33</v>
      </c>
      <c r="IN2" s="1919">
        <v>34</v>
      </c>
      <c r="IO2" s="1919">
        <v>35</v>
      </c>
      <c r="IP2" s="2695">
        <v>36</v>
      </c>
      <c r="IQ2" s="2698">
        <v>37</v>
      </c>
      <c r="IR2" s="1919">
        <v>38</v>
      </c>
      <c r="IS2" s="1919">
        <v>39</v>
      </c>
      <c r="IT2" s="1919">
        <v>40</v>
      </c>
      <c r="IU2" s="1919">
        <v>41</v>
      </c>
      <c r="IV2" s="1921">
        <v>42</v>
      </c>
      <c r="IW2" s="1922">
        <v>43</v>
      </c>
      <c r="IX2" s="1922">
        <v>44</v>
      </c>
      <c r="IY2" s="1922">
        <v>45</v>
      </c>
      <c r="IZ2" s="1922">
        <v>46</v>
      </c>
      <c r="JA2" s="1923">
        <v>47</v>
      </c>
      <c r="JB2" s="1917">
        <v>48</v>
      </c>
      <c r="JC2" s="1918">
        <v>49</v>
      </c>
      <c r="JD2" s="1924">
        <v>50</v>
      </c>
      <c r="JE2" s="1924">
        <v>51</v>
      </c>
      <c r="JF2" s="1924">
        <v>52</v>
      </c>
      <c r="JG2" s="1924">
        <v>53</v>
      </c>
      <c r="JH2" s="1924">
        <v>54</v>
      </c>
      <c r="JI2" s="1924">
        <v>55</v>
      </c>
      <c r="JJ2" s="1924">
        <v>56</v>
      </c>
      <c r="JK2" s="1924">
        <v>57</v>
      </c>
      <c r="JL2" s="1924">
        <v>58</v>
      </c>
      <c r="JM2" s="1924">
        <v>59</v>
      </c>
      <c r="JN2" s="1924">
        <v>60</v>
      </c>
      <c r="JO2" s="1924">
        <v>61</v>
      </c>
      <c r="JP2" s="1924">
        <v>62</v>
      </c>
      <c r="JQ2" s="1924">
        <v>63</v>
      </c>
      <c r="JR2" s="1924">
        <v>64</v>
      </c>
      <c r="JS2" s="1924">
        <v>65</v>
      </c>
      <c r="JT2" s="1924">
        <v>66</v>
      </c>
      <c r="JU2" s="1924">
        <v>67</v>
      </c>
      <c r="JV2" s="1917">
        <v>68</v>
      </c>
      <c r="JW2" s="1917">
        <v>69</v>
      </c>
      <c r="JX2" s="1917">
        <v>70</v>
      </c>
      <c r="JY2" s="1917">
        <v>71</v>
      </c>
      <c r="JZ2" s="1917">
        <v>72</v>
      </c>
      <c r="KA2" s="1917">
        <v>73</v>
      </c>
      <c r="KB2" s="1924">
        <v>74</v>
      </c>
      <c r="KC2" s="1924">
        <v>75</v>
      </c>
      <c r="KD2" s="1924">
        <v>76</v>
      </c>
      <c r="KE2" s="1924">
        <v>77</v>
      </c>
      <c r="KF2" s="1924">
        <v>78</v>
      </c>
      <c r="KG2" s="1924">
        <v>79</v>
      </c>
      <c r="KH2" s="1355">
        <v>1</v>
      </c>
      <c r="KI2" s="1913" t="s">
        <v>1329</v>
      </c>
      <c r="KJ2" s="1913" t="s">
        <v>1329</v>
      </c>
      <c r="KK2" s="1913" t="s">
        <v>1329</v>
      </c>
      <c r="KL2" s="1913" t="s">
        <v>1329</v>
      </c>
      <c r="KM2" s="1913" t="s">
        <v>1329</v>
      </c>
      <c r="KN2" s="1913" t="s">
        <v>1329</v>
      </c>
      <c r="KO2" s="1913" t="s">
        <v>1329</v>
      </c>
      <c r="KP2" s="1913" t="s">
        <v>1329</v>
      </c>
      <c r="KQ2" s="1913" t="s">
        <v>1329</v>
      </c>
      <c r="KR2" s="1913" t="s">
        <v>1329</v>
      </c>
      <c r="KS2" s="1913" t="s">
        <v>1329</v>
      </c>
      <c r="KT2" s="1913" t="s">
        <v>1329</v>
      </c>
      <c r="KU2" s="1913" t="s">
        <v>1329</v>
      </c>
      <c r="KV2" s="1913" t="s">
        <v>1329</v>
      </c>
      <c r="KW2" s="1913" t="s">
        <v>1329</v>
      </c>
      <c r="KX2" s="1913" t="s">
        <v>1329</v>
      </c>
      <c r="KY2" s="1913"/>
      <c r="KZ2" s="1913"/>
      <c r="LA2" s="1913"/>
      <c r="LB2" s="1914"/>
      <c r="LC2" s="3741">
        <v>1</v>
      </c>
      <c r="LD2" s="3742" t="str">
        <f>Plantillas!S$37</f>
        <v>CEBA641230MSL</v>
      </c>
      <c r="LE2" s="3742" t="str">
        <f>Plantillas!S$38</f>
        <v>AAEA820728MYN</v>
      </c>
      <c r="LF2" s="3742" t="str">
        <f>Plantillas!S$39</f>
        <v>AEQM701008MCC</v>
      </c>
      <c r="LG2" s="3742" t="str">
        <f>Plantillas!S$40</f>
        <v>MOCI710325MQR</v>
      </c>
      <c r="LH2" s="3742" t="str">
        <f>Plantillas!S$41</f>
        <v>GOSG720804MYN</v>
      </c>
      <c r="LI2" s="3742" t="str">
        <f>Plantillas!S$42</f>
        <v>VAGD571220MYN</v>
      </c>
      <c r="LJ2" s="3742" t="str">
        <f>Plantillas!S$43</f>
        <v>CALS720517MQR</v>
      </c>
      <c r="LK2" s="3742" t="str">
        <f>Plantillas!S$44</f>
        <v>SABC641208MQR</v>
      </c>
      <c r="LL2" s="3742" t="str">
        <f>Plantillas!S$45</f>
        <v>VISN610207MQR</v>
      </c>
      <c r="LM2" s="3742" t="str">
        <f>Plantillas!S$46</f>
        <v>XIVM780420HQR</v>
      </c>
      <c r="LN2" s="3742">
        <f>Plantillas!S$47</f>
        <v>0</v>
      </c>
      <c r="LO2" s="3742" t="str">
        <f>Plantillas!S$48</f>
        <v>AESM711024MQR</v>
      </c>
      <c r="LP2" s="3742" t="str">
        <f>Plantillas!S$49</f>
        <v>CUPF711129HCC</v>
      </c>
      <c r="LQ2" s="3742" t="str">
        <f>Plantillas!S$50</f>
        <v>GOTE710913M</v>
      </c>
      <c r="LR2" s="3742" t="str">
        <f>Plantillas!S$51</f>
        <v>AUGM760116M</v>
      </c>
      <c r="LS2" s="3742" t="str">
        <f>Plantillas!S$52</f>
        <v>MASA730502HQR</v>
      </c>
      <c r="LT2" s="3742">
        <f>Plantillas!S$53</f>
        <v>0</v>
      </c>
      <c r="LU2" s="3742">
        <f>Plantillas!S$54</f>
        <v>0</v>
      </c>
      <c r="LV2" s="3742">
        <f>Plantillas!S$55</f>
        <v>0</v>
      </c>
      <c r="LW2" s="3743">
        <f>Plantillas!S$56</f>
        <v>0</v>
      </c>
      <c r="LX2" s="18" t="s">
        <v>79</v>
      </c>
    </row>
    <row r="3" spans="1:336" s="18" customFormat="1" ht="12.75" customHeight="1">
      <c r="A3" s="125"/>
      <c r="B3" s="123"/>
      <c r="C3" s="2258"/>
      <c r="D3" s="2258"/>
      <c r="E3" s="3"/>
      <c r="F3" s="2"/>
      <c r="G3" s="2258"/>
      <c r="H3" s="2258"/>
      <c r="I3" s="2258"/>
      <c r="J3" s="2258"/>
      <c r="K3" s="2258"/>
      <c r="L3" s="2258"/>
      <c r="M3" s="2258"/>
      <c r="N3" s="2258"/>
      <c r="O3" s="2258"/>
      <c r="P3" s="2258"/>
      <c r="Q3" s="2258"/>
      <c r="R3" s="2258"/>
      <c r="S3" s="2258"/>
      <c r="T3" s="80" t="s">
        <v>0</v>
      </c>
      <c r="U3" s="2258"/>
      <c r="V3" s="4"/>
      <c r="W3" s="2258"/>
      <c r="X3" s="2258"/>
      <c r="Y3" s="2258"/>
      <c r="Z3" s="2258"/>
      <c r="AA3" s="2258"/>
      <c r="AB3" s="2258"/>
      <c r="AC3" s="2258"/>
      <c r="AD3" s="2258"/>
      <c r="AE3" s="2258"/>
      <c r="AF3" s="2936"/>
      <c r="AG3" s="2936"/>
      <c r="AH3" s="2258"/>
      <c r="AI3" s="2258"/>
      <c r="AJ3" s="2258"/>
      <c r="AK3" s="2258"/>
      <c r="AL3" s="2258"/>
      <c r="AM3" s="2258"/>
      <c r="AN3" s="2258"/>
      <c r="AO3" s="2258"/>
      <c r="AP3" s="2258"/>
      <c r="AQ3" s="2258"/>
      <c r="AR3" s="2863"/>
      <c r="AS3" s="2258"/>
      <c r="AT3" s="2258"/>
      <c r="AU3" s="2258"/>
      <c r="AV3" s="2257"/>
      <c r="AW3" s="2783" t="s">
        <v>79</v>
      </c>
      <c r="AX3" s="1925">
        <v>2</v>
      </c>
      <c r="AY3" s="1926" t="str">
        <f>Plantillas!D$72</f>
        <v>8 DE OCTUBRE</v>
      </c>
      <c r="AZ3" s="1926" t="str">
        <f>Plantillas!M$72</f>
        <v>23DPR0491L</v>
      </c>
      <c r="BA3" s="1926" t="str">
        <f>Plantillas!Q$72</f>
        <v>MATUTINO</v>
      </c>
      <c r="BB3" s="1933">
        <f>Plantillas!Z$103</f>
        <v>14</v>
      </c>
      <c r="BC3" s="1927" t="str">
        <f>Plantillas!C$73</f>
        <v>RG-96  MZA-89 Y 90</v>
      </c>
      <c r="BD3" s="1926" t="str">
        <f>Plantillas!P$73</f>
        <v>9988-95-00-52</v>
      </c>
      <c r="BE3" s="1928" t="str">
        <f>Plantillas!E$107</f>
        <v>BALAN XIU * MANUEL JESUS</v>
      </c>
      <c r="BF3" s="1927">
        <f>Plantillas!AA$103</f>
        <v>436</v>
      </c>
      <c r="BG3" s="1925">
        <v>2</v>
      </c>
      <c r="BH3" s="1926" t="str">
        <f>Plantillas!B$77</f>
        <v>BALAN XIU * MANUEL JESUS</v>
      </c>
      <c r="BI3" s="1926" t="str">
        <f>Plantillas!B$78</f>
        <v>SOSA QUEB * IVONNE GUADALUPE</v>
      </c>
      <c r="BJ3" s="1926" t="str">
        <f>Plantillas!B$79</f>
        <v>GARCIA POLANCO MANUEL JESUS DE ATOCHA</v>
      </c>
      <c r="BK3" s="1926" t="str">
        <f>Plantillas!B$80</f>
        <v>HERNANDEZ JIMENEZ * LUCERO</v>
      </c>
      <c r="BL3" s="1926" t="str">
        <f>Plantillas!B$81</f>
        <v>LANDEROS LOPEZ * ALVINA</v>
      </c>
      <c r="BM3" s="1926" t="str">
        <f>Plantillas!B$82</f>
        <v>ZALDIVAR CORAL * LORENA DEL ROCIO</v>
      </c>
      <c r="BN3" s="1926" t="str">
        <f>Plantillas!B$83</f>
        <v>ARANDA TINAH * BARBARA ISABEL</v>
      </c>
      <c r="BO3" s="1926" t="str">
        <f>Plantillas!B$84</f>
        <v>AVILES KOYOC * LAURA GUADALUPE</v>
      </c>
      <c r="BP3" s="1926" t="str">
        <f>Plantillas!B$85</f>
        <v>SIERRA FLORES * MARITZA ILEN</v>
      </c>
      <c r="BQ3" s="1929" t="str">
        <f>Plantillas!B$86</f>
        <v>CARDENA BENITEZ * LIDIA ESMERALDA</v>
      </c>
      <c r="BR3" s="1929" t="str">
        <f>Plantillas!B$87</f>
        <v>TUN CAUICH * EVA DEL JESUS</v>
      </c>
      <c r="BS3" s="1929" t="str">
        <f>Plantillas!B$88</f>
        <v>SALAS ALCOCER * JOSE ARIMAEL</v>
      </c>
      <c r="BT3" s="1929" t="str">
        <f>Plantillas!B$89</f>
        <v>CANUL DE LA O * MIGUEL ANGEL</v>
      </c>
      <c r="BU3" s="1929" t="str">
        <f>Plantillas!B$90</f>
        <v>SANGUINO TREJO * JUAN CARLOS</v>
      </c>
      <c r="BV3" s="1929" t="str">
        <f>Plantillas!B$91</f>
        <v>PEREZ DZUL * ZACARIAS</v>
      </c>
      <c r="BW3" s="1929" t="str">
        <f>Plantillas!B$92</f>
        <v>LIZARRAGA CASTILLO * ANA EUGENIA</v>
      </c>
      <c r="BX3" s="1929" t="str">
        <f>Plantillas!B$93</f>
        <v>ORTIZ ROSADO * LESTHER ARMANDO</v>
      </c>
      <c r="BY3" s="1929" t="str">
        <f>Plantillas!B$94</f>
        <v>DZUL YAM * GENNY YAMILI</v>
      </c>
      <c r="BZ3" s="1929" t="str">
        <f>Plantillas!B$95</f>
        <v>KU LORIA * GABRIELA RUBI</v>
      </c>
      <c r="CA3" s="1930">
        <f>Plantillas!B$96</f>
        <v>0</v>
      </c>
      <c r="CB3" s="1358">
        <v>2</v>
      </c>
      <c r="CC3" s="1929" t="str">
        <f>Plantillas!J$77</f>
        <v>BAXM651202RZA</v>
      </c>
      <c r="CD3" s="1929" t="str">
        <f>Plantillas!J$78</f>
        <v>SOQI760515884</v>
      </c>
      <c r="CE3" s="1929" t="str">
        <f>Plantillas!J$79</f>
        <v>GAPM560211MC7</v>
      </c>
      <c r="CF3" s="1929" t="str">
        <f>Plantillas!J$80</f>
        <v>HEJL800326I98</v>
      </c>
      <c r="CG3" s="1929" t="str">
        <f>Plantillas!J$81</f>
        <v>LALA770210KZ9</v>
      </c>
      <c r="CH3" s="1929" t="str">
        <f>Plantillas!J$82</f>
        <v>ZACL660311I41</v>
      </c>
      <c r="CI3" s="1929" t="str">
        <f>Plantillas!J$83</f>
        <v>AATB</v>
      </c>
      <c r="CJ3" s="1929" t="str">
        <f>Plantillas!J$84</f>
        <v>AIKL680823AG3</v>
      </c>
      <c r="CK3" s="1929" t="str">
        <f>Plantillas!J$85</f>
        <v>SIFM8308161H0</v>
      </c>
      <c r="CL3" s="1929" t="str">
        <f>Plantillas!J$86</f>
        <v>CABL680604888</v>
      </c>
      <c r="CM3" s="1929" t="str">
        <f>Plantillas!J$87</f>
        <v>TUCE641225RS9</v>
      </c>
      <c r="CN3" s="1929" t="str">
        <f>Plantillas!J$88</f>
        <v>SAAA8107271E4</v>
      </c>
      <c r="CO3" s="1929" t="str">
        <f>Plantillas!J$89</f>
        <v>CAOM760405TR6</v>
      </c>
      <c r="CP3" s="1929" t="str">
        <f>Plantillas!J$90</f>
        <v>SATJ690403U71</v>
      </c>
      <c r="CQ3" s="1929">
        <f>Plantillas!J$91</f>
        <v>0</v>
      </c>
      <c r="CR3" s="1929" t="str">
        <f>Plantillas!J$92</f>
        <v>LICA720516B26</v>
      </c>
      <c r="CS3" s="1929" t="str">
        <f>Plantillas!J$93</f>
        <v>OIRL740325E40</v>
      </c>
      <c r="CT3" s="1929" t="str">
        <f>Plantillas!J$94</f>
        <v>DUYG7205031A2</v>
      </c>
      <c r="CU3" s="1929" t="str">
        <f>Plantillas!J$95</f>
        <v>KULG720905DA8</v>
      </c>
      <c r="CV3" s="1930">
        <f>Plantillas!J$96</f>
        <v>0</v>
      </c>
      <c r="CW3" s="1358">
        <v>2</v>
      </c>
      <c r="CX3" s="1929" t="str">
        <f>Plantillas!K$77</f>
        <v>E022100.0231500</v>
      </c>
      <c r="CY3" s="1929" t="str">
        <f>Plantillas!K$78</f>
        <v>E028100.0234009</v>
      </c>
      <c r="CZ3" s="1929" t="str">
        <f>Plantillas!K$79</f>
        <v>E02810231422</v>
      </c>
      <c r="DA3" s="1929" t="str">
        <f>Plantillas!K$80</f>
        <v>HE028100.0130013</v>
      </c>
      <c r="DB3" s="1929" t="str">
        <f>Plantillas!K$81</f>
        <v>E028100.0234064</v>
      </c>
      <c r="DC3" s="1929" t="str">
        <f>Plantillas!K$82</f>
        <v>E028100.0230859</v>
      </c>
      <c r="DD3" s="1929" t="str">
        <f>Plantillas!K$82</f>
        <v>E028100.0230859</v>
      </c>
      <c r="DE3" s="1929">
        <f>Plantillas!K$83</f>
        <v>0</v>
      </c>
      <c r="DF3" s="1929" t="str">
        <f>Plantillas!K$84</f>
        <v>E028100.0231031</v>
      </c>
      <c r="DG3" s="1929" t="str">
        <f>Plantillas!K$85</f>
        <v>E028100.0050238</v>
      </c>
      <c r="DH3" s="1929" t="str">
        <f>Plantillas!K$86</f>
        <v>E028100.0003557</v>
      </c>
      <c r="DI3" s="1929" t="str">
        <f>Plantillas!K$87</f>
        <v>E028100.0231226</v>
      </c>
      <c r="DJ3" s="1929" t="str">
        <f>Plantillas!K$88</f>
        <v>E028100.0050046</v>
      </c>
      <c r="DK3" s="1929" t="str">
        <f>Plantillas!K$89</f>
        <v>E028100.0233686</v>
      </c>
      <c r="DL3" s="1929" t="str">
        <f>Plantillas!K$90</f>
        <v>E028100.0231011</v>
      </c>
      <c r="DM3" s="1929">
        <f>Plantillas!K$91</f>
        <v>0</v>
      </c>
      <c r="DN3" s="1929" t="str">
        <f>Plantillas!K$92</f>
        <v>E068700.0230317</v>
      </c>
      <c r="DO3" s="1929" t="str">
        <f>Plantillas!K$93</f>
        <v>E076308.0230012</v>
      </c>
      <c r="DP3" s="1929" t="str">
        <f>Plantillas!K$94</f>
        <v>S0180700.0300274</v>
      </c>
      <c r="DQ3" s="1930" t="str">
        <f>Plantillas!K$95</f>
        <v>S0180800.0060004</v>
      </c>
      <c r="DR3" s="1358">
        <v>2</v>
      </c>
      <c r="DS3" s="1929" t="str">
        <f>Plantillas!L$77</f>
        <v>DIRECTOR</v>
      </c>
      <c r="DT3" s="1929" t="str">
        <f>Plantillas!L$78</f>
        <v>DOCENTE</v>
      </c>
      <c r="DU3" s="1929" t="str">
        <f>Plantillas!L$79</f>
        <v>DOCENTE</v>
      </c>
      <c r="DV3" s="1929" t="str">
        <f>Plantillas!L$80</f>
        <v>DOCENTE</v>
      </c>
      <c r="DW3" s="1929" t="str">
        <f>Plantillas!L$81</f>
        <v>DOCENTE</v>
      </c>
      <c r="DX3" s="1929" t="str">
        <f>Plantillas!L$82</f>
        <v>DOCENTE</v>
      </c>
      <c r="DY3" s="1929">
        <f>Plantillas!L$83</f>
        <v>0</v>
      </c>
      <c r="DZ3" s="1929" t="str">
        <f>Plantillas!L$84</f>
        <v>DOCENTE</v>
      </c>
      <c r="EA3" s="1929" t="str">
        <f>Plantillas!L$85</f>
        <v>DOCENTE</v>
      </c>
      <c r="EB3" s="1929" t="str">
        <f>Plantillas!L$86</f>
        <v>DOCENTE</v>
      </c>
      <c r="EC3" s="1929" t="str">
        <f>Plantillas!L$87</f>
        <v>DOCENTE</v>
      </c>
      <c r="ED3" s="1929" t="str">
        <f>Plantillas!L$88</f>
        <v>DOCENTE</v>
      </c>
      <c r="EE3" s="1929" t="str">
        <f>Plantillas!L$89</f>
        <v>DOCENTE</v>
      </c>
      <c r="EF3" s="1929" t="str">
        <f>Plantillas!L$90</f>
        <v>DOCENTE</v>
      </c>
      <c r="EG3" s="1929" t="str">
        <f>Plantillas!L$91</f>
        <v>DOCENTE</v>
      </c>
      <c r="EH3" s="1929" t="str">
        <f>Plantillas!L$92</f>
        <v>USAER</v>
      </c>
      <c r="EI3" s="1929" t="str">
        <f>Plantillas!L$93</f>
        <v>E. FISICA</v>
      </c>
      <c r="EJ3" s="1929" t="str">
        <f>Plantillas!L$94</f>
        <v>INTENDENTE</v>
      </c>
      <c r="EK3" s="1929" t="str">
        <f>Plantillas!L$95</f>
        <v>INTENDENTE</v>
      </c>
      <c r="EL3" s="1929">
        <f>Plantillas!L$96</f>
        <v>0</v>
      </c>
      <c r="EM3" s="1358">
        <v>2</v>
      </c>
      <c r="EN3" s="1931">
        <f>Plantillas!U$77</f>
        <v>10</v>
      </c>
      <c r="EO3" s="1931">
        <f>Plantillas!U$78</f>
        <v>10</v>
      </c>
      <c r="EP3" s="1931">
        <f>Plantillas!U$79</f>
        <v>10</v>
      </c>
      <c r="EQ3" s="1931">
        <f>Plantillas!U$80</f>
        <v>20</v>
      </c>
      <c r="ER3" s="1931">
        <f>Plantillas!U$81</f>
        <v>10</v>
      </c>
      <c r="ES3" s="1931">
        <f>Plantillas!U$82</f>
        <v>10</v>
      </c>
      <c r="ET3" s="1931">
        <f>Plantillas!U$83</f>
        <v>0</v>
      </c>
      <c r="EU3" s="1931">
        <f>Plantillas!U$84</f>
        <v>10</v>
      </c>
      <c r="EV3" s="1931">
        <f>Plantillas!U$85</f>
        <v>10</v>
      </c>
      <c r="EW3" s="1931">
        <f>Plantillas!U$86</f>
        <v>10</v>
      </c>
      <c r="EX3" s="1931">
        <f>Plantillas!U$87</f>
        <v>10</v>
      </c>
      <c r="EY3" s="1931">
        <f>Plantillas!U$88</f>
        <v>10</v>
      </c>
      <c r="EZ3" s="1931">
        <f>Plantillas!U$89</f>
        <v>10</v>
      </c>
      <c r="FA3" s="1931">
        <f>Plantillas!U$90</f>
        <v>10</v>
      </c>
      <c r="FB3" s="1931">
        <f>Plantillas!U$91</f>
        <v>0</v>
      </c>
      <c r="FC3" s="1931">
        <f>Plantillas!U$92</f>
        <v>10</v>
      </c>
      <c r="FD3" s="1931">
        <f>Plantillas!U$93</f>
        <v>10</v>
      </c>
      <c r="FE3" s="1931">
        <f>Plantillas!U$94</f>
        <v>10</v>
      </c>
      <c r="FF3" s="1931">
        <f>Plantillas!U$95</f>
        <v>10</v>
      </c>
      <c r="FG3" s="1932">
        <f>Plantillas!U$96</f>
        <v>0</v>
      </c>
      <c r="FH3" s="1358">
        <v>2</v>
      </c>
      <c r="FI3" s="1931" t="str">
        <f>Plantillas!T$77</f>
        <v>7A</v>
      </c>
      <c r="FJ3" s="1931">
        <f>Plantillas!T$78</f>
        <v>0</v>
      </c>
      <c r="FK3" s="1931">
        <f>Plantillas!T$79</f>
        <v>0</v>
      </c>
      <c r="FL3" s="1931">
        <f>Plantillas!T$80</f>
        <v>0</v>
      </c>
      <c r="FM3" s="1931" t="str">
        <f>Plantillas!T$81</f>
        <v>7A</v>
      </c>
      <c r="FN3" s="1931">
        <f>Plantillas!T$82</f>
        <v>0</v>
      </c>
      <c r="FO3" s="1931">
        <f>Plantillas!T$83</f>
        <v>0</v>
      </c>
      <c r="FP3" s="1931" t="str">
        <f>Plantillas!T$84</f>
        <v>7A</v>
      </c>
      <c r="FQ3" s="1931">
        <f>Plantillas!T$85</f>
        <v>0</v>
      </c>
      <c r="FR3" s="1931">
        <f>Plantillas!T$86</f>
        <v>0</v>
      </c>
      <c r="FS3" s="1931">
        <f>Plantillas!T$87</f>
        <v>0</v>
      </c>
      <c r="FT3" s="1931" t="str">
        <f>Plantillas!T$88</f>
        <v>7A</v>
      </c>
      <c r="FU3" s="1931">
        <f>Plantillas!T$89</f>
        <v>0</v>
      </c>
      <c r="FV3" s="1931">
        <f>Plantillas!T$90</f>
        <v>0</v>
      </c>
      <c r="FW3" s="1931">
        <f>Plantillas!T$91</f>
        <v>0</v>
      </c>
      <c r="FX3" s="1931">
        <f>Plantillas!T$92</f>
        <v>0</v>
      </c>
      <c r="FY3" s="1931">
        <f>Plantillas!T$93</f>
        <v>0</v>
      </c>
      <c r="FZ3" s="1931">
        <f>Plantillas!T$94</f>
        <v>0</v>
      </c>
      <c r="GA3" s="1931">
        <f>Plantillas!T$95</f>
        <v>0</v>
      </c>
      <c r="GB3" s="1932">
        <f>Plantillas!T$96</f>
        <v>0</v>
      </c>
      <c r="GC3" s="1358">
        <v>2</v>
      </c>
      <c r="GD3" s="1359">
        <f>Plantillas!V$106</f>
        <v>87</v>
      </c>
      <c r="GE3" s="1359">
        <f>Plantillas!W$106</f>
        <v>66</v>
      </c>
      <c r="GF3" s="1359">
        <f>Plantillas!X$106</f>
        <v>63</v>
      </c>
      <c r="GG3" s="1359">
        <f>Plantillas!Y$106</f>
        <v>84</v>
      </c>
      <c r="GH3" s="1359">
        <f>Plantillas!Z$106</f>
        <v>69</v>
      </c>
      <c r="GI3" s="1359">
        <f>Plantillas!AA$106</f>
        <v>67</v>
      </c>
      <c r="GJ3" s="1359">
        <f t="shared" ref="GJ3:GJ16" si="0">SUM(GD3:GI3)</f>
        <v>436</v>
      </c>
      <c r="GK3" s="1360">
        <f>Plantillas!U$106</f>
        <v>68</v>
      </c>
      <c r="GL3" s="1358">
        <v>2</v>
      </c>
      <c r="GM3" s="1933" t="str">
        <f>Plantillas!H$77</f>
        <v>X</v>
      </c>
      <c r="GN3" s="1933">
        <f>Plantillas!H$78</f>
        <v>0</v>
      </c>
      <c r="GO3" s="1933" t="str">
        <f>Plantillas!H$79</f>
        <v>X</v>
      </c>
      <c r="GP3" s="1933">
        <f>Plantillas!H$80</f>
        <v>0</v>
      </c>
      <c r="GQ3" s="1933">
        <f>Plantillas!H$81</f>
        <v>0</v>
      </c>
      <c r="GR3" s="1933">
        <f>Plantillas!H$82</f>
        <v>0</v>
      </c>
      <c r="GS3" s="1933">
        <f>Plantillas!H$83</f>
        <v>0</v>
      </c>
      <c r="GT3" s="1933">
        <f>Plantillas!H$84</f>
        <v>0</v>
      </c>
      <c r="GU3" s="1933">
        <f>Plantillas!H$85</f>
        <v>0</v>
      </c>
      <c r="GV3" s="1933">
        <f>Plantillas!H$86</f>
        <v>0</v>
      </c>
      <c r="GW3" s="1933">
        <f>Plantillas!H$87</f>
        <v>0</v>
      </c>
      <c r="GX3" s="1933" t="str">
        <f>Plantillas!H$88</f>
        <v>X</v>
      </c>
      <c r="GY3" s="1933">
        <f>Plantillas!H$89</f>
        <v>0</v>
      </c>
      <c r="GZ3" s="1933" t="str">
        <f>Plantillas!H$90</f>
        <v>X</v>
      </c>
      <c r="HA3" s="1933" t="str">
        <f>Plantillas!H$91</f>
        <v>X</v>
      </c>
      <c r="HB3" s="1933">
        <f>Plantillas!H$92</f>
        <v>0</v>
      </c>
      <c r="HC3" s="1933" t="str">
        <f>Plantillas!H$93</f>
        <v>X</v>
      </c>
      <c r="HD3" s="1933">
        <f>Plantillas!H$94</f>
        <v>0</v>
      </c>
      <c r="HE3" s="1933" t="str">
        <f>Plantillas!H$95</f>
        <v>X</v>
      </c>
      <c r="HF3" s="1934">
        <f>Plantillas!H$96</f>
        <v>0</v>
      </c>
      <c r="HG3" s="778">
        <v>1</v>
      </c>
      <c r="HH3" s="1935" t="str">
        <f>'[1]0055K'!$S$3</f>
        <v>antonia-sari02@hotmail</v>
      </c>
      <c r="HI3" s="1936" t="str">
        <f>'[1]0055K'!$C$6</f>
        <v>KABAH</v>
      </c>
      <c r="HJ3" s="1937" t="str">
        <f>'[1]0055K'!$H$6</f>
        <v>23DPR0055K</v>
      </c>
      <c r="HK3" s="1937" t="str">
        <f>'[1]0055K'!$C$8</f>
        <v>C. OCOSINGO CON OCOTEPEC</v>
      </c>
      <c r="HL3" s="1937" t="str">
        <f>'[1]0055K'!$I$8</f>
        <v>9981 49 34 04</v>
      </c>
      <c r="HM3" s="1937" t="str">
        <f>'[1]0055K'!$C$10</f>
        <v>CANCÚN</v>
      </c>
      <c r="HN3" s="1937" t="str">
        <f>'[1]0055K'!$I$10</f>
        <v>BENITO JUAREZ</v>
      </c>
      <c r="HO3" s="2322" t="str">
        <f>'[1]0055K'!$E$13</f>
        <v>X</v>
      </c>
      <c r="HP3" s="2323">
        <f>'[1]0055K'!$I$13</f>
        <v>0</v>
      </c>
      <c r="HQ3" s="2324" t="str">
        <f>'[1]0055K'!$Q$6</f>
        <v>X</v>
      </c>
      <c r="HR3" s="2322">
        <f>'[1]0055K'!$U$6</f>
        <v>0</v>
      </c>
      <c r="HS3" s="2322" t="str">
        <f>'[1]0055K'!$Q$7</f>
        <v>X</v>
      </c>
      <c r="HT3" s="2322">
        <f>'[1]0055K'!$U$7</f>
        <v>0</v>
      </c>
      <c r="HU3" s="2322" t="str">
        <f>'[1]0055K'!$Q$8</f>
        <v>X</v>
      </c>
      <c r="HV3" s="2322">
        <f>'[1]0055K'!$U$8</f>
        <v>0</v>
      </c>
      <c r="HW3" s="2322">
        <f>'[1]0055K'!$X$8</f>
        <v>0</v>
      </c>
      <c r="HX3" s="2322">
        <f>'[1]0055K'!$Q$9</f>
        <v>0</v>
      </c>
      <c r="HY3" s="2322" t="str">
        <f>'[1]0055K'!$U$9</f>
        <v>X</v>
      </c>
      <c r="HZ3" s="2322" t="str">
        <f>'[1]0055K'!$Q$10</f>
        <v>X</v>
      </c>
      <c r="IA3" s="2322">
        <f>'[1]0055K'!$U$10</f>
        <v>0</v>
      </c>
      <c r="IB3" s="2322">
        <f>'[1]0055K'!$P$13</f>
        <v>12</v>
      </c>
      <c r="IC3" s="2322">
        <f>'[1]0055K'!$Q$13</f>
        <v>1</v>
      </c>
      <c r="ID3" s="2322">
        <f>'[1]0055K'!$R$13</f>
        <v>0</v>
      </c>
      <c r="IE3" s="2322">
        <f>'[1]0055K'!$S$13</f>
        <v>0</v>
      </c>
      <c r="IF3" s="2323">
        <f>'[1]0055K'!$U$13</f>
        <v>0</v>
      </c>
      <c r="IG3" s="2324">
        <f>'[1]0055K'!$F$17</f>
        <v>0</v>
      </c>
      <c r="IH3" s="2322">
        <f>'[1]0055K'!$F$18</f>
        <v>1</v>
      </c>
      <c r="II3" s="2322">
        <f>'[1]0055K'!$F$19</f>
        <v>0</v>
      </c>
      <c r="IJ3" s="2322">
        <f>'[1]0055K'!$F$20</f>
        <v>0</v>
      </c>
      <c r="IK3" s="2322">
        <f>'[1]0055K'!$H$21</f>
        <v>12</v>
      </c>
      <c r="IL3" s="2322">
        <f>'[1]0055K'!$H$22</f>
        <v>1</v>
      </c>
      <c r="IM3" s="2322">
        <f>'[1]0055K'!$H$23</f>
        <v>1</v>
      </c>
      <c r="IN3" s="2322">
        <f>'[1]0055K'!$H$24</f>
        <v>1</v>
      </c>
      <c r="IO3" s="2322">
        <f>'[1]0055K'!$H$25</f>
        <v>0</v>
      </c>
      <c r="IP3" s="1355">
        <f>'[1]0055K'!$K$26</f>
        <v>0</v>
      </c>
      <c r="IQ3" s="2028">
        <f>'[1]0055K'!$M$26</f>
        <v>0</v>
      </c>
      <c r="IR3" s="2322">
        <f>'[1]0055K'!$V$19</f>
        <v>1</v>
      </c>
      <c r="IS3" s="2322">
        <f>'[1]0055K'!$V$20</f>
        <v>8</v>
      </c>
      <c r="IT3" s="2322">
        <f>'[1]0055K'!$V$21</f>
        <v>0</v>
      </c>
      <c r="IU3" s="2323">
        <f>'[1]0055K'!$V$22</f>
        <v>0</v>
      </c>
      <c r="IV3" s="2324">
        <f>'[1]0055K'!$D$38</f>
        <v>2</v>
      </c>
      <c r="IW3" s="2322">
        <f>'[1]0055K'!$G$38</f>
        <v>2</v>
      </c>
      <c r="IX3" s="2322">
        <f>'[1]0055K'!$J$38</f>
        <v>2</v>
      </c>
      <c r="IY3" s="2322">
        <f>'[1]0055K'!$M$38</f>
        <v>2</v>
      </c>
      <c r="IZ3" s="2322">
        <f>'[1]0055K'!$P$38</f>
        <v>2</v>
      </c>
      <c r="JA3" s="2323">
        <f>'[1]0055K'!$S$38</f>
        <v>2</v>
      </c>
      <c r="JB3" s="1940" t="str">
        <f>'[1]0055K'!$F$44</f>
        <v>ANTONIA CERVANTES BENITEZ</v>
      </c>
      <c r="JC3" s="1941" t="str">
        <f>'[1]0055K'!$O$44</f>
        <v>JESUS MARTIN RICALDE CASTRO</v>
      </c>
      <c r="JD3" s="2324">
        <f>HH25+HI25</f>
        <v>57</v>
      </c>
      <c r="JE3" s="2322">
        <f>HJ25+HK25</f>
        <v>68</v>
      </c>
      <c r="JF3" s="2322">
        <f>HL25+HM25</f>
        <v>62</v>
      </c>
      <c r="JG3" s="2322">
        <f>HN25+HO25</f>
        <v>68</v>
      </c>
      <c r="JH3" s="2322">
        <f>HP25+HQ25</f>
        <v>65</v>
      </c>
      <c r="JI3" s="2323">
        <f>HR25+HS25</f>
        <v>70</v>
      </c>
      <c r="JJ3" s="2324">
        <f>HT25+HU25</f>
        <v>5</v>
      </c>
      <c r="JK3" s="2322">
        <f>HV25+HW25</f>
        <v>4</v>
      </c>
      <c r="JL3" s="2322">
        <f>HX25+HY25</f>
        <v>1</v>
      </c>
      <c r="JM3" s="2322">
        <f>HZ25+IA25</f>
        <v>1</v>
      </c>
      <c r="JN3" s="2322">
        <f>IB25+IC25</f>
        <v>2</v>
      </c>
      <c r="JO3" s="2322">
        <f>ID25+IE25</f>
        <v>3</v>
      </c>
      <c r="JP3" s="2324">
        <f>IF25+IG25</f>
        <v>6</v>
      </c>
      <c r="JQ3" s="2322">
        <f>IH25+II25</f>
        <v>8</v>
      </c>
      <c r="JR3" s="2322">
        <f>IJ25+IK25</f>
        <v>6</v>
      </c>
      <c r="JS3" s="2322">
        <f>IL25+IM25</f>
        <v>9</v>
      </c>
      <c r="JT3" s="2322">
        <f>IN25+IO25</f>
        <v>14</v>
      </c>
      <c r="JU3" s="2322">
        <f>IP25+IQ25</f>
        <v>13</v>
      </c>
      <c r="JV3" s="2324">
        <f>JD3+JJ3-JP3</f>
        <v>56</v>
      </c>
      <c r="JW3" s="2322">
        <f t="shared" ref="JW3:JZ3" si="1">JE3+JK3-JQ3</f>
        <v>64</v>
      </c>
      <c r="JX3" s="2322">
        <f t="shared" si="1"/>
        <v>57</v>
      </c>
      <c r="JY3" s="2322">
        <f t="shared" si="1"/>
        <v>60</v>
      </c>
      <c r="JZ3" s="2322">
        <f t="shared" si="1"/>
        <v>53</v>
      </c>
      <c r="KA3" s="2323">
        <f>JI3+JO3-JU3</f>
        <v>60</v>
      </c>
      <c r="KB3" s="2322">
        <f>IR25+IS25</f>
        <v>0</v>
      </c>
      <c r="KC3" s="2322">
        <f t="shared" ref="KC3:KC21" si="2">IT25+IU25</f>
        <v>0</v>
      </c>
      <c r="KD3" s="2322">
        <f t="shared" ref="KD3:KD21" si="3">IV25+IW25</f>
        <v>0</v>
      </c>
      <c r="KE3" s="2322">
        <f t="shared" ref="KE3:KE21" si="4">IX25+IY25</f>
        <v>0</v>
      </c>
      <c r="KF3" s="2322">
        <f t="shared" ref="KF3:KF21" si="5">IZ25+JA25</f>
        <v>0</v>
      </c>
      <c r="KG3" s="2323">
        <f t="shared" ref="KG3:KG21" si="6">JB25+JC25</f>
        <v>0</v>
      </c>
      <c r="KH3" s="1358">
        <v>2</v>
      </c>
      <c r="KI3" s="1931" t="s">
        <v>1269</v>
      </c>
      <c r="KJ3" s="1931" t="s">
        <v>1269</v>
      </c>
      <c r="KK3" s="1931" t="s">
        <v>1269</v>
      </c>
      <c r="KL3" s="1931" t="s">
        <v>1269</v>
      </c>
      <c r="KM3" s="1931" t="s">
        <v>1269</v>
      </c>
      <c r="KN3" s="1931" t="s">
        <v>1269</v>
      </c>
      <c r="KO3" s="1931" t="s">
        <v>1269</v>
      </c>
      <c r="KP3" s="1931" t="s">
        <v>1269</v>
      </c>
      <c r="KQ3" s="1931" t="s">
        <v>1269</v>
      </c>
      <c r="KR3" s="1931" t="s">
        <v>1269</v>
      </c>
      <c r="KS3" s="1931" t="s">
        <v>1269</v>
      </c>
      <c r="KT3" s="1931" t="s">
        <v>1269</v>
      </c>
      <c r="KU3" s="1931" t="s">
        <v>1269</v>
      </c>
      <c r="KV3" s="1931" t="s">
        <v>1269</v>
      </c>
      <c r="KW3" s="1931" t="s">
        <v>1269</v>
      </c>
      <c r="KX3" s="1931" t="s">
        <v>1269</v>
      </c>
      <c r="KY3" s="1931" t="s">
        <v>1269</v>
      </c>
      <c r="KZ3" s="1931" t="s">
        <v>1269</v>
      </c>
      <c r="LA3" s="1931" t="s">
        <v>1269</v>
      </c>
      <c r="LB3" s="1932"/>
      <c r="LC3" s="2696">
        <v>2</v>
      </c>
      <c r="LD3" s="3744" t="str">
        <f>Plantillas!S$77</f>
        <v>BAXM651202HCC</v>
      </c>
      <c r="LE3" s="3744" t="str">
        <f>Plantillas!S$78</f>
        <v>SOQI760515MQR</v>
      </c>
      <c r="LF3" s="3744" t="str">
        <f>Plantillas!S$79</f>
        <v>CACD641028HCC</v>
      </c>
      <c r="LG3" s="3744" t="str">
        <f>Plantillas!S$80</f>
        <v>HEJL800326198M</v>
      </c>
      <c r="LH3" s="3744" t="str">
        <f>Plantillas!S$81</f>
        <v>LALA770210MYN</v>
      </c>
      <c r="LI3" s="3744" t="str">
        <f>Plantillas!S$82</f>
        <v>ZACL660311MQR</v>
      </c>
      <c r="LJ3" s="3744">
        <f>Plantillas!S$83</f>
        <v>0</v>
      </c>
      <c r="LK3" s="3744" t="str">
        <f>Plantillas!S$84</f>
        <v>AIKL680823MCC</v>
      </c>
      <c r="LL3" s="3744" t="str">
        <f>Plantillas!S$85</f>
        <v>SIFM830816MCC</v>
      </c>
      <c r="LM3" s="3744" t="str">
        <f>Plantillas!S$86</f>
        <v>CABL680604MCC</v>
      </c>
      <c r="LN3" s="3744" t="str">
        <f>Plantillas!S$87</f>
        <v>TUCE641225MCC</v>
      </c>
      <c r="LO3" s="3744" t="str">
        <f>Plantillas!S$88</f>
        <v>SAAA810727HCC</v>
      </c>
      <c r="LP3" s="3744" t="str">
        <f>Plantillas!S$89</f>
        <v>CAOM760405HQR</v>
      </c>
      <c r="LQ3" s="3744" t="str">
        <f>Plantillas!S$90</f>
        <v>SATJ690403HCC</v>
      </c>
      <c r="LR3" s="3744">
        <f>Plantillas!S$91</f>
        <v>0</v>
      </c>
      <c r="LS3" s="3744" t="str">
        <f>Plantillas!S$92</f>
        <v>LICA720516MQR</v>
      </c>
      <c r="LT3" s="3744" t="str">
        <f>Plantillas!S$93</f>
        <v>OIRL740325HQR</v>
      </c>
      <c r="LU3" s="3744" t="str">
        <f>Plantillas!S$94</f>
        <v>DUYG720503MCC</v>
      </c>
      <c r="LV3" s="3744" t="str">
        <f>Plantillas!S$95</f>
        <v>KULG720905MQR</v>
      </c>
      <c r="LW3" s="3745">
        <f>Plantillas!S$96</f>
        <v>0</v>
      </c>
      <c r="LX3" s="18" t="s">
        <v>79</v>
      </c>
    </row>
    <row r="4" spans="1:336" s="18" customFormat="1" ht="12.75" customHeight="1">
      <c r="A4" s="125"/>
      <c r="B4" s="123"/>
      <c r="C4" s="2258"/>
      <c r="D4" s="2258"/>
      <c r="E4" s="3"/>
      <c r="F4" s="2"/>
      <c r="G4" s="2258"/>
      <c r="H4" s="2258"/>
      <c r="I4" s="2258"/>
      <c r="J4" s="2258"/>
      <c r="K4" s="2258"/>
      <c r="L4" s="2258"/>
      <c r="M4" s="2258"/>
      <c r="N4" s="2258"/>
      <c r="O4" s="2258"/>
      <c r="P4" s="2258"/>
      <c r="Q4" s="2258"/>
      <c r="R4" s="2258"/>
      <c r="S4" s="2258"/>
      <c r="T4" s="80" t="s">
        <v>1</v>
      </c>
      <c r="U4" s="2258"/>
      <c r="V4" s="4"/>
      <c r="W4" s="2258"/>
      <c r="X4" s="2258"/>
      <c r="Y4" s="2258"/>
      <c r="Z4" s="2258"/>
      <c r="AA4" s="2258"/>
      <c r="AB4" s="2258"/>
      <c r="AC4" s="2258"/>
      <c r="AD4" s="2258"/>
      <c r="AE4" s="2258"/>
      <c r="AF4" s="2936"/>
      <c r="AG4" s="2936"/>
      <c r="AH4" s="2258"/>
      <c r="AI4" s="2258"/>
      <c r="AJ4" s="2258"/>
      <c r="AK4" s="2258"/>
      <c r="AL4" s="2258"/>
      <c r="AM4" s="2258"/>
      <c r="AN4" s="2258"/>
      <c r="AO4" s="2258"/>
      <c r="AP4" s="2258"/>
      <c r="AQ4" s="2258"/>
      <c r="AR4" s="2863"/>
      <c r="AS4" s="2258"/>
      <c r="AT4" s="2258"/>
      <c r="AU4" s="2258"/>
      <c r="AV4" s="2257"/>
      <c r="AW4" s="2783" t="s">
        <v>79</v>
      </c>
      <c r="AX4" s="1925">
        <v>3</v>
      </c>
      <c r="AY4" s="1926" t="str">
        <f>Plantillas!D$112</f>
        <v>8 DE OCTUBRE</v>
      </c>
      <c r="AZ4" s="1926" t="str">
        <f>Plantillas!M$112</f>
        <v>23DPR0492K</v>
      </c>
      <c r="BA4" s="1926" t="str">
        <f>Plantillas!Q$112</f>
        <v>VESPERTINO</v>
      </c>
      <c r="BB4" s="1933">
        <f>Plantillas!Z$143</f>
        <v>10</v>
      </c>
      <c r="BC4" s="1927" t="str">
        <f>Plantillas!C$113</f>
        <v>RG-96  MZA-89 y 90   C-127</v>
      </c>
      <c r="BD4" s="1926" t="str">
        <f>Plantillas!P$113</f>
        <v>9982 25 54 93</v>
      </c>
      <c r="BE4" s="1928" t="str">
        <f>Plantillas!E$147</f>
        <v>CARDEÑA BENITEZ * LIDIA ESMERALDA</v>
      </c>
      <c r="BF4" s="1927">
        <f>Plantillas!AA$143</f>
        <v>263</v>
      </c>
      <c r="BG4" s="1925">
        <v>3</v>
      </c>
      <c r="BH4" s="1926" t="str">
        <f>Plantillas!B$117</f>
        <v>CARDEÑA BENITEZ * LIDIA ESMERALDA</v>
      </c>
      <c r="BI4" s="1926" t="str">
        <f>Plantillas!B$118</f>
        <v>ALEMAN SANTOS MIRIAN</v>
      </c>
      <c r="BJ4" s="1926" t="str">
        <f>Plantillas!B$119</f>
        <v>GONZALEZ PEREZ * FILOMENA</v>
      </c>
      <c r="BK4" s="1926" t="str">
        <f>Plantillas!B$120</f>
        <v>TUN CAUICH * EVA DEL JESUS</v>
      </c>
      <c r="BL4" s="1926" t="str">
        <f>Plantillas!B$121</f>
        <v>DZUL SANTIAGO * IVAN ARIEL</v>
      </c>
      <c r="BM4" s="1926" t="str">
        <f>Plantillas!B$122</f>
        <v>PACHECO COUOH * WILBERTH ALEJANDRO</v>
      </c>
      <c r="BN4" s="1926" t="str">
        <f>Plantillas!B$123</f>
        <v>TAMAY UICAB * JUAN BAUTISTA</v>
      </c>
      <c r="BO4" s="1926" t="str">
        <f>Plantillas!B$124</f>
        <v>ZALDIVAR CORAL * LORENA DEL ROCIO</v>
      </c>
      <c r="BP4" s="1926" t="str">
        <f>Plantillas!B$125</f>
        <v>VIVAS ESTRADA * ISMAEL</v>
      </c>
      <c r="BQ4" s="1929" t="str">
        <f>Plantillas!B$126</f>
        <v>BARRERA AGUILAR * BLANCA ROSA</v>
      </c>
      <c r="BR4" s="1929" t="str">
        <f>Plantillas!B$127</f>
        <v>BALAN XIU * MANUEL JESUS</v>
      </c>
      <c r="BS4" s="1929" t="str">
        <f>Plantillas!B$128</f>
        <v>SOLIS RAMIREZ * TITA</v>
      </c>
      <c r="BT4" s="1929" t="str">
        <f>Plantillas!B$129</f>
        <v>PAT TUZ * MARIA MARGARITA</v>
      </c>
      <c r="BU4" s="1929" t="str">
        <f>Plantillas!B$130</f>
        <v>MENDOZA CHEL * JORGE ANGEL</v>
      </c>
      <c r="BV4" s="1929">
        <f>Plantillas!B$131</f>
        <v>0</v>
      </c>
      <c r="BW4" s="1929">
        <f>Plantillas!B$132</f>
        <v>0</v>
      </c>
      <c r="BX4" s="1929">
        <f>Plantillas!B$133</f>
        <v>0</v>
      </c>
      <c r="BY4" s="1929">
        <f>Plantillas!B$134</f>
        <v>0</v>
      </c>
      <c r="BZ4" s="1929">
        <f>Plantillas!B$135</f>
        <v>0</v>
      </c>
      <c r="CA4" s="1930">
        <f>Plantillas!B$136</f>
        <v>0</v>
      </c>
      <c r="CB4" s="1358">
        <v>3</v>
      </c>
      <c r="CC4" s="1929" t="str">
        <f>Plantillas!J$117</f>
        <v>CABL680604888</v>
      </c>
      <c r="CD4" s="1929" t="str">
        <f>Plantillas!J$118</f>
        <v>AESM711102QNA</v>
      </c>
      <c r="CE4" s="1929" t="str">
        <f>Plantillas!J$119</f>
        <v>GOPF700423PIA</v>
      </c>
      <c r="CF4" s="1929" t="str">
        <f>Plantillas!J$120</f>
        <v>TUCE641225RS9</v>
      </c>
      <c r="CG4" s="1929" t="str">
        <f>Plantillas!J$121</f>
        <v>DUSI7503023J5</v>
      </c>
      <c r="CH4" s="1929" t="str">
        <f>Plantillas!J$122</f>
        <v>PACW8109204X0</v>
      </c>
      <c r="CI4" s="1929" t="str">
        <f>Plantillas!J$123</f>
        <v>TAUJ670701QV0</v>
      </c>
      <c r="CJ4" s="1929" t="str">
        <f>Plantillas!J$124</f>
        <v>ZACL660311I41</v>
      </c>
      <c r="CK4" s="1929" t="str">
        <f>Plantillas!J$125</f>
        <v>VIEI63020815A</v>
      </c>
      <c r="CL4" s="1929" t="str">
        <f>Plantillas!J$126</f>
        <v>BAAB6701272S3</v>
      </c>
      <c r="CM4" s="1929" t="str">
        <f>Plantillas!J$127</f>
        <v>BAXM651202RZA</v>
      </c>
      <c r="CN4" s="1929" t="str">
        <f>Plantillas!J$128</f>
        <v>SORT610206HI4</v>
      </c>
      <c r="CO4" s="1929" t="str">
        <f>Plantillas!J$129</f>
        <v>PATM6906063C5</v>
      </c>
      <c r="CP4" s="1929" t="str">
        <f>Plantillas!J$130</f>
        <v>MECJ741210HW0</v>
      </c>
      <c r="CQ4" s="1929">
        <f>Plantillas!J$131</f>
        <v>0</v>
      </c>
      <c r="CR4" s="1929">
        <f>Plantillas!J$132</f>
        <v>0</v>
      </c>
      <c r="CS4" s="1929">
        <f>Plantillas!J$133</f>
        <v>0</v>
      </c>
      <c r="CT4" s="1929">
        <f>Plantillas!J$134</f>
        <v>0</v>
      </c>
      <c r="CU4" s="1929">
        <f>Plantillas!J$135</f>
        <v>0</v>
      </c>
      <c r="CV4" s="1930">
        <f>Plantillas!J$136</f>
        <v>0</v>
      </c>
      <c r="CW4" s="1358">
        <v>3</v>
      </c>
      <c r="CX4" s="1929" t="str">
        <f>Plantillas!K$117</f>
        <v>E028100.0231029</v>
      </c>
      <c r="CY4" s="1929" t="str">
        <f>Plantillas!K$118</f>
        <v>E028100.0231799</v>
      </c>
      <c r="CZ4" s="1929" t="str">
        <f>Plantillas!K$119</f>
        <v>E028100.0232532</v>
      </c>
      <c r="DA4" s="1929" t="str">
        <f>Plantillas!K$120</f>
        <v>E028100.0230775</v>
      </c>
      <c r="DB4" s="1929" t="str">
        <f>Plantillas!K$121</f>
        <v>E028100.0233300</v>
      </c>
      <c r="DC4" s="1929" t="str">
        <f>Plantillas!K$122</f>
        <v>E028100.0232245</v>
      </c>
      <c r="DD4" s="1929" t="str">
        <f>Plantillas!K$123</f>
        <v>E028100.0088815</v>
      </c>
      <c r="DE4" s="1929" t="str">
        <f>Plantillas!K$124</f>
        <v>E028100.0230820</v>
      </c>
      <c r="DF4" s="1929" t="str">
        <f>Plantillas!K$125</f>
        <v>E028100.0233436</v>
      </c>
      <c r="DG4" s="1929" t="str">
        <f>Plantillas!K$126</f>
        <v>E028100.0230025</v>
      </c>
      <c r="DH4" s="1929" t="str">
        <f>Plantillas!K$127</f>
        <v>E028100.0230253</v>
      </c>
      <c r="DI4" s="1929" t="str">
        <f>Plantillas!K$128</f>
        <v>E076322.0230117</v>
      </c>
      <c r="DJ4" s="1929" t="str">
        <f>Plantillas!K$129</f>
        <v>S0180700.0300245</v>
      </c>
      <c r="DK4" s="1929" t="str">
        <f>Plantillas!K$130</f>
        <v>S0180700.0300230</v>
      </c>
      <c r="DL4" s="1929">
        <f>Plantillas!K$131</f>
        <v>0</v>
      </c>
      <c r="DM4" s="1929">
        <f>Plantillas!K$132</f>
        <v>0</v>
      </c>
      <c r="DN4" s="1929">
        <f>Plantillas!K$133</f>
        <v>0</v>
      </c>
      <c r="DO4" s="1929">
        <f>Plantillas!K$134</f>
        <v>0</v>
      </c>
      <c r="DP4" s="1929">
        <f>Plantillas!K$135</f>
        <v>0</v>
      </c>
      <c r="DQ4" s="1930">
        <f>Plantillas!K$136</f>
        <v>0</v>
      </c>
      <c r="DR4" s="1358">
        <v>3</v>
      </c>
      <c r="DS4" s="1929" t="str">
        <f>Plantillas!L$117</f>
        <v>DIRECTOR</v>
      </c>
      <c r="DT4" s="1929" t="str">
        <f>Plantillas!L$118</f>
        <v>DOCENTE</v>
      </c>
      <c r="DU4" s="1929" t="str">
        <f>Plantillas!L$119</f>
        <v>DOCENTE</v>
      </c>
      <c r="DV4" s="1929" t="str">
        <f>Plantillas!L$120</f>
        <v>DOCENTE</v>
      </c>
      <c r="DW4" s="1929" t="str">
        <f>Plantillas!L$121</f>
        <v>DOCENTE</v>
      </c>
      <c r="DX4" s="1929" t="str">
        <f>Plantillas!L$122</f>
        <v>DOCENTE</v>
      </c>
      <c r="DY4" s="1929" t="str">
        <f>Plantillas!L$123</f>
        <v>DOCENTE</v>
      </c>
      <c r="DZ4" s="1929" t="str">
        <f>Plantillas!L$124</f>
        <v>DOCENTE</v>
      </c>
      <c r="EA4" s="1929" t="str">
        <f>Plantillas!L$125</f>
        <v>DOCENTE</v>
      </c>
      <c r="EB4" s="1929" t="str">
        <f>Plantillas!L$126</f>
        <v>DOCENTE</v>
      </c>
      <c r="EC4" s="1929" t="str">
        <f>Plantillas!L$127</f>
        <v>DOCENTE</v>
      </c>
      <c r="ED4" s="1929" t="str">
        <f>Plantillas!L$128</f>
        <v>E. FISICA</v>
      </c>
      <c r="EE4" s="1929" t="str">
        <f>Plantillas!L$129</f>
        <v>INTENDENTE</v>
      </c>
      <c r="EF4" s="1929" t="str">
        <f>Plantillas!L$130</f>
        <v>INTENDENTE</v>
      </c>
      <c r="EG4" s="1929">
        <f>Plantillas!L$131</f>
        <v>0</v>
      </c>
      <c r="EH4" s="1929">
        <f>Plantillas!L$132</f>
        <v>0</v>
      </c>
      <c r="EI4" s="1929">
        <f>Plantillas!L$133</f>
        <v>0</v>
      </c>
      <c r="EJ4" s="1929">
        <f>Plantillas!L$134</f>
        <v>0</v>
      </c>
      <c r="EK4" s="1929">
        <f>Plantillas!L$135</f>
        <v>0</v>
      </c>
      <c r="EL4" s="1929">
        <f>Plantillas!L$136</f>
        <v>0</v>
      </c>
      <c r="EM4" s="1358">
        <v>3</v>
      </c>
      <c r="EN4" s="1931">
        <f>Plantillas!U$117</f>
        <v>10</v>
      </c>
      <c r="EO4" s="1931">
        <f>Plantillas!U$118</f>
        <v>20</v>
      </c>
      <c r="EP4" s="1931">
        <f>Plantillas!U$119</f>
        <v>10</v>
      </c>
      <c r="EQ4" s="1931">
        <f>Plantillas!U$120</f>
        <v>10</v>
      </c>
      <c r="ER4" s="1931">
        <f>Plantillas!U$121</f>
        <v>10</v>
      </c>
      <c r="ES4" s="1931">
        <f>Plantillas!U$122</f>
        <v>10</v>
      </c>
      <c r="ET4" s="1931">
        <f>Plantillas!U$123</f>
        <v>10</v>
      </c>
      <c r="EU4" s="1931">
        <f>Plantillas!U$124</f>
        <v>10</v>
      </c>
      <c r="EV4" s="1931">
        <f>Plantillas!U$125</f>
        <v>10</v>
      </c>
      <c r="EW4" s="1931">
        <f>Plantillas!U$126</f>
        <v>10</v>
      </c>
      <c r="EX4" s="1931">
        <f>Plantillas!U$127</f>
        <v>10</v>
      </c>
      <c r="EY4" s="1931">
        <f>Plantillas!U$128</f>
        <v>10</v>
      </c>
      <c r="EZ4" s="1931">
        <f>Plantillas!U$129</f>
        <v>10</v>
      </c>
      <c r="FA4" s="1931">
        <f>Plantillas!U$130</f>
        <v>10</v>
      </c>
      <c r="FB4" s="1931">
        <f>Plantillas!U$131</f>
        <v>0</v>
      </c>
      <c r="FC4" s="1931">
        <f>Plantillas!U$132</f>
        <v>0</v>
      </c>
      <c r="FD4" s="1931">
        <f>Plantillas!U$133</f>
        <v>0</v>
      </c>
      <c r="FE4" s="1931">
        <f>Plantillas!U$134</f>
        <v>0</v>
      </c>
      <c r="FF4" s="1931">
        <f>Plantillas!U$135</f>
        <v>0</v>
      </c>
      <c r="FG4" s="1932">
        <f>Plantillas!U$136</f>
        <v>0</v>
      </c>
      <c r="FH4" s="1358">
        <v>3</v>
      </c>
      <c r="FI4" s="1931" t="str">
        <f>Plantillas!T$117</f>
        <v>7A</v>
      </c>
      <c r="FJ4" s="1931">
        <f>Plantillas!T$118</f>
        <v>0</v>
      </c>
      <c r="FK4" s="1931">
        <f>Plantillas!T$119</f>
        <v>0</v>
      </c>
      <c r="FL4" s="1931" t="str">
        <f>Plantillas!T$120</f>
        <v>7A</v>
      </c>
      <c r="FM4" s="1931" t="str">
        <f>Plantillas!T$121</f>
        <v>7A</v>
      </c>
      <c r="FN4" s="1931">
        <f>Plantillas!T$122</f>
        <v>0</v>
      </c>
      <c r="FO4" s="1931">
        <f>Plantillas!T$123</f>
        <v>0</v>
      </c>
      <c r="FP4" s="1931" t="str">
        <f>Plantillas!T$124</f>
        <v>7A</v>
      </c>
      <c r="FQ4" s="1931">
        <f>Plantillas!T$125</f>
        <v>0</v>
      </c>
      <c r="FR4" s="1931" t="str">
        <f>Plantillas!T$126</f>
        <v>7A</v>
      </c>
      <c r="FS4" s="1931" t="str">
        <f>Plantillas!T$127</f>
        <v>7A</v>
      </c>
      <c r="FT4" s="1931">
        <f>Plantillas!T$128</f>
        <v>0</v>
      </c>
      <c r="FU4" s="1931">
        <f>Plantillas!T$129</f>
        <v>0</v>
      </c>
      <c r="FV4" s="1931">
        <f>Plantillas!T$130</f>
        <v>0</v>
      </c>
      <c r="FW4" s="1931">
        <f>Plantillas!T$131</f>
        <v>0</v>
      </c>
      <c r="FX4" s="1931">
        <f>Plantillas!T$132</f>
        <v>0</v>
      </c>
      <c r="FY4" s="1931">
        <f>Plantillas!T$133</f>
        <v>0</v>
      </c>
      <c r="FZ4" s="1931">
        <f>Plantillas!T$134</f>
        <v>0</v>
      </c>
      <c r="GA4" s="1931">
        <f>Plantillas!T$135</f>
        <v>0</v>
      </c>
      <c r="GB4" s="1932">
        <f>Plantillas!T$136</f>
        <v>0</v>
      </c>
      <c r="GC4" s="1358">
        <v>3</v>
      </c>
      <c r="GD4" s="1359">
        <f>Plantillas!V$146</f>
        <v>32</v>
      </c>
      <c r="GE4" s="1359">
        <f>Plantillas!W$146</f>
        <v>58</v>
      </c>
      <c r="GF4" s="1359">
        <f>Plantillas!X$146</f>
        <v>49</v>
      </c>
      <c r="GG4" s="1359">
        <f>Plantillas!Y$146</f>
        <v>35</v>
      </c>
      <c r="GH4" s="1359">
        <f>Plantillas!Z$146</f>
        <v>46</v>
      </c>
      <c r="GI4" s="1359">
        <f>Plantillas!AA$146</f>
        <v>43</v>
      </c>
      <c r="GJ4" s="1359">
        <f t="shared" si="0"/>
        <v>263</v>
      </c>
      <c r="GK4" s="1360">
        <f>Plantillas!U$146</f>
        <v>0</v>
      </c>
      <c r="GL4" s="1358">
        <v>3</v>
      </c>
      <c r="GM4" s="1933">
        <f>Plantillas!H$117</f>
        <v>0</v>
      </c>
      <c r="GN4" s="1933" t="str">
        <f>Plantillas!H$118</f>
        <v>X</v>
      </c>
      <c r="GO4" s="1933">
        <f>Plantillas!H$119</f>
        <v>0</v>
      </c>
      <c r="GP4" s="1933">
        <f>Plantillas!H$120</f>
        <v>0</v>
      </c>
      <c r="GQ4" s="1933" t="str">
        <f>Plantillas!H$121</f>
        <v>X</v>
      </c>
      <c r="GR4" s="1933" t="str">
        <f>Plantillas!H$122</f>
        <v>X</v>
      </c>
      <c r="GS4" s="1933" t="str">
        <f>Plantillas!H$123</f>
        <v>X</v>
      </c>
      <c r="GT4" s="1933">
        <f>Plantillas!H$124</f>
        <v>0</v>
      </c>
      <c r="GU4" s="1933" t="str">
        <f>Plantillas!H$125</f>
        <v>X</v>
      </c>
      <c r="GV4" s="1933">
        <f>Plantillas!H$126</f>
        <v>0</v>
      </c>
      <c r="GW4" s="1933" t="str">
        <f>Plantillas!H$127</f>
        <v>X</v>
      </c>
      <c r="GX4" s="1933">
        <f>Plantillas!H$128</f>
        <v>0</v>
      </c>
      <c r="GY4" s="1933">
        <f>Plantillas!H$129</f>
        <v>0</v>
      </c>
      <c r="GZ4" s="1933" t="str">
        <f>Plantillas!H$130</f>
        <v>X</v>
      </c>
      <c r="HA4" s="1933">
        <f>Plantillas!H$131</f>
        <v>0</v>
      </c>
      <c r="HB4" s="1933">
        <f>Plantillas!H$132</f>
        <v>0</v>
      </c>
      <c r="HC4" s="1933">
        <f>Plantillas!H$133</f>
        <v>0</v>
      </c>
      <c r="HD4" s="1933">
        <f>Plantillas!H$134</f>
        <v>0</v>
      </c>
      <c r="HE4" s="1933">
        <f>Plantillas!H$135</f>
        <v>0</v>
      </c>
      <c r="HF4" s="1934">
        <f>Plantillas!H$136</f>
        <v>0</v>
      </c>
      <c r="HG4" s="778">
        <v>2</v>
      </c>
      <c r="HH4" s="1942" t="str">
        <f>'[1]0491L'!$S$3</f>
        <v>toloc65@hotmail.com</v>
      </c>
      <c r="HI4" s="1943" t="str">
        <f>'[1]0491L'!$C$6</f>
        <v>8 DE OCTUBRE</v>
      </c>
      <c r="HJ4" s="771" t="str">
        <f>'[1]0491L'!$H$6</f>
        <v>23DPR0491L</v>
      </c>
      <c r="HK4" s="771" t="str">
        <f>'[1]0491L'!$C$8</f>
        <v xml:space="preserve">REG. 96 MZS. 89 Y 90 </v>
      </c>
      <c r="HL4" s="771" t="str">
        <f>'[1]0491L'!$I$8</f>
        <v>9988-95-00-52</v>
      </c>
      <c r="HM4" s="771" t="str">
        <f>'[1]0491L'!$C$10</f>
        <v>CANCUN</v>
      </c>
      <c r="HN4" s="771" t="str">
        <f>'[1]0491L'!$I$10</f>
        <v>BENITO JUAREZ</v>
      </c>
      <c r="HO4" s="183" t="str">
        <f>'[1]0491L'!$E$13</f>
        <v>X</v>
      </c>
      <c r="HP4" s="782">
        <f>'[1]0491L'!$I$13</f>
        <v>0</v>
      </c>
      <c r="HQ4" s="779" t="str">
        <f>'[1]0491L'!$Q$6</f>
        <v>X</v>
      </c>
      <c r="HR4" s="183">
        <f>'[1]0491L'!$U$6</f>
        <v>0</v>
      </c>
      <c r="HS4" s="183" t="str">
        <f>'[1]0491L'!$Q$7</f>
        <v>X</v>
      </c>
      <c r="HT4" s="183">
        <f>'[1]0491L'!$U$7</f>
        <v>0</v>
      </c>
      <c r="HU4" s="183" t="str">
        <f>'[1]0491L'!$Q$8</f>
        <v>X</v>
      </c>
      <c r="HV4" s="183">
        <f>'[1]0491L'!$U$8</f>
        <v>0</v>
      </c>
      <c r="HW4" s="183">
        <f>'[1]0491L'!$UX$8</f>
        <v>0</v>
      </c>
      <c r="HX4" s="183">
        <f>'[1]0491L'!$Q$9</f>
        <v>0</v>
      </c>
      <c r="HY4" s="183" t="str">
        <f>'[1]0491L'!$U$9</f>
        <v>X</v>
      </c>
      <c r="HZ4" s="183" t="str">
        <f>'[1]0491L'!$Q$10</f>
        <v>X</v>
      </c>
      <c r="IA4" s="183">
        <f>'[1]0491L'!$U$10</f>
        <v>0</v>
      </c>
      <c r="IB4" s="183">
        <f>'[1]0491L'!$P$13</f>
        <v>14</v>
      </c>
      <c r="IC4" s="183">
        <f>'[1]0491L'!$Q$13</f>
        <v>1</v>
      </c>
      <c r="ID4" s="183">
        <f>'[1]0491L'!$R$13</f>
        <v>1</v>
      </c>
      <c r="IE4" s="183">
        <f>'[1]0491L'!$S$13</f>
        <v>0</v>
      </c>
      <c r="IF4" s="782">
        <f>'[1]0491L'!$U$13</f>
        <v>0</v>
      </c>
      <c r="IG4" s="779">
        <f>'[1]0491L'!$F$17</f>
        <v>0</v>
      </c>
      <c r="IH4" s="183">
        <f>'[1]0491L'!$F$18</f>
        <v>1</v>
      </c>
      <c r="II4" s="183">
        <f>'[1]0491L'!$F$19</f>
        <v>0</v>
      </c>
      <c r="IJ4" s="183">
        <f>'[1]0491L'!$F$20</f>
        <v>0</v>
      </c>
      <c r="IK4" s="183">
        <f>'[1]0491L'!$H$21</f>
        <v>14</v>
      </c>
      <c r="IL4" s="183">
        <f>'[1]0491L'!$H$22</f>
        <v>1</v>
      </c>
      <c r="IM4" s="183">
        <f>'[1]0491L'!$H$23</f>
        <v>1</v>
      </c>
      <c r="IN4" s="183">
        <f>'[1]0491L'!$H$24</f>
        <v>2</v>
      </c>
      <c r="IO4" s="183">
        <f>'[1]0491L'!$H$25</f>
        <v>0</v>
      </c>
      <c r="IP4" s="1358">
        <f>'[1]0491L'!$K$26</f>
        <v>42</v>
      </c>
      <c r="IQ4" s="1354">
        <f>'[1]0491L'!$M$26</f>
        <v>26</v>
      </c>
      <c r="IR4" s="183">
        <f>'[1]0491L'!$V$19</f>
        <v>1</v>
      </c>
      <c r="IS4" s="183">
        <f>'[1]0491L'!$V$20</f>
        <v>4</v>
      </c>
      <c r="IT4" s="183">
        <f>'[1]0491L'!$V$21</f>
        <v>0</v>
      </c>
      <c r="IU4" s="782">
        <f>'[1]0491L'!$V$22</f>
        <v>0</v>
      </c>
      <c r="IV4" s="779">
        <f>'[1]0491L'!$D$38</f>
        <v>3</v>
      </c>
      <c r="IW4" s="183">
        <f>'[1]0491L'!$G$38</f>
        <v>2</v>
      </c>
      <c r="IX4" s="183">
        <f>'[1]0491L'!$J$38</f>
        <v>2</v>
      </c>
      <c r="IY4" s="183">
        <f>'[1]0491L'!$M$38</f>
        <v>3</v>
      </c>
      <c r="IZ4" s="183">
        <f>'[1]0491L'!$P$38</f>
        <v>2</v>
      </c>
      <c r="JA4" s="782">
        <f>'[1]0491L'!$S$38</f>
        <v>2</v>
      </c>
      <c r="JB4" s="1944" t="str">
        <f>'[1]0491L'!$F$44</f>
        <v>MANUEL JESUS BALAM XIU</v>
      </c>
      <c r="JC4" s="1945" t="str">
        <f>'[1]0491L'!$O$44</f>
        <v>JESUS MARTIN RICALDE CASTRO</v>
      </c>
      <c r="JD4" s="779">
        <f t="shared" ref="JD4:JD21" si="7">HH26+HI26</f>
        <v>88</v>
      </c>
      <c r="JE4" s="183">
        <f t="shared" ref="JE4:JE21" si="8">HJ26+HK26</f>
        <v>69</v>
      </c>
      <c r="JF4" s="183">
        <f t="shared" ref="JF4:JF21" si="9">HL26+HM26</f>
        <v>61</v>
      </c>
      <c r="JG4" s="183">
        <f t="shared" ref="JG4:JG21" si="10">HN26+HO26</f>
        <v>86</v>
      </c>
      <c r="JH4" s="183">
        <f t="shared" ref="JH4:JH21" si="11">HP26+HQ26</f>
        <v>70</v>
      </c>
      <c r="JI4" s="782">
        <f>HR26+HS26</f>
        <v>65</v>
      </c>
      <c r="JJ4" s="779">
        <f t="shared" ref="JJ4:JJ21" si="12">HT26+HU26</f>
        <v>6</v>
      </c>
      <c r="JK4" s="183">
        <f t="shared" ref="JK4:JK21" si="13">HV26+HW26</f>
        <v>3</v>
      </c>
      <c r="JL4" s="183">
        <f t="shared" ref="JL4:JL21" si="14">HX26+HY26</f>
        <v>6</v>
      </c>
      <c r="JM4" s="183">
        <f t="shared" ref="JM4:JM21" si="15">HZ26+IA26</f>
        <v>5</v>
      </c>
      <c r="JN4" s="183">
        <f t="shared" ref="JN4:JN21" si="16">IB26+IC26</f>
        <v>0</v>
      </c>
      <c r="JO4" s="183">
        <f t="shared" ref="JO4:JO21" si="17">ID26+IE26</f>
        <v>2</v>
      </c>
      <c r="JP4" s="779">
        <f t="shared" ref="JP4:JP21" si="18">IF26+IG26</f>
        <v>7</v>
      </c>
      <c r="JQ4" s="183">
        <f t="shared" ref="JQ4:JQ21" si="19">IH26+II26</f>
        <v>6</v>
      </c>
      <c r="JR4" s="183">
        <f t="shared" ref="JR4:JR21" si="20">IJ26+IK26</f>
        <v>4</v>
      </c>
      <c r="JS4" s="183">
        <f t="shared" ref="JS4:JS21" si="21">IL26+IM26</f>
        <v>7</v>
      </c>
      <c r="JT4" s="183">
        <f>IN26+IO26</f>
        <v>1</v>
      </c>
      <c r="JU4" s="183">
        <f t="shared" ref="JU4:JU21" si="22">IP26+IQ26</f>
        <v>0</v>
      </c>
      <c r="JV4" s="779">
        <f t="shared" ref="JV4:JV21" si="23">JD4+JJ4-JP4</f>
        <v>87</v>
      </c>
      <c r="JW4" s="183">
        <f t="shared" ref="JW4:JW21" si="24">JE4+JK4-JQ4</f>
        <v>66</v>
      </c>
      <c r="JX4" s="183">
        <f t="shared" ref="JX4:JX21" si="25">JF4+JL4-JR4</f>
        <v>63</v>
      </c>
      <c r="JY4" s="183">
        <f t="shared" ref="JY4:JY21" si="26">JG4+JM4-JS4</f>
        <v>84</v>
      </c>
      <c r="JZ4" s="183">
        <f t="shared" ref="JZ4:JZ21" si="27">JH4+JN4-JT4</f>
        <v>69</v>
      </c>
      <c r="KA4" s="782">
        <f t="shared" ref="KA4:KA21" si="28">JI4+JO4-JU4</f>
        <v>67</v>
      </c>
      <c r="KB4" s="183">
        <f t="shared" ref="KB4:KB21" si="29">IR26+IS26</f>
        <v>0</v>
      </c>
      <c r="KC4" s="183">
        <f t="shared" si="2"/>
        <v>0</v>
      </c>
      <c r="KD4" s="183">
        <f t="shared" si="3"/>
        <v>0</v>
      </c>
      <c r="KE4" s="183">
        <f t="shared" si="4"/>
        <v>0</v>
      </c>
      <c r="KF4" s="183">
        <f t="shared" si="5"/>
        <v>0</v>
      </c>
      <c r="KG4" s="782">
        <f t="shared" si="6"/>
        <v>0</v>
      </c>
      <c r="KH4" s="1358">
        <v>3</v>
      </c>
      <c r="KI4" s="1931" t="s">
        <v>1237</v>
      </c>
      <c r="KJ4" s="1931" t="s">
        <v>1237</v>
      </c>
      <c r="KK4" s="1931" t="s">
        <v>1237</v>
      </c>
      <c r="KL4" s="1931" t="s">
        <v>1237</v>
      </c>
      <c r="KM4" s="1931" t="s">
        <v>1237</v>
      </c>
      <c r="KN4" s="1931" t="s">
        <v>1237</v>
      </c>
      <c r="KO4" s="1931" t="s">
        <v>1237</v>
      </c>
      <c r="KP4" s="1931" t="s">
        <v>1237</v>
      </c>
      <c r="KQ4" s="1931" t="s">
        <v>1237</v>
      </c>
      <c r="KR4" s="1931" t="s">
        <v>1237</v>
      </c>
      <c r="KS4" s="1931" t="s">
        <v>1237</v>
      </c>
      <c r="KT4" s="1931" t="s">
        <v>1237</v>
      </c>
      <c r="KU4" s="1931" t="s">
        <v>1237</v>
      </c>
      <c r="KV4" s="1931" t="s">
        <v>1237</v>
      </c>
      <c r="KW4" s="1931" t="s">
        <v>1237</v>
      </c>
      <c r="KX4" s="1931"/>
      <c r="KY4" s="1931"/>
      <c r="KZ4" s="1931"/>
      <c r="LA4" s="1931"/>
      <c r="LB4" s="1932"/>
      <c r="LC4" s="2696">
        <v>3</v>
      </c>
      <c r="LD4" s="3744" t="str">
        <f>Plantillas!S$117</f>
        <v>CABL680604MCC</v>
      </c>
      <c r="LE4" s="3744" t="str">
        <f>Plantillas!S$118</f>
        <v>HECA770303HCC</v>
      </c>
      <c r="LF4" s="3744" t="str">
        <f>Plantillas!S$119</f>
        <v>GOPF700423MCC</v>
      </c>
      <c r="LG4" s="3744" t="str">
        <f>Plantillas!S$120</f>
        <v>TUCE641225MCC</v>
      </c>
      <c r="LH4" s="3744" t="str">
        <f>Plantillas!S$121</f>
        <v>DUSI750302HYN</v>
      </c>
      <c r="LI4" s="3744" t="str">
        <f>Plantillas!S$122</f>
        <v>PACW810920HCC</v>
      </c>
      <c r="LJ4" s="3744" t="str">
        <f>Plantillas!S$123</f>
        <v>TAUJ670701HCC</v>
      </c>
      <c r="LK4" s="3744" t="str">
        <f>Plantillas!S$124</f>
        <v>ZACL660311MCC</v>
      </c>
      <c r="LL4" s="3744" t="str">
        <f>Plantillas!S$125</f>
        <v>VIEI630208HYN</v>
      </c>
      <c r="LM4" s="3744" t="str">
        <f>Plantillas!S$126</f>
        <v>BAAB670127MYN</v>
      </c>
      <c r="LN4" s="3744" t="str">
        <f>Plantillas!S$127</f>
        <v>BAXM651202HCC</v>
      </c>
      <c r="LO4" s="3744" t="str">
        <f>Plantillas!S$128</f>
        <v>SORT610206MQR</v>
      </c>
      <c r="LP4" s="3744" t="str">
        <f>Plantillas!S$129</f>
        <v>PATM690606MCC</v>
      </c>
      <c r="LQ4" s="3744" t="str">
        <f>Plantillas!S$130</f>
        <v>MECJ741210HCC</v>
      </c>
      <c r="LR4" s="3744">
        <f>Plantillas!S$131</f>
        <v>0</v>
      </c>
      <c r="LS4" s="3744">
        <f>Plantillas!S$132</f>
        <v>0</v>
      </c>
      <c r="LT4" s="3744">
        <f>Plantillas!S$133</f>
        <v>0</v>
      </c>
      <c r="LU4" s="3744">
        <f>Plantillas!S$134</f>
        <v>0</v>
      </c>
      <c r="LV4" s="3744">
        <f>Plantillas!S$135</f>
        <v>0</v>
      </c>
      <c r="LW4" s="3745">
        <f>Plantillas!S$136</f>
        <v>0</v>
      </c>
      <c r="LX4" s="18" t="s">
        <v>79</v>
      </c>
    </row>
    <row r="5" spans="1:336" s="18" customFormat="1" ht="12.75" customHeight="1">
      <c r="A5" s="125"/>
      <c r="B5" s="123"/>
      <c r="C5" s="2258"/>
      <c r="D5" s="2258"/>
      <c r="E5" s="3"/>
      <c r="F5" s="2"/>
      <c r="G5" s="2258"/>
      <c r="H5" s="2258"/>
      <c r="I5" s="2258"/>
      <c r="J5" s="2258"/>
      <c r="K5" s="2258"/>
      <c r="L5" s="2258"/>
      <c r="M5" s="2258"/>
      <c r="N5" s="2258"/>
      <c r="O5" s="2258"/>
      <c r="P5" s="2258"/>
      <c r="Q5" s="2258"/>
      <c r="R5" s="2258"/>
      <c r="S5" s="2258"/>
      <c r="T5" s="81" t="s">
        <v>2</v>
      </c>
      <c r="U5" s="2258"/>
      <c r="V5" s="4"/>
      <c r="W5" s="2258"/>
      <c r="X5" s="2258"/>
      <c r="Y5" s="2258"/>
      <c r="Z5" s="2258"/>
      <c r="AA5" s="2258"/>
      <c r="AB5" s="2258"/>
      <c r="AC5" s="2258"/>
      <c r="AD5" s="2258"/>
      <c r="AE5" s="2258"/>
      <c r="AF5" s="2936"/>
      <c r="AG5" s="2936"/>
      <c r="AH5" s="2258"/>
      <c r="AI5" s="2258"/>
      <c r="AJ5" s="2258"/>
      <c r="AK5" s="2258"/>
      <c r="AL5" s="2258"/>
      <c r="AM5" s="2258"/>
      <c r="AN5" s="2258"/>
      <c r="AO5" s="2258"/>
      <c r="AP5" s="2258"/>
      <c r="AQ5" s="2258"/>
      <c r="AR5" s="2863"/>
      <c r="AS5" s="2258"/>
      <c r="AT5" s="2258"/>
      <c r="AU5" s="2258"/>
      <c r="AV5" s="2257"/>
      <c r="AW5" s="2783" t="s">
        <v>79</v>
      </c>
      <c r="AX5" s="1925">
        <v>4</v>
      </c>
      <c r="AY5" s="1926" t="str">
        <f>Plantillas!D$152</f>
        <v>DERECHOS DEL NIÑO</v>
      </c>
      <c r="AZ5" s="1926" t="str">
        <f>Plantillas!M$152</f>
        <v>23DPR0564N</v>
      </c>
      <c r="BA5" s="1926" t="str">
        <f>Plantillas!Q$152</f>
        <v>MATUTINO</v>
      </c>
      <c r="BB5" s="1933">
        <f>Plantillas!Z$183</f>
        <v>12</v>
      </c>
      <c r="BC5" s="1927" t="str">
        <f>Plantillas!C$153</f>
        <v>RG-96  MZA-23   LTE-1   C-12</v>
      </c>
      <c r="BD5" s="1926" t="str">
        <f>Plantillas!P$153</f>
        <v>9988-43-76-43</v>
      </c>
      <c r="BE5" s="1928" t="str">
        <f>Plantillas!E$187</f>
        <v>CETINA CHAY * JUAN CARLOS</v>
      </c>
      <c r="BF5" s="1928">
        <f>Plantillas!AA$183</f>
        <v>357</v>
      </c>
      <c r="BG5" s="1925">
        <v>4</v>
      </c>
      <c r="BH5" s="1926" t="str">
        <f>Plantillas!B$157</f>
        <v>CETINA CHAY * JUAN CARLOS</v>
      </c>
      <c r="BI5" s="1926" t="str">
        <f>Plantillas!B$158</f>
        <v>GOMEZ CASTILLO * SAIDETH MARI</v>
      </c>
      <c r="BJ5" s="1926" t="str">
        <f>Plantillas!B$159</f>
        <v>GARCIA CASTRO * GUADALUPE</v>
      </c>
      <c r="BK5" s="1926" t="str">
        <f>Plantillas!B$160</f>
        <v>ESTRADA PALMA * MARIA SOLEDAD</v>
      </c>
      <c r="BL5" s="1926" t="str">
        <f>Plantillas!B$161</f>
        <v>BARRERA AGUILAR * BLANCA ROSA</v>
      </c>
      <c r="BM5" s="1926" t="str">
        <f>Plantillas!B$162</f>
        <v>CANCHE PECH * NIDIA ROBSANA</v>
      </c>
      <c r="BN5" s="1926" t="str">
        <f>Plantillas!B$163</f>
        <v>CHAVES MARTIN * JUAN MANUEL</v>
      </c>
      <c r="BO5" s="1926" t="str">
        <f>Plantillas!B$164</f>
        <v>SANCHEZ DURAN * EDSSON MANUEL</v>
      </c>
      <c r="BP5" s="1926" t="str">
        <f>Plantillas!B$165</f>
        <v>BUITRON SANCHEZ * ISMAEL ALEJANDRO</v>
      </c>
      <c r="BQ5" s="1929" t="str">
        <f>Plantillas!B$166</f>
        <v>PAT XULUC *MARIA ANTONIA</v>
      </c>
      <c r="BR5" s="1929" t="str">
        <f>Plantillas!B$167</f>
        <v>VALLEJO PIÑA * GILBERTO VIDAL</v>
      </c>
      <c r="BS5" s="1929" t="str">
        <f>Plantillas!B$168</f>
        <v>ZAPATA AGUAYO * JULIO CESAR</v>
      </c>
      <c r="BT5" s="1929" t="str">
        <f>Plantillas!B$169</f>
        <v>COLLI CARRILLO * CRISTHIAN YAIR</v>
      </c>
      <c r="BU5" s="1929" t="str">
        <f>Plantillas!B$170</f>
        <v xml:space="preserve">VIGUERAS EUAN * MANUEL </v>
      </c>
      <c r="BV5" s="1929" t="str">
        <f>Plantillas!B$171</f>
        <v>GARDUNO ESTANOL * JESUS JAVIER</v>
      </c>
      <c r="BW5" s="1929">
        <f>Plantillas!B$172</f>
        <v>0</v>
      </c>
      <c r="BX5" s="1929">
        <f>Plantillas!B$173</f>
        <v>0</v>
      </c>
      <c r="BY5" s="1929" t="str">
        <f>Plantillas!B$174</f>
        <v>GOMEZ CORTEZ * MIRNA LUZ</v>
      </c>
      <c r="BZ5" s="1929" t="str">
        <f>Plantillas!B$175</f>
        <v>FIELDS MAZA * WILBERT</v>
      </c>
      <c r="CA5" s="1930" t="str">
        <f>Plantillas!B$176</f>
        <v>COLLI CARRILLO * CRISTHIAN YAIR</v>
      </c>
      <c r="CB5" s="1358">
        <v>4</v>
      </c>
      <c r="CC5" s="1929" t="str">
        <f>Plantillas!J$157</f>
        <v>CECJ</v>
      </c>
      <c r="CD5" s="1929" t="str">
        <f>Plantillas!J$158</f>
        <v>GACS820630IK3</v>
      </c>
      <c r="CE5" s="1929" t="str">
        <f>Plantillas!J$159</f>
        <v>GACG7007169S8</v>
      </c>
      <c r="CF5" s="1929" t="str">
        <f>Plantillas!J$160</f>
        <v>EAPS6506036N5</v>
      </c>
      <c r="CG5" s="1929" t="str">
        <f>Plantillas!J$161</f>
        <v>BAAB6701272S3</v>
      </c>
      <c r="CH5" s="1929" t="str">
        <f>Plantillas!J$162</f>
        <v>CAPN7311164Y9</v>
      </c>
      <c r="CI5" s="1929" t="str">
        <f>Plantillas!J$163</f>
        <v>CANJ690822MMA</v>
      </c>
      <c r="CJ5" s="1929" t="str">
        <f>Plantillas!J$164</f>
        <v>SADE810426TU8</v>
      </c>
      <c r="CK5" s="1929" t="str">
        <f>Plantillas!J$165</f>
        <v>BUSI710624865</v>
      </c>
      <c r="CL5" s="1929" t="str">
        <f>Plantillas!J$166</f>
        <v>PAXA630724G82</v>
      </c>
      <c r="CM5" s="1929" t="str">
        <f>Plantillas!J$167</f>
        <v>SAFA800911UW0</v>
      </c>
      <c r="CN5" s="1929" t="str">
        <f>Plantillas!J$168</f>
        <v>ZAAJ640712MH4</v>
      </c>
      <c r="CO5" s="1929" t="str">
        <f>Plantillas!J$169</f>
        <v>COCC850923AB9</v>
      </c>
      <c r="CP5" s="1929" t="str">
        <f>Plantillas!J$170</f>
        <v>VIEM7301064D5</v>
      </c>
      <c r="CQ5" s="1929" t="str">
        <f>Plantillas!J$171</f>
        <v>GAEJ7912037MA</v>
      </c>
      <c r="CR5" s="1929">
        <f>Plantillas!J$172</f>
        <v>0</v>
      </c>
      <c r="CS5" s="1929">
        <f>Plantillas!J$173</f>
        <v>0</v>
      </c>
      <c r="CT5" s="1929" t="str">
        <f>Plantillas!J$174</f>
        <v>GOCM750124Q61</v>
      </c>
      <c r="CU5" s="1929" t="str">
        <f>Plantillas!J$175</f>
        <v>FIMW7308246S1</v>
      </c>
      <c r="CV5" s="1930" t="str">
        <f>Plantillas!J$176</f>
        <v>COCC850923AB9</v>
      </c>
      <c r="CW5" s="1358">
        <v>4</v>
      </c>
      <c r="CX5" s="1929" t="str">
        <f>Plantillas!K$157</f>
        <v>E022100.0</v>
      </c>
      <c r="CY5" s="1929" t="str">
        <f>Plantillas!K$158</f>
        <v>E028100.0080010</v>
      </c>
      <c r="CZ5" s="1929" t="str">
        <f>Plantillas!K$159</f>
        <v>E028100.0230681</v>
      </c>
      <c r="DA5" s="1929" t="str">
        <f>Plantillas!K$160</f>
        <v>E028100.0230048</v>
      </c>
      <c r="DB5" s="1929" t="str">
        <f>Plantillas!K$161</f>
        <v>E028100.0085522</v>
      </c>
      <c r="DC5" s="1929" t="str">
        <f>Plantillas!K$162</f>
        <v>E028100.0233767</v>
      </c>
      <c r="DD5" s="1929" t="str">
        <f>Plantillas!K$163</f>
        <v>HE02800.01120070</v>
      </c>
      <c r="DE5" s="1929" t="str">
        <f>Plantillas!K$164</f>
        <v>E028100.0232700</v>
      </c>
      <c r="DF5" s="1929" t="str">
        <f>Plantillas!K$165</f>
        <v>E028100.0230208</v>
      </c>
      <c r="DG5" s="1929" t="str">
        <f>Plantillas!K$166</f>
        <v>E028100.0230813</v>
      </c>
      <c r="DH5" s="1929" t="str">
        <f>Plantillas!K$167</f>
        <v>E028100.0230099</v>
      </c>
      <c r="DI5" s="1929" t="str">
        <f>Plantillas!K$168</f>
        <v>E028100.0232037</v>
      </c>
      <c r="DJ5" s="1929" t="str">
        <f>Plantillas!K$169</f>
        <v>E028100.0070238</v>
      </c>
      <c r="DK5" s="1929" t="str">
        <f>Plantillas!K$170</f>
        <v>E076301.0030710</v>
      </c>
      <c r="DL5" s="1929" t="str">
        <f>Plantillas!K$171</f>
        <v>S0180700.0300073</v>
      </c>
      <c r="DM5" s="1929">
        <f>Plantillas!K$172</f>
        <v>0</v>
      </c>
      <c r="DN5" s="1929">
        <f>Plantillas!K$173</f>
        <v>0</v>
      </c>
      <c r="DO5" s="1929" t="str">
        <f>Plantillas!K$174</f>
        <v>E028100.0233285</v>
      </c>
      <c r="DP5" s="1929" t="str">
        <f>Plantillas!K$175</f>
        <v>E028100.0233289</v>
      </c>
      <c r="DQ5" s="1930" t="str">
        <f>Plantillas!K$176</f>
        <v>E028100.0070238</v>
      </c>
      <c r="DR5" s="1358">
        <v>4</v>
      </c>
      <c r="DS5" s="1929" t="str">
        <f>Plantillas!L$157</f>
        <v>DIRECTOR</v>
      </c>
      <c r="DT5" s="1929" t="str">
        <f>Plantillas!L$158</f>
        <v>DOCENTE</v>
      </c>
      <c r="DU5" s="1929" t="str">
        <f>Plantillas!L$159</f>
        <v>DOCENTE</v>
      </c>
      <c r="DV5" s="1929" t="str">
        <f>Plantillas!L$160</f>
        <v>DOCENTE</v>
      </c>
      <c r="DW5" s="1929" t="str">
        <f>Plantillas!L$161</f>
        <v>DOCENTE</v>
      </c>
      <c r="DX5" s="1929" t="str">
        <f>Plantillas!L$162</f>
        <v>DOCENTE</v>
      </c>
      <c r="DY5" s="1929" t="str">
        <f>Plantillas!L$163</f>
        <v>DOCENTE</v>
      </c>
      <c r="DZ5" s="1929" t="str">
        <f>Plantillas!L$164</f>
        <v>DOCENTE</v>
      </c>
      <c r="EA5" s="1929" t="str">
        <f>Plantillas!L$165</f>
        <v>DOCENTE</v>
      </c>
      <c r="EB5" s="1929" t="str">
        <f>Plantillas!L$166</f>
        <v>DOCENTE</v>
      </c>
      <c r="EC5" s="1929" t="str">
        <f>Plantillas!L$167</f>
        <v>DOCENTE</v>
      </c>
      <c r="ED5" s="1929" t="str">
        <f>Plantillas!L$168</f>
        <v>DOCENTE</v>
      </c>
      <c r="EE5" s="1929" t="str">
        <f>Plantillas!L$169</f>
        <v>DOCENTE</v>
      </c>
      <c r="EF5" s="1929" t="str">
        <f>Plantillas!L$170</f>
        <v>EDUC. FISICA</v>
      </c>
      <c r="EG5" s="1929" t="str">
        <f>Plantillas!L$171</f>
        <v>INTENDENTE</v>
      </c>
      <c r="EH5" s="1929">
        <f>Plantillas!L$172</f>
        <v>0</v>
      </c>
      <c r="EI5" s="1929">
        <f>Plantillas!L$173</f>
        <v>0</v>
      </c>
      <c r="EJ5" s="1929" t="str">
        <f>Plantillas!L$174</f>
        <v>DOCENTE</v>
      </c>
      <c r="EK5" s="1929" t="str">
        <f>Plantillas!L$175</f>
        <v>DOCENTE</v>
      </c>
      <c r="EL5" s="1929" t="str">
        <f>Plantillas!L$176</f>
        <v>DOCENTE</v>
      </c>
      <c r="EM5" s="1358">
        <v>4</v>
      </c>
      <c r="EN5" s="1931">
        <f>Plantillas!U$157</f>
        <v>10</v>
      </c>
      <c r="EO5" s="1931">
        <f>Plantillas!U$158</f>
        <v>10</v>
      </c>
      <c r="EP5" s="1931">
        <f>Plantillas!U$159</f>
        <v>10</v>
      </c>
      <c r="EQ5" s="1931">
        <f>Plantillas!U$160</f>
        <v>10</v>
      </c>
      <c r="ER5" s="1931">
        <f>Plantillas!U$161</f>
        <v>10</v>
      </c>
      <c r="ES5" s="1931">
        <f>Plantillas!U$162</f>
        <v>10</v>
      </c>
      <c r="ET5" s="1931">
        <f>Plantillas!U$163</f>
        <v>20</v>
      </c>
      <c r="EU5" s="1931">
        <f>Plantillas!U$164</f>
        <v>10</v>
      </c>
      <c r="EV5" s="1931">
        <f>Plantillas!U$165</f>
        <v>10</v>
      </c>
      <c r="EW5" s="1931">
        <f>Plantillas!U$166</f>
        <v>10</v>
      </c>
      <c r="EX5" s="1931">
        <f>Plantillas!U$167</f>
        <v>10</v>
      </c>
      <c r="EY5" s="1931">
        <f>Plantillas!U$168</f>
        <v>10</v>
      </c>
      <c r="EZ5" s="1931">
        <f>Plantillas!U$169</f>
        <v>10</v>
      </c>
      <c r="FA5" s="1931">
        <f>Plantillas!U$170</f>
        <v>10</v>
      </c>
      <c r="FB5" s="1931">
        <f>Plantillas!U$171</f>
        <v>0</v>
      </c>
      <c r="FC5" s="1931">
        <f>Plantillas!U$172</f>
        <v>0</v>
      </c>
      <c r="FD5" s="1931">
        <f>Plantillas!U$173</f>
        <v>0</v>
      </c>
      <c r="FE5" s="1931">
        <f>Plantillas!U$174</f>
        <v>10</v>
      </c>
      <c r="FF5" s="1931">
        <f>Plantillas!U$175</f>
        <v>10</v>
      </c>
      <c r="FG5" s="1932">
        <f>Plantillas!U$176</f>
        <v>10</v>
      </c>
      <c r="FH5" s="1358">
        <v>4</v>
      </c>
      <c r="FI5" s="1931" t="str">
        <f>Plantillas!T$157</f>
        <v>7A</v>
      </c>
      <c r="FJ5" s="1931">
        <f>Plantillas!T$158</f>
        <v>0</v>
      </c>
      <c r="FK5" s="1931" t="str">
        <f>Plantillas!T$159</f>
        <v>7C</v>
      </c>
      <c r="FL5" s="1931">
        <f>Plantillas!T$160</f>
        <v>0</v>
      </c>
      <c r="FM5" s="1931">
        <f>Plantillas!T$161</f>
        <v>0</v>
      </c>
      <c r="FN5" s="1931">
        <f>Plantillas!T$162</f>
        <v>0</v>
      </c>
      <c r="FO5" s="1931">
        <f>Plantillas!T$163</f>
        <v>0</v>
      </c>
      <c r="FP5" s="1931">
        <f>Plantillas!T$164</f>
        <v>0</v>
      </c>
      <c r="FQ5" s="1931">
        <f>Plantillas!T$165</f>
        <v>0</v>
      </c>
      <c r="FR5" s="1931" t="str">
        <f>Plantillas!T$166</f>
        <v>7A</v>
      </c>
      <c r="FS5" s="1931" t="str">
        <f>Plantillas!T$167</f>
        <v>7A</v>
      </c>
      <c r="FT5" s="1931">
        <f>Plantillas!T$168</f>
        <v>0</v>
      </c>
      <c r="FU5" s="1931">
        <f>Plantillas!T$169</f>
        <v>0</v>
      </c>
      <c r="FV5" s="1931">
        <f>Plantillas!T$170</f>
        <v>0</v>
      </c>
      <c r="FW5" s="1931">
        <f>Plantillas!T$171</f>
        <v>0</v>
      </c>
      <c r="FX5" s="1931">
        <f>Plantillas!T$172</f>
        <v>0</v>
      </c>
      <c r="FY5" s="1931">
        <f>Plantillas!T$173</f>
        <v>0</v>
      </c>
      <c r="FZ5" s="1931">
        <f>Plantillas!T$174</f>
        <v>0</v>
      </c>
      <c r="GA5" s="1931" t="str">
        <f>Plantillas!T$175</f>
        <v>7A</v>
      </c>
      <c r="GB5" s="1932">
        <f>Plantillas!T$176</f>
        <v>0</v>
      </c>
      <c r="GC5" s="1358">
        <v>4</v>
      </c>
      <c r="GD5" s="1359">
        <f>Plantillas!V$186</f>
        <v>62</v>
      </c>
      <c r="GE5" s="1359">
        <f>Plantillas!W$186</f>
        <v>70</v>
      </c>
      <c r="GF5" s="1359">
        <f>Plantillas!X$186</f>
        <v>63</v>
      </c>
      <c r="GG5" s="1359">
        <f>Plantillas!Y$186</f>
        <v>56</v>
      </c>
      <c r="GH5" s="1359">
        <f>Plantillas!Z$186</f>
        <v>45</v>
      </c>
      <c r="GI5" s="1359">
        <f>Plantillas!AA$186</f>
        <v>61</v>
      </c>
      <c r="GJ5" s="1359">
        <f t="shared" si="0"/>
        <v>357</v>
      </c>
      <c r="GK5" s="1360">
        <f>Plantillas!U$186</f>
        <v>0</v>
      </c>
      <c r="GL5" s="1358">
        <v>4</v>
      </c>
      <c r="GM5" s="1933" t="str">
        <f>Plantillas!H$157</f>
        <v>X</v>
      </c>
      <c r="GN5" s="1933">
        <f>Plantillas!H$158</f>
        <v>0</v>
      </c>
      <c r="GO5" s="1933">
        <f>Plantillas!H$159</f>
        <v>0</v>
      </c>
      <c r="GP5" s="1933">
        <f>Plantillas!H$160</f>
        <v>0</v>
      </c>
      <c r="GQ5" s="1933">
        <f>Plantillas!H$161</f>
        <v>0</v>
      </c>
      <c r="GR5" s="1933">
        <f>Plantillas!H$162</f>
        <v>0</v>
      </c>
      <c r="GS5" s="1933" t="str">
        <f>Plantillas!H$163</f>
        <v>X</v>
      </c>
      <c r="GT5" s="1933" t="str">
        <f>Plantillas!H$164</f>
        <v>X</v>
      </c>
      <c r="GU5" s="1933" t="str">
        <f>Plantillas!H$165</f>
        <v>X</v>
      </c>
      <c r="GV5" s="1933">
        <f>Plantillas!H$166</f>
        <v>0</v>
      </c>
      <c r="GW5" s="1933" t="str">
        <f>Plantillas!H$167</f>
        <v>X</v>
      </c>
      <c r="GX5" s="1933" t="str">
        <f>Plantillas!H$168</f>
        <v>X</v>
      </c>
      <c r="GY5" s="1933">
        <f>Plantillas!H$169</f>
        <v>0</v>
      </c>
      <c r="GZ5" s="1933" t="str">
        <f>Plantillas!H$170</f>
        <v>X</v>
      </c>
      <c r="HA5" s="1933" t="str">
        <f>Plantillas!H$171</f>
        <v>X</v>
      </c>
      <c r="HB5" s="1933">
        <f>Plantillas!H$172</f>
        <v>0</v>
      </c>
      <c r="HC5" s="1933">
        <f>Plantillas!H$173</f>
        <v>0</v>
      </c>
      <c r="HD5" s="1933">
        <f>Plantillas!H$174</f>
        <v>0</v>
      </c>
      <c r="HE5" s="1933">
        <f>Plantillas!H$175</f>
        <v>0</v>
      </c>
      <c r="HF5" s="1934">
        <f>Plantillas!H$176</f>
        <v>0</v>
      </c>
      <c r="HG5" s="778">
        <v>3</v>
      </c>
      <c r="HH5" s="1942" t="str">
        <f>'[1]0492K'!$S$3</f>
        <v>esmerald_96@hotmail.com</v>
      </c>
      <c r="HI5" s="1943" t="str">
        <f>'[1]0492K'!$C$6</f>
        <v>8 DE OCTUBRE</v>
      </c>
      <c r="HJ5" s="771" t="str">
        <f>'[1]0492K'!$H$6</f>
        <v>23DPR0492K</v>
      </c>
      <c r="HK5" s="771" t="str">
        <f>'[1]0492K'!$C$8</f>
        <v>REG. 96 MZAS. 89 Y 90 C. 127</v>
      </c>
      <c r="HL5" s="771" t="str">
        <f>'[1]0492K'!$I$8</f>
        <v>9982 25 54 93</v>
      </c>
      <c r="HM5" s="771" t="str">
        <f>'[1]0492K'!$C$10</f>
        <v>CANCUN</v>
      </c>
      <c r="HN5" s="771" t="str">
        <f>'[1]0492K'!$I$10</f>
        <v>BENITO JUAREZ</v>
      </c>
      <c r="HO5" s="183" t="str">
        <f>'[1]0492K'!$E$13</f>
        <v>X</v>
      </c>
      <c r="HP5" s="782">
        <f>'[1]0492K'!$I$13</f>
        <v>0</v>
      </c>
      <c r="HQ5" s="779">
        <f>'[1]0492K'!$Q$6</f>
        <v>0</v>
      </c>
      <c r="HR5" s="183" t="str">
        <f>'[1]0492K'!$U$6</f>
        <v>X</v>
      </c>
      <c r="HS5" s="183" t="str">
        <f>'[1]0492K'!$Q$7</f>
        <v>X</v>
      </c>
      <c r="HT5" s="183">
        <f>'[1]0492K'!$U$7</f>
        <v>0</v>
      </c>
      <c r="HU5" s="183" t="str">
        <f>'[1]0492K'!$Q$8</f>
        <v>X</v>
      </c>
      <c r="HV5" s="183">
        <f>'[1]0492K'!$U$8</f>
        <v>0</v>
      </c>
      <c r="HW5" s="183">
        <f>'[1]0492K'!$X$8</f>
        <v>0</v>
      </c>
      <c r="HX5" s="183">
        <f>'[1]0492K'!$Q$9</f>
        <v>0</v>
      </c>
      <c r="HY5" s="183" t="str">
        <f>'[1]0492K'!$U$9</f>
        <v>X</v>
      </c>
      <c r="HZ5" s="183" t="str">
        <f>'[1]0492K'!$Q$10</f>
        <v>X</v>
      </c>
      <c r="IA5" s="183">
        <f>'[1]0492K'!$U$10</f>
        <v>0</v>
      </c>
      <c r="IB5" s="183">
        <f>'[1]0492K'!$P$13</f>
        <v>0</v>
      </c>
      <c r="IC5" s="183">
        <f>'[1]0492K'!$Q$13</f>
        <v>0</v>
      </c>
      <c r="ID5" s="183">
        <f>'[1]0492K'!$R$13</f>
        <v>0</v>
      </c>
      <c r="IE5" s="183">
        <f>'[1]0492K'!$S$13</f>
        <v>0</v>
      </c>
      <c r="IF5" s="782">
        <f>'[1]0492K'!$U$13</f>
        <v>0</v>
      </c>
      <c r="IG5" s="779">
        <f>'[1]0492K'!$F$17</f>
        <v>0</v>
      </c>
      <c r="IH5" s="183">
        <f>'[1]0492K'!$F$18</f>
        <v>0</v>
      </c>
      <c r="II5" s="183">
        <f>'[1]0492K'!$F$19</f>
        <v>0</v>
      </c>
      <c r="IJ5" s="183">
        <f>'[1]0492K'!$F$20</f>
        <v>1</v>
      </c>
      <c r="IK5" s="183">
        <f>'[1]0492K'!$H$21</f>
        <v>11</v>
      </c>
      <c r="IL5" s="183">
        <f>'[1]0492K'!$H$22</f>
        <v>1</v>
      </c>
      <c r="IM5" s="183">
        <f>'[1]0492K'!$H$23</f>
        <v>0</v>
      </c>
      <c r="IN5" s="183">
        <f>'[1]0492K'!$H$24</f>
        <v>2</v>
      </c>
      <c r="IO5" s="183">
        <f>'[1]0492K'!$H$25</f>
        <v>0</v>
      </c>
      <c r="IP5" s="1358">
        <f>'[1]0492K'!$K$26</f>
        <v>0</v>
      </c>
      <c r="IQ5" s="1354">
        <f>'[1]0492K'!$M$26</f>
        <v>0</v>
      </c>
      <c r="IR5" s="183">
        <f>'[1]0492K'!$V$19</f>
        <v>0</v>
      </c>
      <c r="IS5" s="183">
        <f>'[1]0492K'!$V$20</f>
        <v>6</v>
      </c>
      <c r="IT5" s="183">
        <f>'[1]0492K'!$V$21</f>
        <v>0</v>
      </c>
      <c r="IU5" s="782">
        <f>'[1]0492K'!$V$22</f>
        <v>0</v>
      </c>
      <c r="IV5" s="779">
        <f>'[1]0492K'!$D$38</f>
        <v>1</v>
      </c>
      <c r="IW5" s="183">
        <f>'[1]0492K'!$G$38</f>
        <v>2</v>
      </c>
      <c r="IX5" s="183">
        <f>'[1]0492K'!$J$38</f>
        <v>2</v>
      </c>
      <c r="IY5" s="183">
        <f>'[1]0492K'!$M$38</f>
        <v>1</v>
      </c>
      <c r="IZ5" s="183">
        <f>'[1]0492K'!$P$38</f>
        <v>2</v>
      </c>
      <c r="JA5" s="782">
        <f>'[1]0492K'!$S$38</f>
        <v>2</v>
      </c>
      <c r="JB5" s="1944" t="str">
        <f>'[1]0492K'!$F$44</f>
        <v>LIDIA ESMERALDA CARDEÑA BENITEZ</v>
      </c>
      <c r="JC5" s="1945" t="str">
        <f>'[1]0492K'!$O$44</f>
        <v>JESUS MARTIN RICALDE CASTRO</v>
      </c>
      <c r="JD5" s="779">
        <f t="shared" si="7"/>
        <v>30</v>
      </c>
      <c r="JE5" s="183">
        <f>HJ27+HK27</f>
        <v>65</v>
      </c>
      <c r="JF5" s="183">
        <f t="shared" si="9"/>
        <v>51</v>
      </c>
      <c r="JG5" s="183">
        <f t="shared" si="10"/>
        <v>34</v>
      </c>
      <c r="JH5" s="183">
        <f t="shared" si="11"/>
        <v>48</v>
      </c>
      <c r="JI5" s="782">
        <f t="shared" ref="JI5:JI21" si="30">HR27+HS27</f>
        <v>46</v>
      </c>
      <c r="JJ5" s="779">
        <f>HT27+HU27</f>
        <v>5</v>
      </c>
      <c r="JK5" s="183">
        <f>HV27+HW27</f>
        <v>7</v>
      </c>
      <c r="JL5" s="183">
        <f t="shared" si="14"/>
        <v>6</v>
      </c>
      <c r="JM5" s="183">
        <f t="shared" si="15"/>
        <v>3</v>
      </c>
      <c r="JN5" s="183">
        <f t="shared" si="16"/>
        <v>3</v>
      </c>
      <c r="JO5" s="183">
        <f t="shared" si="17"/>
        <v>2</v>
      </c>
      <c r="JP5" s="779">
        <f>IF27+IG27</f>
        <v>3</v>
      </c>
      <c r="JQ5" s="183">
        <f>IH27+II27</f>
        <v>14</v>
      </c>
      <c r="JR5" s="183">
        <f t="shared" si="20"/>
        <v>8</v>
      </c>
      <c r="JS5" s="183">
        <f t="shared" si="21"/>
        <v>2</v>
      </c>
      <c r="JT5" s="183">
        <f t="shared" ref="JT5:JT21" si="31">IN27+IO27</f>
        <v>5</v>
      </c>
      <c r="JU5" s="183">
        <f t="shared" si="22"/>
        <v>5</v>
      </c>
      <c r="JV5" s="779">
        <f t="shared" si="23"/>
        <v>32</v>
      </c>
      <c r="JW5" s="183">
        <f>JE5+JK5-JQ5</f>
        <v>58</v>
      </c>
      <c r="JX5" s="183">
        <f t="shared" si="25"/>
        <v>49</v>
      </c>
      <c r="JY5" s="183">
        <f t="shared" si="26"/>
        <v>35</v>
      </c>
      <c r="JZ5" s="183">
        <f t="shared" si="27"/>
        <v>46</v>
      </c>
      <c r="KA5" s="782">
        <f t="shared" si="28"/>
        <v>43</v>
      </c>
      <c r="KB5" s="183">
        <f t="shared" si="29"/>
        <v>0</v>
      </c>
      <c r="KC5" s="183">
        <f t="shared" si="2"/>
        <v>0</v>
      </c>
      <c r="KD5" s="183">
        <f t="shared" si="3"/>
        <v>0</v>
      </c>
      <c r="KE5" s="183">
        <f t="shared" si="4"/>
        <v>0</v>
      </c>
      <c r="KF5" s="183">
        <f t="shared" si="5"/>
        <v>0</v>
      </c>
      <c r="KG5" s="782">
        <f t="shared" si="6"/>
        <v>0</v>
      </c>
      <c r="KH5" s="1358">
        <v>4</v>
      </c>
      <c r="KI5" s="1931" t="s">
        <v>1277</v>
      </c>
      <c r="KJ5" s="1931" t="s">
        <v>1277</v>
      </c>
      <c r="KK5" s="1931" t="s">
        <v>1277</v>
      </c>
      <c r="KL5" s="1931" t="s">
        <v>1277</v>
      </c>
      <c r="KM5" s="1931" t="s">
        <v>1277</v>
      </c>
      <c r="KN5" s="1931" t="s">
        <v>1277</v>
      </c>
      <c r="KO5" s="1931" t="s">
        <v>1277</v>
      </c>
      <c r="KP5" s="1931" t="s">
        <v>1277</v>
      </c>
      <c r="KQ5" s="1931" t="s">
        <v>1277</v>
      </c>
      <c r="KR5" s="1931" t="s">
        <v>1277</v>
      </c>
      <c r="KS5" s="1931" t="s">
        <v>1277</v>
      </c>
      <c r="KT5" s="1931" t="s">
        <v>1277</v>
      </c>
      <c r="KU5" s="1931" t="s">
        <v>1277</v>
      </c>
      <c r="KV5" s="1931" t="s">
        <v>1277</v>
      </c>
      <c r="KW5" s="1931" t="s">
        <v>1277</v>
      </c>
      <c r="KX5" s="1931"/>
      <c r="KY5" s="1931"/>
      <c r="KZ5" s="1931"/>
      <c r="LA5" s="1931"/>
      <c r="LB5" s="1932"/>
      <c r="LC5" s="2696">
        <v>4</v>
      </c>
      <c r="LD5" s="3744" t="str">
        <f>Plantillas!S$157</f>
        <v>PUGM590714MYN</v>
      </c>
      <c r="LE5" s="3744" t="str">
        <f>Plantillas!S$158</f>
        <v>GACS820630MYNMSD02</v>
      </c>
      <c r="LF5" s="3744" t="str">
        <f>Plantillas!S$159</f>
        <v>GACG700716MCCRSD04</v>
      </c>
      <c r="LG5" s="3744" t="str">
        <f>Plantillas!S$160</f>
        <v>EAPS650603MYNSLL04</v>
      </c>
      <c r="LH5" s="3744" t="str">
        <f>Plantillas!S$161</f>
        <v>BAAB670127MYNRGL02</v>
      </c>
      <c r="LI5" s="3744" t="str">
        <f>Plantillas!S$162</f>
        <v>GOCM750124MYNNCD08</v>
      </c>
      <c r="LJ5" s="3744" t="str">
        <f>Plantillas!S$163</f>
        <v>CAMJ690822HYNHRN05</v>
      </c>
      <c r="LK5" s="3744" t="str">
        <f>Plantillas!S$164</f>
        <v>SADE810426HYNNRD02</v>
      </c>
      <c r="LL5" s="3744" t="str">
        <f>Plantillas!S$165</f>
        <v>BUSI710624HQRTNS06</v>
      </c>
      <c r="LM5" s="3744" t="str">
        <f>Plantillas!S$166</f>
        <v>PAXA630724MYNTLN00</v>
      </c>
      <c r="LN5" s="3744" t="str">
        <f>Plantillas!S$167</f>
        <v>SAFA800911HYNNLX01</v>
      </c>
      <c r="LO5" s="3744" t="str">
        <f>Plantillas!S$168</f>
        <v>ZAAJ640712HYNPGL00</v>
      </c>
      <c r="LP5" s="3744" t="str">
        <f>Plantillas!S$169</f>
        <v>COCC850923HTCLRR05</v>
      </c>
      <c r="LQ5" s="3744" t="str">
        <f>Plantillas!S$170</f>
        <v>BEMA830803H</v>
      </c>
      <c r="LR5" s="3744" t="str">
        <f>Plantillas!S$171</f>
        <v>GAEJ791203HYNNRSS045</v>
      </c>
      <c r="LS5" s="3744">
        <f>Plantillas!S$172</f>
        <v>0</v>
      </c>
      <c r="LT5" s="3744">
        <f>Plantillas!S$173</f>
        <v>0</v>
      </c>
      <c r="LU5" s="3744" t="str">
        <f>Plantillas!S$174</f>
        <v>GOCM750124M</v>
      </c>
      <c r="LV5" s="3744" t="str">
        <f>Plantillas!S$175</f>
        <v>FIMW730824H</v>
      </c>
      <c r="LW5" s="3745" t="str">
        <f>Plantillas!S$176</f>
        <v>COCC850923HQR</v>
      </c>
      <c r="LX5" s="18" t="s">
        <v>79</v>
      </c>
    </row>
    <row r="6" spans="1:336" s="18" customFormat="1" ht="12.75" customHeight="1">
      <c r="A6" s="125"/>
      <c r="B6" s="12" t="s">
        <v>2342</v>
      </c>
      <c r="C6" s="2"/>
      <c r="D6" s="2"/>
      <c r="E6" s="2"/>
      <c r="F6" s="2"/>
      <c r="G6" s="2"/>
      <c r="H6" s="2"/>
      <c r="I6" s="2"/>
      <c r="J6" s="2"/>
      <c r="K6" s="2"/>
      <c r="L6" s="2"/>
      <c r="M6" s="2"/>
      <c r="N6" s="2"/>
      <c r="O6" s="2"/>
      <c r="P6" s="2"/>
      <c r="Q6" s="2"/>
      <c r="R6" s="2"/>
      <c r="S6" s="11"/>
      <c r="T6" s="15">
        <v>1</v>
      </c>
      <c r="U6" s="12" t="s">
        <v>492</v>
      </c>
      <c r="V6" s="2"/>
      <c r="W6" s="2"/>
      <c r="X6" s="2"/>
      <c r="Y6" s="2"/>
      <c r="Z6" s="2"/>
      <c r="AA6" s="2"/>
      <c r="AB6" s="2"/>
      <c r="AC6" s="2"/>
      <c r="AD6" s="2"/>
      <c r="AE6" s="1839" t="s">
        <v>77</v>
      </c>
      <c r="AF6" s="1839"/>
      <c r="AG6" s="1839"/>
      <c r="AH6" s="2"/>
      <c r="AI6" s="2"/>
      <c r="AJ6" s="2"/>
      <c r="AK6" s="2"/>
      <c r="AL6" s="2"/>
      <c r="AM6" s="2"/>
      <c r="AN6" s="2"/>
      <c r="AO6" s="2"/>
      <c r="AP6" s="2"/>
      <c r="AQ6" s="2"/>
      <c r="AR6" s="2"/>
      <c r="AS6" s="2"/>
      <c r="AT6" s="2"/>
      <c r="AU6" s="2"/>
      <c r="AV6" s="11"/>
      <c r="AW6" s="2783" t="s">
        <v>79</v>
      </c>
      <c r="AX6" s="1925">
        <v>5</v>
      </c>
      <c r="AY6" s="1926" t="str">
        <f>Plantillas!D$192</f>
        <v>DERECHOS DEL NIÑO</v>
      </c>
      <c r="AZ6" s="1926" t="str">
        <f>Plantillas!M$192</f>
        <v>23DPR0570Y</v>
      </c>
      <c r="BA6" s="1926" t="str">
        <f>Plantillas!Q$192</f>
        <v>VESPERTINO</v>
      </c>
      <c r="BB6" s="1933">
        <f>Plantillas!Z$223</f>
        <v>7</v>
      </c>
      <c r="BC6" s="1927" t="str">
        <f>Plantillas!C$193</f>
        <v>RG-INFONAVID RG-96</v>
      </c>
      <c r="BD6" s="1926" t="str">
        <f>Plantillas!P$193</f>
        <v>9981-09-97-59</v>
      </c>
      <c r="BE6" s="1928" t="str">
        <f>Plantillas!E$227</f>
        <v>COOX YAH * CARLOS  ENRIQUE</v>
      </c>
      <c r="BF6" s="1927">
        <f>Plantillas!AA$223</f>
        <v>207</v>
      </c>
      <c r="BG6" s="1925">
        <v>5</v>
      </c>
      <c r="BH6" s="1926" t="str">
        <f>Plantillas!B$197</f>
        <v>COOX YAH * CARLOS  ENRIQUE</v>
      </c>
      <c r="BI6" s="1926" t="str">
        <f>Plantillas!B$198</f>
        <v>NAHUAT DZIB * VIRGINIA</v>
      </c>
      <c r="BJ6" s="1926" t="str">
        <f>Plantillas!B$199</f>
        <v>ESTRADA PALMA * MARIA SOLEDAD</v>
      </c>
      <c r="BK6" s="1926" t="str">
        <f>Plantillas!B$200</f>
        <v>BUITRON SANCHEZ * ISMAEL ALEJANDRO</v>
      </c>
      <c r="BL6" s="1926" t="str">
        <f>Plantillas!B$201</f>
        <v>VALLEJO PIÑA * GILBERTO VIDAL</v>
      </c>
      <c r="BM6" s="1926" t="str">
        <f>Plantillas!B$202</f>
        <v>PAT XULUC * MARIA ANTONIA</v>
      </c>
      <c r="BN6" s="1926" t="str">
        <f>Plantillas!B$203</f>
        <v>ZAPATA AGUAYO * JULIO CESAR</v>
      </c>
      <c r="BO6" s="1926" t="str">
        <f>Plantillas!B$204</f>
        <v>BUENFIL ESCOBEDO * GILMER DE JESUS</v>
      </c>
      <c r="BP6" s="1926" t="str">
        <f>Plantillas!B$205</f>
        <v>ALBORNOZ NUÑEZ * IVAN GEOVANI</v>
      </c>
      <c r="BQ6" s="1929" t="str">
        <f>Plantillas!B$206</f>
        <v>NAVARRETE PANTOJA * MIGUEL ANGEL</v>
      </c>
      <c r="BR6" s="1929">
        <f>Plantillas!B$207</f>
        <v>0</v>
      </c>
      <c r="BS6" s="1929">
        <f>Plantillas!B$208</f>
        <v>0</v>
      </c>
      <c r="BT6" s="1929">
        <f>Plantillas!B$209</f>
        <v>0</v>
      </c>
      <c r="BU6" s="1929">
        <f>Plantillas!B$210</f>
        <v>0</v>
      </c>
      <c r="BV6" s="1929">
        <f>Plantillas!B$211</f>
        <v>0</v>
      </c>
      <c r="BW6" s="1929">
        <f>Plantillas!B$212</f>
        <v>0</v>
      </c>
      <c r="BX6" s="1929">
        <f>Plantillas!B$213</f>
        <v>0</v>
      </c>
      <c r="BY6" s="1929">
        <f>Plantillas!B$214</f>
        <v>0</v>
      </c>
      <c r="BZ6" s="1929">
        <f>Plantillas!B$215</f>
        <v>0</v>
      </c>
      <c r="CA6" s="1930">
        <f>Plantillas!B$216</f>
        <v>0</v>
      </c>
      <c r="CB6" s="1358">
        <v>5</v>
      </c>
      <c r="CC6" s="1929" t="str">
        <f>Plantillas!J$197</f>
        <v>COYC680807F77</v>
      </c>
      <c r="CD6" s="1929" t="str">
        <f>Plantillas!J$198</f>
        <v>NADV650131NP0</v>
      </c>
      <c r="CE6" s="1929" t="str">
        <f>Plantillas!J$199</f>
        <v>EAPS6506036N5</v>
      </c>
      <c r="CF6" s="1929" t="str">
        <f>Plantillas!J$200</f>
        <v>BUSI710624865</v>
      </c>
      <c r="CG6" s="1929" t="str">
        <f>Plantillas!J$201</f>
        <v>VAPG6402044X1</v>
      </c>
      <c r="CH6" s="1929" t="str">
        <f>Plantillas!J$202</f>
        <v>PAXA630724G82</v>
      </c>
      <c r="CI6" s="1929" t="str">
        <f>Plantillas!J$203</f>
        <v>ZAAJ640712MH4</v>
      </c>
      <c r="CJ6" s="1929" t="str">
        <f>Plantillas!J$204</f>
        <v>BUEG790815EZ4</v>
      </c>
      <c r="CK6" s="1929" t="str">
        <f>Plantillas!J$205</f>
        <v>AONI7704086W0</v>
      </c>
      <c r="CL6" s="1929" t="str">
        <f>Plantillas!J$206</f>
        <v>NAPM6603059M8</v>
      </c>
      <c r="CM6" s="1929">
        <f>Plantillas!J$207</f>
        <v>0</v>
      </c>
      <c r="CN6" s="1929">
        <f>Plantillas!J$208</f>
        <v>0</v>
      </c>
      <c r="CO6" s="1929">
        <f>Plantillas!J$209</f>
        <v>0</v>
      </c>
      <c r="CP6" s="1929">
        <f>Plantillas!J$210</f>
        <v>0</v>
      </c>
      <c r="CQ6" s="1929">
        <f>Plantillas!J$211</f>
        <v>0</v>
      </c>
      <c r="CR6" s="1929">
        <f>Plantillas!J$212</f>
        <v>0</v>
      </c>
      <c r="CS6" s="1929">
        <f>Plantillas!J$213</f>
        <v>0</v>
      </c>
      <c r="CT6" s="1929">
        <f>Plantillas!J$214</f>
        <v>0</v>
      </c>
      <c r="CU6" s="1929">
        <f>Plantillas!J$215</f>
        <v>0</v>
      </c>
      <c r="CV6" s="1929">
        <f>Plantillas!J$216</f>
        <v>0</v>
      </c>
      <c r="CW6" s="1358">
        <v>5</v>
      </c>
      <c r="CX6" s="1929" t="str">
        <f>Plantillas!K$197</f>
        <v>E022100.0000174</v>
      </c>
      <c r="CY6" s="1929" t="str">
        <f>Plantillas!K$198</f>
        <v>E028100.0233409</v>
      </c>
      <c r="CZ6" s="1929" t="str">
        <f>Plantillas!K$199</f>
        <v>E028100.0231582</v>
      </c>
      <c r="DA6" s="1929" t="str">
        <f>Plantillas!K$200</f>
        <v>E028100.0233601</v>
      </c>
      <c r="DB6" s="1929" t="str">
        <f>Plantillas!K$201</f>
        <v>E028100.0233339</v>
      </c>
      <c r="DC6" s="1929" t="str">
        <f>Plantillas!K$202</f>
        <v>E028100.0054207</v>
      </c>
      <c r="DD6" s="1929" t="str">
        <f>Plantillas!K$203</f>
        <v>E028100.0232283</v>
      </c>
      <c r="DE6" s="1929" t="str">
        <f>Plantillas!K$204</f>
        <v>E028100.0233789</v>
      </c>
      <c r="DF6" s="1929" t="str">
        <f>Plantillas!K$205</f>
        <v>E076312.0090784</v>
      </c>
      <c r="DG6" s="1929" t="str">
        <f>Plantillas!K$206</f>
        <v>S0180700.0300333</v>
      </c>
      <c r="DH6" s="1929">
        <f>Plantillas!K$207</f>
        <v>0</v>
      </c>
      <c r="DI6" s="1929">
        <f>Plantillas!K$208</f>
        <v>0</v>
      </c>
      <c r="DJ6" s="1929">
        <f>Plantillas!K$209</f>
        <v>0</v>
      </c>
      <c r="DK6" s="1929">
        <f>Plantillas!K$210</f>
        <v>0</v>
      </c>
      <c r="DL6" s="1929">
        <f>Plantillas!K$211</f>
        <v>0</v>
      </c>
      <c r="DM6" s="1929">
        <f>Plantillas!K$212</f>
        <v>0</v>
      </c>
      <c r="DN6" s="1929">
        <f>Plantillas!K$213</f>
        <v>0</v>
      </c>
      <c r="DO6" s="1929">
        <f>Plantillas!K$214</f>
        <v>0</v>
      </c>
      <c r="DP6" s="1929">
        <f>Plantillas!K$215</f>
        <v>0</v>
      </c>
      <c r="DQ6" s="1929">
        <f>Plantillas!K$216</f>
        <v>0</v>
      </c>
      <c r="DR6" s="1358">
        <v>5</v>
      </c>
      <c r="DS6" s="1929" t="str">
        <f>Plantillas!L$197</f>
        <v>DIRECTOR</v>
      </c>
      <c r="DT6" s="1929" t="str">
        <f>Plantillas!L$198</f>
        <v>DOCENTE</v>
      </c>
      <c r="DU6" s="1929" t="str">
        <f>Plantillas!L$199</f>
        <v>DOCENTE</v>
      </c>
      <c r="DV6" s="1929" t="str">
        <f>Plantillas!L$200</f>
        <v>DOCENTE</v>
      </c>
      <c r="DW6" s="1929" t="str">
        <f>Plantillas!L$201</f>
        <v>DOCENTE</v>
      </c>
      <c r="DX6" s="1929" t="str">
        <f>Plantillas!L$202</f>
        <v>DOCENTE</v>
      </c>
      <c r="DY6" s="1929" t="str">
        <f>Plantillas!L$203</f>
        <v>DOCENTE</v>
      </c>
      <c r="DZ6" s="1929" t="str">
        <f>Plantillas!L$204</f>
        <v>DOCENTE</v>
      </c>
      <c r="EA6" s="1929" t="str">
        <f>Plantillas!L$205</f>
        <v>EDUC. FISICA</v>
      </c>
      <c r="EB6" s="1929" t="str">
        <f>Plantillas!L$206</f>
        <v>INTENDENTE</v>
      </c>
      <c r="EC6" s="1929">
        <f>Plantillas!L$207</f>
        <v>0</v>
      </c>
      <c r="ED6" s="1929">
        <f>Plantillas!L$208</f>
        <v>0</v>
      </c>
      <c r="EE6" s="1929">
        <f>Plantillas!L$209</f>
        <v>0</v>
      </c>
      <c r="EF6" s="1929">
        <f>Plantillas!L$210</f>
        <v>0</v>
      </c>
      <c r="EG6" s="1929">
        <f>Plantillas!L$211</f>
        <v>0</v>
      </c>
      <c r="EH6" s="1929">
        <f>Plantillas!L$212</f>
        <v>0</v>
      </c>
      <c r="EI6" s="1929">
        <f>Plantillas!L$213</f>
        <v>0</v>
      </c>
      <c r="EJ6" s="1929">
        <f>Plantillas!L$214</f>
        <v>0</v>
      </c>
      <c r="EK6" s="1929">
        <f>Plantillas!L$215</f>
        <v>0</v>
      </c>
      <c r="EL6" s="1929">
        <f>Plantillas!L$216</f>
        <v>0</v>
      </c>
      <c r="EM6" s="1358">
        <v>5</v>
      </c>
      <c r="EN6" s="1931">
        <f>Plantillas!U$197</f>
        <v>10</v>
      </c>
      <c r="EO6" s="1931">
        <f>Plantillas!U$198</f>
        <v>10</v>
      </c>
      <c r="EP6" s="1931">
        <f>Plantillas!U$199</f>
        <v>10</v>
      </c>
      <c r="EQ6" s="1931">
        <f>Plantillas!U$200</f>
        <v>10</v>
      </c>
      <c r="ER6" s="1931">
        <f>Plantillas!U$201</f>
        <v>10</v>
      </c>
      <c r="ES6" s="1931">
        <f>Plantillas!U$202</f>
        <v>10</v>
      </c>
      <c r="ET6" s="1931">
        <f>Plantillas!U$203</f>
        <v>10</v>
      </c>
      <c r="EU6" s="1931">
        <f>Plantillas!U$204</f>
        <v>10</v>
      </c>
      <c r="EV6" s="1931">
        <f>Plantillas!U$205</f>
        <v>10</v>
      </c>
      <c r="EW6" s="1931">
        <f>Plantillas!U$206</f>
        <v>10</v>
      </c>
      <c r="EX6" s="1931">
        <f>Plantillas!U$207</f>
        <v>0</v>
      </c>
      <c r="EY6" s="1931">
        <f>Plantillas!U$208</f>
        <v>0</v>
      </c>
      <c r="EZ6" s="1931">
        <f>Plantillas!U$209</f>
        <v>0</v>
      </c>
      <c r="FA6" s="1931">
        <f>Plantillas!U$210</f>
        <v>0</v>
      </c>
      <c r="FB6" s="1931">
        <f>Plantillas!U$211</f>
        <v>0</v>
      </c>
      <c r="FC6" s="1931">
        <f>Plantillas!U$212</f>
        <v>0</v>
      </c>
      <c r="FD6" s="1931">
        <f>Plantillas!U$213</f>
        <v>0</v>
      </c>
      <c r="FE6" s="1931">
        <f>Plantillas!U$214</f>
        <v>0</v>
      </c>
      <c r="FF6" s="1931">
        <f>Plantillas!U$215</f>
        <v>0</v>
      </c>
      <c r="FG6" s="1932">
        <f>Plantillas!U$216</f>
        <v>0</v>
      </c>
      <c r="FH6" s="1358">
        <v>5</v>
      </c>
      <c r="FI6" s="1931" t="str">
        <f>Plantillas!T$197</f>
        <v>7A</v>
      </c>
      <c r="FJ6" s="1931" t="str">
        <f>Plantillas!T$198</f>
        <v>7B</v>
      </c>
      <c r="FK6" s="1931" t="str">
        <f>Plantillas!T$199</f>
        <v>7A</v>
      </c>
      <c r="FL6" s="1931" t="str">
        <f>Plantillas!T$200</f>
        <v>7A</v>
      </c>
      <c r="FM6" s="1931">
        <f>Plantillas!T$201</f>
        <v>0</v>
      </c>
      <c r="FN6" s="1931" t="str">
        <f>Plantillas!T$202</f>
        <v>7A</v>
      </c>
      <c r="FO6" s="1931" t="str">
        <f>Plantillas!T$203</f>
        <v>7A</v>
      </c>
      <c r="FP6" s="1931">
        <f>Plantillas!T$204</f>
        <v>0</v>
      </c>
      <c r="FQ6" s="1931">
        <f>Plantillas!T$205</f>
        <v>0</v>
      </c>
      <c r="FR6" s="1931">
        <f>Plantillas!T$206</f>
        <v>0</v>
      </c>
      <c r="FS6" s="1931">
        <f>Plantillas!T$207</f>
        <v>0</v>
      </c>
      <c r="FT6" s="1931">
        <f>Plantillas!T$208</f>
        <v>0</v>
      </c>
      <c r="FU6" s="1931">
        <f>Plantillas!T$209</f>
        <v>0</v>
      </c>
      <c r="FV6" s="1931">
        <f>Plantillas!T$210</f>
        <v>0</v>
      </c>
      <c r="FW6" s="1931">
        <f>Plantillas!T$211</f>
        <v>0</v>
      </c>
      <c r="FX6" s="1931">
        <f>Plantillas!T$212</f>
        <v>0</v>
      </c>
      <c r="FY6" s="1931">
        <f>Plantillas!T$213</f>
        <v>0</v>
      </c>
      <c r="FZ6" s="1931">
        <f>Plantillas!T$214</f>
        <v>0</v>
      </c>
      <c r="GA6" s="1931">
        <f>Plantillas!T$215</f>
        <v>0</v>
      </c>
      <c r="GB6" s="1932">
        <f>Plantillas!T$216</f>
        <v>0</v>
      </c>
      <c r="GC6" s="1358">
        <v>5</v>
      </c>
      <c r="GD6" s="1359">
        <f>Plantillas!V$226</f>
        <v>28</v>
      </c>
      <c r="GE6" s="1359">
        <f>Plantillas!W$226</f>
        <v>32</v>
      </c>
      <c r="GF6" s="1359">
        <f>Plantillas!X$226</f>
        <v>28</v>
      </c>
      <c r="GG6" s="1359">
        <f>Plantillas!Y$226</f>
        <v>26</v>
      </c>
      <c r="GH6" s="1359">
        <f>Plantillas!Z$226</f>
        <v>31</v>
      </c>
      <c r="GI6" s="1359">
        <f>Plantillas!AA$226</f>
        <v>62</v>
      </c>
      <c r="GJ6" s="1359">
        <f t="shared" si="0"/>
        <v>207</v>
      </c>
      <c r="GK6" s="1360">
        <f>Plantillas!U$226</f>
        <v>0</v>
      </c>
      <c r="GL6" s="1358">
        <v>5</v>
      </c>
      <c r="GM6" s="1933" t="str">
        <f>Plantillas!H$197</f>
        <v>X</v>
      </c>
      <c r="GN6" s="1933">
        <f>Plantillas!H$198</f>
        <v>0</v>
      </c>
      <c r="GO6" s="1933">
        <f>Plantillas!H$199</f>
        <v>0</v>
      </c>
      <c r="GP6" s="1933" t="str">
        <f>Plantillas!H$200</f>
        <v>X</v>
      </c>
      <c r="GQ6" s="1933" t="str">
        <f>Plantillas!H$201</f>
        <v>X</v>
      </c>
      <c r="GR6" s="1933">
        <f>Plantillas!H$202</f>
        <v>0</v>
      </c>
      <c r="GS6" s="1933" t="str">
        <f>Plantillas!H$203</f>
        <v>X</v>
      </c>
      <c r="GT6" s="1933" t="str">
        <f>Plantillas!H$204</f>
        <v>X</v>
      </c>
      <c r="GU6" s="1933" t="str">
        <f>Plantillas!H$205</f>
        <v>X</v>
      </c>
      <c r="GV6" s="1933" t="str">
        <f>Plantillas!H$206</f>
        <v>X</v>
      </c>
      <c r="GW6" s="1933">
        <f>Plantillas!H$207</f>
        <v>0</v>
      </c>
      <c r="GX6" s="1933">
        <f>Plantillas!H$208</f>
        <v>0</v>
      </c>
      <c r="GY6" s="1933">
        <f>Plantillas!H$209</f>
        <v>0</v>
      </c>
      <c r="GZ6" s="1933">
        <f>Plantillas!H$210</f>
        <v>0</v>
      </c>
      <c r="HA6" s="1933">
        <f>Plantillas!H$211</f>
        <v>0</v>
      </c>
      <c r="HB6" s="1933">
        <f>Plantillas!H$212</f>
        <v>0</v>
      </c>
      <c r="HC6" s="1933">
        <f>Plantillas!H$213</f>
        <v>0</v>
      </c>
      <c r="HD6" s="1933">
        <f>Plantillas!H$214</f>
        <v>0</v>
      </c>
      <c r="HE6" s="1933">
        <f>Plantillas!H$215</f>
        <v>0</v>
      </c>
      <c r="HF6" s="1934">
        <f>Plantillas!H$216</f>
        <v>0</v>
      </c>
      <c r="HG6" s="778">
        <v>4</v>
      </c>
      <c r="HH6" s="1942" t="str">
        <f>'[1]0564N'!$S$3</f>
        <v>m.roxana07@hotmail.com</v>
      </c>
      <c r="HI6" s="1943" t="str">
        <f>'[1]0564N'!$C$6</f>
        <v>DERECHOS DEL NIÑO</v>
      </c>
      <c r="HJ6" s="771" t="str">
        <f>'[1]0564N'!$H$6</f>
        <v>23DPR0564N</v>
      </c>
      <c r="HK6" s="771" t="str">
        <f>'[1]0564N'!$C$8</f>
        <v>REG. 96 MZ. 23 L. 1 C. 12</v>
      </c>
      <c r="HL6" s="771" t="str">
        <f>'[1]0564N'!$I$8</f>
        <v>9988-43-76-43</v>
      </c>
      <c r="HM6" s="771" t="str">
        <f>'[1]0564N'!$C$10</f>
        <v>CANCUN</v>
      </c>
      <c r="HN6" s="771" t="str">
        <f>'[1]0564N'!$I$10</f>
        <v>BENITO JUAREZ</v>
      </c>
      <c r="HO6" s="183" t="str">
        <f>'[1]0564N'!$E$13</f>
        <v>X</v>
      </c>
      <c r="HP6" s="782">
        <f>'[1]0564N'!$I$13</f>
        <v>0</v>
      </c>
      <c r="HQ6" s="779" t="str">
        <f>'[1]0564N'!$Q$6</f>
        <v>X</v>
      </c>
      <c r="HR6" s="183">
        <f>'[1]0564N'!$U$6</f>
        <v>0</v>
      </c>
      <c r="HS6" s="183" t="str">
        <f>'[1]0564N'!$Q$7</f>
        <v>X</v>
      </c>
      <c r="HT6" s="183">
        <f>'[1]0564N'!$U$7</f>
        <v>0</v>
      </c>
      <c r="HU6" s="183" t="str">
        <f>'[1]0564N'!$Q$8</f>
        <v>X</v>
      </c>
      <c r="HV6" s="183">
        <f>'[1]0564N'!$U$8</f>
        <v>0</v>
      </c>
      <c r="HW6" s="183">
        <f>'[1]0564N'!$X$8</f>
        <v>0</v>
      </c>
      <c r="HX6" s="183">
        <f>'[1]0564N'!$Q$9</f>
        <v>0</v>
      </c>
      <c r="HY6" s="183" t="str">
        <f>'[1]0564N'!$U$9</f>
        <v>X</v>
      </c>
      <c r="HZ6" s="183" t="str">
        <f>'[1]0564N'!$Q$10</f>
        <v>X</v>
      </c>
      <c r="IA6" s="183">
        <f>'[1]0564N'!$U$10</f>
        <v>0</v>
      </c>
      <c r="IB6" s="183">
        <f>'[1]0564N'!$P$13</f>
        <v>12</v>
      </c>
      <c r="IC6" s="183">
        <f>'[1]0564N'!$Q$13</f>
        <v>0</v>
      </c>
      <c r="ID6" s="183">
        <f>'[1]0564N'!$R$13</f>
        <v>1</v>
      </c>
      <c r="IE6" s="183">
        <f>'[1]0564N'!$S$13</f>
        <v>0</v>
      </c>
      <c r="IF6" s="782">
        <f>'[1]0564N'!$U$13</f>
        <v>0</v>
      </c>
      <c r="IG6" s="779">
        <f>'[1]0564N'!$F$17</f>
        <v>0</v>
      </c>
      <c r="IH6" s="183">
        <f>'[1]0564N'!$F$18</f>
        <v>1</v>
      </c>
      <c r="II6" s="183">
        <f>'[1]0564N'!$F$19</f>
        <v>0</v>
      </c>
      <c r="IJ6" s="183">
        <f>'[1]0564N'!$F$20</f>
        <v>0</v>
      </c>
      <c r="IK6" s="183">
        <f>'[1]0564N'!$H$21</f>
        <v>12</v>
      </c>
      <c r="IL6" s="183">
        <f>'[1]0564N'!$H$22</f>
        <v>1</v>
      </c>
      <c r="IM6" s="183">
        <f>'[1]0564N'!$H$23</f>
        <v>0</v>
      </c>
      <c r="IN6" s="183">
        <f>'[1]0564N'!$H$24</f>
        <v>1</v>
      </c>
      <c r="IO6" s="183">
        <f>'[1]0564N'!$H$25</f>
        <v>0</v>
      </c>
      <c r="IP6" s="1358">
        <f>'[1]0564N'!$K$26</f>
        <v>0</v>
      </c>
      <c r="IQ6" s="1354">
        <f>'[1]0564N'!$M$26</f>
        <v>0</v>
      </c>
      <c r="IR6" s="183">
        <f>'[1]0564N'!$V$19</f>
        <v>1</v>
      </c>
      <c r="IS6" s="183">
        <f>'[1]0564N'!$V$20</f>
        <v>4</v>
      </c>
      <c r="IT6" s="183">
        <f>'[1]0564N'!$V$21</f>
        <v>0</v>
      </c>
      <c r="IU6" s="782">
        <f>'[1]0564N'!$V$22</f>
        <v>0</v>
      </c>
      <c r="IV6" s="779">
        <f>'[1]0564N'!$D$38</f>
        <v>2</v>
      </c>
      <c r="IW6" s="183">
        <f>'[1]0564N'!$G$38</f>
        <v>2</v>
      </c>
      <c r="IX6" s="183">
        <f>'[1]0564N'!$J$38</f>
        <v>2</v>
      </c>
      <c r="IY6" s="183">
        <f>'[1]0564N'!$M$38</f>
        <v>2</v>
      </c>
      <c r="IZ6" s="183">
        <f>'[1]0564N'!$P$38</f>
        <v>2</v>
      </c>
      <c r="JA6" s="782">
        <f>'[1]0564N'!$S$38</f>
        <v>2</v>
      </c>
      <c r="JB6" s="1944" t="str">
        <f>'[1]0564N'!$F$44</f>
        <v>CETINA CHAY  JUAN CARLOS</v>
      </c>
      <c r="JC6" s="1945" t="str">
        <f>'[1]0564N'!$O$44</f>
        <v>JESUS MARTIN RICALDE CASTRO</v>
      </c>
      <c r="JD6" s="779">
        <f t="shared" si="7"/>
        <v>67</v>
      </c>
      <c r="JE6" s="183">
        <f t="shared" si="8"/>
        <v>69</v>
      </c>
      <c r="JF6" s="183">
        <f t="shared" si="9"/>
        <v>67</v>
      </c>
      <c r="JG6" s="183">
        <f t="shared" si="10"/>
        <v>57</v>
      </c>
      <c r="JH6" s="183">
        <f t="shared" si="11"/>
        <v>50</v>
      </c>
      <c r="JI6" s="782">
        <f t="shared" si="30"/>
        <v>60</v>
      </c>
      <c r="JJ6" s="779">
        <f t="shared" si="12"/>
        <v>3</v>
      </c>
      <c r="JK6" s="183">
        <f t="shared" si="13"/>
        <v>4</v>
      </c>
      <c r="JL6" s="183">
        <f t="shared" si="14"/>
        <v>1</v>
      </c>
      <c r="JM6" s="183">
        <f t="shared" si="15"/>
        <v>2</v>
      </c>
      <c r="JN6" s="183">
        <f t="shared" si="16"/>
        <v>0</v>
      </c>
      <c r="JO6" s="183">
        <f t="shared" si="17"/>
        <v>3</v>
      </c>
      <c r="JP6" s="779">
        <f t="shared" si="18"/>
        <v>8</v>
      </c>
      <c r="JQ6" s="183">
        <f t="shared" si="19"/>
        <v>3</v>
      </c>
      <c r="JR6" s="183">
        <f t="shared" si="20"/>
        <v>5</v>
      </c>
      <c r="JS6" s="183">
        <f t="shared" si="21"/>
        <v>3</v>
      </c>
      <c r="JT6" s="183">
        <f t="shared" si="31"/>
        <v>5</v>
      </c>
      <c r="JU6" s="183">
        <f t="shared" si="22"/>
        <v>2</v>
      </c>
      <c r="JV6" s="779">
        <f t="shared" si="23"/>
        <v>62</v>
      </c>
      <c r="JW6" s="183">
        <f t="shared" si="24"/>
        <v>70</v>
      </c>
      <c r="JX6" s="183">
        <f t="shared" si="25"/>
        <v>63</v>
      </c>
      <c r="JY6" s="183">
        <f t="shared" si="26"/>
        <v>56</v>
      </c>
      <c r="JZ6" s="183">
        <f t="shared" si="27"/>
        <v>45</v>
      </c>
      <c r="KA6" s="782">
        <f t="shared" si="28"/>
        <v>61</v>
      </c>
      <c r="KB6" s="183">
        <f t="shared" si="29"/>
        <v>0</v>
      </c>
      <c r="KC6" s="183">
        <f t="shared" si="2"/>
        <v>0</v>
      </c>
      <c r="KD6" s="183">
        <f t="shared" si="3"/>
        <v>0</v>
      </c>
      <c r="KE6" s="183">
        <f t="shared" si="4"/>
        <v>0</v>
      </c>
      <c r="KF6" s="183">
        <f t="shared" si="5"/>
        <v>0</v>
      </c>
      <c r="KG6" s="782">
        <f t="shared" si="6"/>
        <v>0</v>
      </c>
      <c r="KH6" s="1358">
        <v>5</v>
      </c>
      <c r="KI6" s="1931" t="s">
        <v>1253</v>
      </c>
      <c r="KJ6" s="1931" t="s">
        <v>1253</v>
      </c>
      <c r="KK6" s="1931" t="s">
        <v>1253</v>
      </c>
      <c r="KL6" s="1931" t="s">
        <v>1253</v>
      </c>
      <c r="KM6" s="1931" t="s">
        <v>1253</v>
      </c>
      <c r="KN6" s="1931" t="s">
        <v>1253</v>
      </c>
      <c r="KO6" s="1931" t="s">
        <v>1253</v>
      </c>
      <c r="KP6" s="1931" t="s">
        <v>1253</v>
      </c>
      <c r="KQ6" s="1931" t="s">
        <v>1253</v>
      </c>
      <c r="KR6" s="1931" t="s">
        <v>1253</v>
      </c>
      <c r="KS6" s="1931" t="s">
        <v>1253</v>
      </c>
      <c r="KT6" s="1931" t="s">
        <v>1253</v>
      </c>
      <c r="KU6" s="1931"/>
      <c r="KV6" s="1931"/>
      <c r="KW6" s="1931"/>
      <c r="KX6" s="1931"/>
      <c r="KY6" s="1931"/>
      <c r="KZ6" s="1931"/>
      <c r="LA6" s="1931"/>
      <c r="LB6" s="1932"/>
      <c r="LC6" s="2696">
        <v>5</v>
      </c>
      <c r="LD6" s="3744" t="str">
        <f>Plantillas!S$197</f>
        <v>COYC680807H</v>
      </c>
      <c r="LE6" s="3744" t="str">
        <f>Plantillas!S$198</f>
        <v>NADV650131MCC</v>
      </c>
      <c r="LF6" s="3744" t="str">
        <f>Plantillas!S$199</f>
        <v>EAPS650603M</v>
      </c>
      <c r="LG6" s="3744" t="str">
        <f>Plantillas!S$200</f>
        <v>BUSI710624H</v>
      </c>
      <c r="LH6" s="3744" t="str">
        <f>Plantillas!S$201</f>
        <v>PAXA630724M</v>
      </c>
      <c r="LI6" s="3744" t="str">
        <f>Plantillas!S$202</f>
        <v>PAXA630724M</v>
      </c>
      <c r="LJ6" s="3744" t="str">
        <f>Plantillas!S$203</f>
        <v>ZAAJ640712H</v>
      </c>
      <c r="LK6" s="3744" t="str">
        <f>Plantillas!S$204</f>
        <v>VAPG640204H</v>
      </c>
      <c r="LL6" s="3744" t="str">
        <f>Plantillas!S$205</f>
        <v>AONI770408H</v>
      </c>
      <c r="LM6" s="3744" t="str">
        <f>Plantillas!S$206</f>
        <v>NAPM660305H</v>
      </c>
      <c r="LN6" s="3744">
        <f>Plantillas!S$207</f>
        <v>0</v>
      </c>
      <c r="LO6" s="3744">
        <f>Plantillas!S$208</f>
        <v>0</v>
      </c>
      <c r="LP6" s="3744">
        <f>Plantillas!S$209</f>
        <v>0</v>
      </c>
      <c r="LQ6" s="3744">
        <f>Plantillas!S$210</f>
        <v>0</v>
      </c>
      <c r="LR6" s="3744">
        <f>Plantillas!S$211</f>
        <v>0</v>
      </c>
      <c r="LS6" s="3744">
        <f>Plantillas!S$212</f>
        <v>0</v>
      </c>
      <c r="LT6" s="3744">
        <f>Plantillas!S$213</f>
        <v>0</v>
      </c>
      <c r="LU6" s="3744">
        <f>Plantillas!S$214</f>
        <v>0</v>
      </c>
      <c r="LV6" s="3744">
        <f>Plantillas!S$215</f>
        <v>0</v>
      </c>
      <c r="LW6" s="3745">
        <f>Plantillas!S$216</f>
        <v>0</v>
      </c>
      <c r="LX6" s="18" t="s">
        <v>79</v>
      </c>
    </row>
    <row r="7" spans="1:336" s="18" customFormat="1" ht="14.25" customHeight="1">
      <c r="A7" s="125"/>
      <c r="B7" s="3029" t="s">
        <v>2345</v>
      </c>
      <c r="C7" s="2"/>
      <c r="D7" s="2"/>
      <c r="E7" s="3042" t="str">
        <f>VLOOKUP(T6,AX2:BF21,2,2)</f>
        <v>KABAH</v>
      </c>
      <c r="F7" s="6"/>
      <c r="G7" s="6"/>
      <c r="H7" s="6"/>
      <c r="I7" s="6"/>
      <c r="J7" s="6"/>
      <c r="K7" s="6"/>
      <c r="L7" s="6"/>
      <c r="M7" s="6"/>
      <c r="N7" s="6"/>
      <c r="O7" s="6"/>
      <c r="P7" s="7"/>
      <c r="Q7" s="7"/>
      <c r="R7" s="5"/>
      <c r="S7" s="5"/>
      <c r="T7" s="13"/>
      <c r="U7" s="8" t="s">
        <v>19</v>
      </c>
      <c r="V7" s="3042" t="str">
        <f>VLOOKUP(T6,AX2:BF21,3,3)</f>
        <v>23DPR0055K</v>
      </c>
      <c r="W7" s="7"/>
      <c r="X7" s="6"/>
      <c r="Y7" s="6"/>
      <c r="Z7" s="7"/>
      <c r="AA7" s="5"/>
      <c r="AB7" s="2"/>
      <c r="AC7" s="2"/>
      <c r="AD7" s="8" t="s">
        <v>13</v>
      </c>
      <c r="AE7" s="3042" t="str">
        <f>VLOOKUP(T6,AX2:BF21,4,4)</f>
        <v>MATUTINO</v>
      </c>
      <c r="AF7" s="14"/>
      <c r="AG7" s="14"/>
      <c r="AH7" s="14"/>
      <c r="AI7" s="6"/>
      <c r="AJ7" s="6"/>
      <c r="AK7" s="7"/>
      <c r="AL7" s="2"/>
      <c r="AM7" s="2"/>
      <c r="AN7" s="2"/>
      <c r="AO7" s="2"/>
      <c r="AP7" s="2"/>
      <c r="AQ7" s="2"/>
      <c r="AR7" s="2"/>
      <c r="AS7" s="2"/>
      <c r="AT7" s="8" t="s">
        <v>10</v>
      </c>
      <c r="AU7" s="3814">
        <f>VLOOKUP(T6,AX2:BF21,5,5)</f>
        <v>12</v>
      </c>
      <c r="AV7" s="3815"/>
      <c r="AW7" s="2783" t="s">
        <v>79</v>
      </c>
      <c r="AX7" s="1925">
        <v>6</v>
      </c>
      <c r="AY7" s="1926" t="str">
        <f>Plantillas!D$232</f>
        <v>CUITLAHUAC</v>
      </c>
      <c r="AZ7" s="1926" t="str">
        <f>Plantillas!M$232</f>
        <v>23DPR572W</v>
      </c>
      <c r="BA7" s="1926" t="str">
        <f>Plantillas!Q$232</f>
        <v>MATUTINO</v>
      </c>
      <c r="BB7" s="1933">
        <f>Plantillas!Z$263</f>
        <v>13</v>
      </c>
      <c r="BC7" s="1927" t="str">
        <f>Plantillas!C$233</f>
        <v>RG-519  MZA-1 Y 2   COL-JACENTO PAT</v>
      </c>
      <c r="BD7" s="1926" t="str">
        <f>Plantillas!P$233</f>
        <v>9985 78 74 49</v>
      </c>
      <c r="BE7" s="1928" t="str">
        <f>Plantillas!E$267</f>
        <v>DZIB TUZ * MANUEL JESUS</v>
      </c>
      <c r="BF7" s="1927">
        <f>Plantillas!AA$263</f>
        <v>410</v>
      </c>
      <c r="BG7" s="1925">
        <v>6</v>
      </c>
      <c r="BH7" s="1946" t="str">
        <f>Plantillas!B$237</f>
        <v>DZIB TUZ * MANUEL JESUS</v>
      </c>
      <c r="BI7" s="1946" t="str">
        <f>Plantillas!B$238</f>
        <v>SOSA NAVARRETE * DANIELA</v>
      </c>
      <c r="BJ7" s="1946" t="str">
        <f>Plantillas!B$239</f>
        <v>CITUK CHULIN * ROSA ISELA</v>
      </c>
      <c r="BK7" s="1946" t="str">
        <f>Plantillas!B$240</f>
        <v>CEN CHIN * RITA ANGELICA</v>
      </c>
      <c r="BL7" s="1946" t="str">
        <f>Plantillas!B$241</f>
        <v>PAT CHIN * MARIA JOSE</v>
      </c>
      <c r="BM7" s="1946" t="str">
        <f>Plantillas!B$242</f>
        <v>HAAS CHE * MARIA EDELMIRA ALICIA</v>
      </c>
      <c r="BN7" s="1946" t="str">
        <f>Plantillas!B$243</f>
        <v>COHUO CAUICH * MARIA GUADALUPE</v>
      </c>
      <c r="BO7" s="1946" t="str">
        <f>Plantillas!B$244</f>
        <v>GONZALEZ PEREZ * MARIA ISABEL</v>
      </c>
      <c r="BP7" s="1946" t="str">
        <f>Plantillas!B$245</f>
        <v>BALAN KU * JANET GUADALUPE</v>
      </c>
      <c r="BQ7" s="1946" t="str">
        <f>Plantillas!B$246</f>
        <v>TZAB RODRIGUEZ * FABIOLA MARIA</v>
      </c>
      <c r="BR7" s="1946" t="str">
        <f>Plantillas!B$247</f>
        <v>RODRIGUEZ ESCOBEDO * JOSE EZEQUIEL</v>
      </c>
      <c r="BS7" s="1946" t="str">
        <f>Plantillas!B$248</f>
        <v>VIVAS ESTRADA * ISMAEL</v>
      </c>
      <c r="BT7" s="1946" t="str">
        <f>Plantillas!B$249</f>
        <v>ALARICH NOLTE * BLANQUET</v>
      </c>
      <c r="BU7" s="1946" t="str">
        <f>Plantillas!B$250</f>
        <v>CANTO CANCHE * JOSE DOLORES</v>
      </c>
      <c r="BV7" s="1946">
        <f>Plantillas!B$251</f>
        <v>0</v>
      </c>
      <c r="BW7" s="1946" t="str">
        <f>Plantillas!B$252</f>
        <v>CABRERA PEREZ EDITH</v>
      </c>
      <c r="BX7" s="1946" t="str">
        <f>Plantillas!B$253</f>
        <v>AKE QUEB ENRIQUE</v>
      </c>
      <c r="BY7" s="1946">
        <f>Plantillas!B$254</f>
        <v>0</v>
      </c>
      <c r="BZ7" s="1946">
        <f>Plantillas!B$255</f>
        <v>0</v>
      </c>
      <c r="CA7" s="1947">
        <f>Plantillas!B$256</f>
        <v>0</v>
      </c>
      <c r="CB7" s="1358">
        <v>6</v>
      </c>
      <c r="CC7" s="1929" t="str">
        <f>Plantillas!J$237</f>
        <v>DITM681226BF8</v>
      </c>
      <c r="CD7" s="1929" t="str">
        <f>Plantillas!J$238</f>
        <v>SOND8908165B2</v>
      </c>
      <c r="CE7" s="1929" t="str">
        <f>Plantillas!J$239</f>
        <v>CICR</v>
      </c>
      <c r="CF7" s="1929" t="str">
        <f>Plantillas!J$240</f>
        <v>CECR6504154L2</v>
      </c>
      <c r="CG7" s="1929" t="str">
        <f>Plantillas!J$241</f>
        <v>PACJ650419H19</v>
      </c>
      <c r="CH7" s="1929" t="str">
        <f>Plantillas!J$242</f>
        <v>HACE680524BN3</v>
      </c>
      <c r="CI7" s="1929">
        <f>Plantillas!J$243</f>
        <v>0</v>
      </c>
      <c r="CJ7" s="1929" t="str">
        <f>Plantillas!J$244</f>
        <v>GOPI7111041NA</v>
      </c>
      <c r="CK7" s="1929" t="str">
        <f>Plantillas!J$245</f>
        <v>BAKJ8012014HP4</v>
      </c>
      <c r="CL7" s="1929" t="str">
        <f>Plantillas!J$246</f>
        <v>TARF710102V22</v>
      </c>
      <c r="CM7" s="1929" t="str">
        <f>Plantillas!J$247</f>
        <v>ROEE6703308P0</v>
      </c>
      <c r="CN7" s="1929" t="str">
        <f>Plantillas!J$248</f>
        <v>VIEI63020815A</v>
      </c>
      <c r="CO7" s="1929">
        <f>Plantillas!J$249</f>
        <v>0</v>
      </c>
      <c r="CP7" s="1929" t="str">
        <f>Plantillas!J$250</f>
        <v>CACD641028CR5</v>
      </c>
      <c r="CQ7" s="1929">
        <f>Plantillas!J$251</f>
        <v>0</v>
      </c>
      <c r="CR7" s="1929" t="str">
        <f>Plantillas!J$252</f>
        <v>CAPE730220CA2</v>
      </c>
      <c r="CS7" s="1929" t="str">
        <f>Plantillas!J$253</f>
        <v>AEQE680115Q62</v>
      </c>
      <c r="CT7" s="1929">
        <f>Plantillas!J$254</f>
        <v>0</v>
      </c>
      <c r="CU7" s="1929">
        <f>Plantillas!J$255</f>
        <v>0</v>
      </c>
      <c r="CV7" s="1929">
        <f>Plantillas!J$256</f>
        <v>0</v>
      </c>
      <c r="CW7" s="1358">
        <v>6</v>
      </c>
      <c r="CX7" s="1929" t="str">
        <f>Plantillas!K$237</f>
        <v>E022100.0231694</v>
      </c>
      <c r="CY7" s="1929" t="str">
        <f>Plantillas!K$238</f>
        <v>E028100.0233410</v>
      </c>
      <c r="CZ7" s="1929">
        <f>Plantillas!K$239</f>
        <v>0</v>
      </c>
      <c r="DA7" s="1929" t="str">
        <f>Plantillas!K$240</f>
        <v>E028100.0231862</v>
      </c>
      <c r="DB7" s="1929" t="str">
        <f>Plantillas!K$241</f>
        <v>E028100.0232960</v>
      </c>
      <c r="DC7" s="1929" t="str">
        <f>Plantillas!K$242</f>
        <v>E028100.0231015</v>
      </c>
      <c r="DD7" s="1929">
        <f>Plantillas!K$243</f>
        <v>0</v>
      </c>
      <c r="DE7" s="1929" t="str">
        <f>Plantillas!K$244</f>
        <v>E028100.0232717</v>
      </c>
      <c r="DF7" s="1929" t="str">
        <f>Plantillas!K$245</f>
        <v>E028100.00231704</v>
      </c>
      <c r="DG7" s="1929" t="str">
        <f>Plantillas!K$246</f>
        <v>E028100.0232907</v>
      </c>
      <c r="DH7" s="1929" t="str">
        <f>Plantillas!K$247</f>
        <v>E028100.0232955</v>
      </c>
      <c r="DI7" s="1929" t="str">
        <f>Plantillas!K$248</f>
        <v>E028100.0232617</v>
      </c>
      <c r="DJ7" s="1929" t="str">
        <f>Plantillas!K$249</f>
        <v>E028100.0232095</v>
      </c>
      <c r="DK7" s="1929" t="str">
        <f>Plantillas!K$250</f>
        <v>E028100.0233141</v>
      </c>
      <c r="DL7" s="1929">
        <f>Plantillas!K$251</f>
        <v>0</v>
      </c>
      <c r="DM7" s="1929" t="str">
        <f>Plantillas!K$252</f>
        <v>S0180700.0300310</v>
      </c>
      <c r="DN7" s="1929" t="str">
        <f>Plantillas!K$253</f>
        <v>S0180700.0300310</v>
      </c>
      <c r="DO7" s="1929">
        <f>Plantillas!K$254</f>
        <v>0</v>
      </c>
      <c r="DP7" s="1929">
        <f>Plantillas!K$255</f>
        <v>0</v>
      </c>
      <c r="DQ7" s="1929">
        <f>Plantillas!K$256</f>
        <v>0</v>
      </c>
      <c r="DR7" s="1358">
        <v>6</v>
      </c>
      <c r="DS7" s="1946" t="str">
        <f>Plantillas!L$237</f>
        <v>DIRECTOR</v>
      </c>
      <c r="DT7" s="1946" t="str">
        <f>Plantillas!L$238</f>
        <v>DOCENTE</v>
      </c>
      <c r="DU7" s="1946" t="str">
        <f>Plantillas!L$239</f>
        <v>DOCENTE</v>
      </c>
      <c r="DV7" s="1946" t="str">
        <f>Plantillas!L$240</f>
        <v>DOCENTE</v>
      </c>
      <c r="DW7" s="1946" t="str">
        <f>Plantillas!L$241</f>
        <v>DOCENTE</v>
      </c>
      <c r="DX7" s="1946" t="str">
        <f>Plantillas!L$242</f>
        <v>DOCENTE</v>
      </c>
      <c r="DY7" s="1946">
        <f>Plantillas!L$243</f>
        <v>0</v>
      </c>
      <c r="DZ7" s="1946" t="str">
        <f>Plantillas!L$244</f>
        <v>DOCENTE</v>
      </c>
      <c r="EA7" s="1946" t="str">
        <f>Plantillas!L$245</f>
        <v>DOCENTE</v>
      </c>
      <c r="EB7" s="1946" t="str">
        <f>Plantillas!L$246</f>
        <v>DOCENTE</v>
      </c>
      <c r="EC7" s="1946" t="str">
        <f>Plantillas!L$247</f>
        <v>DOCENTE</v>
      </c>
      <c r="ED7" s="1946" t="str">
        <f>Plantillas!L$248</f>
        <v>DOCENTE</v>
      </c>
      <c r="EE7" s="1946" t="str">
        <f>Plantillas!L$249</f>
        <v>DOCENTE</v>
      </c>
      <c r="EF7" s="1946" t="str">
        <f>Plantillas!L$250</f>
        <v>DOCENTE</v>
      </c>
      <c r="EG7" s="1946" t="str">
        <f>Plantillas!L$251</f>
        <v>EDUC. FISICA</v>
      </c>
      <c r="EH7" s="1946" t="str">
        <f>Plantillas!L$252</f>
        <v>INTENDENTE</v>
      </c>
      <c r="EI7" s="1946" t="str">
        <f>Plantillas!L$253</f>
        <v>INTENDENTE</v>
      </c>
      <c r="EJ7" s="1946">
        <f>Plantillas!L$254</f>
        <v>0</v>
      </c>
      <c r="EK7" s="1946">
        <f>Plantillas!L$255</f>
        <v>0</v>
      </c>
      <c r="EL7" s="1946">
        <f>Plantillas!L$256</f>
        <v>0</v>
      </c>
      <c r="EM7" s="1358">
        <v>6</v>
      </c>
      <c r="EN7" s="1948">
        <f>Plantillas!U$237</f>
        <v>10</v>
      </c>
      <c r="EO7" s="1948">
        <f>Plantillas!U$238</f>
        <v>10</v>
      </c>
      <c r="EP7" s="1948">
        <f>Plantillas!U$239</f>
        <v>20</v>
      </c>
      <c r="EQ7" s="1948">
        <f>Plantillas!U$240</f>
        <v>10</v>
      </c>
      <c r="ER7" s="1948">
        <f>Plantillas!U$241</f>
        <v>10</v>
      </c>
      <c r="ES7" s="1948">
        <f>Plantillas!U$242</f>
        <v>10</v>
      </c>
      <c r="ET7" s="1948">
        <f>Plantillas!U$243</f>
        <v>0</v>
      </c>
      <c r="EU7" s="1948">
        <f>Plantillas!U$244</f>
        <v>10</v>
      </c>
      <c r="EV7" s="1948">
        <f>Plantillas!U$245</f>
        <v>10</v>
      </c>
      <c r="EW7" s="1948">
        <f>Plantillas!U$246</f>
        <v>10</v>
      </c>
      <c r="EX7" s="1948">
        <f>Plantillas!U$247</f>
        <v>10</v>
      </c>
      <c r="EY7" s="1948">
        <f>Plantillas!U$248</f>
        <v>10</v>
      </c>
      <c r="EZ7" s="1948">
        <f>Plantillas!U$249</f>
        <v>10</v>
      </c>
      <c r="FA7" s="1948">
        <f>Plantillas!U$250</f>
        <v>10</v>
      </c>
      <c r="FB7" s="1948">
        <f>Plantillas!U$251</f>
        <v>0</v>
      </c>
      <c r="FC7" s="1948">
        <f>Plantillas!U$252</f>
        <v>10</v>
      </c>
      <c r="FD7" s="1948">
        <f>Plantillas!U$253</f>
        <v>0</v>
      </c>
      <c r="FE7" s="1948">
        <f>Plantillas!U$254</f>
        <v>0</v>
      </c>
      <c r="FF7" s="1948">
        <f>Plantillas!U$255</f>
        <v>0</v>
      </c>
      <c r="FG7" s="1949">
        <f>Plantillas!U$256</f>
        <v>0</v>
      </c>
      <c r="FH7" s="1358">
        <v>6</v>
      </c>
      <c r="FI7" s="1948" t="str">
        <f>Plantillas!T$237</f>
        <v>7B</v>
      </c>
      <c r="FJ7" s="1948">
        <f>Plantillas!T$238</f>
        <v>0</v>
      </c>
      <c r="FK7" s="1948">
        <f>Plantillas!T$239</f>
        <v>0</v>
      </c>
      <c r="FL7" s="1948">
        <f>Plantillas!T$240</f>
        <v>0</v>
      </c>
      <c r="FM7" s="1948">
        <f>Plantillas!T$241</f>
        <v>0</v>
      </c>
      <c r="FN7" s="1948" t="str">
        <f>Plantillas!T$242</f>
        <v>7C</v>
      </c>
      <c r="FO7" s="1948">
        <f>Plantillas!T$243</f>
        <v>0</v>
      </c>
      <c r="FP7" s="1948" t="str">
        <f>Plantillas!T$244</f>
        <v>7B</v>
      </c>
      <c r="FQ7" s="1948">
        <f>Plantillas!T$245</f>
        <v>0</v>
      </c>
      <c r="FR7" s="1948" t="str">
        <f>Plantillas!T$246</f>
        <v>7B</v>
      </c>
      <c r="FS7" s="1948" t="str">
        <f>Plantillas!T$247</f>
        <v>7D</v>
      </c>
      <c r="FT7" s="1948" t="str">
        <f>Plantillas!T$248</f>
        <v>7BC</v>
      </c>
      <c r="FU7" s="1948" t="str">
        <f>Plantillas!T$249</f>
        <v>7B</v>
      </c>
      <c r="FV7" s="1948">
        <f>Plantillas!T$250</f>
        <v>0</v>
      </c>
      <c r="FW7" s="1948">
        <f>Plantillas!T$251</f>
        <v>0</v>
      </c>
      <c r="FX7" s="1948">
        <f>Plantillas!T$252</f>
        <v>0</v>
      </c>
      <c r="FY7" s="1948">
        <f>Plantillas!T$253</f>
        <v>0</v>
      </c>
      <c r="FZ7" s="1948">
        <f>Plantillas!T$254</f>
        <v>0</v>
      </c>
      <c r="GA7" s="1948">
        <f>Plantillas!T$255</f>
        <v>0</v>
      </c>
      <c r="GB7" s="1949">
        <f>Plantillas!T$256</f>
        <v>0</v>
      </c>
      <c r="GC7" s="1358">
        <v>6</v>
      </c>
      <c r="GD7" s="1359">
        <f>Plantillas!V$266</f>
        <v>95</v>
      </c>
      <c r="GE7" s="1359">
        <f>Plantillas!W$266</f>
        <v>56</v>
      </c>
      <c r="GF7" s="1359">
        <f>Plantillas!X$266</f>
        <v>54</v>
      </c>
      <c r="GG7" s="1359">
        <f>Plantillas!Y$266</f>
        <v>66</v>
      </c>
      <c r="GH7" s="1359">
        <f>Plantillas!Z$266</f>
        <v>69</v>
      </c>
      <c r="GI7" s="1359">
        <f>Plantillas!AA$266</f>
        <v>70</v>
      </c>
      <c r="GJ7" s="1359">
        <f t="shared" si="0"/>
        <v>410</v>
      </c>
      <c r="GK7" s="1360">
        <f>Plantillas!U$266</f>
        <v>68</v>
      </c>
      <c r="GL7" s="1358">
        <v>6</v>
      </c>
      <c r="GM7" s="1933" t="str">
        <f>Plantillas!H$237</f>
        <v>X</v>
      </c>
      <c r="GN7" s="1933">
        <f>Plantillas!H$238</f>
        <v>0</v>
      </c>
      <c r="GO7" s="1933">
        <f>Plantillas!H$239</f>
        <v>0</v>
      </c>
      <c r="GP7" s="1933">
        <f>Plantillas!H$240</f>
        <v>0</v>
      </c>
      <c r="GQ7" s="1933" t="str">
        <f>Plantillas!H$241</f>
        <v>X</v>
      </c>
      <c r="GR7" s="1933">
        <f>Plantillas!H$242</f>
        <v>0</v>
      </c>
      <c r="GS7" s="1933">
        <f>Plantillas!H$243</f>
        <v>0</v>
      </c>
      <c r="GT7" s="1933">
        <f>Plantillas!H$244</f>
        <v>0</v>
      </c>
      <c r="GU7" s="1933">
        <f>Plantillas!H$245</f>
        <v>0</v>
      </c>
      <c r="GV7" s="1933">
        <f>Plantillas!H$246</f>
        <v>0</v>
      </c>
      <c r="GW7" s="1933" t="str">
        <f>Plantillas!H$247</f>
        <v>X</v>
      </c>
      <c r="GX7" s="1933">
        <f>Plantillas!H$248</f>
        <v>0</v>
      </c>
      <c r="GY7" s="1933">
        <f>Plantillas!H$249</f>
        <v>0</v>
      </c>
      <c r="GZ7" s="1933" t="str">
        <f>Plantillas!H$250</f>
        <v>X</v>
      </c>
      <c r="HA7" s="1933">
        <f>Plantillas!H$251</f>
        <v>0</v>
      </c>
      <c r="HB7" s="1933">
        <f>Plantillas!H$252</f>
        <v>0</v>
      </c>
      <c r="HC7" s="1933" t="str">
        <f>Plantillas!H$253</f>
        <v>X</v>
      </c>
      <c r="HD7" s="1933">
        <f>Plantillas!H$254</f>
        <v>0</v>
      </c>
      <c r="HE7" s="1933">
        <f>Plantillas!H$255</f>
        <v>0</v>
      </c>
      <c r="HF7" s="1934">
        <f>Plantillas!H$256</f>
        <v>0</v>
      </c>
      <c r="HG7" s="778">
        <v>5</v>
      </c>
      <c r="HH7" s="1942" t="str">
        <f>'[1]0570Y'!$S$3</f>
        <v>carcox_68@hotmail.com</v>
      </c>
      <c r="HI7" s="1943" t="str">
        <f>'[1]0570Y'!$C$6</f>
        <v>DERECHOS DEL NIÑO</v>
      </c>
      <c r="HJ7" s="771" t="str">
        <f>'[1]0570Y'!$H$6</f>
        <v>23DPR0570Y</v>
      </c>
      <c r="HK7" s="771" t="str">
        <f>'[1]0570Y'!$C$8</f>
        <v>REG. 96 INFONAVIT</v>
      </c>
      <c r="HL7" s="771" t="str">
        <f>'[1]0570Y'!$I$8</f>
        <v>9981-09-97-59</v>
      </c>
      <c r="HM7" s="771" t="str">
        <f>'[1]0570Y'!$C$10</f>
        <v>CANCUN</v>
      </c>
      <c r="HN7" s="771" t="str">
        <f>'[1]0570Y'!$I$10</f>
        <v>BENITO JUAREZ</v>
      </c>
      <c r="HO7" s="183" t="str">
        <f>'[1]0570Y'!$E$13</f>
        <v>X</v>
      </c>
      <c r="HP7" s="782">
        <f>'[1]0570Y'!$I$13</f>
        <v>0</v>
      </c>
      <c r="HQ7" s="779">
        <f>'[1]0570Y'!$Q$6</f>
        <v>0</v>
      </c>
      <c r="HR7" s="183" t="str">
        <f>'[1]0570Y'!$U$6</f>
        <v>X</v>
      </c>
      <c r="HS7" s="183" t="str">
        <f>'[1]0570Y'!$Q$7</f>
        <v>X</v>
      </c>
      <c r="HT7" s="183">
        <f>'[1]0570Y'!$U$7</f>
        <v>0</v>
      </c>
      <c r="HU7" s="183" t="str">
        <f>'[1]0570Y'!$Q$8</f>
        <v>X</v>
      </c>
      <c r="HV7" s="183">
        <f>'[1]0570Y'!$U$8</f>
        <v>0</v>
      </c>
      <c r="HW7" s="183">
        <f>'[1]0570Y'!$X$8</f>
        <v>0</v>
      </c>
      <c r="HX7" s="183">
        <f>'[1]0570Y'!$Q$9</f>
        <v>0</v>
      </c>
      <c r="HY7" s="183" t="str">
        <f>'[1]0570Y'!$U$9</f>
        <v>X</v>
      </c>
      <c r="HZ7" s="183" t="str">
        <f>'[1]0570Y'!$Q$10</f>
        <v>X</v>
      </c>
      <c r="IA7" s="183">
        <f>'[1]0570Y'!$U$10</f>
        <v>0</v>
      </c>
      <c r="IB7" s="183">
        <f>'[1]0570Y'!$P$13</f>
        <v>0</v>
      </c>
      <c r="IC7" s="183">
        <f>'[1]0570Y'!$Q$13</f>
        <v>0</v>
      </c>
      <c r="ID7" s="183">
        <f>'[1]0570Y'!$R$13</f>
        <v>0</v>
      </c>
      <c r="IE7" s="183">
        <f>'[1]0570Y'!$S$13</f>
        <v>0</v>
      </c>
      <c r="IF7" s="782">
        <f>'[1]0570Y'!$U$13</f>
        <v>0</v>
      </c>
      <c r="IG7" s="779">
        <f>'[1]0570Y'!$F$17</f>
        <v>0</v>
      </c>
      <c r="IH7" s="183">
        <f>'[1]0570Y'!$F$18</f>
        <v>1</v>
      </c>
      <c r="II7" s="183">
        <f>'[1]0570Y'!$F$19</f>
        <v>0</v>
      </c>
      <c r="IJ7" s="183">
        <f>'[1]0570Y'!$F$20</f>
        <v>0</v>
      </c>
      <c r="IK7" s="183">
        <f>'[1]0570Y'!$H$21</f>
        <v>9</v>
      </c>
      <c r="IL7" s="183">
        <f>'[1]0570Y'!$H$22</f>
        <v>1</v>
      </c>
      <c r="IM7" s="183">
        <f>'[1]0570Y'!$H$23</f>
        <v>0</v>
      </c>
      <c r="IN7" s="183">
        <f>'[1]0570Y'!$H$24</f>
        <v>1</v>
      </c>
      <c r="IO7" s="183">
        <f>'[1]0570Y'!$H$25</f>
        <v>0</v>
      </c>
      <c r="IP7" s="1358">
        <f>'[1]0570Y'!$K$26</f>
        <v>0</v>
      </c>
      <c r="IQ7" s="1354">
        <f>'[1]0570Y'!$M$26</f>
        <v>0</v>
      </c>
      <c r="IR7" s="183">
        <f>'[1]0570Y'!$V$19</f>
        <v>1</v>
      </c>
      <c r="IS7" s="183">
        <f>'[1]0570Y'!$V$20</f>
        <v>6</v>
      </c>
      <c r="IT7" s="183">
        <f>'[1]0570Y'!$V$21</f>
        <v>0</v>
      </c>
      <c r="IU7" s="782">
        <f>'[1]0570Y'!$V$22</f>
        <v>0</v>
      </c>
      <c r="IV7" s="779">
        <f>'[1]0570Y'!$D$38</f>
        <v>1</v>
      </c>
      <c r="IW7" s="183">
        <f>'[1]0570Y'!$G$38</f>
        <v>1</v>
      </c>
      <c r="IX7" s="183">
        <f>'[1]0570Y'!$J$38</f>
        <v>1</v>
      </c>
      <c r="IY7" s="183">
        <f>'[1]0570Y'!$M$38</f>
        <v>1</v>
      </c>
      <c r="IZ7" s="183">
        <f>'[1]0570Y'!$P$38</f>
        <v>1</v>
      </c>
      <c r="JA7" s="782">
        <f>'[1]0570Y'!$S$38</f>
        <v>2</v>
      </c>
      <c r="JB7" s="1944" t="str">
        <f>'[1]0570Y'!$F$44</f>
        <v>CARLOS ENRIQUE COOX YAH</v>
      </c>
      <c r="JC7" s="1945" t="str">
        <f>'[1]0570Y'!$O$44</f>
        <v>JESUS MARTIN RICALDE CASTRO</v>
      </c>
      <c r="JD7" s="779">
        <f t="shared" si="7"/>
        <v>27</v>
      </c>
      <c r="JE7" s="183">
        <f t="shared" si="8"/>
        <v>35</v>
      </c>
      <c r="JF7" s="183">
        <f t="shared" si="9"/>
        <v>31</v>
      </c>
      <c r="JG7" s="183">
        <f t="shared" si="10"/>
        <v>23</v>
      </c>
      <c r="JH7" s="183">
        <f t="shared" si="11"/>
        <v>32</v>
      </c>
      <c r="JI7" s="782">
        <f t="shared" si="30"/>
        <v>65</v>
      </c>
      <c r="JJ7" s="779">
        <f t="shared" si="12"/>
        <v>3</v>
      </c>
      <c r="JK7" s="183">
        <f t="shared" si="13"/>
        <v>3</v>
      </c>
      <c r="JL7" s="183">
        <f t="shared" si="14"/>
        <v>6</v>
      </c>
      <c r="JM7" s="183">
        <f t="shared" si="15"/>
        <v>6</v>
      </c>
      <c r="JN7" s="183">
        <f t="shared" si="16"/>
        <v>2</v>
      </c>
      <c r="JO7" s="183">
        <f t="shared" si="17"/>
        <v>0</v>
      </c>
      <c r="JP7" s="779">
        <f t="shared" si="18"/>
        <v>2</v>
      </c>
      <c r="JQ7" s="183">
        <f t="shared" si="19"/>
        <v>6</v>
      </c>
      <c r="JR7" s="183">
        <f t="shared" si="20"/>
        <v>9</v>
      </c>
      <c r="JS7" s="183">
        <f t="shared" si="21"/>
        <v>3</v>
      </c>
      <c r="JT7" s="183">
        <f t="shared" si="31"/>
        <v>3</v>
      </c>
      <c r="JU7" s="183">
        <f t="shared" si="22"/>
        <v>3</v>
      </c>
      <c r="JV7" s="779">
        <f t="shared" si="23"/>
        <v>28</v>
      </c>
      <c r="JW7" s="183">
        <f t="shared" si="24"/>
        <v>32</v>
      </c>
      <c r="JX7" s="183">
        <f t="shared" si="25"/>
        <v>28</v>
      </c>
      <c r="JY7" s="183">
        <f t="shared" si="26"/>
        <v>26</v>
      </c>
      <c r="JZ7" s="183">
        <f t="shared" si="27"/>
        <v>31</v>
      </c>
      <c r="KA7" s="782">
        <f t="shared" si="28"/>
        <v>62</v>
      </c>
      <c r="KB7" s="183">
        <f t="shared" si="29"/>
        <v>0</v>
      </c>
      <c r="KC7" s="183">
        <f t="shared" si="2"/>
        <v>0</v>
      </c>
      <c r="KD7" s="183">
        <f t="shared" si="3"/>
        <v>0</v>
      </c>
      <c r="KE7" s="183">
        <f t="shared" si="4"/>
        <v>0</v>
      </c>
      <c r="KF7" s="183">
        <f t="shared" si="5"/>
        <v>0</v>
      </c>
      <c r="KG7" s="782">
        <f t="shared" si="6"/>
        <v>0</v>
      </c>
      <c r="KH7" s="1358">
        <v>6</v>
      </c>
      <c r="KI7" s="1948" t="s">
        <v>1281</v>
      </c>
      <c r="KJ7" s="1948" t="s">
        <v>1281</v>
      </c>
      <c r="KK7" s="1948" t="s">
        <v>1281</v>
      </c>
      <c r="KL7" s="1948" t="s">
        <v>1281</v>
      </c>
      <c r="KM7" s="1948" t="s">
        <v>1281</v>
      </c>
      <c r="KN7" s="1948" t="s">
        <v>1281</v>
      </c>
      <c r="KO7" s="1948" t="s">
        <v>1281</v>
      </c>
      <c r="KP7" s="1948" t="s">
        <v>1281</v>
      </c>
      <c r="KQ7" s="1948" t="s">
        <v>1281</v>
      </c>
      <c r="KR7" s="1948" t="s">
        <v>1281</v>
      </c>
      <c r="KS7" s="1948" t="s">
        <v>1281</v>
      </c>
      <c r="KT7" s="1948" t="s">
        <v>1281</v>
      </c>
      <c r="KU7" s="1948" t="s">
        <v>1281</v>
      </c>
      <c r="KV7" s="1948" t="s">
        <v>1281</v>
      </c>
      <c r="KW7" s="1948" t="s">
        <v>1281</v>
      </c>
      <c r="KX7" s="1948" t="s">
        <v>1281</v>
      </c>
      <c r="KY7" s="1948"/>
      <c r="KZ7" s="1948"/>
      <c r="LA7" s="1948"/>
      <c r="LB7" s="1949"/>
      <c r="LC7" s="2696">
        <v>6</v>
      </c>
      <c r="LD7" s="3746" t="str">
        <f>Plantillas!S$237</f>
        <v>DITM681226HCC</v>
      </c>
      <c r="LE7" s="3746" t="str">
        <f>Plantillas!S$238</f>
        <v>SOND890816M</v>
      </c>
      <c r="LF7" s="3746">
        <f>Plantillas!S$239</f>
        <v>0</v>
      </c>
      <c r="LG7" s="3746" t="str">
        <f>Plantillas!S$240</f>
        <v>CECR650415M</v>
      </c>
      <c r="LH7" s="3746" t="str">
        <f>Plantillas!S$241</f>
        <v>PACJ650419M</v>
      </c>
      <c r="LI7" s="3746" t="str">
        <f>Plantillas!S$242</f>
        <v>HACE680524M</v>
      </c>
      <c r="LJ7" s="3746">
        <f>Plantillas!S$243</f>
        <v>0</v>
      </c>
      <c r="LK7" s="3746" t="str">
        <f>Plantillas!S$244</f>
        <v>GOPI711104M</v>
      </c>
      <c r="LL7" s="3746" t="str">
        <f>Plantillas!S$245</f>
        <v>BAKJ8012014M</v>
      </c>
      <c r="LM7" s="3746" t="str">
        <f>Plantillas!S$246</f>
        <v>TARF710102M</v>
      </c>
      <c r="LN7" s="3746" t="str">
        <f>Plantillas!S$247</f>
        <v>ROEE670330H</v>
      </c>
      <c r="LO7" s="3746" t="str">
        <f>Plantillas!S$248</f>
        <v>VIEI630208H</v>
      </c>
      <c r="LP7" s="3746" t="str">
        <f>Plantillas!S$249</f>
        <v>RUMM620801M</v>
      </c>
      <c r="LQ7" s="3746" t="str">
        <f>Plantillas!S$250</f>
        <v>CACD641028H</v>
      </c>
      <c r="LR7" s="3746" t="str">
        <f>Plantillas!S$251</f>
        <v>VIEM730106H</v>
      </c>
      <c r="LS7" s="3746" t="str">
        <f>Plantillas!S$252</f>
        <v>CAPE730220M</v>
      </c>
      <c r="LT7" s="3746">
        <f>Plantillas!S$253</f>
        <v>0</v>
      </c>
      <c r="LU7" s="3746">
        <f>Plantillas!S$254</f>
        <v>0</v>
      </c>
      <c r="LV7" s="3746">
        <f>Plantillas!S$255</f>
        <v>0</v>
      </c>
      <c r="LW7" s="3747">
        <f>Plantillas!S$256</f>
        <v>0</v>
      </c>
      <c r="LX7" s="18" t="s">
        <v>79</v>
      </c>
    </row>
    <row r="8" spans="1:336" s="18" customFormat="1" ht="14.25" customHeight="1">
      <c r="A8" s="125"/>
      <c r="B8" s="124" t="s">
        <v>12</v>
      </c>
      <c r="C8" s="2"/>
      <c r="D8" s="2"/>
      <c r="E8" s="9"/>
      <c r="F8" s="9"/>
      <c r="G8" s="685" t="str">
        <f>VLOOKUP(T6,AX2:BH21,8,8)</f>
        <v>CERVANTES BENITEZ * ANTONIA</v>
      </c>
      <c r="H8" s="3027"/>
      <c r="I8" s="10"/>
      <c r="J8" s="10"/>
      <c r="K8" s="10"/>
      <c r="L8" s="10"/>
      <c r="M8" s="10"/>
      <c r="N8" s="10"/>
      <c r="O8" s="10"/>
      <c r="P8" s="10"/>
      <c r="Q8" s="10"/>
      <c r="R8" s="6"/>
      <c r="S8" s="6"/>
      <c r="T8" s="6"/>
      <c r="U8" s="6"/>
      <c r="V8" s="10"/>
      <c r="W8" s="10"/>
      <c r="X8" s="10"/>
      <c r="Y8" s="10"/>
      <c r="Z8" s="10"/>
      <c r="AA8" s="10"/>
      <c r="AB8" s="2"/>
      <c r="AC8" s="2"/>
      <c r="AD8" s="5"/>
      <c r="AE8" s="9"/>
      <c r="AF8" s="9"/>
      <c r="AG8" s="9"/>
      <c r="AH8" s="3028" t="s">
        <v>895</v>
      </c>
      <c r="AI8" s="3852" t="str">
        <f>K9</f>
        <v>042</v>
      </c>
      <c r="AJ8" s="3853"/>
      <c r="AK8" s="9"/>
      <c r="AL8" s="2"/>
      <c r="AM8" s="2"/>
      <c r="AN8" s="2"/>
      <c r="AO8" s="2"/>
      <c r="AP8" s="2"/>
      <c r="AQ8" s="2"/>
      <c r="AR8" s="8" t="s">
        <v>11</v>
      </c>
      <c r="AS8" s="3843">
        <v>41185</v>
      </c>
      <c r="AT8" s="3843"/>
      <c r="AU8" s="3844"/>
      <c r="AV8" s="3845"/>
      <c r="AW8" s="2783" t="s">
        <v>79</v>
      </c>
      <c r="AX8" s="1925">
        <v>7</v>
      </c>
      <c r="AY8" s="1926" t="str">
        <f>Plantillas!D$272</f>
        <v>CUITLAHUAC</v>
      </c>
      <c r="AZ8" s="1926" t="str">
        <f>Plantillas!M$272</f>
        <v>23DPR0581D</v>
      </c>
      <c r="BA8" s="1926" t="str">
        <f>Plantillas!Q$272</f>
        <v>VESPERTINO</v>
      </c>
      <c r="BB8" s="1933">
        <f>Plantillas!Z$303</f>
        <v>5</v>
      </c>
      <c r="BC8" s="1927" t="str">
        <f>Plantillas!C$273</f>
        <v>RG-510  MZA-1 Y 2   COL-JACENTO PAT</v>
      </c>
      <c r="BD8" s="1926" t="str">
        <f>Plantillas!P$273</f>
        <v>9987-34-95-64</v>
      </c>
      <c r="BE8" s="1928" t="str">
        <f>Plantillas!E$307</f>
        <v>PUCH GOMEZ * MADAI ROXANA</v>
      </c>
      <c r="BF8" s="1927">
        <f>Plantillas!AA$303</f>
        <v>109</v>
      </c>
      <c r="BG8" s="1925">
        <v>7</v>
      </c>
      <c r="BH8" s="1926" t="str">
        <f>Plantillas!B$277</f>
        <v>PUCH GOMEZ * MADAI ROXANA</v>
      </c>
      <c r="BI8" s="1926" t="str">
        <f>Plantillas!B$278</f>
        <v>SOSA NAVARRETE * DANIELA</v>
      </c>
      <c r="BJ8" s="1926" t="str">
        <f>Plantillas!B$279</f>
        <v>SIERRA  FLORES * MARITZA ILEN</v>
      </c>
      <c r="BK8" s="1926" t="str">
        <f>Plantillas!B$280</f>
        <v>FRANCO MOO * VICTOR MANUEL</v>
      </c>
      <c r="BL8" s="1926" t="str">
        <f>Plantillas!B$281</f>
        <v>XIU VELAZQUEZ * JOSE MANUEL</v>
      </c>
      <c r="BM8" s="1926" t="str">
        <f>Plantillas!B$282</f>
        <v>CORDOBA CAN * JORGE ANTONIO</v>
      </c>
      <c r="BN8" s="1926" t="str">
        <f>Plantillas!B$283</f>
        <v>MIS VELEZ * JUAN SILVESTRE</v>
      </c>
      <c r="BO8" s="1926" t="str">
        <f>Plantillas!B$284</f>
        <v>MANZANERO BARRANCO * ALBERTO ARIEL</v>
      </c>
      <c r="BP8" s="1926">
        <f>Plantillas!B$285</f>
        <v>0</v>
      </c>
      <c r="BQ8" s="1929">
        <f>Plantillas!B$286</f>
        <v>0</v>
      </c>
      <c r="BR8" s="1929">
        <f>Plantillas!B$287</f>
        <v>0</v>
      </c>
      <c r="BS8" s="1929">
        <f>Plantillas!B$288</f>
        <v>0</v>
      </c>
      <c r="BT8" s="1929">
        <f>Plantillas!B$289</f>
        <v>0</v>
      </c>
      <c r="BU8" s="1929">
        <f>Plantillas!B$290</f>
        <v>0</v>
      </c>
      <c r="BV8" s="1929">
        <f>Plantillas!B$291</f>
        <v>0</v>
      </c>
      <c r="BW8" s="1929">
        <f>Plantillas!B$292</f>
        <v>0</v>
      </c>
      <c r="BX8" s="1929">
        <f>Plantillas!B$293</f>
        <v>0</v>
      </c>
      <c r="BY8" s="1929">
        <f>Plantillas!B$294</f>
        <v>0</v>
      </c>
      <c r="BZ8" s="1929">
        <f>Plantillas!B$295</f>
        <v>0</v>
      </c>
      <c r="CA8" s="1930">
        <f>Plantillas!B$296</f>
        <v>0</v>
      </c>
      <c r="CB8" s="1358">
        <v>7</v>
      </c>
      <c r="CC8" s="1929" t="str">
        <f>Plantillas!J$277</f>
        <v>PUGM590714RJ0</v>
      </c>
      <c r="CD8" s="1929" t="str">
        <f>Plantillas!J$278</f>
        <v>SOND8908165B2</v>
      </c>
      <c r="CE8" s="1929" t="str">
        <f>Plantillas!J$279</f>
        <v>SIFM8308161H0</v>
      </c>
      <c r="CF8" s="1929" t="str">
        <f>Plantillas!J$280</f>
        <v>FAMV650714S44</v>
      </c>
      <c r="CG8" s="1929" t="str">
        <f>Plantillas!J$281</f>
        <v>XIVM780420LJ4</v>
      </c>
      <c r="CH8" s="1929" t="str">
        <f>Plantillas!J$282</f>
        <v>COCJ661009NU2</v>
      </c>
      <c r="CI8" s="1929" t="str">
        <f>Plantillas!J$283</f>
        <v>MIVJ831213U4A</v>
      </c>
      <c r="CJ8" s="1929" t="str">
        <f>Plantillas!J$284</f>
        <v>MABA620215BJ9</v>
      </c>
      <c r="CK8" s="1929">
        <f>Plantillas!J$285</f>
        <v>0</v>
      </c>
      <c r="CL8" s="1929">
        <f>Plantillas!J$286</f>
        <v>0</v>
      </c>
      <c r="CM8" s="1929">
        <f>Plantillas!J$287</f>
        <v>0</v>
      </c>
      <c r="CN8" s="1929">
        <f>Plantillas!J$288</f>
        <v>0</v>
      </c>
      <c r="CO8" s="1929">
        <f>Plantillas!J$289</f>
        <v>0</v>
      </c>
      <c r="CP8" s="1929">
        <f>Plantillas!J$290</f>
        <v>0</v>
      </c>
      <c r="CQ8" s="1929">
        <f>Plantillas!J$291</f>
        <v>0</v>
      </c>
      <c r="CR8" s="1929">
        <f>Plantillas!J$292</f>
        <v>0</v>
      </c>
      <c r="CS8" s="1929">
        <f>Plantillas!J$293</f>
        <v>0</v>
      </c>
      <c r="CT8" s="1929">
        <f>Plantillas!J$294</f>
        <v>0</v>
      </c>
      <c r="CU8" s="1929">
        <f>Plantillas!J$295</f>
        <v>0</v>
      </c>
      <c r="CV8" s="1929">
        <f>Plantillas!J$296</f>
        <v>0</v>
      </c>
      <c r="CW8" s="1358">
        <v>7</v>
      </c>
      <c r="CX8" s="1929" t="str">
        <f>Plantillas!K$277</f>
        <v>E022100.0231585</v>
      </c>
      <c r="CY8" s="1929">
        <f>Plantillas!K$278</f>
        <v>0</v>
      </c>
      <c r="CZ8" s="1929" t="str">
        <f>Plantillas!K$279</f>
        <v>E028100.0</v>
      </c>
      <c r="DA8" s="1929" t="str">
        <f>Plantillas!K$280</f>
        <v>E028100.0233214</v>
      </c>
      <c r="DB8" s="1929">
        <f>Plantillas!K$281</f>
        <v>0</v>
      </c>
      <c r="DC8" s="1929" t="str">
        <f>Plantillas!K$282</f>
        <v>E028100.0232596</v>
      </c>
      <c r="DD8" s="1929" t="str">
        <f>Plantillas!K$283</f>
        <v>E076306.0010706</v>
      </c>
      <c r="DE8" s="1929" t="str">
        <f>Plantillas!K$284</f>
        <v>S0180700.010001</v>
      </c>
      <c r="DF8" s="1929">
        <f>Plantillas!K$285</f>
        <v>0</v>
      </c>
      <c r="DG8" s="1929">
        <f>Plantillas!K$286</f>
        <v>0</v>
      </c>
      <c r="DH8" s="1929">
        <f>Plantillas!K$287</f>
        <v>0</v>
      </c>
      <c r="DI8" s="1929">
        <f>Plantillas!K$288</f>
        <v>0</v>
      </c>
      <c r="DJ8" s="1929">
        <f>Plantillas!K$289</f>
        <v>0</v>
      </c>
      <c r="DK8" s="1929">
        <f>Plantillas!K$290</f>
        <v>0</v>
      </c>
      <c r="DL8" s="1929">
        <f>Plantillas!K$291</f>
        <v>0</v>
      </c>
      <c r="DM8" s="1929">
        <f>Plantillas!K$292</f>
        <v>0</v>
      </c>
      <c r="DN8" s="1929">
        <f>Plantillas!K$293</f>
        <v>0</v>
      </c>
      <c r="DO8" s="1929">
        <f>Plantillas!K$294</f>
        <v>0</v>
      </c>
      <c r="DP8" s="1929">
        <f>Plantillas!K$295</f>
        <v>0</v>
      </c>
      <c r="DQ8" s="1929">
        <f>Plantillas!K$296</f>
        <v>0</v>
      </c>
      <c r="DR8" s="1358">
        <v>7</v>
      </c>
      <c r="DS8" s="1929" t="str">
        <f>Plantillas!L$277</f>
        <v>DIRECTOR</v>
      </c>
      <c r="DT8" s="1929" t="str">
        <f>Plantillas!L$278</f>
        <v>DOCENTE</v>
      </c>
      <c r="DU8" s="1929" t="str">
        <f>Plantillas!L$279</f>
        <v>DOCENTE</v>
      </c>
      <c r="DV8" s="1929" t="str">
        <f>Plantillas!L$280</f>
        <v>DOCENTE</v>
      </c>
      <c r="DW8" s="1929" t="str">
        <f>Plantillas!L$281</f>
        <v>DOCENTE</v>
      </c>
      <c r="DX8" s="1929" t="str">
        <f>Plantillas!L$282</f>
        <v>DOCENTE</v>
      </c>
      <c r="DY8" s="1929" t="str">
        <f>Plantillas!L$283</f>
        <v>EDUC. FISICA</v>
      </c>
      <c r="DZ8" s="1929" t="str">
        <f>Plantillas!L$284</f>
        <v>INTENDENTE</v>
      </c>
      <c r="EA8" s="1929">
        <f>Plantillas!L$285</f>
        <v>0</v>
      </c>
      <c r="EB8" s="1929">
        <f>Plantillas!L$286</f>
        <v>0</v>
      </c>
      <c r="EC8" s="1929">
        <f>Plantillas!L$287</f>
        <v>0</v>
      </c>
      <c r="ED8" s="1929">
        <f>Plantillas!L$288</f>
        <v>0</v>
      </c>
      <c r="EE8" s="1929">
        <f>Plantillas!L$289</f>
        <v>0</v>
      </c>
      <c r="EF8" s="1929">
        <f>Plantillas!L$290</f>
        <v>0</v>
      </c>
      <c r="EG8" s="1929">
        <f>Plantillas!L$291</f>
        <v>0</v>
      </c>
      <c r="EH8" s="1929">
        <f>Plantillas!L$292</f>
        <v>0</v>
      </c>
      <c r="EI8" s="1929">
        <f>Plantillas!L$293</f>
        <v>0</v>
      </c>
      <c r="EJ8" s="1929">
        <f>Plantillas!L$294</f>
        <v>0</v>
      </c>
      <c r="EK8" s="1929">
        <f>Plantillas!L$295</f>
        <v>0</v>
      </c>
      <c r="EL8" s="1929">
        <f>Plantillas!L$296</f>
        <v>0</v>
      </c>
      <c r="EM8" s="1358">
        <v>7</v>
      </c>
      <c r="EN8" s="1931">
        <f>Plantillas!U$277</f>
        <v>10</v>
      </c>
      <c r="EO8" s="1931">
        <f>Plantillas!U$278</f>
        <v>0</v>
      </c>
      <c r="EP8" s="1931">
        <f>Plantillas!U$279</f>
        <v>10</v>
      </c>
      <c r="EQ8" s="1931">
        <f>Plantillas!U$280</f>
        <v>10</v>
      </c>
      <c r="ER8" s="1931">
        <f>Plantillas!U$281</f>
        <v>0</v>
      </c>
      <c r="ES8" s="1931">
        <f>Plantillas!U$282</f>
        <v>10</v>
      </c>
      <c r="ET8" s="1931">
        <f>Plantillas!U$283</f>
        <v>10</v>
      </c>
      <c r="EU8" s="1931">
        <f>Plantillas!U$284</f>
        <v>10</v>
      </c>
      <c r="EV8" s="1931">
        <f>Plantillas!U$285</f>
        <v>0</v>
      </c>
      <c r="EW8" s="1931">
        <f>Plantillas!U$286</f>
        <v>0</v>
      </c>
      <c r="EX8" s="1931">
        <f>Plantillas!U$287</f>
        <v>0</v>
      </c>
      <c r="EY8" s="1931">
        <f>Plantillas!U$288</f>
        <v>0</v>
      </c>
      <c r="EZ8" s="1931">
        <f>Plantillas!U$289</f>
        <v>0</v>
      </c>
      <c r="FA8" s="1931">
        <f>Plantillas!U$290</f>
        <v>0</v>
      </c>
      <c r="FB8" s="1931">
        <f>Plantillas!U$291</f>
        <v>0</v>
      </c>
      <c r="FC8" s="1931">
        <f>Plantillas!U$292</f>
        <v>0</v>
      </c>
      <c r="FD8" s="1931">
        <f>Plantillas!U$293</f>
        <v>0</v>
      </c>
      <c r="FE8" s="1931">
        <f>Plantillas!U$294</f>
        <v>0</v>
      </c>
      <c r="FF8" s="1931">
        <f>Plantillas!U$295</f>
        <v>0</v>
      </c>
      <c r="FG8" s="1932">
        <f>Plantillas!U$296</f>
        <v>0</v>
      </c>
      <c r="FH8" s="1358">
        <v>7</v>
      </c>
      <c r="FI8" s="1931" t="str">
        <f>Plantillas!T$277</f>
        <v>7A</v>
      </c>
      <c r="FJ8" s="1931">
        <f>Plantillas!T$278</f>
        <v>0</v>
      </c>
      <c r="FK8" s="1931" t="str">
        <f>Plantillas!T$279</f>
        <v>7A</v>
      </c>
      <c r="FL8" s="1931" t="str">
        <f>Plantillas!T$280</f>
        <v>7A</v>
      </c>
      <c r="FM8" s="1931">
        <f>Plantillas!T$281</f>
        <v>0</v>
      </c>
      <c r="FN8" s="1931" t="str">
        <f>Plantillas!T$282</f>
        <v>7E</v>
      </c>
      <c r="FO8" s="1931">
        <f>Plantillas!T$283</f>
        <v>0</v>
      </c>
      <c r="FP8" s="1931">
        <f>Plantillas!T$284</f>
        <v>0</v>
      </c>
      <c r="FQ8" s="1931">
        <f>Plantillas!T$285</f>
        <v>0</v>
      </c>
      <c r="FR8" s="1931">
        <f>Plantillas!T$286</f>
        <v>0</v>
      </c>
      <c r="FS8" s="1931">
        <f>Plantillas!T$287</f>
        <v>0</v>
      </c>
      <c r="FT8" s="1931">
        <f>Plantillas!T$288</f>
        <v>0</v>
      </c>
      <c r="FU8" s="1931">
        <f>Plantillas!T$289</f>
        <v>0</v>
      </c>
      <c r="FV8" s="1931">
        <f>Plantillas!T$290</f>
        <v>0</v>
      </c>
      <c r="FW8" s="1931">
        <f>Plantillas!T$291</f>
        <v>0</v>
      </c>
      <c r="FX8" s="1931">
        <f>Plantillas!T$292</f>
        <v>0</v>
      </c>
      <c r="FY8" s="1931">
        <f>Plantillas!T$293</f>
        <v>0</v>
      </c>
      <c r="FZ8" s="1931">
        <f>Plantillas!T$294</f>
        <v>0</v>
      </c>
      <c r="GA8" s="1931">
        <f>Plantillas!T$295</f>
        <v>0</v>
      </c>
      <c r="GB8" s="1932">
        <f>Plantillas!T$296</f>
        <v>0</v>
      </c>
      <c r="GC8" s="1358">
        <v>7</v>
      </c>
      <c r="GD8" s="1359">
        <f>Plantillas!V$306</f>
        <v>0</v>
      </c>
      <c r="GE8" s="1359">
        <f>Plantillas!W$306</f>
        <v>0</v>
      </c>
      <c r="GF8" s="1359">
        <f>Plantillas!X$306</f>
        <v>22</v>
      </c>
      <c r="GG8" s="1359">
        <f>Plantillas!Y$306</f>
        <v>21</v>
      </c>
      <c r="GH8" s="1359">
        <f>Plantillas!Z$306</f>
        <v>24</v>
      </c>
      <c r="GI8" s="1359">
        <f>Plantillas!AA$306</f>
        <v>43</v>
      </c>
      <c r="GJ8" s="1359">
        <f t="shared" si="0"/>
        <v>110</v>
      </c>
      <c r="GK8" s="1360">
        <f>Plantillas!U$306</f>
        <v>0</v>
      </c>
      <c r="GL8" s="1358">
        <v>7</v>
      </c>
      <c r="GM8" s="1933">
        <f>Plantillas!H$277</f>
        <v>0</v>
      </c>
      <c r="GN8" s="1933">
        <f>Plantillas!H$278</f>
        <v>0</v>
      </c>
      <c r="GO8" s="1933">
        <f>Plantillas!H$279</f>
        <v>0</v>
      </c>
      <c r="GP8" s="1933" t="str">
        <f>Plantillas!H$280</f>
        <v>X</v>
      </c>
      <c r="GQ8" s="1933" t="str">
        <f>Plantillas!H$281</f>
        <v>X</v>
      </c>
      <c r="GR8" s="1933" t="str">
        <f>Plantillas!H$282</f>
        <v>X</v>
      </c>
      <c r="GS8" s="1933" t="str">
        <f>Plantillas!H$283</f>
        <v>X</v>
      </c>
      <c r="GT8" s="1933" t="str">
        <f>Plantillas!H$284</f>
        <v>X</v>
      </c>
      <c r="GU8" s="1933">
        <f>Plantillas!H$285</f>
        <v>0</v>
      </c>
      <c r="GV8" s="1933">
        <f>Plantillas!H$286</f>
        <v>0</v>
      </c>
      <c r="GW8" s="1933">
        <f>Plantillas!H$287</f>
        <v>0</v>
      </c>
      <c r="GX8" s="1933">
        <f>Plantillas!H$288</f>
        <v>0</v>
      </c>
      <c r="GY8" s="1933">
        <f>Plantillas!H$289</f>
        <v>0</v>
      </c>
      <c r="GZ8" s="1933">
        <f>Plantillas!H$290</f>
        <v>0</v>
      </c>
      <c r="HA8" s="1933">
        <f>Plantillas!H$291</f>
        <v>0</v>
      </c>
      <c r="HB8" s="1933">
        <f>Plantillas!H$292</f>
        <v>0</v>
      </c>
      <c r="HC8" s="1933">
        <f>Plantillas!H$293</f>
        <v>0</v>
      </c>
      <c r="HD8" s="1933">
        <f>Plantillas!H$294</f>
        <v>0</v>
      </c>
      <c r="HE8" s="1933">
        <f>Plantillas!H$295</f>
        <v>0</v>
      </c>
      <c r="HF8" s="1934">
        <f>Plantillas!H$296</f>
        <v>0</v>
      </c>
      <c r="HG8" s="778">
        <v>6</v>
      </c>
      <c r="HH8" s="1942" t="str">
        <f>'[1]0572W'!$S$3</f>
        <v>neydi_carrillo@hotmail.com</v>
      </c>
      <c r="HI8" s="1943" t="str">
        <f>'[1]0572W'!$C$6</f>
        <v>CUITLAHUAC</v>
      </c>
      <c r="HJ8" s="771" t="str">
        <f>'[1]0572W'!$H$6</f>
        <v>23DPR0572W</v>
      </c>
      <c r="HK8" s="771" t="str">
        <f>'[1]0572W'!$C$8</f>
        <v>REG. 510 MZ. 36 L. 1 Y 2 COL JACINTO PAT</v>
      </c>
      <c r="HL8" s="771" t="str">
        <f>'[1]0572W'!$I$8</f>
        <v>9985 78 74 49</v>
      </c>
      <c r="HM8" s="771" t="str">
        <f>'[1]0572W'!$C$10</f>
        <v>CANCUN</v>
      </c>
      <c r="HN8" s="771" t="str">
        <f>'[1]0572W'!$I$10</f>
        <v>BENITO JUAREZ</v>
      </c>
      <c r="HO8" s="183" t="str">
        <f>'[1]0572W'!$E$13</f>
        <v>X</v>
      </c>
      <c r="HP8" s="782">
        <f>'[1]0572W'!$I$13</f>
        <v>0</v>
      </c>
      <c r="HQ8" s="779" t="str">
        <f>'[1]0572W'!$Q$6</f>
        <v>X</v>
      </c>
      <c r="HR8" s="183">
        <f>'[1]0572W'!$U$6</f>
        <v>0</v>
      </c>
      <c r="HS8" s="183" t="str">
        <f>'[1]0572W'!$Q$7</f>
        <v>X</v>
      </c>
      <c r="HT8" s="183">
        <f>'[1]0572W'!$U$7</f>
        <v>0</v>
      </c>
      <c r="HU8" s="183" t="str">
        <f>'[1]0572W'!$Q$8</f>
        <v>X</v>
      </c>
      <c r="HV8" s="183">
        <f>'[1]0572W'!$U$8</f>
        <v>0</v>
      </c>
      <c r="HW8" s="183">
        <f>'[1]0572W'!$X$8</f>
        <v>0</v>
      </c>
      <c r="HX8" s="183">
        <f>'[1]0572W'!$Q$9</f>
        <v>0</v>
      </c>
      <c r="HY8" s="183" t="str">
        <f>'[1]0572W'!$U$9</f>
        <v>X</v>
      </c>
      <c r="HZ8" s="183" t="str">
        <f>'[1]0572W'!$Q$10</f>
        <v>X</v>
      </c>
      <c r="IA8" s="183">
        <f>'[1]0572W'!$U$10</f>
        <v>0</v>
      </c>
      <c r="IB8" s="183">
        <f>'[1]0572W'!$P$13</f>
        <v>13</v>
      </c>
      <c r="IC8" s="183">
        <f>'[1]0572W'!$Q$13</f>
        <v>0</v>
      </c>
      <c r="ID8" s="183">
        <f>'[1]0572W'!$R$13</f>
        <v>0</v>
      </c>
      <c r="IE8" s="183">
        <f>'[1]0572W'!$S$13</f>
        <v>1</v>
      </c>
      <c r="IF8" s="782">
        <f>'[1]0572W'!$U$13</f>
        <v>0</v>
      </c>
      <c r="IG8" s="779">
        <f>'[1]0572W'!$F$17</f>
        <v>0</v>
      </c>
      <c r="IH8" s="183">
        <f>'[1]0572W'!$F$18</f>
        <v>1</v>
      </c>
      <c r="II8" s="183">
        <f>'[1]0572W'!$F$19</f>
        <v>0</v>
      </c>
      <c r="IJ8" s="183">
        <f>'[1]0572W'!$F$20</f>
        <v>0</v>
      </c>
      <c r="IK8" s="183">
        <f>'[1]0572W'!$H$21</f>
        <v>13</v>
      </c>
      <c r="IL8" s="183">
        <f>'[1]0572W'!$H$22</f>
        <v>0</v>
      </c>
      <c r="IM8" s="183">
        <f>'[1]0572W'!$H$23</f>
        <v>0</v>
      </c>
      <c r="IN8" s="183">
        <f>'[1]0572W'!$H$24</f>
        <v>2</v>
      </c>
      <c r="IO8" s="183">
        <f>'[1]0572W'!$H$25</f>
        <v>0</v>
      </c>
      <c r="IP8" s="1358">
        <f>'[1]0572W'!$K$26</f>
        <v>37</v>
      </c>
      <c r="IQ8" s="1354">
        <f>'[1]0572W'!$M$26</f>
        <v>31</v>
      </c>
      <c r="IR8" s="183">
        <f>'[1]0572W'!$V$19</f>
        <v>1</v>
      </c>
      <c r="IS8" s="183">
        <f>'[1]0572W'!$V$20</f>
        <v>7</v>
      </c>
      <c r="IT8" s="183">
        <f>'[1]0572W'!$V$21</f>
        <v>0</v>
      </c>
      <c r="IU8" s="782">
        <f>'[1]0572W'!$V$22</f>
        <v>0</v>
      </c>
      <c r="IV8" s="779">
        <f>'[1]0572W'!$D$38</f>
        <v>3</v>
      </c>
      <c r="IW8" s="183">
        <f>'[1]0572W'!$G$38</f>
        <v>2</v>
      </c>
      <c r="IX8" s="183">
        <f>'[1]0572W'!$J$38</f>
        <v>2</v>
      </c>
      <c r="IY8" s="183">
        <f>'[1]0572W'!$M$38</f>
        <v>2</v>
      </c>
      <c r="IZ8" s="183">
        <f>'[1]0572W'!$P$38</f>
        <v>2</v>
      </c>
      <c r="JA8" s="782">
        <f>'[1]0572W'!$S$38</f>
        <v>2</v>
      </c>
      <c r="JB8" s="1944" t="str">
        <f>'[1]0572W'!$F$44</f>
        <v>DZIB TUZ MANUEL JESUS</v>
      </c>
      <c r="JC8" s="1945" t="str">
        <f>'[1]0572W'!$O$44</f>
        <v>JESUS MARTIN RICALDE CASTRO</v>
      </c>
      <c r="JD8" s="779">
        <f t="shared" si="7"/>
        <v>96</v>
      </c>
      <c r="JE8" s="183">
        <f t="shared" si="8"/>
        <v>62</v>
      </c>
      <c r="JF8" s="183">
        <f t="shared" si="9"/>
        <v>53</v>
      </c>
      <c r="JG8" s="183">
        <f t="shared" si="10"/>
        <v>66</v>
      </c>
      <c r="JH8" s="183">
        <f t="shared" si="11"/>
        <v>68</v>
      </c>
      <c r="JI8" s="782">
        <f t="shared" si="30"/>
        <v>68</v>
      </c>
      <c r="JJ8" s="779">
        <f t="shared" si="12"/>
        <v>8</v>
      </c>
      <c r="JK8" s="183">
        <f t="shared" si="13"/>
        <v>3</v>
      </c>
      <c r="JL8" s="183">
        <f t="shared" si="14"/>
        <v>7</v>
      </c>
      <c r="JM8" s="183">
        <f t="shared" si="15"/>
        <v>3</v>
      </c>
      <c r="JN8" s="183">
        <f t="shared" si="16"/>
        <v>4</v>
      </c>
      <c r="JO8" s="183">
        <f t="shared" si="17"/>
        <v>2</v>
      </c>
      <c r="JP8" s="779">
        <f t="shared" si="18"/>
        <v>9</v>
      </c>
      <c r="JQ8" s="183">
        <f t="shared" si="19"/>
        <v>9</v>
      </c>
      <c r="JR8" s="183">
        <f t="shared" si="20"/>
        <v>6</v>
      </c>
      <c r="JS8" s="183">
        <f t="shared" si="21"/>
        <v>3</v>
      </c>
      <c r="JT8" s="183">
        <f t="shared" si="31"/>
        <v>3</v>
      </c>
      <c r="JU8" s="183">
        <f t="shared" si="22"/>
        <v>0</v>
      </c>
      <c r="JV8" s="779">
        <f t="shared" si="23"/>
        <v>95</v>
      </c>
      <c r="JW8" s="183">
        <f t="shared" si="24"/>
        <v>56</v>
      </c>
      <c r="JX8" s="183">
        <f t="shared" si="25"/>
        <v>54</v>
      </c>
      <c r="JY8" s="183">
        <f t="shared" si="26"/>
        <v>66</v>
      </c>
      <c r="JZ8" s="183">
        <f t="shared" si="27"/>
        <v>69</v>
      </c>
      <c r="KA8" s="782">
        <f t="shared" si="28"/>
        <v>70</v>
      </c>
      <c r="KB8" s="183">
        <f t="shared" si="29"/>
        <v>0</v>
      </c>
      <c r="KC8" s="183">
        <f t="shared" si="2"/>
        <v>0</v>
      </c>
      <c r="KD8" s="183">
        <f t="shared" si="3"/>
        <v>0</v>
      </c>
      <c r="KE8" s="183">
        <f t="shared" si="4"/>
        <v>0</v>
      </c>
      <c r="KF8" s="183">
        <f t="shared" si="5"/>
        <v>0</v>
      </c>
      <c r="KG8" s="782">
        <f t="shared" si="6"/>
        <v>0</v>
      </c>
      <c r="KH8" s="1358">
        <v>7</v>
      </c>
      <c r="KI8" s="1931" t="s">
        <v>1245</v>
      </c>
      <c r="KJ8" s="1931" t="s">
        <v>1245</v>
      </c>
      <c r="KK8" s="1931" t="s">
        <v>1245</v>
      </c>
      <c r="KL8" s="1931" t="s">
        <v>1245</v>
      </c>
      <c r="KM8" s="1931" t="s">
        <v>1245</v>
      </c>
      <c r="KN8" s="1931" t="s">
        <v>1245</v>
      </c>
      <c r="KO8" s="1931" t="s">
        <v>1245</v>
      </c>
      <c r="KP8" s="1931" t="s">
        <v>1245</v>
      </c>
      <c r="KQ8" s="1931" t="s">
        <v>1245</v>
      </c>
      <c r="KR8" s="1931"/>
      <c r="KS8" s="1931"/>
      <c r="KT8" s="1931"/>
      <c r="KU8" s="1931"/>
      <c r="KV8" s="1931"/>
      <c r="KW8" s="1931"/>
      <c r="KX8" s="1931"/>
      <c r="KY8" s="1931"/>
      <c r="KZ8" s="1931"/>
      <c r="LA8" s="1931"/>
      <c r="LB8" s="1932"/>
      <c r="LC8" s="2696">
        <v>7</v>
      </c>
      <c r="LD8" s="3744" t="str">
        <f>Plantillas!S$277</f>
        <v>PUGM590714MYN</v>
      </c>
      <c r="LE8" s="3744">
        <f>Plantillas!S$278</f>
        <v>0</v>
      </c>
      <c r="LF8" s="3744" t="str">
        <f>Plantillas!S$279</f>
        <v>SIFM830816M</v>
      </c>
      <c r="LG8" s="3744" t="str">
        <f>Plantillas!S$280</f>
        <v>FAMV650714H</v>
      </c>
      <c r="LH8" s="3744">
        <f>Plantillas!S$281</f>
        <v>0</v>
      </c>
      <c r="LI8" s="3744" t="str">
        <f>Plantillas!S$282</f>
        <v>COCJ661009H</v>
      </c>
      <c r="LJ8" s="3744" t="str">
        <f>Plantillas!S$283</f>
        <v>MIVJ831213H</v>
      </c>
      <c r="LK8" s="3744" t="str">
        <f>Plantillas!S$284</f>
        <v>AEQE680115H</v>
      </c>
      <c r="LL8" s="3744">
        <f>Plantillas!S$285</f>
        <v>0</v>
      </c>
      <c r="LM8" s="3744">
        <f>Plantillas!S$286</f>
        <v>0</v>
      </c>
      <c r="LN8" s="3744">
        <f>Plantillas!S$287</f>
        <v>0</v>
      </c>
      <c r="LO8" s="3744">
        <f>Plantillas!S$288</f>
        <v>0</v>
      </c>
      <c r="LP8" s="3744">
        <f>Plantillas!S$289</f>
        <v>0</v>
      </c>
      <c r="LQ8" s="3744">
        <f>Plantillas!S$290</f>
        <v>0</v>
      </c>
      <c r="LR8" s="3744">
        <f>Plantillas!S$291</f>
        <v>0</v>
      </c>
      <c r="LS8" s="3744">
        <f>Plantillas!S$292</f>
        <v>0</v>
      </c>
      <c r="LT8" s="3744">
        <f>Plantillas!S$293</f>
        <v>0</v>
      </c>
      <c r="LU8" s="3744">
        <f>Plantillas!S$294</f>
        <v>0</v>
      </c>
      <c r="LV8" s="3744">
        <f>Plantillas!S$295</f>
        <v>0</v>
      </c>
      <c r="LW8" s="3745">
        <f>Plantillas!S$296</f>
        <v>0</v>
      </c>
      <c r="LX8" s="18" t="s">
        <v>79</v>
      </c>
    </row>
    <row r="9" spans="1:336" s="2666" customFormat="1" ht="12" customHeight="1" thickBot="1">
      <c r="A9" s="2660"/>
      <c r="B9" s="3548">
        <v>2</v>
      </c>
      <c r="C9" s="3483"/>
      <c r="D9" s="3540" t="s">
        <v>491</v>
      </c>
      <c r="E9" s="3540" t="str">
        <f>'[2]Z.E. 042'!$X$1</f>
        <v>BENITO JUAREZ</v>
      </c>
      <c r="F9" s="3540"/>
      <c r="G9" s="3540"/>
      <c r="H9" s="3540" t="str">
        <f>'[2]Z.E. 042'!$U$4</f>
        <v>QUINTANA ROO</v>
      </c>
      <c r="I9" s="3540"/>
      <c r="J9" s="3540"/>
      <c r="K9" s="3540" t="str">
        <f>'[2]Z.E. 042'!$W$3</f>
        <v>042</v>
      </c>
      <c r="L9" s="3540"/>
      <c r="M9" s="3540" t="str">
        <f>VLOOKUP(T6,AX2:BF21,6,6)</f>
        <v>SM-48 C-OCOSINGO CON OCOTEPEC</v>
      </c>
      <c r="N9" s="3540"/>
      <c r="O9" s="3540"/>
      <c r="P9" s="3540"/>
      <c r="Q9" s="3541"/>
      <c r="R9" s="3540"/>
      <c r="S9" s="3540"/>
      <c r="T9" s="3540"/>
      <c r="U9" s="3540"/>
      <c r="V9" s="3540"/>
      <c r="W9" s="3540"/>
      <c r="X9" s="3540"/>
      <c r="Y9" s="3540"/>
      <c r="Z9" s="3541" t="str">
        <f>VLOOKUP(T6,AX2:BF21,7,7)</f>
        <v>9981 49 34 04</v>
      </c>
      <c r="AA9" s="3542"/>
      <c r="AB9" s="3540"/>
      <c r="AC9" s="3540"/>
      <c r="AD9" s="3868">
        <f>VLOOKUP(T6,AX2:BF21,9,9)</f>
        <v>350</v>
      </c>
      <c r="AE9" s="3869"/>
      <c r="AF9" s="3543"/>
      <c r="AG9" s="3543"/>
      <c r="AH9" s="3540"/>
      <c r="AI9" s="3540"/>
      <c r="AJ9" s="3541"/>
      <c r="AK9" s="3540"/>
      <c r="AL9" s="3540"/>
      <c r="AM9" s="3540"/>
      <c r="AN9" s="3540"/>
      <c r="AO9" s="3540"/>
      <c r="AP9" s="3544">
        <f>VLOOKUP(T6,AX23:DI42,63,63)</f>
        <v>2</v>
      </c>
      <c r="AQ9" s="3540"/>
      <c r="AR9" s="3540"/>
      <c r="AS9" s="3545" t="str">
        <f>MID(AT9,1,4)</f>
        <v>2012</v>
      </c>
      <c r="AT9" s="3546" t="s">
        <v>2709</v>
      </c>
      <c r="AU9" s="3542"/>
      <c r="AV9" s="3547"/>
      <c r="AW9" s="2784" t="s">
        <v>79</v>
      </c>
      <c r="AX9" s="1950">
        <v>8</v>
      </c>
      <c r="AY9" s="1951" t="str">
        <f>Plantillas!D$312</f>
        <v>KABAH</v>
      </c>
      <c r="AZ9" s="1951" t="str">
        <f>Plantillas!M$312</f>
        <v>23DPR0593I</v>
      </c>
      <c r="BA9" s="1951" t="str">
        <f>Plantillas!Q$312</f>
        <v>VESPERTINO</v>
      </c>
      <c r="BB9" s="2388">
        <f>Plantillas!Z$343</f>
        <v>2</v>
      </c>
      <c r="BC9" s="1952" t="str">
        <f>Plantillas!C$313</f>
        <v>SM-46   MZA-13   LTE.2   C-OCOSINGO CON OCOTEPEC</v>
      </c>
      <c r="BD9" s="1951" t="str">
        <f>Plantillas!P$313</f>
        <v>998 2-51-88-28</v>
      </c>
      <c r="BE9" s="1953" t="str">
        <f>Plantillas!E$347</f>
        <v>DZIB TUZ * MANUEL JESUS</v>
      </c>
      <c r="BF9" s="1952">
        <f>Plantillas!AA$343</f>
        <v>42</v>
      </c>
      <c r="BG9" s="1950">
        <v>8</v>
      </c>
      <c r="BH9" s="1951" t="str">
        <f>Plantillas!B$317</f>
        <v>DZIB TUZ * MANUEL JESUS</v>
      </c>
      <c r="BI9" s="1951" t="str">
        <f>Plantillas!B$318</f>
        <v>AVILA MATIAS * OLINKA</v>
      </c>
      <c r="BJ9" s="1951" t="str">
        <f>Plantillas!B$319</f>
        <v>DIAZ SANCHEZ * ANGEL</v>
      </c>
      <c r="BK9" s="1951" t="str">
        <f>Plantillas!B$320</f>
        <v>CERVERA TAPIA * NORMA</v>
      </c>
      <c r="BL9" s="1951">
        <f>Plantillas!B$321</f>
        <v>0</v>
      </c>
      <c r="BM9" s="1951">
        <f>Plantillas!B$322</f>
        <v>0</v>
      </c>
      <c r="BN9" s="1951">
        <f>Plantillas!B$323</f>
        <v>0</v>
      </c>
      <c r="BO9" s="1951">
        <f>Plantillas!B$324</f>
        <v>0</v>
      </c>
      <c r="BP9" s="1951">
        <f>Plantillas!B$325</f>
        <v>0</v>
      </c>
      <c r="BQ9" s="1954">
        <f>Plantillas!B$326</f>
        <v>0</v>
      </c>
      <c r="BR9" s="1954">
        <f>Plantillas!B$327</f>
        <v>0</v>
      </c>
      <c r="BS9" s="1954">
        <f>Plantillas!B$328</f>
        <v>0</v>
      </c>
      <c r="BT9" s="1954">
        <f>Plantillas!B$329</f>
        <v>0</v>
      </c>
      <c r="BU9" s="1954">
        <f>Plantillas!B$330</f>
        <v>0</v>
      </c>
      <c r="BV9" s="1954">
        <f>Plantillas!B$331</f>
        <v>0</v>
      </c>
      <c r="BW9" s="1954">
        <f>Plantillas!B$332</f>
        <v>0</v>
      </c>
      <c r="BX9" s="1954">
        <f>Plantillas!B$333</f>
        <v>0</v>
      </c>
      <c r="BY9" s="1954">
        <f>Plantillas!B$334</f>
        <v>0</v>
      </c>
      <c r="BZ9" s="1954">
        <f>Plantillas!B$335</f>
        <v>0</v>
      </c>
      <c r="CA9" s="1955">
        <f>Plantillas!B$336</f>
        <v>0</v>
      </c>
      <c r="CB9" s="1361">
        <v>8</v>
      </c>
      <c r="CC9" s="1954" t="str">
        <f>Plantillas!J$317</f>
        <v>DITM681226BF8</v>
      </c>
      <c r="CD9" s="1954" t="str">
        <f>Plantillas!J$318</f>
        <v>AIMO710423G33</v>
      </c>
      <c r="CE9" s="1954" t="str">
        <f>Plantillas!J$319</f>
        <v>DISA740828IJ8</v>
      </c>
      <c r="CF9" s="1954" t="str">
        <f>Plantillas!J$320</f>
        <v>CETN820117BXA</v>
      </c>
      <c r="CG9" s="1954">
        <f>Plantillas!J$321</f>
        <v>0</v>
      </c>
      <c r="CH9" s="1954">
        <f>Plantillas!J$322</f>
        <v>0</v>
      </c>
      <c r="CI9" s="1954">
        <f>Plantillas!J$323</f>
        <v>0</v>
      </c>
      <c r="CJ9" s="1954">
        <f>Plantillas!J$324</f>
        <v>0</v>
      </c>
      <c r="CK9" s="1954">
        <f>Plantillas!J$325</f>
        <v>0</v>
      </c>
      <c r="CL9" s="1954">
        <f>Plantillas!J$326</f>
        <v>0</v>
      </c>
      <c r="CM9" s="1954">
        <f>Plantillas!J$327</f>
        <v>0</v>
      </c>
      <c r="CN9" s="1954">
        <f>Plantillas!J$328</f>
        <v>0</v>
      </c>
      <c r="CO9" s="1954">
        <f>Plantillas!J$329</f>
        <v>0</v>
      </c>
      <c r="CP9" s="1954">
        <f>Plantillas!J$330</f>
        <v>0</v>
      </c>
      <c r="CQ9" s="1954">
        <f>Plantillas!J$331</f>
        <v>0</v>
      </c>
      <c r="CR9" s="1954">
        <f>Plantillas!J$332</f>
        <v>0</v>
      </c>
      <c r="CS9" s="1954">
        <f>Plantillas!J$333</f>
        <v>0</v>
      </c>
      <c r="CT9" s="1954">
        <f>Plantillas!J$334</f>
        <v>0</v>
      </c>
      <c r="CU9" s="1954">
        <f>Plantillas!J$335</f>
        <v>0</v>
      </c>
      <c r="CV9" s="1954">
        <f>Plantillas!J$336</f>
        <v>0</v>
      </c>
      <c r="CW9" s="1361">
        <v>8</v>
      </c>
      <c r="CX9" s="1954" t="str">
        <f>Plantillas!K$317</f>
        <v>E028100.0231227</v>
      </c>
      <c r="CY9" s="1954" t="str">
        <f>Plantillas!K$318</f>
        <v>E028100.0231112</v>
      </c>
      <c r="CZ9" s="1954" t="str">
        <f>Plantillas!K$319</f>
        <v>E076306.0090758</v>
      </c>
      <c r="DA9" s="1954" t="str">
        <f>Plantillas!K$320</f>
        <v>S0180700.0300010</v>
      </c>
      <c r="DB9" s="1954">
        <f>Plantillas!K$321</f>
        <v>0</v>
      </c>
      <c r="DC9" s="1954">
        <f>Plantillas!K$322</f>
        <v>0</v>
      </c>
      <c r="DD9" s="1954">
        <f>Plantillas!K$323</f>
        <v>0</v>
      </c>
      <c r="DE9" s="1954">
        <f>Plantillas!K$324</f>
        <v>0</v>
      </c>
      <c r="DF9" s="1954">
        <f>Plantillas!K$325</f>
        <v>0</v>
      </c>
      <c r="DG9" s="1954">
        <f>Plantillas!K$326</f>
        <v>0</v>
      </c>
      <c r="DH9" s="1954">
        <f>Plantillas!K$327</f>
        <v>0</v>
      </c>
      <c r="DI9" s="1954">
        <f>Plantillas!K$328</f>
        <v>0</v>
      </c>
      <c r="DJ9" s="1954">
        <f>Plantillas!K$329</f>
        <v>0</v>
      </c>
      <c r="DK9" s="1954">
        <f>Plantillas!K$330</f>
        <v>0</v>
      </c>
      <c r="DL9" s="1954">
        <f>Plantillas!K$331</f>
        <v>0</v>
      </c>
      <c r="DM9" s="1954">
        <f>Plantillas!K$332</f>
        <v>0</v>
      </c>
      <c r="DN9" s="1954">
        <f>Plantillas!K$333</f>
        <v>0</v>
      </c>
      <c r="DO9" s="1954">
        <f>Plantillas!K$334</f>
        <v>0</v>
      </c>
      <c r="DP9" s="1954">
        <f>Plantillas!K$335</f>
        <v>0</v>
      </c>
      <c r="DQ9" s="1954">
        <f>Plantillas!K$336</f>
        <v>0</v>
      </c>
      <c r="DR9" s="1361">
        <v>8</v>
      </c>
      <c r="DS9" s="1954" t="str">
        <f>Plantillas!L$317</f>
        <v>DOCENTE</v>
      </c>
      <c r="DT9" s="1954" t="str">
        <f>Plantillas!L$318</f>
        <v>DOCENTE</v>
      </c>
      <c r="DU9" s="1954" t="str">
        <f>Plantillas!L$319</f>
        <v>EDUC. FISICA</v>
      </c>
      <c r="DV9" s="1954" t="str">
        <f>Plantillas!L$320</f>
        <v>INTENDENTE</v>
      </c>
      <c r="DW9" s="1954">
        <f>Plantillas!L$321</f>
        <v>0</v>
      </c>
      <c r="DX9" s="1954">
        <f>Plantillas!L$322</f>
        <v>0</v>
      </c>
      <c r="DY9" s="1954">
        <f>Plantillas!L$323</f>
        <v>0</v>
      </c>
      <c r="DZ9" s="1954">
        <f>Plantillas!L$324</f>
        <v>0</v>
      </c>
      <c r="EA9" s="1954">
        <f>Plantillas!L$325</f>
        <v>0</v>
      </c>
      <c r="EB9" s="1954">
        <f>Plantillas!L$326</f>
        <v>0</v>
      </c>
      <c r="EC9" s="1954">
        <f>Plantillas!L$327</f>
        <v>0</v>
      </c>
      <c r="ED9" s="1954">
        <f>Plantillas!L$328</f>
        <v>0</v>
      </c>
      <c r="EE9" s="1954">
        <f>Plantillas!L$329</f>
        <v>0</v>
      </c>
      <c r="EF9" s="1954">
        <f>Plantillas!L$330</f>
        <v>0</v>
      </c>
      <c r="EG9" s="1954">
        <f>Plantillas!L$331</f>
        <v>0</v>
      </c>
      <c r="EH9" s="1954">
        <f>Plantillas!L$332</f>
        <v>0</v>
      </c>
      <c r="EI9" s="1954">
        <f>Plantillas!L$333</f>
        <v>0</v>
      </c>
      <c r="EJ9" s="1954">
        <f>Plantillas!L$334</f>
        <v>0</v>
      </c>
      <c r="EK9" s="1954">
        <f>Plantillas!L$335</f>
        <v>0</v>
      </c>
      <c r="EL9" s="1954">
        <f>Plantillas!L$336</f>
        <v>0</v>
      </c>
      <c r="EM9" s="1361">
        <v>8</v>
      </c>
      <c r="EN9" s="1956">
        <f>Plantillas!U$317</f>
        <v>10</v>
      </c>
      <c r="EO9" s="1956">
        <f>Plantillas!U$318</f>
        <v>10</v>
      </c>
      <c r="EP9" s="1956">
        <f>Plantillas!U$319</f>
        <v>10</v>
      </c>
      <c r="EQ9" s="1956">
        <f>Plantillas!U$320</f>
        <v>10</v>
      </c>
      <c r="ER9" s="1956">
        <f>Plantillas!U$321</f>
        <v>0</v>
      </c>
      <c r="ES9" s="1956">
        <f>Plantillas!U$322</f>
        <v>0</v>
      </c>
      <c r="ET9" s="1956">
        <f>Plantillas!U$323</f>
        <v>0</v>
      </c>
      <c r="EU9" s="1956">
        <f>Plantillas!U$324</f>
        <v>0</v>
      </c>
      <c r="EV9" s="1956">
        <f>Plantillas!U$325</f>
        <v>0</v>
      </c>
      <c r="EW9" s="1956">
        <f>Plantillas!U$326</f>
        <v>0</v>
      </c>
      <c r="EX9" s="1956">
        <f>Plantillas!U$327</f>
        <v>0</v>
      </c>
      <c r="EY9" s="1956">
        <f>Plantillas!U$328</f>
        <v>0</v>
      </c>
      <c r="EZ9" s="1956">
        <f>Plantillas!U$329</f>
        <v>0</v>
      </c>
      <c r="FA9" s="1956">
        <f>Plantillas!U$330</f>
        <v>0</v>
      </c>
      <c r="FB9" s="1956">
        <f>Plantillas!U$331</f>
        <v>0</v>
      </c>
      <c r="FC9" s="1956">
        <f>Plantillas!U$332</f>
        <v>0</v>
      </c>
      <c r="FD9" s="1956">
        <f>Plantillas!U$333</f>
        <v>0</v>
      </c>
      <c r="FE9" s="1956">
        <f>Plantillas!U$334</f>
        <v>0</v>
      </c>
      <c r="FF9" s="1956">
        <f>Plantillas!U$335</f>
        <v>0</v>
      </c>
      <c r="FG9" s="1957">
        <f>Plantillas!U$336</f>
        <v>0</v>
      </c>
      <c r="FH9" s="1361">
        <v>8</v>
      </c>
      <c r="FI9" s="1956">
        <f>Plantillas!T$317</f>
        <v>0</v>
      </c>
      <c r="FJ9" s="1956" t="str">
        <f>Plantillas!T$318</f>
        <v>7A</v>
      </c>
      <c r="FK9" s="1956">
        <f>Plantillas!T$319</f>
        <v>0</v>
      </c>
      <c r="FL9" s="1956">
        <f>Plantillas!T$320</f>
        <v>0</v>
      </c>
      <c r="FM9" s="1956">
        <f>Plantillas!T$321</f>
        <v>0</v>
      </c>
      <c r="FN9" s="1956">
        <f>Plantillas!T$322</f>
        <v>0</v>
      </c>
      <c r="FO9" s="1956">
        <f>Plantillas!T$323</f>
        <v>0</v>
      </c>
      <c r="FP9" s="1956">
        <f>Plantillas!T$324</f>
        <v>0</v>
      </c>
      <c r="FQ9" s="1956">
        <f>Plantillas!T$325</f>
        <v>0</v>
      </c>
      <c r="FR9" s="1956">
        <f>Plantillas!T$326</f>
        <v>0</v>
      </c>
      <c r="FS9" s="1956">
        <f>Plantillas!T$327</f>
        <v>0</v>
      </c>
      <c r="FT9" s="1956">
        <f>Plantillas!T$328</f>
        <v>0</v>
      </c>
      <c r="FU9" s="1956">
        <f>Plantillas!T$329</f>
        <v>0</v>
      </c>
      <c r="FV9" s="1956">
        <f>Plantillas!T$330</f>
        <v>0</v>
      </c>
      <c r="FW9" s="1956">
        <f>Plantillas!T$331</f>
        <v>0</v>
      </c>
      <c r="FX9" s="1956">
        <f>Plantillas!T$332</f>
        <v>0</v>
      </c>
      <c r="FY9" s="1956">
        <f>Plantillas!T$333</f>
        <v>0</v>
      </c>
      <c r="FZ9" s="1956">
        <f>Plantillas!T$334</f>
        <v>0</v>
      </c>
      <c r="GA9" s="1956">
        <f>Plantillas!T$335</f>
        <v>0</v>
      </c>
      <c r="GB9" s="1957">
        <f>Plantillas!T$336</f>
        <v>0</v>
      </c>
      <c r="GC9" s="1361">
        <v>8</v>
      </c>
      <c r="GD9" s="1353">
        <f>Plantillas!V$346</f>
        <v>0</v>
      </c>
      <c r="GE9" s="1353">
        <f>Plantillas!W$346</f>
        <v>0</v>
      </c>
      <c r="GF9" s="1353">
        <f>Plantillas!X$346</f>
        <v>0</v>
      </c>
      <c r="GG9" s="1353">
        <f>Plantillas!Y$346</f>
        <v>0</v>
      </c>
      <c r="GH9" s="1353">
        <f>Plantillas!Z$346</f>
        <v>19</v>
      </c>
      <c r="GI9" s="1353">
        <f>Plantillas!AA$346</f>
        <v>23</v>
      </c>
      <c r="GJ9" s="1353">
        <f t="shared" si="0"/>
        <v>42</v>
      </c>
      <c r="GK9" s="1354">
        <f>Plantillas!U$346</f>
        <v>0</v>
      </c>
      <c r="GL9" s="1361">
        <v>8</v>
      </c>
      <c r="GM9" s="2388" t="str">
        <f>Plantillas!H$317</f>
        <v>X</v>
      </c>
      <c r="GN9" s="2388">
        <f>Plantillas!H$318</f>
        <v>0</v>
      </c>
      <c r="GO9" s="2388" t="str">
        <f>Plantillas!H$319</f>
        <v>X</v>
      </c>
      <c r="GP9" s="2388">
        <f>Plantillas!H$320</f>
        <v>0</v>
      </c>
      <c r="GQ9" s="2388">
        <f>Plantillas!H$321</f>
        <v>0</v>
      </c>
      <c r="GR9" s="2388">
        <f>Plantillas!H$322</f>
        <v>0</v>
      </c>
      <c r="GS9" s="2388">
        <f>Plantillas!H$323</f>
        <v>0</v>
      </c>
      <c r="GT9" s="2388">
        <f>Plantillas!H$324</f>
        <v>0</v>
      </c>
      <c r="GU9" s="2388">
        <f>Plantillas!H$325</f>
        <v>0</v>
      </c>
      <c r="GV9" s="2388">
        <f>Plantillas!H$326</f>
        <v>0</v>
      </c>
      <c r="GW9" s="2388">
        <f>Plantillas!H$327</f>
        <v>0</v>
      </c>
      <c r="GX9" s="2388">
        <f>Plantillas!H$328</f>
        <v>0</v>
      </c>
      <c r="GY9" s="2388">
        <f>Plantillas!H$329</f>
        <v>0</v>
      </c>
      <c r="GZ9" s="2388">
        <f>Plantillas!H$330</f>
        <v>0</v>
      </c>
      <c r="HA9" s="2388">
        <f>Plantillas!H$331</f>
        <v>0</v>
      </c>
      <c r="HB9" s="2388">
        <f>Plantillas!H$332</f>
        <v>0</v>
      </c>
      <c r="HC9" s="2388">
        <f>Plantillas!H$333</f>
        <v>0</v>
      </c>
      <c r="HD9" s="2388">
        <f>Plantillas!H$334</f>
        <v>0</v>
      </c>
      <c r="HE9" s="2388">
        <f>Plantillas!H$335</f>
        <v>0</v>
      </c>
      <c r="HF9" s="2389">
        <f>Plantillas!H$336</f>
        <v>0</v>
      </c>
      <c r="HG9" s="1991">
        <v>7</v>
      </c>
      <c r="HH9" s="2661" t="str">
        <f>'[1]0581D'!$S$3</f>
        <v>gemelamarcar@hotmail.com</v>
      </c>
      <c r="HI9" s="2662" t="str">
        <f>'[1]0581D'!$C$6</f>
        <v>CUITLAHUAC</v>
      </c>
      <c r="HJ9" s="2663" t="str">
        <f>'[1]0581D'!$H$6</f>
        <v>23DPR0581D</v>
      </c>
      <c r="HK9" s="2663" t="str">
        <f>'[1]0581D'!$C$8</f>
        <v>REG. 510 MZ. 36 L. 1 Y 2</v>
      </c>
      <c r="HL9" s="2663" t="str">
        <f>'[1]0581D'!$I$8</f>
        <v>9987-34-95-64</v>
      </c>
      <c r="HM9" s="2663" t="str">
        <f>'[1]0581D'!$C$10</f>
        <v>CANCUN</v>
      </c>
      <c r="HN9" s="2663" t="str">
        <f>'[1]0581D'!$I$10</f>
        <v>BENITO JUAREZ</v>
      </c>
      <c r="HO9" s="1353" t="str">
        <f>'[1]0581D'!$E$13</f>
        <v>X</v>
      </c>
      <c r="HP9" s="1354">
        <f>'[1]0581D'!$I$13</f>
        <v>0</v>
      </c>
      <c r="HQ9" s="1361">
        <f>'[1]0581D'!$Q$6</f>
        <v>0</v>
      </c>
      <c r="HR9" s="1353" t="str">
        <f>'[1]0581D'!$U$6</f>
        <v>X</v>
      </c>
      <c r="HS9" s="1353" t="str">
        <f>'[1]0581D'!$Q$7</f>
        <v>X</v>
      </c>
      <c r="HT9" s="1353">
        <f>'[1]0581D'!$U$7</f>
        <v>0</v>
      </c>
      <c r="HU9" s="1353">
        <f>'[1]0581D'!$Q$8</f>
        <v>0</v>
      </c>
      <c r="HV9" s="1353" t="str">
        <f>'[1]0581D'!$U$8</f>
        <v>X</v>
      </c>
      <c r="HW9" s="1353">
        <f>'[1]0581D'!$X$8</f>
        <v>0</v>
      </c>
      <c r="HX9" s="1353">
        <f>'[1]0581D'!$Q$9</f>
        <v>0</v>
      </c>
      <c r="HY9" s="1353" t="str">
        <f>'[1]0581D'!$U$9</f>
        <v>X</v>
      </c>
      <c r="HZ9" s="1353" t="str">
        <f>'[1]0581D'!$Q$10</f>
        <v>X</v>
      </c>
      <c r="IA9" s="1353">
        <f>'[1]0581D'!$U$10</f>
        <v>0</v>
      </c>
      <c r="IB9" s="1353">
        <f>'[1]0581D'!$P$13</f>
        <v>0</v>
      </c>
      <c r="IC9" s="1353">
        <f>'[1]0581D'!$Q$13</f>
        <v>0</v>
      </c>
      <c r="ID9" s="1353">
        <f>'[1]0581D'!$R$13</f>
        <v>0</v>
      </c>
      <c r="IE9" s="1353">
        <f>'[1]0581D'!$S$13</f>
        <v>0</v>
      </c>
      <c r="IF9" s="1354">
        <f>'[1]0581D'!$U$13</f>
        <v>0</v>
      </c>
      <c r="IG9" s="1361">
        <f>'[1]0581D'!$F$17</f>
        <v>1</v>
      </c>
      <c r="IH9" s="1353">
        <f>'[1]0581D'!$F$18</f>
        <v>0</v>
      </c>
      <c r="II9" s="1353">
        <f>'[1]0581D'!$F$19</f>
        <v>0</v>
      </c>
      <c r="IJ9" s="1353">
        <f>'[1]0581D'!$F$20</f>
        <v>0</v>
      </c>
      <c r="IK9" s="1353">
        <f>'[1]0581D'!$H$21</f>
        <v>5</v>
      </c>
      <c r="IL9" s="1353">
        <f>'[1]0581D'!$H$22</f>
        <v>1</v>
      </c>
      <c r="IM9" s="1353">
        <f>'[1]0581D'!$H$23</f>
        <v>0</v>
      </c>
      <c r="IN9" s="1353">
        <f>'[1]0581D'!$H$24</f>
        <v>1</v>
      </c>
      <c r="IO9" s="1353">
        <f>'[1]0581D'!$H$25</f>
        <v>0</v>
      </c>
      <c r="IP9" s="1358">
        <f>'[1]0581D'!$K$26</f>
        <v>0</v>
      </c>
      <c r="IQ9" s="1354">
        <f>'[1]0581D'!$M$26</f>
        <v>0</v>
      </c>
      <c r="IR9" s="1353">
        <f>'[1]0581D'!$V$19</f>
        <v>0</v>
      </c>
      <c r="IS9" s="1353">
        <f>'[1]0581D'!$V$20</f>
        <v>3</v>
      </c>
      <c r="IT9" s="1353">
        <f>'[1]0581D'!$V$21</f>
        <v>0</v>
      </c>
      <c r="IU9" s="1354">
        <f>'[1]0581D'!$V$22</f>
        <v>0</v>
      </c>
      <c r="IV9" s="1361">
        <f>'[1]0581D'!$D$38</f>
        <v>0</v>
      </c>
      <c r="IW9" s="1353">
        <f>'[1]0581D'!$G$38</f>
        <v>0</v>
      </c>
      <c r="IX9" s="1353">
        <f>'[1]0581D'!$J$38</f>
        <v>1</v>
      </c>
      <c r="IY9" s="1353">
        <f>'[1]0581D'!$M$38</f>
        <v>1</v>
      </c>
      <c r="IZ9" s="1353">
        <f>'[1]0581D'!$P$38</f>
        <v>1</v>
      </c>
      <c r="JA9" s="1354">
        <f>'[1]0581D'!$S$38</f>
        <v>2</v>
      </c>
      <c r="JB9" s="2664" t="str">
        <f>'[1]0581D'!$F$44</f>
        <v>PUCH GOMEZ MADAI ROXANA</v>
      </c>
      <c r="JC9" s="2665" t="str">
        <f>'[1]0581D'!$O$44</f>
        <v>JESUS MARTIN RICALDE CASTRO</v>
      </c>
      <c r="JD9" s="1361">
        <f t="shared" si="7"/>
        <v>0</v>
      </c>
      <c r="JE9" s="1353">
        <f t="shared" si="8"/>
        <v>0</v>
      </c>
      <c r="JF9" s="1353">
        <f t="shared" si="9"/>
        <v>22</v>
      </c>
      <c r="JG9" s="1353">
        <f t="shared" si="10"/>
        <v>22</v>
      </c>
      <c r="JH9" s="1353">
        <f t="shared" si="11"/>
        <v>27</v>
      </c>
      <c r="JI9" s="1354">
        <f t="shared" si="30"/>
        <v>44</v>
      </c>
      <c r="JJ9" s="1361">
        <f t="shared" si="12"/>
        <v>0</v>
      </c>
      <c r="JK9" s="1353">
        <f t="shared" si="13"/>
        <v>0</v>
      </c>
      <c r="JL9" s="1353">
        <f t="shared" si="14"/>
        <v>2</v>
      </c>
      <c r="JM9" s="1353">
        <f t="shared" si="15"/>
        <v>1</v>
      </c>
      <c r="JN9" s="1353">
        <f t="shared" si="16"/>
        <v>1</v>
      </c>
      <c r="JO9" s="1353">
        <f t="shared" si="17"/>
        <v>1</v>
      </c>
      <c r="JP9" s="1361">
        <f t="shared" si="18"/>
        <v>0</v>
      </c>
      <c r="JQ9" s="1353">
        <f t="shared" si="19"/>
        <v>0</v>
      </c>
      <c r="JR9" s="1353">
        <f t="shared" si="20"/>
        <v>2</v>
      </c>
      <c r="JS9" s="1353">
        <f t="shared" si="21"/>
        <v>2</v>
      </c>
      <c r="JT9" s="1353">
        <f t="shared" si="31"/>
        <v>4</v>
      </c>
      <c r="JU9" s="1353">
        <f t="shared" si="22"/>
        <v>2</v>
      </c>
      <c r="JV9" s="1361">
        <f t="shared" si="23"/>
        <v>0</v>
      </c>
      <c r="JW9" s="1353">
        <f t="shared" si="24"/>
        <v>0</v>
      </c>
      <c r="JX9" s="1353">
        <f t="shared" si="25"/>
        <v>22</v>
      </c>
      <c r="JY9" s="1353">
        <f t="shared" si="26"/>
        <v>21</v>
      </c>
      <c r="JZ9" s="1353">
        <f t="shared" si="27"/>
        <v>24</v>
      </c>
      <c r="KA9" s="1354">
        <f t="shared" si="28"/>
        <v>43</v>
      </c>
      <c r="KB9" s="1353">
        <f t="shared" si="29"/>
        <v>0</v>
      </c>
      <c r="KC9" s="1353">
        <f t="shared" si="2"/>
        <v>0</v>
      </c>
      <c r="KD9" s="1353">
        <f t="shared" si="3"/>
        <v>0</v>
      </c>
      <c r="KE9" s="1353">
        <f t="shared" si="4"/>
        <v>0</v>
      </c>
      <c r="KF9" s="1353">
        <f t="shared" si="5"/>
        <v>0</v>
      </c>
      <c r="KG9" s="1354">
        <f t="shared" si="6"/>
        <v>0</v>
      </c>
      <c r="KH9" s="1361">
        <v>8</v>
      </c>
      <c r="KI9" s="1956" t="s">
        <v>1201</v>
      </c>
      <c r="KJ9" s="1956" t="s">
        <v>1201</v>
      </c>
      <c r="KK9" s="1956" t="s">
        <v>1201</v>
      </c>
      <c r="KL9" s="1956" t="s">
        <v>1201</v>
      </c>
      <c r="KM9" s="1956" t="s">
        <v>1201</v>
      </c>
      <c r="KN9" s="1956" t="s">
        <v>1201</v>
      </c>
      <c r="KO9" s="1956"/>
      <c r="KP9" s="1956"/>
      <c r="KQ9" s="1956"/>
      <c r="KR9" s="1956"/>
      <c r="KS9" s="1956"/>
      <c r="KT9" s="1956"/>
      <c r="KU9" s="1956"/>
      <c r="KV9" s="1956"/>
      <c r="KW9" s="1956"/>
      <c r="KX9" s="1956"/>
      <c r="KY9" s="1956"/>
      <c r="KZ9" s="1956"/>
      <c r="LA9" s="1956"/>
      <c r="LB9" s="1957"/>
      <c r="LC9" s="2662">
        <v>8</v>
      </c>
      <c r="LD9" s="3744" t="str">
        <f>Plantillas!S$317</f>
        <v>DITM681226HCC</v>
      </c>
      <c r="LE9" s="3744" t="str">
        <f>Plantillas!S$318</f>
        <v>AIMO710423M</v>
      </c>
      <c r="LF9" s="3744" t="str">
        <f>Plantillas!S$319</f>
        <v>DISA740828H</v>
      </c>
      <c r="LG9" s="3744" t="str">
        <f>Plantillas!S$320</f>
        <v>CETN820117M</v>
      </c>
      <c r="LH9" s="3744">
        <f>Plantillas!S$321</f>
        <v>0</v>
      </c>
      <c r="LI9" s="3744">
        <f>Plantillas!S$322</f>
        <v>0</v>
      </c>
      <c r="LJ9" s="3744">
        <f>Plantillas!S$323</f>
        <v>0</v>
      </c>
      <c r="LK9" s="3744">
        <f>Plantillas!S$324</f>
        <v>0</v>
      </c>
      <c r="LL9" s="3744">
        <f>Plantillas!S$325</f>
        <v>0</v>
      </c>
      <c r="LM9" s="3744">
        <f>Plantillas!S$326</f>
        <v>0</v>
      </c>
      <c r="LN9" s="3744">
        <f>Plantillas!S$327</f>
        <v>0</v>
      </c>
      <c r="LO9" s="3744">
        <f>Plantillas!S$328</f>
        <v>0</v>
      </c>
      <c r="LP9" s="3744">
        <f>Plantillas!S$329</f>
        <v>0</v>
      </c>
      <c r="LQ9" s="3744">
        <f>Plantillas!S$330</f>
        <v>0</v>
      </c>
      <c r="LR9" s="3744">
        <f>Plantillas!S$331</f>
        <v>0</v>
      </c>
      <c r="LS9" s="3744">
        <f>Plantillas!S$332</f>
        <v>0</v>
      </c>
      <c r="LT9" s="3744">
        <f>Plantillas!S$333</f>
        <v>0</v>
      </c>
      <c r="LU9" s="3744">
        <f>Plantillas!S$334</f>
        <v>0</v>
      </c>
      <c r="LV9" s="3744">
        <f>Plantillas!S$335</f>
        <v>0</v>
      </c>
      <c r="LW9" s="3745">
        <f>Plantillas!S$336</f>
        <v>0</v>
      </c>
      <c r="LX9" s="2666" t="s">
        <v>79</v>
      </c>
    </row>
    <row r="10" spans="1:336" s="18" customFormat="1" ht="14.25" customHeight="1" thickBot="1">
      <c r="A10" s="125"/>
      <c r="B10" s="3367">
        <v>11</v>
      </c>
      <c r="C10" s="3357"/>
      <c r="D10" s="3357"/>
      <c r="E10" s="3357"/>
      <c r="F10" s="3357"/>
      <c r="G10" s="3357"/>
      <c r="H10" s="3357"/>
      <c r="I10" s="3357"/>
      <c r="J10" s="3357"/>
      <c r="K10" s="3357"/>
      <c r="L10" s="3357"/>
      <c r="M10" s="3357"/>
      <c r="N10" s="3357"/>
      <c r="O10" s="3357"/>
      <c r="P10" s="3357"/>
      <c r="Q10" s="3357"/>
      <c r="R10" s="3357"/>
      <c r="S10" s="3357"/>
      <c r="T10" s="3357"/>
      <c r="U10" s="3332" t="s">
        <v>18</v>
      </c>
      <c r="V10" s="3357"/>
      <c r="W10" s="3357"/>
      <c r="X10" s="3357"/>
      <c r="Y10" s="3357"/>
      <c r="Z10" s="3357"/>
      <c r="AA10" s="3357"/>
      <c r="AB10" s="3357"/>
      <c r="AC10" s="3357"/>
      <c r="AD10" s="3357"/>
      <c r="AE10" s="3357"/>
      <c r="AF10" s="3357"/>
      <c r="AG10" s="3357"/>
      <c r="AH10" s="3357"/>
      <c r="AI10" s="3357"/>
      <c r="AJ10" s="3357"/>
      <c r="AK10" s="3357"/>
      <c r="AL10" s="3357"/>
      <c r="AM10" s="3357"/>
      <c r="AN10" s="3357"/>
      <c r="AO10" s="3357"/>
      <c r="AP10" s="3357"/>
      <c r="AQ10" s="3357"/>
      <c r="AR10" s="3357"/>
      <c r="AS10" s="3357"/>
      <c r="AT10" s="3357"/>
      <c r="AU10" s="3357"/>
      <c r="AV10" s="3358"/>
      <c r="AW10" s="2804" t="s">
        <v>79</v>
      </c>
      <c r="AX10" s="1925">
        <v>9</v>
      </c>
      <c r="AY10" s="1926" t="str">
        <f>Plantillas!D$352</f>
        <v>ANTONIO MEDIZ BOLIO</v>
      </c>
      <c r="AZ10" s="1926" t="str">
        <f>Plantillas!M$352</f>
        <v>23DPR0640C</v>
      </c>
      <c r="BA10" s="1926" t="str">
        <f>Plantillas!Q$352</f>
        <v>MATUTINO</v>
      </c>
      <c r="BB10" s="1933">
        <f>Plantillas!Z$383</f>
        <v>12</v>
      </c>
      <c r="BC10" s="1927" t="str">
        <f>Plantillas!C$353</f>
        <v>SM-502   MZA-2   LTE-1   COL-PEHALTUN</v>
      </c>
      <c r="BD10" s="1926" t="str">
        <f>Plantillas!P$353</f>
        <v>9981 98 41 36</v>
      </c>
      <c r="BE10" s="1928" t="str">
        <f>Plantillas!E$387</f>
        <v>ARJONA SANTOYO * MARCO ANTONIO</v>
      </c>
      <c r="BF10" s="1927">
        <f>Plantillas!AA$383</f>
        <v>340</v>
      </c>
      <c r="BG10" s="1925">
        <v>9</v>
      </c>
      <c r="BH10" s="1926" t="str">
        <f>Plantillas!B$357</f>
        <v>ARJONA SANTOYO * MARCO ANTONIO</v>
      </c>
      <c r="BI10" s="1926" t="str">
        <f>Plantillas!B$358</f>
        <v>COOX YAH * CARLOS ENRIQUE</v>
      </c>
      <c r="BJ10" s="1926" t="str">
        <f>Plantillas!B$359</f>
        <v>LOPEZ ALVAREZ * GUADALUPE AURORA</v>
      </c>
      <c r="BK10" s="1926" t="str">
        <f>Plantillas!B$360</f>
        <v>AVILEZ MEX * GABRIELA GEOVANA</v>
      </c>
      <c r="BL10" s="1926" t="str">
        <f>Plantillas!B$361</f>
        <v>TUN DOMINGUEZ * ANA ROSA</v>
      </c>
      <c r="BM10" s="1926" t="str">
        <f>Plantillas!B$362</f>
        <v>PECH PACHECO * DEYFILIA MARGOT</v>
      </c>
      <c r="BN10" s="1926" t="str">
        <f>Plantillas!B$363</f>
        <v>CHI NAAL * ELENA MARGARITA</v>
      </c>
      <c r="BO10" s="1926" t="str">
        <f>Plantillas!B$364</f>
        <v>AVILA MATIAS * OLINKA</v>
      </c>
      <c r="BP10" s="1926" t="str">
        <f>Plantillas!B$365</f>
        <v>GONZALEZ PEREZ * FILOMENA</v>
      </c>
      <c r="BQ10" s="1929" t="str">
        <f>Plantillas!B$366</f>
        <v>ALARCON ALARCON * MARTHA LILIANA</v>
      </c>
      <c r="BR10" s="1929" t="str">
        <f>Plantillas!B$367</f>
        <v>DELGADO CRUZ * ANTONIA CAROLINA</v>
      </c>
      <c r="BS10" s="1929" t="str">
        <f>Plantillas!B$368</f>
        <v>DZUL SANTIAGO * IVAN ARIEL</v>
      </c>
      <c r="BT10" s="1929" t="str">
        <f>Plantillas!B$369</f>
        <v>MAY CHUC * FELICIANO</v>
      </c>
      <c r="BU10" s="1929" t="str">
        <f>Plantillas!B$370</f>
        <v>ROSAS BENITEZ * JULIAN</v>
      </c>
      <c r="BV10" s="1929" t="str">
        <f>Plantillas!B$371</f>
        <v>LIZARRAGA CASTILLO * ALICIA LORAINE</v>
      </c>
      <c r="BW10" s="1929" t="str">
        <f>Plantillas!B$372</f>
        <v>CANUL MARTIN * LUIS FERNANDO</v>
      </c>
      <c r="BX10" s="1929">
        <f>Plantillas!B$373</f>
        <v>0</v>
      </c>
      <c r="BY10" s="1929">
        <f>Plantillas!B$374</f>
        <v>0</v>
      </c>
      <c r="BZ10" s="1929">
        <f>Plantillas!B$375</f>
        <v>0</v>
      </c>
      <c r="CA10" s="1930">
        <f>Plantillas!B$376</f>
        <v>0</v>
      </c>
      <c r="CB10" s="1358">
        <v>9</v>
      </c>
      <c r="CC10" s="1929" t="str">
        <f>Plantillas!J$357</f>
        <v>AOSM620706NT9</v>
      </c>
      <c r="CD10" s="1929" t="str">
        <f>Plantillas!J$358</f>
        <v>COYC680807F77</v>
      </c>
      <c r="CE10" s="1929" t="str">
        <f>Plantillas!J$359</f>
        <v>LOAG721104TC2</v>
      </c>
      <c r="CF10" s="1929" t="str">
        <f>Plantillas!J$360</f>
        <v>AIMG7901189TA</v>
      </c>
      <c r="CG10" s="1929" t="str">
        <f>Plantillas!J$361</f>
        <v>TUDA750409R53</v>
      </c>
      <c r="CH10" s="1929" t="str">
        <f>Plantillas!J$362</f>
        <v>PEPD630226CZ1</v>
      </c>
      <c r="CI10" s="1929" t="str">
        <f>Plantillas!J$363</f>
        <v>CINE8311084E0</v>
      </c>
      <c r="CJ10" s="1929" t="str">
        <f>Plantillas!J$364</f>
        <v>AIMO710423G33</v>
      </c>
      <c r="CK10" s="1929" t="str">
        <f>Plantillas!J$365</f>
        <v>GOPF700423PIA</v>
      </c>
      <c r="CL10" s="1929" t="str">
        <f>Plantillas!J$366</f>
        <v>AAAM781006UQ6</v>
      </c>
      <c r="CM10" s="1929" t="str">
        <f>Plantillas!J$367</f>
        <v>DECA640204CPA</v>
      </c>
      <c r="CN10" s="1929" t="str">
        <f>Plantillas!J$368</f>
        <v>DUSI7503023J5</v>
      </c>
      <c r="CO10" s="1929" t="str">
        <f>Plantillas!J$369</f>
        <v>MACF720609JF9</v>
      </c>
      <c r="CP10" s="1929" t="str">
        <f>Plantillas!J$370</f>
        <v>ROBJ660711BR4</v>
      </c>
      <c r="CQ10" s="1929" t="str">
        <f>Plantillas!J$371</f>
        <v>LICA750623890</v>
      </c>
      <c r="CR10" s="1929" t="str">
        <f>Plantillas!J$372</f>
        <v>CAML830107AT9</v>
      </c>
      <c r="CS10" s="1929">
        <f>Plantillas!J$373</f>
        <v>0</v>
      </c>
      <c r="CT10" s="1929">
        <f>Plantillas!J$374</f>
        <v>0</v>
      </c>
      <c r="CU10" s="1929">
        <f>Plantillas!J$375</f>
        <v>0</v>
      </c>
      <c r="CV10" s="1929">
        <f>Plantillas!J$376</f>
        <v>0</v>
      </c>
      <c r="CW10" s="1358">
        <v>9</v>
      </c>
      <c r="CX10" s="1929" t="str">
        <f>Plantillas!K$357</f>
        <v>E022100.0230213</v>
      </c>
      <c r="CY10" s="1929" t="str">
        <f>Plantillas!K$358</f>
        <v>E028100.0231915</v>
      </c>
      <c r="CZ10" s="1929" t="str">
        <f>Plantillas!K$359</f>
        <v>E028100.0233383</v>
      </c>
      <c r="DA10" s="1929" t="str">
        <f>Plantillas!K$360</f>
        <v>E028100.0030223</v>
      </c>
      <c r="DB10" s="1929" t="str">
        <f>Plantillas!K$361</f>
        <v>E028100.0117685</v>
      </c>
      <c r="DC10" s="1929" t="str">
        <f>Plantillas!K$362</f>
        <v>E028100.0040744</v>
      </c>
      <c r="DD10" s="1929" t="str">
        <f>Plantillas!K$363</f>
        <v>E028100.0060215</v>
      </c>
      <c r="DE10" s="1929" t="str">
        <f>Plantillas!K$364</f>
        <v>E028100.0230281</v>
      </c>
      <c r="DF10" s="1929" t="str">
        <f>Plantillas!K$365</f>
        <v>E028100.0232712</v>
      </c>
      <c r="DG10" s="1929" t="str">
        <f>Plantillas!K$366</f>
        <v>E028100.0232161</v>
      </c>
      <c r="DH10" s="1929" t="str">
        <f>Plantillas!K$367</f>
        <v>E028100.0000386</v>
      </c>
      <c r="DI10" s="1929" t="str">
        <f>Plantillas!K$368</f>
        <v>E028100.0231527</v>
      </c>
      <c r="DJ10" s="1929" t="str">
        <f>Plantillas!K$369</f>
        <v>E028100.0233014</v>
      </c>
      <c r="DK10" s="1929" t="str">
        <f>Plantillas!K$370</f>
        <v>E076302.0030714</v>
      </c>
      <c r="DL10" s="1929" t="str">
        <f>Plantillas!K$371</f>
        <v>E068700.0230292</v>
      </c>
      <c r="DM10" s="1929" t="str">
        <f>Plantillas!K$372</f>
        <v>S0180800.0070003</v>
      </c>
      <c r="DN10" s="1929">
        <f>Plantillas!K$373</f>
        <v>0</v>
      </c>
      <c r="DO10" s="1929">
        <f>Plantillas!K$374</f>
        <v>0</v>
      </c>
      <c r="DP10" s="1929">
        <f>Plantillas!K$375</f>
        <v>0</v>
      </c>
      <c r="DQ10" s="1929">
        <f>Plantillas!K$376</f>
        <v>0</v>
      </c>
      <c r="DR10" s="1358">
        <v>9</v>
      </c>
      <c r="DS10" s="1929" t="str">
        <f>Plantillas!L$357</f>
        <v>DIRECTOR</v>
      </c>
      <c r="DT10" s="1929" t="str">
        <f>Plantillas!L$358</f>
        <v>DOCENTE</v>
      </c>
      <c r="DU10" s="1929" t="str">
        <f>Plantillas!L$359</f>
        <v>DOCENTE</v>
      </c>
      <c r="DV10" s="1929" t="str">
        <f>Plantillas!L$360</f>
        <v>DOCENTE</v>
      </c>
      <c r="DW10" s="1929" t="str">
        <f>Plantillas!L$361</f>
        <v>DOCENTE</v>
      </c>
      <c r="DX10" s="1929" t="str">
        <f>Plantillas!L$362</f>
        <v>DOCENTE</v>
      </c>
      <c r="DY10" s="1929" t="str">
        <f>Plantillas!L$363</f>
        <v>DOCENTE</v>
      </c>
      <c r="DZ10" s="1929" t="str">
        <f>Plantillas!L$364</f>
        <v>DOCENTE</v>
      </c>
      <c r="EA10" s="1929" t="str">
        <f>Plantillas!L$365</f>
        <v>DOCENTE</v>
      </c>
      <c r="EB10" s="1929" t="str">
        <f>Plantillas!L$366</f>
        <v>DOCENTE</v>
      </c>
      <c r="EC10" s="1929" t="str">
        <f>Plantillas!L$367</f>
        <v>DOCENTE</v>
      </c>
      <c r="ED10" s="1929" t="str">
        <f>Plantillas!L$368</f>
        <v>DOCENTE</v>
      </c>
      <c r="EE10" s="1929" t="str">
        <f>Plantillas!L$369</f>
        <v>DOCENTE</v>
      </c>
      <c r="EF10" s="1929" t="str">
        <f>Plantillas!L$370</f>
        <v>USAER</v>
      </c>
      <c r="EG10" s="1929" t="str">
        <f>Plantillas!L$371</f>
        <v>EDUC. FISICA</v>
      </c>
      <c r="EH10" s="1929" t="str">
        <f>Plantillas!L$372</f>
        <v>INTENDENTE</v>
      </c>
      <c r="EI10" s="1929">
        <f>Plantillas!L$373</f>
        <v>0</v>
      </c>
      <c r="EJ10" s="1929">
        <f>Plantillas!L$374</f>
        <v>0</v>
      </c>
      <c r="EK10" s="1929">
        <f>Plantillas!L$375</f>
        <v>0</v>
      </c>
      <c r="EL10" s="1929">
        <f>Plantillas!L$376</f>
        <v>0</v>
      </c>
      <c r="EM10" s="1358">
        <v>9</v>
      </c>
      <c r="EN10" s="1931">
        <f>Plantillas!U$357</f>
        <v>10</v>
      </c>
      <c r="EO10" s="1931">
        <f>Plantillas!U$358</f>
        <v>10</v>
      </c>
      <c r="EP10" s="1931">
        <f>Plantillas!U$359</f>
        <v>10</v>
      </c>
      <c r="EQ10" s="1931">
        <f>Plantillas!U$360</f>
        <v>10</v>
      </c>
      <c r="ER10" s="1931">
        <f>Plantillas!U$361</f>
        <v>10</v>
      </c>
      <c r="ES10" s="1931">
        <f>Plantillas!U$362</f>
        <v>10</v>
      </c>
      <c r="ET10" s="1931">
        <f>Plantillas!U$363</f>
        <v>10</v>
      </c>
      <c r="EU10" s="1931">
        <f>Plantillas!U$364</f>
        <v>10</v>
      </c>
      <c r="EV10" s="1931">
        <f>Plantillas!U$365</f>
        <v>10</v>
      </c>
      <c r="EW10" s="1931">
        <f>Plantillas!U$366</f>
        <v>10</v>
      </c>
      <c r="EX10" s="1931">
        <f>Plantillas!U$367</f>
        <v>10</v>
      </c>
      <c r="EY10" s="1931">
        <f>Plantillas!U$368</f>
        <v>10</v>
      </c>
      <c r="EZ10" s="1931">
        <f>Plantillas!U$369</f>
        <v>10</v>
      </c>
      <c r="FA10" s="1931">
        <f>Plantillas!U$370</f>
        <v>10</v>
      </c>
      <c r="FB10" s="1931">
        <f>Plantillas!U$371</f>
        <v>10</v>
      </c>
      <c r="FC10" s="1931">
        <f>Plantillas!U$372</f>
        <v>10</v>
      </c>
      <c r="FD10" s="1931">
        <f>Plantillas!U$373</f>
        <v>0</v>
      </c>
      <c r="FE10" s="1931">
        <f>Plantillas!U$374</f>
        <v>0</v>
      </c>
      <c r="FF10" s="1931">
        <f>Plantillas!U$375</f>
        <v>0</v>
      </c>
      <c r="FG10" s="1932">
        <f>Plantillas!U$376</f>
        <v>0</v>
      </c>
      <c r="FH10" s="1358">
        <v>9</v>
      </c>
      <c r="FI10" s="1931" t="str">
        <f>Plantillas!T$357</f>
        <v>7B</v>
      </c>
      <c r="FJ10" s="1931">
        <f>Plantillas!T$358</f>
        <v>0</v>
      </c>
      <c r="FK10" s="1931" t="str">
        <f>Plantillas!T$359</f>
        <v>7A</v>
      </c>
      <c r="FL10" s="1931">
        <f>Plantillas!T$360</f>
        <v>0</v>
      </c>
      <c r="FM10" s="1931" t="str">
        <f>Plantillas!T$361</f>
        <v>7A</v>
      </c>
      <c r="FN10" s="1931">
        <f>Plantillas!T$362</f>
        <v>0</v>
      </c>
      <c r="FO10" s="1931" t="str">
        <f>Plantillas!T$363</f>
        <v>7A</v>
      </c>
      <c r="FP10" s="1931" t="str">
        <f>Plantillas!T$364</f>
        <v>7A</v>
      </c>
      <c r="FQ10" s="1931" t="str">
        <f>Plantillas!T$365</f>
        <v>7A</v>
      </c>
      <c r="FR10" s="1931">
        <f>Plantillas!T$366</f>
        <v>0</v>
      </c>
      <c r="FS10" s="1931" t="str">
        <f>Plantillas!T$367</f>
        <v>7A</v>
      </c>
      <c r="FT10" s="1931">
        <f>Plantillas!T$368</f>
        <v>0</v>
      </c>
      <c r="FU10" s="1931" t="str">
        <f>Plantillas!T$369</f>
        <v>7A</v>
      </c>
      <c r="FV10" s="1931" t="str">
        <f>Plantillas!T$370</f>
        <v>7A</v>
      </c>
      <c r="FW10" s="1931">
        <f>Plantillas!T$371</f>
        <v>0</v>
      </c>
      <c r="FX10" s="1931">
        <f>Plantillas!T$372</f>
        <v>0</v>
      </c>
      <c r="FY10" s="1931">
        <f>Plantillas!T$373</f>
        <v>0</v>
      </c>
      <c r="FZ10" s="1931">
        <f>Plantillas!T$374</f>
        <v>0</v>
      </c>
      <c r="GA10" s="1931">
        <f>Plantillas!T$375</f>
        <v>0</v>
      </c>
      <c r="GB10" s="1932">
        <f>Plantillas!T$376</f>
        <v>0</v>
      </c>
      <c r="GC10" s="1358">
        <v>9</v>
      </c>
      <c r="GD10" s="1359">
        <f>Plantillas!V$386</f>
        <v>51</v>
      </c>
      <c r="GE10" s="1359">
        <f>Plantillas!W$386</f>
        <v>53</v>
      </c>
      <c r="GF10" s="1359">
        <f>Plantillas!X$386</f>
        <v>47</v>
      </c>
      <c r="GG10" s="1359">
        <f>Plantillas!Y$386</f>
        <v>64</v>
      </c>
      <c r="GH10" s="1359">
        <f>Plantillas!Z$386</f>
        <v>64</v>
      </c>
      <c r="GI10" s="1359">
        <f>Plantillas!AA$386</f>
        <v>66</v>
      </c>
      <c r="GJ10" s="1359">
        <f t="shared" si="0"/>
        <v>345</v>
      </c>
      <c r="GK10" s="1360">
        <f>Plantillas!U$386</f>
        <v>42</v>
      </c>
      <c r="GL10" s="1358">
        <v>9</v>
      </c>
      <c r="GM10" s="1933" t="str">
        <f>Plantillas!H$357</f>
        <v>X</v>
      </c>
      <c r="GN10" s="1933" t="str">
        <f>Plantillas!H$358</f>
        <v>X</v>
      </c>
      <c r="GO10" s="1933">
        <f>Plantillas!H$359</f>
        <v>0</v>
      </c>
      <c r="GP10" s="1933">
        <f>Plantillas!H$360</f>
        <v>0</v>
      </c>
      <c r="GQ10" s="1933">
        <f>Plantillas!H$361</f>
        <v>0</v>
      </c>
      <c r="GR10" s="1933">
        <f>Plantillas!H$362</f>
        <v>0</v>
      </c>
      <c r="GS10" s="1933">
        <f>Plantillas!H$363</f>
        <v>0</v>
      </c>
      <c r="GT10" s="1933">
        <f>Plantillas!H$364</f>
        <v>0</v>
      </c>
      <c r="GU10" s="1933">
        <f>Plantillas!H$365</f>
        <v>0</v>
      </c>
      <c r="GV10" s="1933">
        <f>Plantillas!H$366</f>
        <v>0</v>
      </c>
      <c r="GW10" s="1933">
        <f>Plantillas!H$367</f>
        <v>0</v>
      </c>
      <c r="GX10" s="1933" t="str">
        <f>Plantillas!H$368</f>
        <v>X</v>
      </c>
      <c r="GY10" s="1933" t="str">
        <f>Plantillas!H$369</f>
        <v>X</v>
      </c>
      <c r="GZ10" s="1933" t="str">
        <f>Plantillas!H$370</f>
        <v>X</v>
      </c>
      <c r="HA10" s="1933">
        <f>Plantillas!H$371</f>
        <v>0</v>
      </c>
      <c r="HB10" s="1933" t="str">
        <f>Plantillas!H$372</f>
        <v>X</v>
      </c>
      <c r="HC10" s="1933">
        <f>Plantillas!H$373</f>
        <v>0</v>
      </c>
      <c r="HD10" s="1933">
        <f>Plantillas!H$374</f>
        <v>0</v>
      </c>
      <c r="HE10" s="1933">
        <f>Plantillas!H$375</f>
        <v>0</v>
      </c>
      <c r="HF10" s="1934">
        <f>Plantillas!H$376</f>
        <v>0</v>
      </c>
      <c r="HG10" s="778">
        <v>8</v>
      </c>
      <c r="HH10" s="1942" t="str">
        <f>'[1]0593I'!$S$3</f>
        <v>manueljesu_95@hotmail.com</v>
      </c>
      <c r="HI10" s="1943" t="str">
        <f>'[1]0593I'!$C$6</f>
        <v>KABAH</v>
      </c>
      <c r="HJ10" s="771" t="str">
        <f>'[1]0593I'!$H$6</f>
        <v>23DPR0593I</v>
      </c>
      <c r="HK10" s="771" t="str">
        <f>'[1]0593I'!$C$8</f>
        <v>SMZ. 48 MZA. 13 L. 2 C. OCOSINGO</v>
      </c>
      <c r="HL10" s="771" t="str">
        <f>'[1]0593I'!$I$8</f>
        <v>998 2-51-88-28</v>
      </c>
      <c r="HM10" s="771" t="str">
        <f>'[1]0593I'!$C$10</f>
        <v>CANCUN</v>
      </c>
      <c r="HN10" s="771" t="str">
        <f>'[1]0593I'!$I$10</f>
        <v>BENITO JUAREZ</v>
      </c>
      <c r="HO10" s="183" t="str">
        <f>'[1]0593I'!$E$13</f>
        <v>X</v>
      </c>
      <c r="HP10" s="782">
        <f>'[1]0593I'!$I$13</f>
        <v>0</v>
      </c>
      <c r="HQ10" s="779">
        <f>'[1]0593I'!$Q$6</f>
        <v>0</v>
      </c>
      <c r="HR10" s="183" t="str">
        <f>'[1]0593I'!$U$6</f>
        <v>X</v>
      </c>
      <c r="HS10" s="183" t="str">
        <f>'[1]0593I'!$Q$7</f>
        <v>X</v>
      </c>
      <c r="HT10" s="183">
        <f>'[1]0593I'!$U$7</f>
        <v>0</v>
      </c>
      <c r="HU10" s="183">
        <f>'[1]0593I'!$Q$8</f>
        <v>0</v>
      </c>
      <c r="HV10" s="183" t="str">
        <f>'[1]0593I'!$U$8</f>
        <v>X</v>
      </c>
      <c r="HW10" s="183">
        <f>'[1]0593I'!$X$8</f>
        <v>0</v>
      </c>
      <c r="HX10" s="183">
        <f>'[1]0593I'!$Q$9</f>
        <v>0</v>
      </c>
      <c r="HY10" s="183" t="str">
        <f>'[1]0593I'!$U$9</f>
        <v>X</v>
      </c>
      <c r="HZ10" s="183">
        <f>'[1]0593I'!$Q$10</f>
        <v>0</v>
      </c>
      <c r="IA10" s="183" t="str">
        <f>'[1]0593I'!$U$10</f>
        <v>X</v>
      </c>
      <c r="IB10" s="183">
        <f>'[1]0593I'!$P$13</f>
        <v>0</v>
      </c>
      <c r="IC10" s="183">
        <f>'[1]0593I'!$Q$13</f>
        <v>0</v>
      </c>
      <c r="ID10" s="183">
        <f>'[1]0593I'!$R$13</f>
        <v>0</v>
      </c>
      <c r="IE10" s="183">
        <f>'[1]0593I'!$S$13</f>
        <v>0</v>
      </c>
      <c r="IF10" s="782">
        <f>'[1]0593I'!$U$13</f>
        <v>0</v>
      </c>
      <c r="IG10" s="779">
        <f>'[1]0593I'!$F$17</f>
        <v>0</v>
      </c>
      <c r="IH10" s="183">
        <f>'[1]0593I'!$F$18</f>
        <v>0</v>
      </c>
      <c r="II10" s="183">
        <f>'[1]0593I'!$F$19</f>
        <v>1</v>
      </c>
      <c r="IJ10" s="183">
        <f>'[1]0593I'!$F$20</f>
        <v>0</v>
      </c>
      <c r="IK10" s="183">
        <f>'[1]0593I'!$H$21</f>
        <v>1</v>
      </c>
      <c r="IL10" s="183">
        <f>'[1]0593I'!$H$22</f>
        <v>1</v>
      </c>
      <c r="IM10" s="183">
        <f>'[1]0593I'!$H$23</f>
        <v>0</v>
      </c>
      <c r="IN10" s="183">
        <f>'[1]0593I'!$H$24</f>
        <v>1</v>
      </c>
      <c r="IO10" s="183">
        <f>'[1]0593I'!$H$25</f>
        <v>0</v>
      </c>
      <c r="IP10" s="1358">
        <f>'[1]0593I'!$K$26</f>
        <v>0</v>
      </c>
      <c r="IQ10" s="1354">
        <f>'[1]0593I'!$M$26</f>
        <v>0</v>
      </c>
      <c r="IR10" s="183">
        <f>'[1]0593I'!$V$19</f>
        <v>0</v>
      </c>
      <c r="IS10" s="183">
        <f>'[1]0593I'!$V$20</f>
        <v>2</v>
      </c>
      <c r="IT10" s="183">
        <f>'[1]0593I'!$V$21</f>
        <v>0</v>
      </c>
      <c r="IU10" s="782">
        <f>'[1]0593I'!$V$22</f>
        <v>0</v>
      </c>
      <c r="IV10" s="1361">
        <f>'[1]0593I'!$D$38</f>
        <v>0</v>
      </c>
      <c r="IW10" s="1353">
        <f>'[1]0593I'!$G$38</f>
        <v>0</v>
      </c>
      <c r="IX10" s="1353">
        <f>'[1]0593I'!$J$38</f>
        <v>0</v>
      </c>
      <c r="IY10" s="1353">
        <f>'[1]0593I'!$M$38</f>
        <v>0</v>
      </c>
      <c r="IZ10" s="1353">
        <f>'[1]0593I'!$P$38</f>
        <v>1</v>
      </c>
      <c r="JA10" s="1354">
        <f>'[1]0593I'!$S$38</f>
        <v>1</v>
      </c>
      <c r="JB10" s="2664" t="str">
        <f>'[1]0593I'!$F$44</f>
        <v>MANUEL JESUS DZIB TUZ</v>
      </c>
      <c r="JC10" s="2665" t="str">
        <f>'[1]0593I'!$O$44</f>
        <v>JESUS MARTIN RICALDE CASTRO</v>
      </c>
      <c r="JD10" s="1361">
        <f t="shared" si="7"/>
        <v>0</v>
      </c>
      <c r="JE10" s="1353">
        <f t="shared" si="8"/>
        <v>0</v>
      </c>
      <c r="JF10" s="1353">
        <f t="shared" si="9"/>
        <v>0</v>
      </c>
      <c r="JG10" s="1353">
        <f t="shared" si="10"/>
        <v>0</v>
      </c>
      <c r="JH10" s="1353">
        <f t="shared" si="11"/>
        <v>20</v>
      </c>
      <c r="JI10" s="1354">
        <f t="shared" si="30"/>
        <v>28</v>
      </c>
      <c r="JJ10" s="779">
        <f t="shared" si="12"/>
        <v>0</v>
      </c>
      <c r="JK10" s="183">
        <f t="shared" si="13"/>
        <v>0</v>
      </c>
      <c r="JL10" s="183">
        <f t="shared" si="14"/>
        <v>0</v>
      </c>
      <c r="JM10" s="183">
        <f t="shared" si="15"/>
        <v>0</v>
      </c>
      <c r="JN10" s="183">
        <f t="shared" si="16"/>
        <v>1</v>
      </c>
      <c r="JO10" s="183">
        <f t="shared" si="17"/>
        <v>1</v>
      </c>
      <c r="JP10" s="779">
        <f t="shared" si="18"/>
        <v>0</v>
      </c>
      <c r="JQ10" s="183">
        <f t="shared" si="19"/>
        <v>0</v>
      </c>
      <c r="JR10" s="183">
        <f t="shared" si="20"/>
        <v>0</v>
      </c>
      <c r="JS10" s="183">
        <f t="shared" si="21"/>
        <v>0</v>
      </c>
      <c r="JT10" s="183">
        <f t="shared" si="31"/>
        <v>2</v>
      </c>
      <c r="JU10" s="183">
        <f t="shared" si="22"/>
        <v>6</v>
      </c>
      <c r="JV10" s="779">
        <f t="shared" si="23"/>
        <v>0</v>
      </c>
      <c r="JW10" s="183">
        <f t="shared" si="24"/>
        <v>0</v>
      </c>
      <c r="JX10" s="183">
        <f t="shared" si="25"/>
        <v>0</v>
      </c>
      <c r="JY10" s="183">
        <f t="shared" si="26"/>
        <v>0</v>
      </c>
      <c r="JZ10" s="183">
        <f t="shared" si="27"/>
        <v>19</v>
      </c>
      <c r="KA10" s="782">
        <f t="shared" si="28"/>
        <v>23</v>
      </c>
      <c r="KB10" s="183">
        <f t="shared" si="29"/>
        <v>0</v>
      </c>
      <c r="KC10" s="183">
        <f t="shared" si="2"/>
        <v>0</v>
      </c>
      <c r="KD10" s="183">
        <f t="shared" si="3"/>
        <v>0</v>
      </c>
      <c r="KE10" s="183">
        <f t="shared" si="4"/>
        <v>0</v>
      </c>
      <c r="KF10" s="183">
        <f t="shared" si="5"/>
        <v>0</v>
      </c>
      <c r="KG10" s="782">
        <f t="shared" si="6"/>
        <v>0</v>
      </c>
      <c r="KH10" s="1358">
        <v>9</v>
      </c>
      <c r="KI10" s="1931" t="s">
        <v>1271</v>
      </c>
      <c r="KJ10" s="1931" t="s">
        <v>1271</v>
      </c>
      <c r="KK10" s="1931" t="s">
        <v>1271</v>
      </c>
      <c r="KL10" s="1931" t="s">
        <v>1271</v>
      </c>
      <c r="KM10" s="1931" t="s">
        <v>1271</v>
      </c>
      <c r="KN10" s="1931" t="s">
        <v>1271</v>
      </c>
      <c r="KO10" s="1931" t="s">
        <v>1271</v>
      </c>
      <c r="KP10" s="1931" t="s">
        <v>1271</v>
      </c>
      <c r="KQ10" s="1931" t="s">
        <v>1271</v>
      </c>
      <c r="KR10" s="1931" t="s">
        <v>1271</v>
      </c>
      <c r="KS10" s="1931" t="s">
        <v>1271</v>
      </c>
      <c r="KT10" s="1931" t="s">
        <v>1271</v>
      </c>
      <c r="KU10" s="1931" t="s">
        <v>1271</v>
      </c>
      <c r="KV10" s="1931" t="s">
        <v>1271</v>
      </c>
      <c r="KW10" s="1931" t="s">
        <v>1271</v>
      </c>
      <c r="KX10" s="1931" t="s">
        <v>1271</v>
      </c>
      <c r="KY10" s="1931"/>
      <c r="KZ10" s="1931"/>
      <c r="LA10" s="1931"/>
      <c r="LB10" s="1932"/>
      <c r="LC10" s="2696">
        <v>9</v>
      </c>
      <c r="LD10" s="3744" t="str">
        <f>Plantillas!S$357</f>
        <v>AOSM620706HYN</v>
      </c>
      <c r="LE10" s="3744" t="str">
        <f>Plantillas!S$358</f>
        <v>COYC680807HCC</v>
      </c>
      <c r="LF10" s="3744" t="str">
        <f>Plantillas!S$359</f>
        <v>LOAG721104MYN</v>
      </c>
      <c r="LG10" s="3744" t="str">
        <f>Plantillas!S$360</f>
        <v>AIMG790118MQR</v>
      </c>
      <c r="LH10" s="3744" t="str">
        <f>Plantillas!S$361</f>
        <v>TUDA750409MCC</v>
      </c>
      <c r="LI10" s="3744" t="str">
        <f>Plantillas!S$362</f>
        <v>PEPD630226MYN</v>
      </c>
      <c r="LJ10" s="3744" t="str">
        <f>Plantillas!S$363</f>
        <v>CINE831108M</v>
      </c>
      <c r="LK10" s="3744" t="str">
        <f>Plantillas!S$364</f>
        <v>AIMO710423MQR</v>
      </c>
      <c r="LL10" s="3744" t="str">
        <f>Plantillas!S$365</f>
        <v>GOPF700423MCC</v>
      </c>
      <c r="LM10" s="3744" t="str">
        <f>Plantillas!S$366</f>
        <v>AAAM781006M</v>
      </c>
      <c r="LN10" s="3744" t="str">
        <f>Plantillas!S$367</f>
        <v>DECA640204M</v>
      </c>
      <c r="LO10" s="3744" t="str">
        <f>Plantillas!S$368</f>
        <v>DUSI750302H</v>
      </c>
      <c r="LP10" s="3744" t="str">
        <f>Plantillas!S$369</f>
        <v>MACF720609HQR</v>
      </c>
      <c r="LQ10" s="3744" t="str">
        <f>Plantillas!S$370</f>
        <v>ROBJ660711HYN</v>
      </c>
      <c r="LR10" s="3744" t="str">
        <f>Plantillas!S$371</f>
        <v>LICA750623MQR</v>
      </c>
      <c r="LS10" s="3744" t="str">
        <f>Plantillas!S$372</f>
        <v>CAML830107HYN</v>
      </c>
      <c r="LT10" s="3744">
        <f>Plantillas!S$373</f>
        <v>0</v>
      </c>
      <c r="LU10" s="3744">
        <f>Plantillas!S$374</f>
        <v>0</v>
      </c>
      <c r="LV10" s="3744">
        <f>Plantillas!S$375</f>
        <v>0</v>
      </c>
      <c r="LW10" s="3745">
        <f>Plantillas!GS$376</f>
        <v>0</v>
      </c>
      <c r="LX10" s="18" t="s">
        <v>79</v>
      </c>
    </row>
    <row r="11" spans="1:336" s="19" customFormat="1" ht="14.25" customHeight="1">
      <c r="A11" s="126"/>
      <c r="B11" s="3835" t="s">
        <v>3</v>
      </c>
      <c r="C11" s="3838" t="s">
        <v>4</v>
      </c>
      <c r="D11" s="3858" t="s">
        <v>5</v>
      </c>
      <c r="E11" s="3859"/>
      <c r="F11" s="3859"/>
      <c r="G11" s="3859"/>
      <c r="H11" s="3859"/>
      <c r="I11" s="3860"/>
      <c r="J11" s="3808" t="str">
        <f>VLOOKUP(B10,I43:AK60,2,2)</f>
        <v>DIAGNOSTICO</v>
      </c>
      <c r="K11" s="3809"/>
      <c r="L11" s="3808" t="str">
        <f>VLOOKUP(B10,I43:AK60,4,4)</f>
        <v>I BIMESTRE</v>
      </c>
      <c r="M11" s="3809"/>
      <c r="N11" s="3808" t="str">
        <f>VLOOKUP(B10,I43:AK60,6,6)</f>
        <v>II BIMESTRE</v>
      </c>
      <c r="O11" s="3809"/>
      <c r="P11" s="3808" t="str">
        <f>VLOOKUP(B10,I43:AK60,8,8)</f>
        <v>III BIMESTRE</v>
      </c>
      <c r="Q11" s="3809"/>
      <c r="R11" s="3808" t="str">
        <f>VLOOKUP(B10,I43:AK60,10,10)</f>
        <v>IV BIMESTRE</v>
      </c>
      <c r="S11" s="3809"/>
      <c r="T11" s="3808" t="str">
        <f>VLOOKUP(B10,I43:AK60,12,12)</f>
        <v>V BIMESTRE</v>
      </c>
      <c r="U11" s="3809"/>
      <c r="V11" s="3808" t="str">
        <f>VLOOKUP(B10,I43:AK60,14,14)</f>
        <v>PROMEDIO ANUAL</v>
      </c>
      <c r="W11" s="3809"/>
      <c r="X11" s="3808">
        <f>VLOOKUP(B10,I43:AK60,16,16)</f>
        <v>0</v>
      </c>
      <c r="Y11" s="3809"/>
      <c r="Z11" s="3808">
        <f>VLOOKUP(B10,I43:AK60,18,18)</f>
        <v>0</v>
      </c>
      <c r="AA11" s="3809"/>
      <c r="AB11" s="3808">
        <f>VLOOKUP(B10,I43:AK60,20,20)</f>
        <v>0</v>
      </c>
      <c r="AC11" s="3809"/>
      <c r="AD11" s="3808">
        <f>VLOOKUP(B10,I43:AK60,22,22)</f>
        <v>0</v>
      </c>
      <c r="AE11" s="3809"/>
      <c r="AF11" s="3808">
        <f>VLOOKUP(B10,I43:AK60,24,24)</f>
        <v>0</v>
      </c>
      <c r="AG11" s="3809"/>
      <c r="AH11" s="3808" t="str">
        <f>VLOOKUP(B10,I43:AK60,26,26)</f>
        <v>EXISTENCIA DE ALUMNOS</v>
      </c>
      <c r="AI11" s="3809"/>
      <c r="AJ11" s="3808">
        <f>VLOOKUP(B10,I43:AK60,28,28)</f>
        <v>0</v>
      </c>
      <c r="AK11" s="3809"/>
      <c r="AL11" s="3549"/>
      <c r="AM11" s="3549"/>
      <c r="AN11" s="3549"/>
      <c r="AO11" s="3549"/>
      <c r="AP11" s="3549"/>
      <c r="AQ11" s="3549"/>
      <c r="AR11" s="3549"/>
      <c r="AS11" s="3549"/>
      <c r="AT11" s="3549"/>
      <c r="AU11" s="3549"/>
      <c r="AV11" s="3550"/>
      <c r="AW11" s="2804" t="s">
        <v>79</v>
      </c>
      <c r="AX11" s="1925">
        <v>10</v>
      </c>
      <c r="AY11" s="1926" t="str">
        <f>Plantillas!D$392</f>
        <v>MANUEL CRESCENCIO REJON</v>
      </c>
      <c r="AZ11" s="1926" t="str">
        <f>Plantillas!M$392</f>
        <v>23DPR0681C</v>
      </c>
      <c r="BA11" s="1926" t="str">
        <f>Plantillas!Q$392</f>
        <v>MATUTINO</v>
      </c>
      <c r="BB11" s="1933">
        <f>Plantillas!Z$423</f>
        <v>7</v>
      </c>
      <c r="BC11" s="1927" t="str">
        <f>Plantillas!C$393</f>
        <v>RG-95   MZA-129   LTE.2</v>
      </c>
      <c r="BD11" s="1926" t="str">
        <f>Plantillas!P$393</f>
        <v>9987 34 27 50</v>
      </c>
      <c r="BE11" s="1928" t="str">
        <f>Plantillas!E$427</f>
        <v>CERVERA VIDAL * DULCE RUTH</v>
      </c>
      <c r="BF11" s="1927">
        <f>Plantillas!AA$423</f>
        <v>226</v>
      </c>
      <c r="BG11" s="1925">
        <v>10</v>
      </c>
      <c r="BH11" s="1926" t="str">
        <f>Plantillas!B$397</f>
        <v>CERVERA VIDAL * DULCE RUTH</v>
      </c>
      <c r="BI11" s="1926" t="str">
        <f>Plantillas!B$398</f>
        <v>FIELDS MAZA * WILBERT</v>
      </c>
      <c r="BJ11" s="1926" t="str">
        <f>Plantillas!B$399</f>
        <v>RIVERO NUÑEZ * LANDY GRACIELA</v>
      </c>
      <c r="BK11" s="1926" t="str">
        <f>Plantillas!B$400</f>
        <v xml:space="preserve">GOMEZ CORTEZ * MIRNA LUZ </v>
      </c>
      <c r="BL11" s="1926" t="str">
        <f>Plantillas!B$401</f>
        <v>PADILLA DIAZ * LANDY DEL ROSARIO</v>
      </c>
      <c r="BM11" s="1926" t="str">
        <f>Plantillas!B$402</f>
        <v>HERNANDEZ CARDEÑA * ALEX KARIN</v>
      </c>
      <c r="BN11" s="1926" t="str">
        <f>Plantillas!B$403</f>
        <v>COLLI CARRILLO * ROBERTO ALAN</v>
      </c>
      <c r="BO11" s="1926" t="str">
        <f>Plantillas!B$404</f>
        <v>MATU CRUZ * LAURA SOFIA</v>
      </c>
      <c r="BP11" s="1926" t="str">
        <f>Plantillas!B$405</f>
        <v>VALLEJO SOSA * JANET ALICIA</v>
      </c>
      <c r="BQ11" s="1929" t="str">
        <f>Plantillas!B$406</f>
        <v>TEC CEME * AMADA</v>
      </c>
      <c r="BR11" s="1929">
        <f>Plantillas!B$407</f>
        <v>0</v>
      </c>
      <c r="BS11" s="1929">
        <f>Plantillas!B$408</f>
        <v>0</v>
      </c>
      <c r="BT11" s="1929">
        <f>Plantillas!B$409</f>
        <v>0</v>
      </c>
      <c r="BU11" s="1929">
        <f>Plantillas!B$410</f>
        <v>0</v>
      </c>
      <c r="BV11" s="1929">
        <f>Plantillas!B$411</f>
        <v>0</v>
      </c>
      <c r="BW11" s="1929">
        <f>Plantillas!B$412</f>
        <v>0</v>
      </c>
      <c r="BX11" s="1929">
        <f>Plantillas!B$413</f>
        <v>0</v>
      </c>
      <c r="BY11" s="1929">
        <f>Plantillas!B$414</f>
        <v>0</v>
      </c>
      <c r="BZ11" s="1929">
        <f>Plantillas!B$415</f>
        <v>0</v>
      </c>
      <c r="CA11" s="1930">
        <f>Plantillas!B$416</f>
        <v>0</v>
      </c>
      <c r="CB11" s="1358">
        <v>10</v>
      </c>
      <c r="CC11" s="1929" t="str">
        <f>Plantillas!J$397</f>
        <v>CEVD660311V54</v>
      </c>
      <c r="CD11" s="1929">
        <f>Plantillas!J$398</f>
        <v>0</v>
      </c>
      <c r="CE11" s="1929" t="str">
        <f>Plantillas!J$399</f>
        <v>RINL6709175A1</v>
      </c>
      <c r="CF11" s="1929">
        <f>Plantillas!J$400</f>
        <v>0</v>
      </c>
      <c r="CG11" s="1929">
        <f>Plantillas!J$401</f>
        <v>0</v>
      </c>
      <c r="CH11" s="1929" t="str">
        <f>Plantillas!J$402</f>
        <v>HECA770303CX6</v>
      </c>
      <c r="CI11" s="1929" t="str">
        <f>Plantillas!J$403</f>
        <v>COCR831101G48</v>
      </c>
      <c r="CJ11" s="1929" t="str">
        <f>Plantillas!J$404</f>
        <v>MACL8412149F8</v>
      </c>
      <c r="CK11" s="1929" t="str">
        <f>Plantillas!J$405</f>
        <v>VASA</v>
      </c>
      <c r="CL11" s="1929" t="str">
        <f>Plantillas!J$406</f>
        <v>TECA630206327</v>
      </c>
      <c r="CM11" s="1929">
        <f>Plantillas!J$407</f>
        <v>0</v>
      </c>
      <c r="CN11" s="1929">
        <f>Plantillas!J$408</f>
        <v>0</v>
      </c>
      <c r="CO11" s="1929">
        <f>Plantillas!J$409</f>
        <v>0</v>
      </c>
      <c r="CP11" s="1929">
        <f>Plantillas!J$410</f>
        <v>0</v>
      </c>
      <c r="CQ11" s="1929">
        <f>Plantillas!J$411</f>
        <v>0</v>
      </c>
      <c r="CR11" s="1929">
        <f>Plantillas!J$412</f>
        <v>0</v>
      </c>
      <c r="CS11" s="1929">
        <f>Plantillas!J$413</f>
        <v>0</v>
      </c>
      <c r="CT11" s="1929">
        <f>Plantillas!J$414</f>
        <v>0</v>
      </c>
      <c r="CU11" s="1929">
        <f>Plantillas!J$415</f>
        <v>0</v>
      </c>
      <c r="CV11" s="1929">
        <f>Plantillas!J$416</f>
        <v>0</v>
      </c>
      <c r="CW11" s="1358">
        <v>10</v>
      </c>
      <c r="CX11" s="1929" t="str">
        <f>Plantillas!K$397</f>
        <v>E022100.0230058</v>
      </c>
      <c r="CY11" s="1929">
        <f>Plantillas!K$398</f>
        <v>0</v>
      </c>
      <c r="CZ11" s="1929" t="str">
        <f>Plantillas!K$399</f>
        <v>E028100.0075649</v>
      </c>
      <c r="DA11" s="1929">
        <f>Plantillas!K$400</f>
        <v>0</v>
      </c>
      <c r="DB11" s="1929">
        <f>Plantillas!K$401</f>
        <v>0</v>
      </c>
      <c r="DC11" s="1929" t="str">
        <f>Plantillas!K$402</f>
        <v>E028100.0000432</v>
      </c>
      <c r="DD11" s="1929" t="str">
        <f>Plantillas!K$403</f>
        <v>E028100.0040288</v>
      </c>
      <c r="DE11" s="1929" t="str">
        <f>Plantillas!K$404</f>
        <v>E028100.0060221</v>
      </c>
      <c r="DF11" s="1929">
        <f>Plantillas!K$405</f>
        <v>0</v>
      </c>
      <c r="DG11" s="1929" t="str">
        <f>Plantillas!K$406</f>
        <v>S0180700.0300254</v>
      </c>
      <c r="DH11" s="1929">
        <f>Plantillas!K$407</f>
        <v>0</v>
      </c>
      <c r="DI11" s="1929">
        <f>Plantillas!K$408</f>
        <v>0</v>
      </c>
      <c r="DJ11" s="1929">
        <f>Plantillas!K$409</f>
        <v>0</v>
      </c>
      <c r="DK11" s="1929">
        <f>Plantillas!K$410</f>
        <v>0</v>
      </c>
      <c r="DL11" s="1929">
        <f>Plantillas!K$411</f>
        <v>0</v>
      </c>
      <c r="DM11" s="1929">
        <f>Plantillas!K$412</f>
        <v>0</v>
      </c>
      <c r="DN11" s="1929">
        <f>Plantillas!K$413</f>
        <v>0</v>
      </c>
      <c r="DO11" s="1929">
        <f>Plantillas!K$414</f>
        <v>0</v>
      </c>
      <c r="DP11" s="1929">
        <f>Plantillas!K$415</f>
        <v>0</v>
      </c>
      <c r="DQ11" s="1929">
        <f>Plantillas!K$416</f>
        <v>0</v>
      </c>
      <c r="DR11" s="1358">
        <v>10</v>
      </c>
      <c r="DS11" s="1929" t="str">
        <f>Plantillas!L$397</f>
        <v>DIRECTOR</v>
      </c>
      <c r="DT11" s="1929">
        <f>Plantillas!L$398</f>
        <v>0</v>
      </c>
      <c r="DU11" s="1929" t="str">
        <f>Plantillas!L$399</f>
        <v>DOCENTE</v>
      </c>
      <c r="DV11" s="1929" t="str">
        <f>Plantillas!L$400</f>
        <v>DOCENTE</v>
      </c>
      <c r="DW11" s="1929">
        <f>Plantillas!L$401</f>
        <v>0</v>
      </c>
      <c r="DX11" s="1929" t="str">
        <f>Plantillas!L$402</f>
        <v>DOCENTE</v>
      </c>
      <c r="DY11" s="1929" t="str">
        <f>Plantillas!L$403</f>
        <v>DOCENTE</v>
      </c>
      <c r="DZ11" s="1929" t="str">
        <f>Plantillas!L$404</f>
        <v>DOCENTE</v>
      </c>
      <c r="EA11" s="1929" t="str">
        <f>Plantillas!L$405</f>
        <v>EDUC. FISICA</v>
      </c>
      <c r="EB11" s="1929" t="str">
        <f>Plantillas!L$406</f>
        <v>INTENDENTE</v>
      </c>
      <c r="EC11" s="1929">
        <f>Plantillas!L$407</f>
        <v>0</v>
      </c>
      <c r="ED11" s="1929">
        <f>Plantillas!L$408</f>
        <v>0</v>
      </c>
      <c r="EE11" s="1929">
        <f>Plantillas!L$409</f>
        <v>0</v>
      </c>
      <c r="EF11" s="1929">
        <f>Plantillas!L$410</f>
        <v>0</v>
      </c>
      <c r="EG11" s="1929">
        <f>Plantillas!L$411</f>
        <v>0</v>
      </c>
      <c r="EH11" s="1929">
        <f>Plantillas!L$412</f>
        <v>0</v>
      </c>
      <c r="EI11" s="1929">
        <f>Plantillas!L$413</f>
        <v>0</v>
      </c>
      <c r="EJ11" s="1929">
        <f>Plantillas!L$414</f>
        <v>0</v>
      </c>
      <c r="EK11" s="1929">
        <f>Plantillas!L$415</f>
        <v>0</v>
      </c>
      <c r="EL11" s="1929">
        <f>Plantillas!L$416</f>
        <v>0</v>
      </c>
      <c r="EM11" s="1358">
        <v>10</v>
      </c>
      <c r="EN11" s="1931">
        <f>Plantillas!U$397</f>
        <v>10</v>
      </c>
      <c r="EO11" s="1931">
        <f>Plantillas!U$398</f>
        <v>0</v>
      </c>
      <c r="EP11" s="1931">
        <f>Plantillas!U$399</f>
        <v>10</v>
      </c>
      <c r="EQ11" s="1931">
        <f>Plantillas!U$400</f>
        <v>10</v>
      </c>
      <c r="ER11" s="1931">
        <f>Plantillas!U$401</f>
        <v>0</v>
      </c>
      <c r="ES11" s="1931">
        <f>Plantillas!U$402</f>
        <v>10</v>
      </c>
      <c r="ET11" s="1931">
        <f>Plantillas!U$403</f>
        <v>10</v>
      </c>
      <c r="EU11" s="1931">
        <f>Plantillas!U$404</f>
        <v>10</v>
      </c>
      <c r="EV11" s="1931">
        <f>Plantillas!U$405</f>
        <v>10</v>
      </c>
      <c r="EW11" s="1931">
        <f>Plantillas!U$406</f>
        <v>10</v>
      </c>
      <c r="EX11" s="1931">
        <f>Plantillas!U$407</f>
        <v>0</v>
      </c>
      <c r="EY11" s="1931">
        <f>Plantillas!U$408</f>
        <v>0</v>
      </c>
      <c r="EZ11" s="1931">
        <f>Plantillas!U$409</f>
        <v>0</v>
      </c>
      <c r="FA11" s="1931">
        <f>Plantillas!U$410</f>
        <v>0</v>
      </c>
      <c r="FB11" s="1931">
        <f>Plantillas!U$411</f>
        <v>0</v>
      </c>
      <c r="FC11" s="1931">
        <f>Plantillas!U$412</f>
        <v>0</v>
      </c>
      <c r="FD11" s="1931">
        <f>Plantillas!U$413</f>
        <v>0</v>
      </c>
      <c r="FE11" s="1931">
        <f>Plantillas!U$414</f>
        <v>0</v>
      </c>
      <c r="FF11" s="1931">
        <f>Plantillas!U$415</f>
        <v>0</v>
      </c>
      <c r="FG11" s="1932">
        <f>Plantillas!U$416</f>
        <v>0</v>
      </c>
      <c r="FH11" s="1358">
        <v>10</v>
      </c>
      <c r="FI11" s="1931" t="str">
        <f>Plantillas!T$397</f>
        <v>7A</v>
      </c>
      <c r="FJ11" s="1931" t="str">
        <f>Plantillas!T$398</f>
        <v>7A</v>
      </c>
      <c r="FK11" s="1931" t="str">
        <f>Plantillas!T$399</f>
        <v>7A</v>
      </c>
      <c r="FL11" s="1931">
        <f>Plantillas!T$400</f>
        <v>0</v>
      </c>
      <c r="FM11" s="1931">
        <f>Plantillas!T$401</f>
        <v>0</v>
      </c>
      <c r="FN11" s="1931">
        <f>Plantillas!T$402</f>
        <v>0</v>
      </c>
      <c r="FO11" s="1931">
        <f>Plantillas!T$403</f>
        <v>0</v>
      </c>
      <c r="FP11" s="1931">
        <f>Plantillas!T$404</f>
        <v>0</v>
      </c>
      <c r="FQ11" s="1931" t="str">
        <f>Plantillas!T$405</f>
        <v>7A</v>
      </c>
      <c r="FR11" s="1931">
        <f>Plantillas!T$406</f>
        <v>0</v>
      </c>
      <c r="FS11" s="1931">
        <f>Plantillas!T$407</f>
        <v>0</v>
      </c>
      <c r="FT11" s="1931">
        <f>Plantillas!T$408</f>
        <v>0</v>
      </c>
      <c r="FU11" s="1931">
        <f>Plantillas!T$409</f>
        <v>0</v>
      </c>
      <c r="FV11" s="1931">
        <f>Plantillas!T$410</f>
        <v>0</v>
      </c>
      <c r="FW11" s="1931">
        <f>Plantillas!T$411</f>
        <v>0</v>
      </c>
      <c r="FX11" s="1931">
        <f>Plantillas!T$412</f>
        <v>0</v>
      </c>
      <c r="FY11" s="1931">
        <f>Plantillas!T$413</f>
        <v>0</v>
      </c>
      <c r="FZ11" s="1931">
        <f>Plantillas!T$414</f>
        <v>0</v>
      </c>
      <c r="GA11" s="1931">
        <f>Plantillas!T$415</f>
        <v>0</v>
      </c>
      <c r="GB11" s="1932">
        <f>Plantillas!T$416</f>
        <v>0</v>
      </c>
      <c r="GC11" s="1358">
        <v>10</v>
      </c>
      <c r="GD11" s="1359">
        <f>Plantillas!V$426</f>
        <v>35</v>
      </c>
      <c r="GE11" s="1359">
        <f>Plantillas!W$426</f>
        <v>33</v>
      </c>
      <c r="GF11" s="1359">
        <f>Plantillas!X$426</f>
        <v>35</v>
      </c>
      <c r="GG11" s="1359">
        <f>Plantillas!Y$426</f>
        <v>35</v>
      </c>
      <c r="GH11" s="1359">
        <f>Plantillas!Z$426</f>
        <v>57</v>
      </c>
      <c r="GI11" s="1359">
        <f>Plantillas!AA$426</f>
        <v>34</v>
      </c>
      <c r="GJ11" s="1359">
        <f t="shared" si="0"/>
        <v>229</v>
      </c>
      <c r="GK11" s="1360">
        <f>Plantillas!U$426</f>
        <v>34</v>
      </c>
      <c r="GL11" s="1358">
        <v>10</v>
      </c>
      <c r="GM11" s="1933">
        <f>Plantillas!H$397</f>
        <v>0</v>
      </c>
      <c r="GN11" s="1933" t="str">
        <f>Plantillas!H$398</f>
        <v>X</v>
      </c>
      <c r="GO11" s="1933" t="str">
        <f>Plantillas!H$399</f>
        <v>X</v>
      </c>
      <c r="GP11" s="1933">
        <f>Plantillas!H$400</f>
        <v>0</v>
      </c>
      <c r="GQ11" s="1933">
        <f>Plantillas!H$401</f>
        <v>0</v>
      </c>
      <c r="GR11" s="1933" t="str">
        <f>Plantillas!H$402</f>
        <v>X</v>
      </c>
      <c r="GS11" s="1933" t="str">
        <f>Plantillas!H$403</f>
        <v>X</v>
      </c>
      <c r="GT11" s="1933">
        <f>Plantillas!H$404</f>
        <v>0</v>
      </c>
      <c r="GU11" s="1933">
        <f>Plantillas!H$405</f>
        <v>0</v>
      </c>
      <c r="GV11" s="1933" t="str">
        <f>Plantillas!H$406</f>
        <v>X</v>
      </c>
      <c r="GW11" s="1933">
        <f>Plantillas!H$407</f>
        <v>0</v>
      </c>
      <c r="GX11" s="1933">
        <f>Plantillas!H$408</f>
        <v>0</v>
      </c>
      <c r="GY11" s="1933">
        <f>Plantillas!H$409</f>
        <v>0</v>
      </c>
      <c r="GZ11" s="1933">
        <f>Plantillas!H$410</f>
        <v>0</v>
      </c>
      <c r="HA11" s="1933">
        <f>Plantillas!H$411</f>
        <v>0</v>
      </c>
      <c r="HB11" s="1933">
        <f>Plantillas!H$412</f>
        <v>0</v>
      </c>
      <c r="HC11" s="1933">
        <f>Plantillas!H$413</f>
        <v>0</v>
      </c>
      <c r="HD11" s="1933">
        <f>Plantillas!H$414</f>
        <v>0</v>
      </c>
      <c r="HE11" s="1933">
        <f>Plantillas!H$415</f>
        <v>0</v>
      </c>
      <c r="HF11" s="1934">
        <f>Plantillas!H$416</f>
        <v>0</v>
      </c>
      <c r="HG11" s="778">
        <v>9</v>
      </c>
      <c r="HH11" s="1942" t="str">
        <f>'[1]0640C'!$S$3</f>
        <v>arjonasantoyo@hotmail.com</v>
      </c>
      <c r="HI11" s="1943" t="str">
        <f>'[1]0640C'!$C$6</f>
        <v>ANTONIO MEDIZ BOLIO</v>
      </c>
      <c r="HJ11" s="771" t="str">
        <f>'[1]0640C'!$H$6</f>
        <v>23DPR0640C</v>
      </c>
      <c r="HK11" s="771" t="str">
        <f>'[1]0640C'!$C$8</f>
        <v>SMZ. 502 MZ. 2 L. 1 COL. PEHALTUN</v>
      </c>
      <c r="HL11" s="771" t="str">
        <f>'[1]0640C'!$I$8</f>
        <v>9981 98 41 36</v>
      </c>
      <c r="HM11" s="771" t="str">
        <f>'[1]0640C'!$C$10</f>
        <v>CANCUN</v>
      </c>
      <c r="HN11" s="771" t="str">
        <f>'[1]0640C'!$I$10</f>
        <v>BENITO JUAREZ</v>
      </c>
      <c r="HO11" s="183" t="str">
        <f>'[1]0640C'!$E$13</f>
        <v>X</v>
      </c>
      <c r="HP11" s="782">
        <f>'[1]0640C'!$I$13</f>
        <v>0</v>
      </c>
      <c r="HQ11" s="779" t="str">
        <f>'[1]0640C'!$Q$6</f>
        <v>X</v>
      </c>
      <c r="HR11" s="183">
        <f>'[1]0640C'!$U$6</f>
        <v>0</v>
      </c>
      <c r="HS11" s="183" t="str">
        <f>'[1]0640C'!$Q$7</f>
        <v>X</v>
      </c>
      <c r="HT11" s="183">
        <f>'[1]0640C'!$U$7</f>
        <v>0</v>
      </c>
      <c r="HU11" s="183" t="str">
        <f>'[1]0640C'!$Q$8</f>
        <v>X</v>
      </c>
      <c r="HV11" s="183">
        <f>'[1]0640C'!$U$8</f>
        <v>0</v>
      </c>
      <c r="HW11" s="183">
        <f>'[1]0640C'!$X$8</f>
        <v>0</v>
      </c>
      <c r="HX11" s="183">
        <f>'[1]0640C'!$Q$9</f>
        <v>0</v>
      </c>
      <c r="HY11" s="183" t="str">
        <f>'[1]0640C'!$U$9</f>
        <v>X</v>
      </c>
      <c r="HZ11" s="183" t="str">
        <f>'[1]0640C'!$Q$10</f>
        <v>X</v>
      </c>
      <c r="IA11" s="183">
        <f>'[1]0640C'!$U$10</f>
        <v>0</v>
      </c>
      <c r="IB11" s="183">
        <f>'[1]0640C'!$P$13</f>
        <v>12</v>
      </c>
      <c r="IC11" s="183">
        <f>'[1]0640C'!$Q$13</f>
        <v>1</v>
      </c>
      <c r="ID11" s="183">
        <f>'[1]0640C'!$R$13</f>
        <v>0</v>
      </c>
      <c r="IE11" s="183">
        <f>'[1]0640C'!$S$13</f>
        <v>0</v>
      </c>
      <c r="IF11" s="782">
        <f>'[1]0640C'!$U$13</f>
        <v>0</v>
      </c>
      <c r="IG11" s="779">
        <f>'[1]0640C'!$F$17</f>
        <v>0</v>
      </c>
      <c r="IH11" s="183">
        <f>'[1]0640C'!$F$18</f>
        <v>1</v>
      </c>
      <c r="II11" s="183">
        <f>'[1]0640C'!$F$19</f>
        <v>0</v>
      </c>
      <c r="IJ11" s="183">
        <f>'[1]0640C'!$F$20</f>
        <v>0</v>
      </c>
      <c r="IK11" s="183">
        <f>'[1]0640C'!$H$21</f>
        <v>12</v>
      </c>
      <c r="IL11" s="183">
        <f>'[1]0640C'!$H$22</f>
        <v>1</v>
      </c>
      <c r="IM11" s="183">
        <f>'[1]0640C'!$H$23</f>
        <v>1</v>
      </c>
      <c r="IN11" s="183">
        <f>'[1]0640C'!$H$24</f>
        <v>1</v>
      </c>
      <c r="IO11" s="183">
        <f>'[1]0640C'!$H$25</f>
        <v>0</v>
      </c>
      <c r="IP11" s="1358">
        <f>'[1]0640C'!$K$26</f>
        <v>19</v>
      </c>
      <c r="IQ11" s="1354">
        <f>'[1]0640C'!$M$26</f>
        <v>23</v>
      </c>
      <c r="IR11" s="183">
        <f>'[1]0640C'!$V$19</f>
        <v>1</v>
      </c>
      <c r="IS11" s="183">
        <f>'[1]0640C'!$V$20</f>
        <v>11</v>
      </c>
      <c r="IT11" s="183">
        <f>'[1]0640C'!$V$21</f>
        <v>0</v>
      </c>
      <c r="IU11" s="782">
        <f>'[1]0640C'!$V$22</f>
        <v>1</v>
      </c>
      <c r="IV11" s="779">
        <f>'[1]0640C'!$D$38</f>
        <v>2</v>
      </c>
      <c r="IW11" s="183">
        <f>'[1]0640C'!$G$38</f>
        <v>2</v>
      </c>
      <c r="IX11" s="183">
        <f>'[1]0640C'!$J$38</f>
        <v>2</v>
      </c>
      <c r="IY11" s="183">
        <f>'[1]0640C'!$M$38</f>
        <v>2</v>
      </c>
      <c r="IZ11" s="183">
        <f>'[1]0640C'!$P$38</f>
        <v>2</v>
      </c>
      <c r="JA11" s="782">
        <f>'[1]0640C'!$S$38</f>
        <v>2</v>
      </c>
      <c r="JB11" s="1944" t="str">
        <f>'[1]0640C'!$F$44</f>
        <v>MARCO ANTONIO ARJONA SANTOYO</v>
      </c>
      <c r="JC11" s="1945" t="str">
        <f>'[1]0640C'!$O$44</f>
        <v>JESUS MARTIN RICALDE CASTRO</v>
      </c>
      <c r="JD11" s="779">
        <f t="shared" si="7"/>
        <v>54</v>
      </c>
      <c r="JE11" s="183">
        <f t="shared" si="8"/>
        <v>59</v>
      </c>
      <c r="JF11" s="183">
        <f t="shared" si="9"/>
        <v>67</v>
      </c>
      <c r="JG11" s="183">
        <f t="shared" si="10"/>
        <v>65</v>
      </c>
      <c r="JH11" s="183">
        <f t="shared" si="11"/>
        <v>68</v>
      </c>
      <c r="JI11" s="782">
        <f t="shared" si="30"/>
        <v>70</v>
      </c>
      <c r="JJ11" s="779">
        <f t="shared" si="12"/>
        <v>8</v>
      </c>
      <c r="JK11" s="183">
        <f t="shared" si="13"/>
        <v>7</v>
      </c>
      <c r="JL11" s="183">
        <f t="shared" si="14"/>
        <v>4</v>
      </c>
      <c r="JM11" s="183">
        <f t="shared" si="15"/>
        <v>5</v>
      </c>
      <c r="JN11" s="183">
        <f t="shared" si="16"/>
        <v>6</v>
      </c>
      <c r="JO11" s="183">
        <f t="shared" si="17"/>
        <v>4</v>
      </c>
      <c r="JP11" s="779">
        <f t="shared" si="18"/>
        <v>11</v>
      </c>
      <c r="JQ11" s="183">
        <f t="shared" si="19"/>
        <v>13</v>
      </c>
      <c r="JR11" s="183">
        <f t="shared" si="20"/>
        <v>24</v>
      </c>
      <c r="JS11" s="183">
        <f t="shared" si="21"/>
        <v>6</v>
      </c>
      <c r="JT11" s="183">
        <f>IN33+IO33</f>
        <v>10</v>
      </c>
      <c r="JU11" s="183">
        <f t="shared" si="22"/>
        <v>8</v>
      </c>
      <c r="JV11" s="779">
        <f t="shared" si="23"/>
        <v>51</v>
      </c>
      <c r="JW11" s="183">
        <f t="shared" si="24"/>
        <v>53</v>
      </c>
      <c r="JX11" s="183">
        <f t="shared" si="25"/>
        <v>47</v>
      </c>
      <c r="JY11" s="183">
        <f t="shared" si="26"/>
        <v>64</v>
      </c>
      <c r="JZ11" s="183">
        <f t="shared" si="27"/>
        <v>64</v>
      </c>
      <c r="KA11" s="782">
        <f t="shared" si="28"/>
        <v>66</v>
      </c>
      <c r="KB11" s="183">
        <f t="shared" si="29"/>
        <v>0</v>
      </c>
      <c r="KC11" s="183">
        <f t="shared" si="2"/>
        <v>0</v>
      </c>
      <c r="KD11" s="183">
        <f t="shared" si="3"/>
        <v>0</v>
      </c>
      <c r="KE11" s="183">
        <f t="shared" si="4"/>
        <v>0</v>
      </c>
      <c r="KF11" s="183">
        <f t="shared" si="5"/>
        <v>0</v>
      </c>
      <c r="KG11" s="782">
        <f t="shared" si="6"/>
        <v>0</v>
      </c>
      <c r="KH11" s="1358">
        <v>10</v>
      </c>
      <c r="KI11" s="1931" t="s">
        <v>1815</v>
      </c>
      <c r="KJ11" s="1931" t="s">
        <v>1815</v>
      </c>
      <c r="KK11" s="1931" t="s">
        <v>1815</v>
      </c>
      <c r="KL11" s="1931" t="s">
        <v>1815</v>
      </c>
      <c r="KM11" s="1931" t="s">
        <v>1815</v>
      </c>
      <c r="KN11" s="1931" t="s">
        <v>1815</v>
      </c>
      <c r="KO11" s="1931" t="s">
        <v>1815</v>
      </c>
      <c r="KP11" s="1931" t="s">
        <v>1815</v>
      </c>
      <c r="KQ11" s="1931" t="s">
        <v>1815</v>
      </c>
      <c r="KR11" s="1931" t="s">
        <v>1815</v>
      </c>
      <c r="KS11" s="1931"/>
      <c r="KT11" s="1931"/>
      <c r="KU11" s="1931"/>
      <c r="KV11" s="1931"/>
      <c r="KW11" s="1931"/>
      <c r="KX11" s="1931"/>
      <c r="KY11" s="1931"/>
      <c r="KZ11" s="1931"/>
      <c r="LA11" s="1931"/>
      <c r="LB11" s="1932"/>
      <c r="LC11" s="2696">
        <v>10</v>
      </c>
      <c r="LD11" s="3744" t="str">
        <f>Plantillas!S$397</f>
        <v>CEVD660311MYN</v>
      </c>
      <c r="LE11" s="3744">
        <f>Plantillas!S$398</f>
        <v>0</v>
      </c>
      <c r="LF11" s="3744" t="str">
        <f>Plantillas!S$399</f>
        <v>RINL670917MYN</v>
      </c>
      <c r="LG11" s="3744" t="str">
        <f>Plantillas!S$400</f>
        <v>CAPN731116MCC</v>
      </c>
      <c r="LH11" s="3744">
        <f>Plantillas!S$401</f>
        <v>0</v>
      </c>
      <c r="LI11" s="3744" t="str">
        <f>Plantillas!S$402</f>
        <v>HECA770303HCC</v>
      </c>
      <c r="LJ11" s="3744" t="str">
        <f>Plantillas!S$403</f>
        <v>COCR831101HQR</v>
      </c>
      <c r="LK11" s="3744" t="str">
        <f>Plantillas!S$404</f>
        <v>MACL841214M</v>
      </c>
      <c r="LL11" s="3744" t="str">
        <f>Plantillas!S$405</f>
        <v>AONI770408H</v>
      </c>
      <c r="LM11" s="3744" t="str">
        <f>Plantillas!S$406</f>
        <v>TECA630206M</v>
      </c>
      <c r="LN11" s="3744">
        <f>Plantillas!S$407</f>
        <v>0</v>
      </c>
      <c r="LO11" s="3744">
        <f>Plantillas!S$408</f>
        <v>0</v>
      </c>
      <c r="LP11" s="3744">
        <f>Plantillas!S$409</f>
        <v>0</v>
      </c>
      <c r="LQ11" s="3744">
        <f>Plantillas!S$410</f>
        <v>0</v>
      </c>
      <c r="LR11" s="3744">
        <f>Plantillas!S$411</f>
        <v>0</v>
      </c>
      <c r="LS11" s="3744">
        <f>Plantillas!S$412</f>
        <v>0</v>
      </c>
      <c r="LT11" s="3744">
        <f>Plantillas!S$413</f>
        <v>0</v>
      </c>
      <c r="LU11" s="3744">
        <f>Plantillas!S$414</f>
        <v>0</v>
      </c>
      <c r="LV11" s="3744">
        <f>Plantillas!S$415</f>
        <v>0</v>
      </c>
      <c r="LW11" s="3745">
        <f>Plantillas!S$416</f>
        <v>0</v>
      </c>
    </row>
    <row r="12" spans="1:336" s="19" customFormat="1" ht="14.25" customHeight="1">
      <c r="A12" s="126"/>
      <c r="B12" s="3836"/>
      <c r="C12" s="3839"/>
      <c r="D12" s="3861"/>
      <c r="E12" s="3862"/>
      <c r="F12" s="3862"/>
      <c r="G12" s="3862"/>
      <c r="H12" s="3862"/>
      <c r="I12" s="3863"/>
      <c r="J12" s="3810"/>
      <c r="K12" s="3811"/>
      <c r="L12" s="3810"/>
      <c r="M12" s="3811"/>
      <c r="N12" s="3810"/>
      <c r="O12" s="3811"/>
      <c r="P12" s="3810"/>
      <c r="Q12" s="3811"/>
      <c r="R12" s="3810"/>
      <c r="S12" s="3811"/>
      <c r="T12" s="3810"/>
      <c r="U12" s="3811"/>
      <c r="V12" s="3810"/>
      <c r="W12" s="3811"/>
      <c r="X12" s="3810"/>
      <c r="Y12" s="3811"/>
      <c r="Z12" s="3810"/>
      <c r="AA12" s="3811"/>
      <c r="AB12" s="3810"/>
      <c r="AC12" s="3811"/>
      <c r="AD12" s="3810"/>
      <c r="AE12" s="3811"/>
      <c r="AF12" s="3810"/>
      <c r="AG12" s="3811"/>
      <c r="AH12" s="3810"/>
      <c r="AI12" s="3811"/>
      <c r="AJ12" s="3810"/>
      <c r="AK12" s="3811"/>
      <c r="AL12" s="3166"/>
      <c r="AM12" s="3166"/>
      <c r="AN12" s="3166"/>
      <c r="AO12" s="3166"/>
      <c r="AP12" s="3166"/>
      <c r="AQ12" s="3166"/>
      <c r="AR12" s="3166"/>
      <c r="AS12" s="3166"/>
      <c r="AT12" s="3166"/>
      <c r="AU12" s="3166"/>
      <c r="AV12" s="3167"/>
      <c r="AW12" s="2804" t="s">
        <v>79</v>
      </c>
      <c r="AX12" s="1925">
        <v>11</v>
      </c>
      <c r="AY12" s="1926" t="str">
        <f>Plantillas!D$432</f>
        <v>CENTRO EDUCATIVO EL MANANTIAL</v>
      </c>
      <c r="AZ12" s="1926" t="str">
        <f>Plantillas!M$432</f>
        <v>23PPR0099M</v>
      </c>
      <c r="BA12" s="1926" t="str">
        <f>Plantillas!Q$432</f>
        <v>MATUTINO</v>
      </c>
      <c r="BB12" s="1933">
        <f>Plantillas!Z$463</f>
        <v>6</v>
      </c>
      <c r="BC12" s="1927" t="str">
        <f>Plantillas!C$433</f>
        <v>RG-95   MZA-129   LTE.2</v>
      </c>
      <c r="BD12" s="1926" t="str">
        <f>Plantillas!P$433</f>
        <v>9981 49 34 04</v>
      </c>
      <c r="BE12" s="1928" t="str">
        <f>Plantillas!E$467</f>
        <v>TUCUCH SANTOS * AURORA LETICIA</v>
      </c>
      <c r="BF12" s="1927">
        <f>Plantillas!AA$463</f>
        <v>83</v>
      </c>
      <c r="BG12" s="1925">
        <v>11</v>
      </c>
      <c r="BH12" s="1926" t="str">
        <f>Plantillas!B$437</f>
        <v>TUCUCH SANTOS * AURORA LETICIA</v>
      </c>
      <c r="BI12" s="1926" t="str">
        <f>Plantillas!B$438</f>
        <v>HERNANDEZ SANCHEZ * LOYDA</v>
      </c>
      <c r="BJ12" s="1926">
        <f>Plantillas!B$439</f>
        <v>0</v>
      </c>
      <c r="BK12" s="1926" t="str">
        <f>Plantillas!B$440</f>
        <v>PAAT KOO OSCAR * ALEJANDRO</v>
      </c>
      <c r="BL12" s="1926">
        <f>Plantillas!B$441</f>
        <v>0</v>
      </c>
      <c r="BM12" s="1926" t="str">
        <f>Plantillas!B$442</f>
        <v>CANUL BORGES * FATIMA DEL CARMEN</v>
      </c>
      <c r="BN12" s="1926" t="str">
        <f>Plantillas!B$443</f>
        <v>POLANCO SAMANIEGO * JHONNY FRANCISCO</v>
      </c>
      <c r="BO12" s="1926" t="str">
        <f>Plantillas!B$444</f>
        <v>CAUDILLO ARRIAGA * DAFNE MAGALY</v>
      </c>
      <c r="BP12" s="1926" t="str">
        <f>Plantillas!B$445</f>
        <v>MARTINEZ CARRASCO * GUADALUPE</v>
      </c>
      <c r="BQ12" s="1929" t="str">
        <f>Plantillas!B$446</f>
        <v>RAMIREZ SANCHEZ MARIA * YOLANDA</v>
      </c>
      <c r="BR12" s="1929" t="str">
        <f>Plantillas!B$447</f>
        <v>GONZALEZ CASTELLANO * ANALIA VERONICA</v>
      </c>
      <c r="BS12" s="1929" t="str">
        <f>Plantillas!B$448</f>
        <v>ARRIAGA ALEMAN * MARISELA</v>
      </c>
      <c r="BT12" s="1929" t="str">
        <f>Plantillas!B$449</f>
        <v>ROSALES MARTINEZ * CAROLINA</v>
      </c>
      <c r="BU12" s="1929">
        <f>Plantillas!B$450</f>
        <v>0</v>
      </c>
      <c r="BV12" s="1929">
        <f>Plantillas!B$451</f>
        <v>0</v>
      </c>
      <c r="BW12" s="1929">
        <f>Plantillas!B$452</f>
        <v>0</v>
      </c>
      <c r="BX12" s="1929">
        <f>Plantillas!B$453</f>
        <v>0</v>
      </c>
      <c r="BY12" s="1929">
        <f>Plantillas!B$454</f>
        <v>0</v>
      </c>
      <c r="BZ12" s="1929">
        <f>Plantillas!B$455</f>
        <v>0</v>
      </c>
      <c r="CA12" s="1930">
        <f>Plantillas!B$456</f>
        <v>0</v>
      </c>
      <c r="CB12" s="1358">
        <v>11</v>
      </c>
      <c r="CC12" s="1929" t="str">
        <f>Plantillas!J$437</f>
        <v>TUSA850813AQA</v>
      </c>
      <c r="CD12" s="1929" t="str">
        <f>Plantillas!J$438</f>
        <v>HESL7905033C5</v>
      </c>
      <c r="CE12" s="1929">
        <f>Plantillas!J$439</f>
        <v>0</v>
      </c>
      <c r="CF12" s="1929" t="str">
        <f>Plantillas!J$440</f>
        <v>PAKO750123000</v>
      </c>
      <c r="CG12" s="1929">
        <f>Plantillas!J$441</f>
        <v>0</v>
      </c>
      <c r="CH12" s="1929" t="str">
        <f>Plantillas!J$442</f>
        <v>CABF8605062E4</v>
      </c>
      <c r="CI12" s="1929" t="str">
        <f>Plantillas!J$443</f>
        <v>POSJ871116HH6</v>
      </c>
      <c r="CJ12" s="1929" t="str">
        <f>Plantillas!J$444</f>
        <v>CAAD810525000</v>
      </c>
      <c r="CK12" s="1929" t="str">
        <f>Plantillas!J$445</f>
        <v>MACG5307229S1</v>
      </c>
      <c r="CL12" s="1929" t="str">
        <f>Plantillas!J$446</f>
        <v>RASY670704VW5</v>
      </c>
      <c r="CM12" s="1929" t="str">
        <f>Plantillas!J$447</f>
        <v>GOCA730402000</v>
      </c>
      <c r="CN12" s="1929" t="str">
        <f>Plantillas!J$448</f>
        <v>AIAM5908229C3</v>
      </c>
      <c r="CO12" s="1929" t="str">
        <f>Plantillas!J$449</f>
        <v>ROMC690527000</v>
      </c>
      <c r="CP12" s="1929">
        <f>Plantillas!J$450</f>
        <v>0</v>
      </c>
      <c r="CQ12" s="1929">
        <f>Plantillas!J$451</f>
        <v>0</v>
      </c>
      <c r="CR12" s="1929">
        <f>Plantillas!J$452</f>
        <v>0</v>
      </c>
      <c r="CS12" s="1929">
        <f>Plantillas!J$453</f>
        <v>0</v>
      </c>
      <c r="CT12" s="1929">
        <f>Plantillas!J$454</f>
        <v>0</v>
      </c>
      <c r="CU12" s="1929">
        <f>Plantillas!J$455</f>
        <v>0</v>
      </c>
      <c r="CV12" s="1929">
        <f>Plantillas!J$456</f>
        <v>0</v>
      </c>
      <c r="CW12" s="1358">
        <v>11</v>
      </c>
      <c r="CX12" s="1929">
        <f>Plantillas!K$437</f>
        <v>99999</v>
      </c>
      <c r="CY12" s="1929">
        <f>Plantillas!K$438</f>
        <v>99999</v>
      </c>
      <c r="CZ12" s="1929">
        <f>Plantillas!K$439</f>
        <v>0</v>
      </c>
      <c r="DA12" s="1929">
        <f>Plantillas!K$440</f>
        <v>99999</v>
      </c>
      <c r="DB12" s="1929">
        <f>Plantillas!K$441</f>
        <v>0</v>
      </c>
      <c r="DC12" s="1929">
        <f>Plantillas!K$442</f>
        <v>99999</v>
      </c>
      <c r="DD12" s="1929">
        <f>Plantillas!K$443</f>
        <v>99999</v>
      </c>
      <c r="DE12" s="1929">
        <f>Plantillas!K$444</f>
        <v>99999</v>
      </c>
      <c r="DF12" s="1929">
        <f>Plantillas!K$445</f>
        <v>99999</v>
      </c>
      <c r="DG12" s="1929">
        <f>Plantillas!K$446</f>
        <v>99999</v>
      </c>
      <c r="DH12" s="1929">
        <f>Plantillas!K$447</f>
        <v>99999</v>
      </c>
      <c r="DI12" s="1929">
        <f>Plantillas!K$448</f>
        <v>99999</v>
      </c>
      <c r="DJ12" s="1929">
        <f>Plantillas!K$449</f>
        <v>99999</v>
      </c>
      <c r="DK12" s="1929">
        <f>Plantillas!K$450</f>
        <v>0</v>
      </c>
      <c r="DL12" s="1929">
        <f>Plantillas!K$451</f>
        <v>0</v>
      </c>
      <c r="DM12" s="1929">
        <f>Plantillas!K$452</f>
        <v>0</v>
      </c>
      <c r="DN12" s="1929">
        <f>Plantillas!K$453</f>
        <v>0</v>
      </c>
      <c r="DO12" s="1929">
        <f>Plantillas!K$454</f>
        <v>0</v>
      </c>
      <c r="DP12" s="1929">
        <f>Plantillas!K$455</f>
        <v>0</v>
      </c>
      <c r="DQ12" s="1929">
        <f>Plantillas!K$456</f>
        <v>0</v>
      </c>
      <c r="DR12" s="1358">
        <v>11</v>
      </c>
      <c r="DS12" s="1929" t="str">
        <f>Plantillas!L$437</f>
        <v>DIRECTOR</v>
      </c>
      <c r="DT12" s="1929" t="str">
        <f>Plantillas!L$438</f>
        <v>DOCENTE</v>
      </c>
      <c r="DU12" s="1929">
        <f>Plantillas!L$439</f>
        <v>0</v>
      </c>
      <c r="DV12" s="1929" t="str">
        <f>Plantillas!L$440</f>
        <v>DOCENTE</v>
      </c>
      <c r="DW12" s="1929">
        <f>Plantillas!L$441</f>
        <v>0</v>
      </c>
      <c r="DX12" s="1929" t="str">
        <f>Plantillas!L$442</f>
        <v>DOCENTE</v>
      </c>
      <c r="DY12" s="1929" t="str">
        <f>Plantillas!L$443</f>
        <v>EDUC. FISICA</v>
      </c>
      <c r="DZ12" s="1929" t="str">
        <f>Plantillas!L$444</f>
        <v>INGLES</v>
      </c>
      <c r="EA12" s="1929" t="str">
        <f>Plantillas!L$445</f>
        <v>INGLES</v>
      </c>
      <c r="EB12" s="1929" t="str">
        <f>Plantillas!L$446</f>
        <v>INGLES</v>
      </c>
      <c r="EC12" s="1929" t="str">
        <f>Plantillas!L$447</f>
        <v>TECNOLOGICAS</v>
      </c>
      <c r="ED12" s="1929" t="str">
        <f>Plantillas!L$448</f>
        <v>ADMON.</v>
      </c>
      <c r="EE12" s="1929" t="str">
        <f>Plantillas!L$449</f>
        <v>INTENDENTE</v>
      </c>
      <c r="EF12" s="1929">
        <f>Plantillas!L$450</f>
        <v>0</v>
      </c>
      <c r="EG12" s="1929">
        <f>Plantillas!L$451</f>
        <v>0</v>
      </c>
      <c r="EH12" s="1929">
        <f>Plantillas!L$452</f>
        <v>0</v>
      </c>
      <c r="EI12" s="1929">
        <f>Plantillas!L$453</f>
        <v>0</v>
      </c>
      <c r="EJ12" s="1929">
        <f>Plantillas!L$454</f>
        <v>0</v>
      </c>
      <c r="EK12" s="1929">
        <f>Plantillas!L$455</f>
        <v>0</v>
      </c>
      <c r="EL12" s="1929">
        <f>Plantillas!L$456</f>
        <v>0</v>
      </c>
      <c r="EM12" s="1358">
        <v>11</v>
      </c>
      <c r="EN12" s="1931">
        <f>Plantillas!U$437</f>
        <v>20</v>
      </c>
      <c r="EO12" s="1931">
        <f>Plantillas!U$438</f>
        <v>20</v>
      </c>
      <c r="EP12" s="1931">
        <f>Plantillas!U$439</f>
        <v>0</v>
      </c>
      <c r="EQ12" s="1931">
        <f>Plantillas!U$440</f>
        <v>20</v>
      </c>
      <c r="ER12" s="1931">
        <f>Plantillas!U$441</f>
        <v>0</v>
      </c>
      <c r="ES12" s="1931">
        <f>Plantillas!U$442</f>
        <v>20</v>
      </c>
      <c r="ET12" s="1931">
        <f>Plantillas!U$443</f>
        <v>20</v>
      </c>
      <c r="EU12" s="1931">
        <f>Plantillas!U$444</f>
        <v>20</v>
      </c>
      <c r="EV12" s="1931">
        <f>Plantillas!U$445</f>
        <v>20</v>
      </c>
      <c r="EW12" s="1931">
        <f>Plantillas!U$446</f>
        <v>20</v>
      </c>
      <c r="EX12" s="1931">
        <f>Plantillas!U$447</f>
        <v>20</v>
      </c>
      <c r="EY12" s="1931">
        <f>Plantillas!U$448</f>
        <v>20</v>
      </c>
      <c r="EZ12" s="1931">
        <f>Plantillas!U$449</f>
        <v>20</v>
      </c>
      <c r="FA12" s="1931">
        <f>Plantillas!U$450</f>
        <v>0</v>
      </c>
      <c r="FB12" s="1931">
        <f>Plantillas!U$451</f>
        <v>0</v>
      </c>
      <c r="FC12" s="1931">
        <f>Plantillas!U$452</f>
        <v>0</v>
      </c>
      <c r="FD12" s="1931">
        <f>Plantillas!U$453</f>
        <v>0</v>
      </c>
      <c r="FE12" s="1931">
        <f>Plantillas!U$454</f>
        <v>0</v>
      </c>
      <c r="FF12" s="1931">
        <f>Plantillas!U$455</f>
        <v>0</v>
      </c>
      <c r="FG12" s="1932">
        <f>Plantillas!U$456</f>
        <v>0</v>
      </c>
      <c r="FH12" s="1358">
        <v>11</v>
      </c>
      <c r="FI12" s="1931">
        <f>Plantillas!T$437</f>
        <v>0</v>
      </c>
      <c r="FJ12" s="1931">
        <f>Plantillas!T$438</f>
        <v>0</v>
      </c>
      <c r="FK12" s="1931">
        <f>Plantillas!T$439</f>
        <v>0</v>
      </c>
      <c r="FL12" s="1931">
        <f>Plantillas!T$440</f>
        <v>0</v>
      </c>
      <c r="FM12" s="1931">
        <f>Plantillas!T$441</f>
        <v>0</v>
      </c>
      <c r="FN12" s="1931">
        <f>Plantillas!T$442</f>
        <v>0</v>
      </c>
      <c r="FO12" s="1931">
        <f>Plantillas!T$443</f>
        <v>0</v>
      </c>
      <c r="FP12" s="1931">
        <f>Plantillas!T$444</f>
        <v>0</v>
      </c>
      <c r="FQ12" s="1931">
        <f>Plantillas!T$445</f>
        <v>0</v>
      </c>
      <c r="FR12" s="1931">
        <f>Plantillas!T$446</f>
        <v>0</v>
      </c>
      <c r="FS12" s="1931">
        <f>Plantillas!T$447</f>
        <v>0</v>
      </c>
      <c r="FT12" s="1931">
        <f>Plantillas!T$448</f>
        <v>0</v>
      </c>
      <c r="FU12" s="1931">
        <f>Plantillas!T$449</f>
        <v>0</v>
      </c>
      <c r="FV12" s="1931">
        <f>Plantillas!T$450</f>
        <v>0</v>
      </c>
      <c r="FW12" s="1931">
        <f>Plantillas!T$451</f>
        <v>0</v>
      </c>
      <c r="FX12" s="1931">
        <f>Plantillas!T$452</f>
        <v>0</v>
      </c>
      <c r="FY12" s="1931">
        <f>Plantillas!T$453</f>
        <v>0</v>
      </c>
      <c r="FZ12" s="1931">
        <f>Plantillas!T$454</f>
        <v>0</v>
      </c>
      <c r="GA12" s="1931">
        <f>Plantillas!T$455</f>
        <v>0</v>
      </c>
      <c r="GB12" s="1932">
        <f>Plantillas!T$456</f>
        <v>0</v>
      </c>
      <c r="GC12" s="1358">
        <v>11</v>
      </c>
      <c r="GD12" s="1359">
        <f>Plantillas!V$466</f>
        <v>9</v>
      </c>
      <c r="GE12" s="1359">
        <f>Plantillas!W$466</f>
        <v>15</v>
      </c>
      <c r="GF12" s="1359">
        <f>Plantillas!X$466</f>
        <v>11</v>
      </c>
      <c r="GG12" s="1359">
        <f>Plantillas!Y$466</f>
        <v>13</v>
      </c>
      <c r="GH12" s="1359">
        <f>Plantillas!Z$466</f>
        <v>19</v>
      </c>
      <c r="GI12" s="1359">
        <f>Plantillas!AA$466</f>
        <v>0</v>
      </c>
      <c r="GJ12" s="1359">
        <f t="shared" si="0"/>
        <v>67</v>
      </c>
      <c r="GK12" s="1360">
        <f>Plantillas!U$466</f>
        <v>15</v>
      </c>
      <c r="GL12" s="1358">
        <v>11</v>
      </c>
      <c r="GM12" s="1933">
        <f>Plantillas!H$437</f>
        <v>0</v>
      </c>
      <c r="GN12" s="1933">
        <f>Plantillas!H$438</f>
        <v>0</v>
      </c>
      <c r="GO12" s="1933">
        <f>Plantillas!H$439</f>
        <v>0</v>
      </c>
      <c r="GP12" s="1933" t="str">
        <f>Plantillas!H$440</f>
        <v>X</v>
      </c>
      <c r="GQ12" s="1933">
        <f>Plantillas!H$441</f>
        <v>0</v>
      </c>
      <c r="GR12" s="1933">
        <f>Plantillas!H$442</f>
        <v>0</v>
      </c>
      <c r="GS12" s="1933" t="str">
        <f>Plantillas!H$443</f>
        <v>X</v>
      </c>
      <c r="GT12" s="1933">
        <f>Plantillas!H$444</f>
        <v>0</v>
      </c>
      <c r="GU12" s="1933">
        <f>Plantillas!H$445</f>
        <v>0</v>
      </c>
      <c r="GV12" s="1933">
        <f>Plantillas!H$446</f>
        <v>0</v>
      </c>
      <c r="GW12" s="1933">
        <f>Plantillas!H$447</f>
        <v>0</v>
      </c>
      <c r="GX12" s="1933">
        <f>Plantillas!H$448</f>
        <v>0</v>
      </c>
      <c r="GY12" s="1933">
        <f>Plantillas!H$449</f>
        <v>0</v>
      </c>
      <c r="GZ12" s="1933">
        <f>Plantillas!H$450</f>
        <v>0</v>
      </c>
      <c r="HA12" s="1933">
        <f>Plantillas!H$451</f>
        <v>0</v>
      </c>
      <c r="HB12" s="1933">
        <f>Plantillas!H$452</f>
        <v>0</v>
      </c>
      <c r="HC12" s="1933">
        <f>Plantillas!H$453</f>
        <v>0</v>
      </c>
      <c r="HD12" s="1933">
        <f>Plantillas!H$454</f>
        <v>0</v>
      </c>
      <c r="HE12" s="1933">
        <f>Plantillas!H$455</f>
        <v>0</v>
      </c>
      <c r="HF12" s="1934">
        <f>Plantillas!H$456</f>
        <v>0</v>
      </c>
      <c r="HG12" s="778">
        <v>10</v>
      </c>
      <c r="HH12" s="1942" t="str">
        <f>'[1]0681C'!$S$3</f>
        <v>esc.manuelcrescenciorejon.tm@hotmail.com</v>
      </c>
      <c r="HI12" s="1943" t="str">
        <f>'[1]0681C'!$C$6</f>
        <v>MANUEL CRESCENCIO REJON</v>
      </c>
      <c r="HJ12" s="771" t="str">
        <f>'[1]0681C'!$H$6</f>
        <v>23DPR0681C</v>
      </c>
      <c r="HK12" s="771" t="str">
        <f>'[1]0681C'!$C$8</f>
        <v>REG. 95 MZA. 129 L. 2</v>
      </c>
      <c r="HL12" s="771" t="str">
        <f>'[1]0681C'!$I$8</f>
        <v>9987 34 27 50</v>
      </c>
      <c r="HM12" s="771" t="str">
        <f>'[1]0681C'!$C$10</f>
        <v>CANCUN</v>
      </c>
      <c r="HN12" s="771" t="str">
        <f>'[1]0681C'!$I$10</f>
        <v>BENITO JUAREZ</v>
      </c>
      <c r="HO12" s="183" t="str">
        <f>'[1]0681C'!$E$13</f>
        <v>X</v>
      </c>
      <c r="HP12" s="782">
        <f>'[1]0681C'!$I$13</f>
        <v>0</v>
      </c>
      <c r="HQ12" s="779" t="str">
        <f>'[1]0681C'!$Q$6</f>
        <v>X</v>
      </c>
      <c r="HR12" s="183">
        <f>'[1]0681C'!$U$6</f>
        <v>0</v>
      </c>
      <c r="HS12" s="183" t="str">
        <f>'[1]0681C'!$Q$7</f>
        <v>X</v>
      </c>
      <c r="HT12" s="183">
        <f>'[1]0681C'!$U$7</f>
        <v>0</v>
      </c>
      <c r="HU12" s="183" t="str">
        <f>'[1]0681C'!$Q$8</f>
        <v>X</v>
      </c>
      <c r="HV12" s="183">
        <f>'[1]0681C'!$U$8</f>
        <v>0</v>
      </c>
      <c r="HW12" s="183">
        <f>'[1]0681C'!$X$8</f>
        <v>0</v>
      </c>
      <c r="HX12" s="183">
        <f>'[1]0681C'!$Q$9</f>
        <v>0</v>
      </c>
      <c r="HY12" s="183" t="str">
        <f>'[1]0681C'!$U$9</f>
        <v>X</v>
      </c>
      <c r="HZ12" s="183" t="str">
        <f>'[1]0681C'!$Q$10</f>
        <v>X</v>
      </c>
      <c r="IA12" s="183">
        <f>'[1]0681C'!$U$10</f>
        <v>0</v>
      </c>
      <c r="IB12" s="183">
        <f>'[1]0681C'!$P$13</f>
        <v>7</v>
      </c>
      <c r="IC12" s="183">
        <f>'[1]0681C'!$Q$13</f>
        <v>0</v>
      </c>
      <c r="ID12" s="183">
        <f>'[1]0681C'!$R$13</f>
        <v>0</v>
      </c>
      <c r="IE12" s="183">
        <f>'[1]0681C'!$S$13</f>
        <v>0</v>
      </c>
      <c r="IF12" s="782">
        <f>'[1]0681C'!$U$13</f>
        <v>0</v>
      </c>
      <c r="IG12" s="779">
        <f>'[1]0681C'!$F$17</f>
        <v>0</v>
      </c>
      <c r="IH12" s="183">
        <f>'[1]0681C'!$F$18</f>
        <v>1</v>
      </c>
      <c r="II12" s="183">
        <f>'[1]0681C'!$F$19</f>
        <v>0</v>
      </c>
      <c r="IJ12" s="183">
        <f>'[1]0681C'!$F$20</f>
        <v>0</v>
      </c>
      <c r="IK12" s="183">
        <f>'[1]0681C'!$H$21</f>
        <v>7</v>
      </c>
      <c r="IL12" s="183">
        <f>'[1]0681C'!$H$22</f>
        <v>1</v>
      </c>
      <c r="IM12" s="183">
        <f>'[1]0681C'!$H$23</f>
        <v>0</v>
      </c>
      <c r="IN12" s="183">
        <f>'[1]0681C'!$H$24</f>
        <v>1</v>
      </c>
      <c r="IO12" s="183">
        <f>'[1]0681C'!$H$25</f>
        <v>0</v>
      </c>
      <c r="IP12" s="1358">
        <f>'[1]0681C'!$K$26</f>
        <v>18</v>
      </c>
      <c r="IQ12" s="1354">
        <f>'[1]0681C'!$M$26</f>
        <v>16</v>
      </c>
      <c r="IR12" s="183">
        <f>'[1]0681C'!$V$19</f>
        <v>1</v>
      </c>
      <c r="IS12" s="183">
        <f>'[1]0681C'!$V$20</f>
        <v>2</v>
      </c>
      <c r="IT12" s="183">
        <f>'[1]0681C'!$V$21</f>
        <v>1</v>
      </c>
      <c r="IU12" s="782">
        <f>'[1]0681C'!$V$22</f>
        <v>0</v>
      </c>
      <c r="IV12" s="779">
        <f>'[1]0681C'!$D$38</f>
        <v>1</v>
      </c>
      <c r="IW12" s="183">
        <f>'[1]0681C'!$G$38</f>
        <v>1</v>
      </c>
      <c r="IX12" s="183">
        <f>'[1]0681C'!$J$38</f>
        <v>1</v>
      </c>
      <c r="IY12" s="183">
        <f>'[1]0681C'!$M$38</f>
        <v>1</v>
      </c>
      <c r="IZ12" s="183">
        <f>'[1]0681C'!$P$38</f>
        <v>2</v>
      </c>
      <c r="JA12" s="782">
        <f>'[1]0681C'!$S$38</f>
        <v>1</v>
      </c>
      <c r="JB12" s="1944" t="str">
        <f>'[1]0681C'!$F$44</f>
        <v>DULCE RUTH CERVERA VIDAL</v>
      </c>
      <c r="JC12" s="1945" t="str">
        <f>'[1]0681C'!$O$44</f>
        <v>JESUS MARTIN RICALDE CASTRO</v>
      </c>
      <c r="JD12" s="779">
        <f t="shared" si="7"/>
        <v>34</v>
      </c>
      <c r="JE12" s="183">
        <f t="shared" si="8"/>
        <v>35</v>
      </c>
      <c r="JF12" s="183">
        <f t="shared" si="9"/>
        <v>34</v>
      </c>
      <c r="JG12" s="183">
        <f t="shared" si="10"/>
        <v>34</v>
      </c>
      <c r="JH12" s="183">
        <f t="shared" si="11"/>
        <v>58</v>
      </c>
      <c r="JI12" s="782">
        <f t="shared" si="30"/>
        <v>34</v>
      </c>
      <c r="JJ12" s="779">
        <f t="shared" si="12"/>
        <v>1</v>
      </c>
      <c r="JK12" s="183">
        <f t="shared" si="13"/>
        <v>1</v>
      </c>
      <c r="JL12" s="183">
        <f t="shared" si="14"/>
        <v>3</v>
      </c>
      <c r="JM12" s="183">
        <f t="shared" si="15"/>
        <v>3</v>
      </c>
      <c r="JN12" s="183">
        <f t="shared" si="16"/>
        <v>6</v>
      </c>
      <c r="JO12" s="183">
        <f t="shared" si="17"/>
        <v>2</v>
      </c>
      <c r="JP12" s="779">
        <f t="shared" si="18"/>
        <v>0</v>
      </c>
      <c r="JQ12" s="183">
        <f t="shared" si="19"/>
        <v>3</v>
      </c>
      <c r="JR12" s="183">
        <f t="shared" si="20"/>
        <v>2</v>
      </c>
      <c r="JS12" s="183">
        <f t="shared" si="21"/>
        <v>2</v>
      </c>
      <c r="JT12" s="183">
        <f t="shared" si="31"/>
        <v>7</v>
      </c>
      <c r="JU12" s="183">
        <f t="shared" si="22"/>
        <v>2</v>
      </c>
      <c r="JV12" s="779">
        <f t="shared" si="23"/>
        <v>35</v>
      </c>
      <c r="JW12" s="183">
        <f t="shared" si="24"/>
        <v>33</v>
      </c>
      <c r="JX12" s="183">
        <f t="shared" si="25"/>
        <v>35</v>
      </c>
      <c r="JY12" s="183">
        <f t="shared" si="26"/>
        <v>35</v>
      </c>
      <c r="JZ12" s="183">
        <f t="shared" si="27"/>
        <v>57</v>
      </c>
      <c r="KA12" s="782">
        <f t="shared" si="28"/>
        <v>34</v>
      </c>
      <c r="KB12" s="183">
        <f t="shared" si="29"/>
        <v>0</v>
      </c>
      <c r="KC12" s="183">
        <f t="shared" si="2"/>
        <v>0</v>
      </c>
      <c r="KD12" s="183">
        <f t="shared" si="3"/>
        <v>0</v>
      </c>
      <c r="KE12" s="183">
        <f t="shared" si="4"/>
        <v>0</v>
      </c>
      <c r="KF12" s="183">
        <f t="shared" si="5"/>
        <v>0</v>
      </c>
      <c r="KG12" s="782">
        <f t="shared" si="6"/>
        <v>0</v>
      </c>
      <c r="KH12" s="1358">
        <v>11</v>
      </c>
      <c r="KI12" s="1956" t="s">
        <v>1818</v>
      </c>
      <c r="KJ12" s="1956" t="s">
        <v>1818</v>
      </c>
      <c r="KK12" s="1956" t="s">
        <v>1818</v>
      </c>
      <c r="KL12" s="1956" t="s">
        <v>1818</v>
      </c>
      <c r="KM12" s="1956" t="s">
        <v>1818</v>
      </c>
      <c r="KN12" s="1956" t="s">
        <v>1818</v>
      </c>
      <c r="KO12" s="1956" t="s">
        <v>1818</v>
      </c>
      <c r="KP12" s="1956" t="s">
        <v>1818</v>
      </c>
      <c r="KQ12" s="1956" t="s">
        <v>1818</v>
      </c>
      <c r="KR12" s="1956" t="s">
        <v>1818</v>
      </c>
      <c r="KS12" s="1956" t="s">
        <v>1818</v>
      </c>
      <c r="KT12" s="1956" t="s">
        <v>1818</v>
      </c>
      <c r="KU12" s="1956" t="s">
        <v>1818</v>
      </c>
      <c r="KV12" s="1956"/>
      <c r="KW12" s="1956"/>
      <c r="KX12" s="1956"/>
      <c r="KY12" s="1956"/>
      <c r="KZ12" s="1956"/>
      <c r="LA12" s="1956"/>
      <c r="LB12" s="1932"/>
      <c r="LC12" s="2696">
        <v>11</v>
      </c>
      <c r="LD12" s="3744" t="str">
        <f>Plantillas!S$437</f>
        <v>RAPD830915M</v>
      </c>
      <c r="LE12" s="3744" t="str">
        <f>Plantillas!S$438</f>
        <v>HESL790503M</v>
      </c>
      <c r="LF12" s="3744">
        <f>Plantillas!S$439</f>
        <v>0</v>
      </c>
      <c r="LG12" s="3744" t="str">
        <f>Plantillas!S$440</f>
        <v>PAKO750123H</v>
      </c>
      <c r="LH12" s="3744">
        <f>Plantillas!S$441</f>
        <v>0</v>
      </c>
      <c r="LI12" s="3744" t="str">
        <f>Plantillas!S$442</f>
        <v>CABF860506M</v>
      </c>
      <c r="LJ12" s="3744" t="str">
        <f>Plantillas!S$443</f>
        <v>GASM880115H</v>
      </c>
      <c r="LK12" s="3744" t="str">
        <f>Plantillas!S$444</f>
        <v>CAAD810525M</v>
      </c>
      <c r="LL12" s="3744" t="str">
        <f>Plantillas!S$445</f>
        <v>MACG530722M</v>
      </c>
      <c r="LM12" s="3744" t="str">
        <f>Plantillas!S$446</f>
        <v>RASY670704M</v>
      </c>
      <c r="LN12" s="3744" t="str">
        <f>Plantillas!S$447</f>
        <v>GOCA730402M</v>
      </c>
      <c r="LO12" s="3744" t="str">
        <f>Plantillas!S$448</f>
        <v>AIAM590822M</v>
      </c>
      <c r="LP12" s="3744" t="str">
        <f>Plantillas!S$449</f>
        <v>ROMC690527M</v>
      </c>
      <c r="LQ12" s="3744">
        <f>Plantillas!S$450</f>
        <v>0</v>
      </c>
      <c r="LR12" s="3744">
        <f>Plantillas!S$451</f>
        <v>0</v>
      </c>
      <c r="LS12" s="3744">
        <f>Plantillas!S$452</f>
        <v>0</v>
      </c>
      <c r="LT12" s="3744">
        <f>Plantillas!S$453</f>
        <v>0</v>
      </c>
      <c r="LU12" s="3744">
        <f>Plantillas!S$454</f>
        <v>0</v>
      </c>
      <c r="LV12" s="3744">
        <f>Plantillas!S$455</f>
        <v>0</v>
      </c>
      <c r="LW12" s="3745">
        <f>Plantillas!S$456</f>
        <v>0</v>
      </c>
      <c r="LX12" s="19" t="s">
        <v>79</v>
      </c>
    </row>
    <row r="13" spans="1:336" s="19" customFormat="1" ht="14.25" customHeight="1" thickBot="1">
      <c r="A13" s="126"/>
      <c r="B13" s="3836"/>
      <c r="C13" s="3839"/>
      <c r="D13" s="3861"/>
      <c r="E13" s="3862"/>
      <c r="F13" s="3862"/>
      <c r="G13" s="3862"/>
      <c r="H13" s="3862"/>
      <c r="I13" s="3863"/>
      <c r="J13" s="3810"/>
      <c r="K13" s="3811"/>
      <c r="L13" s="3810"/>
      <c r="M13" s="3811"/>
      <c r="N13" s="3810"/>
      <c r="O13" s="3811"/>
      <c r="P13" s="3810"/>
      <c r="Q13" s="3811"/>
      <c r="R13" s="3810"/>
      <c r="S13" s="3811"/>
      <c r="T13" s="3810"/>
      <c r="U13" s="3811"/>
      <c r="V13" s="3810"/>
      <c r="W13" s="3811"/>
      <c r="X13" s="3810"/>
      <c r="Y13" s="3811"/>
      <c r="Z13" s="3810"/>
      <c r="AA13" s="3811"/>
      <c r="AB13" s="3810"/>
      <c r="AC13" s="3811"/>
      <c r="AD13" s="3810"/>
      <c r="AE13" s="3811"/>
      <c r="AF13" s="3810"/>
      <c r="AG13" s="3811"/>
      <c r="AH13" s="3810"/>
      <c r="AI13" s="3811"/>
      <c r="AJ13" s="3810"/>
      <c r="AK13" s="3811"/>
      <c r="AL13" s="3166"/>
      <c r="AM13" s="3166"/>
      <c r="AN13" s="3187" t="s">
        <v>6</v>
      </c>
      <c r="AO13" s="3168"/>
      <c r="AP13" s="3166"/>
      <c r="AQ13" s="3166"/>
      <c r="AR13" s="3166"/>
      <c r="AS13" s="3166"/>
      <c r="AT13" s="3166"/>
      <c r="AU13" s="3166"/>
      <c r="AV13" s="3167"/>
      <c r="AW13" s="2804" t="s">
        <v>79</v>
      </c>
      <c r="AX13" s="1950">
        <v>12</v>
      </c>
      <c r="AY13" s="1951" t="str">
        <f>Plantillas!D$472</f>
        <v>COLEGIO HISPANOAMERICANO LA LUNA</v>
      </c>
      <c r="AZ13" s="1951" t="str">
        <f>Plantillas!M$472</f>
        <v>23PPR0100L</v>
      </c>
      <c r="BA13" s="1951" t="str">
        <f>Plantillas!Q$472</f>
        <v>MATUTINO</v>
      </c>
      <c r="BB13" s="2388">
        <f>Plantillas!Z$503</f>
        <v>6</v>
      </c>
      <c r="BC13" s="1952">
        <f>Plantillas!C$473</f>
        <v>0</v>
      </c>
      <c r="BD13" s="1951" t="str">
        <f>Plantillas!P$473</f>
        <v>9981 23 57 16</v>
      </c>
      <c r="BE13" s="1953" t="str">
        <f>Plantillas!E$507</f>
        <v>CRUZ MARTINEZ * BELEM</v>
      </c>
      <c r="BF13" s="1952">
        <f>Plantillas!AA$503</f>
        <v>128</v>
      </c>
      <c r="BG13" s="1950">
        <v>12</v>
      </c>
      <c r="BH13" s="1951" t="str">
        <f>Plantillas!B$477</f>
        <v>CRUZ MARTINEZ * BELEM</v>
      </c>
      <c r="BI13" s="1951">
        <f>Plantillas!B$478</f>
        <v>0</v>
      </c>
      <c r="BJ13" s="1951" t="str">
        <f>Plantillas!B$479</f>
        <v>CAN BASTO * CRISHTY</v>
      </c>
      <c r="BK13" s="1951" t="str">
        <f>Plantillas!B$480</f>
        <v>MONTAÑO CASTILLO * MARIANA</v>
      </c>
      <c r="BL13" s="1951" t="str">
        <f>Plantillas!B$481</f>
        <v>GOMEZ RIVERA *  SULEMA</v>
      </c>
      <c r="BM13" s="1951" t="str">
        <f>Plantillas!B$482</f>
        <v>SANCHEZ DE LA CRUZ * ADELA DEL CARMEN</v>
      </c>
      <c r="BN13" s="1951" t="str">
        <f>Plantillas!B$483</f>
        <v>SEGURA MARQUEZ * GRISELDA</v>
      </c>
      <c r="BO13" s="1951" t="str">
        <f>Plantillas!B$484</f>
        <v>OVIEDO GARCIA * FRANCISCA GABRIELA</v>
      </c>
      <c r="BP13" s="1951" t="str">
        <f>Plantillas!B$485</f>
        <v>IZQUIERDO PACHECO * IRMA ISABEL</v>
      </c>
      <c r="BQ13" s="1954" t="str">
        <f>Plantillas!B$486</f>
        <v>BADILLO VILLALPANDO * CLAUDIA TRINIDAD</v>
      </c>
      <c r="BR13" s="1954" t="str">
        <f>Plantillas!B$487</f>
        <v>MORENO CORONADO * LUCIA</v>
      </c>
      <c r="BS13" s="1954" t="str">
        <f>Plantillas!B$488</f>
        <v>ESTEVEZ TRUJEQUE * QUETZALLI</v>
      </c>
      <c r="BT13" s="1954" t="str">
        <f>Plantillas!B$489</f>
        <v>PALMA HERNANDEZ * ENEY</v>
      </c>
      <c r="BU13" s="1954" t="str">
        <f>Plantillas!B$490</f>
        <v>PEREZ RODRIGUEZ * JOSE LUIS</v>
      </c>
      <c r="BV13" s="1954">
        <f>Plantillas!B$491</f>
        <v>0</v>
      </c>
      <c r="BW13" s="1954">
        <f>Plantillas!B$492</f>
        <v>0</v>
      </c>
      <c r="BX13" s="1954">
        <f>Plantillas!B$493</f>
        <v>0</v>
      </c>
      <c r="BY13" s="1954">
        <f>Plantillas!B$494</f>
        <v>0</v>
      </c>
      <c r="BZ13" s="1954">
        <f>Plantillas!B$495</f>
        <v>0</v>
      </c>
      <c r="CA13" s="1955">
        <f>Plantillas!B$496</f>
        <v>0</v>
      </c>
      <c r="CB13" s="1361">
        <v>12</v>
      </c>
      <c r="CC13" s="1954">
        <f>Plantillas!J$477</f>
        <v>0</v>
      </c>
      <c r="CD13" s="1954">
        <f>Plantillas!J$478</f>
        <v>0</v>
      </c>
      <c r="CE13" s="1954">
        <f>Plantillas!J$479</f>
        <v>0</v>
      </c>
      <c r="CF13" s="1954" t="str">
        <f>Plantillas!J$480</f>
        <v>MOCM850610858</v>
      </c>
      <c r="CG13" s="1954">
        <f>Plantillas!J$481</f>
        <v>0</v>
      </c>
      <c r="CH13" s="1954" t="str">
        <f>Plantillas!J$482</f>
        <v>SAAC000000XXX</v>
      </c>
      <c r="CI13" s="1954" t="str">
        <f>Plantillas!J$483</f>
        <v>SEMG681107GRO</v>
      </c>
      <c r="CJ13" s="1954" t="str">
        <f>Plantillas!J$484</f>
        <v>OIGF750502QK4</v>
      </c>
      <c r="CK13" s="1954" t="str">
        <f>Plantillas!J$485</f>
        <v>IUPI670124FG7</v>
      </c>
      <c r="CL13" s="1954" t="str">
        <f>Plantillas!J$486</f>
        <v>BAVC691223V89</v>
      </c>
      <c r="CM13" s="1954" t="str">
        <f>Plantillas!J$487</f>
        <v>MOCL491213KV3</v>
      </c>
      <c r="CN13" s="1954" t="str">
        <f>Plantillas!J$488</f>
        <v>EETQ820705C54</v>
      </c>
      <c r="CO13" s="1954" t="str">
        <f>Plantillas!J$489</f>
        <v>PAHE841010CK2</v>
      </c>
      <c r="CP13" s="1954" t="str">
        <f>Plantillas!J$490</f>
        <v>PERL770721AC1</v>
      </c>
      <c r="CQ13" s="1954">
        <f>Plantillas!J$491</f>
        <v>0</v>
      </c>
      <c r="CR13" s="1954">
        <f>Plantillas!J$492</f>
        <v>0</v>
      </c>
      <c r="CS13" s="1954">
        <f>Plantillas!J$493</f>
        <v>0</v>
      </c>
      <c r="CT13" s="1954">
        <f>Plantillas!J$494</f>
        <v>0</v>
      </c>
      <c r="CU13" s="1954">
        <f>Plantillas!J$495</f>
        <v>0</v>
      </c>
      <c r="CV13" s="1954">
        <f>Plantillas!J$496</f>
        <v>0</v>
      </c>
      <c r="CW13" s="1361">
        <v>12</v>
      </c>
      <c r="CX13" s="1954">
        <f>Plantillas!K$477</f>
        <v>0</v>
      </c>
      <c r="CY13" s="1954">
        <f>Plantillas!K$478</f>
        <v>0</v>
      </c>
      <c r="CZ13" s="1954">
        <f>Plantillas!K$479</f>
        <v>0</v>
      </c>
      <c r="DA13" s="1954">
        <f>Plantillas!K$480</f>
        <v>99999</v>
      </c>
      <c r="DB13" s="1954">
        <f>Plantillas!K$481</f>
        <v>0</v>
      </c>
      <c r="DC13" s="1954">
        <f>Plantillas!K$482</f>
        <v>99999</v>
      </c>
      <c r="DD13" s="1954">
        <f>Plantillas!K$483</f>
        <v>99999</v>
      </c>
      <c r="DE13" s="1954">
        <f>Plantillas!K$484</f>
        <v>99999</v>
      </c>
      <c r="DF13" s="1954">
        <f>Plantillas!K$485</f>
        <v>99999</v>
      </c>
      <c r="DG13" s="1954">
        <f>Plantillas!K$486</f>
        <v>99999</v>
      </c>
      <c r="DH13" s="1954">
        <f>Plantillas!K$487</f>
        <v>99999</v>
      </c>
      <c r="DI13" s="1954">
        <f>Plantillas!K$488</f>
        <v>99999</v>
      </c>
      <c r="DJ13" s="1954">
        <f>Plantillas!K$489</f>
        <v>99999</v>
      </c>
      <c r="DK13" s="1954">
        <f>Plantillas!K$490</f>
        <v>99999</v>
      </c>
      <c r="DL13" s="1954">
        <f>Plantillas!K$491</f>
        <v>0</v>
      </c>
      <c r="DM13" s="1954">
        <f>Plantillas!K$492</f>
        <v>0</v>
      </c>
      <c r="DN13" s="1954">
        <f>Plantillas!K$493</f>
        <v>0</v>
      </c>
      <c r="DO13" s="1954">
        <f>Plantillas!K$494</f>
        <v>0</v>
      </c>
      <c r="DP13" s="1954">
        <f>Plantillas!K$495</f>
        <v>0</v>
      </c>
      <c r="DQ13" s="1954">
        <f>Plantillas!K$496</f>
        <v>0</v>
      </c>
      <c r="DR13" s="1361">
        <v>12</v>
      </c>
      <c r="DS13" s="1954">
        <f>Plantillas!L$477</f>
        <v>0</v>
      </c>
      <c r="DT13" s="1954">
        <f>Plantillas!L$478</f>
        <v>0</v>
      </c>
      <c r="DU13" s="1954">
        <f>Plantillas!L$479</f>
        <v>0</v>
      </c>
      <c r="DV13" s="1954" t="str">
        <f>Plantillas!L$480</f>
        <v>INGLES</v>
      </c>
      <c r="DW13" s="1954">
        <f>Plantillas!L$481</f>
        <v>0</v>
      </c>
      <c r="DX13" s="1954" t="str">
        <f>Plantillas!L$482</f>
        <v>DOCENTE</v>
      </c>
      <c r="DY13" s="1954" t="str">
        <f>Plantillas!L$483</f>
        <v>INGLES</v>
      </c>
      <c r="DZ13" s="1954" t="str">
        <f>Plantillas!L$484</f>
        <v>INGLES</v>
      </c>
      <c r="EA13" s="1954" t="str">
        <f>Plantillas!L$485</f>
        <v>INGLES</v>
      </c>
      <c r="EB13" s="1954" t="str">
        <f>Plantillas!L$486</f>
        <v>INGLES</v>
      </c>
      <c r="EC13" s="1954" t="str">
        <f>Plantillas!L$487</f>
        <v>INGLES</v>
      </c>
      <c r="ED13" s="1954" t="str">
        <f>Plantillas!L$488</f>
        <v>ADMON</v>
      </c>
      <c r="EE13" s="1954" t="str">
        <f>Plantillas!L$489</f>
        <v>ADMON</v>
      </c>
      <c r="EF13" s="1954" t="str">
        <f>Plantillas!L$490</f>
        <v>INTENDENTE</v>
      </c>
      <c r="EG13" s="1954">
        <f>Plantillas!L$491</f>
        <v>0</v>
      </c>
      <c r="EH13" s="1954">
        <f>Plantillas!L$492</f>
        <v>0</v>
      </c>
      <c r="EI13" s="1954">
        <f>Plantillas!L$493</f>
        <v>0</v>
      </c>
      <c r="EJ13" s="1954">
        <f>Plantillas!L$494</f>
        <v>0</v>
      </c>
      <c r="EK13" s="1954">
        <f>Plantillas!L$495</f>
        <v>0</v>
      </c>
      <c r="EL13" s="1954">
        <f>Plantillas!L$496</f>
        <v>0</v>
      </c>
      <c r="EM13" s="1361">
        <v>12</v>
      </c>
      <c r="EN13" s="1956">
        <f>Plantillas!U$477</f>
        <v>0</v>
      </c>
      <c r="EO13" s="1956">
        <f>Plantillas!U$478</f>
        <v>0</v>
      </c>
      <c r="EP13" s="1956">
        <f>Plantillas!U$479</f>
        <v>0</v>
      </c>
      <c r="EQ13" s="1956">
        <f>Plantillas!U$480</f>
        <v>20</v>
      </c>
      <c r="ER13" s="1956">
        <f>Plantillas!U$481</f>
        <v>0</v>
      </c>
      <c r="ES13" s="1956">
        <f>Plantillas!U$482</f>
        <v>20</v>
      </c>
      <c r="ET13" s="1956">
        <f>Plantillas!U$483</f>
        <v>20</v>
      </c>
      <c r="EU13" s="1956">
        <f>Plantillas!U$484</f>
        <v>20</v>
      </c>
      <c r="EV13" s="1956">
        <f>Plantillas!U$485</f>
        <v>20</v>
      </c>
      <c r="EW13" s="1956">
        <f>Plantillas!U$486</f>
        <v>20</v>
      </c>
      <c r="EX13" s="1956">
        <f>Plantillas!U$487</f>
        <v>20</v>
      </c>
      <c r="EY13" s="1956">
        <f>Plantillas!U$488</f>
        <v>20</v>
      </c>
      <c r="EZ13" s="1956">
        <f>Plantillas!U$489</f>
        <v>20</v>
      </c>
      <c r="FA13" s="1956">
        <f>Plantillas!U$490</f>
        <v>20</v>
      </c>
      <c r="FB13" s="1956">
        <f>Plantillas!U$491</f>
        <v>0</v>
      </c>
      <c r="FC13" s="1956">
        <f>Plantillas!U$492</f>
        <v>0</v>
      </c>
      <c r="FD13" s="1956">
        <f>Plantillas!U$493</f>
        <v>0</v>
      </c>
      <c r="FE13" s="1956">
        <f>Plantillas!U$494</f>
        <v>0</v>
      </c>
      <c r="FF13" s="1956">
        <f>Plantillas!U$495</f>
        <v>0</v>
      </c>
      <c r="FG13" s="1957">
        <f>Plantillas!U$496</f>
        <v>0</v>
      </c>
      <c r="FH13" s="1361">
        <v>12</v>
      </c>
      <c r="FI13" s="1956">
        <f>Plantillas!T$477</f>
        <v>0</v>
      </c>
      <c r="FJ13" s="1956">
        <f>Plantillas!T$478</f>
        <v>0</v>
      </c>
      <c r="FK13" s="1956">
        <f>Plantillas!T$479</f>
        <v>0</v>
      </c>
      <c r="FL13" s="1956">
        <f>Plantillas!T$480</f>
        <v>0</v>
      </c>
      <c r="FM13" s="1956">
        <f>Plantillas!T$481</f>
        <v>0</v>
      </c>
      <c r="FN13" s="1956">
        <f>Plantillas!T$482</f>
        <v>0</v>
      </c>
      <c r="FO13" s="1956">
        <f>Plantillas!T$483</f>
        <v>0</v>
      </c>
      <c r="FP13" s="1956">
        <f>Plantillas!T$484</f>
        <v>0</v>
      </c>
      <c r="FQ13" s="1956">
        <f>Plantillas!T$485</f>
        <v>0</v>
      </c>
      <c r="FR13" s="1956">
        <f>Plantillas!T$486</f>
        <v>0</v>
      </c>
      <c r="FS13" s="1956">
        <f>Plantillas!T$487</f>
        <v>0</v>
      </c>
      <c r="FT13" s="1956">
        <f>Plantillas!T$488</f>
        <v>0</v>
      </c>
      <c r="FU13" s="1956">
        <f>Plantillas!T$489</f>
        <v>0</v>
      </c>
      <c r="FV13" s="1956">
        <f>Plantillas!T$490</f>
        <v>0</v>
      </c>
      <c r="FW13" s="1956">
        <f>Plantillas!T$491</f>
        <v>0</v>
      </c>
      <c r="FX13" s="1956">
        <f>Plantillas!T$492</f>
        <v>0</v>
      </c>
      <c r="FY13" s="1956">
        <f>Plantillas!T$493</f>
        <v>0</v>
      </c>
      <c r="FZ13" s="1956">
        <f>Plantillas!T$494</f>
        <v>0</v>
      </c>
      <c r="GA13" s="1956">
        <f>Plantillas!T$495</f>
        <v>0</v>
      </c>
      <c r="GB13" s="1957">
        <f>Plantillas!T$496</f>
        <v>0</v>
      </c>
      <c r="GC13" s="1361">
        <v>12</v>
      </c>
      <c r="GD13" s="1353">
        <f>Plantillas!V$506</f>
        <v>17</v>
      </c>
      <c r="GE13" s="1353">
        <f>Plantillas!W$506</f>
        <v>21</v>
      </c>
      <c r="GF13" s="1353">
        <f>Plantillas!X$506</f>
        <v>26</v>
      </c>
      <c r="GG13" s="1353">
        <f>Plantillas!Y$506</f>
        <v>15</v>
      </c>
      <c r="GH13" s="1353">
        <f>Plantillas!Z$506</f>
        <v>24</v>
      </c>
      <c r="GI13" s="1353">
        <f>Plantillas!AA$506</f>
        <v>26</v>
      </c>
      <c r="GJ13" s="1353">
        <f t="shared" si="0"/>
        <v>129</v>
      </c>
      <c r="GK13" s="1354">
        <f>Plantillas!U$506</f>
        <v>23</v>
      </c>
      <c r="GL13" s="1361">
        <v>12</v>
      </c>
      <c r="GM13" s="2388">
        <f>Plantillas!H$477</f>
        <v>0</v>
      </c>
      <c r="GN13" s="2388">
        <f>Plantillas!H$478</f>
        <v>0</v>
      </c>
      <c r="GO13" s="2388">
        <f>Plantillas!H$479</f>
        <v>0</v>
      </c>
      <c r="GP13" s="2388">
        <f>Plantillas!H$480</f>
        <v>0</v>
      </c>
      <c r="GQ13" s="2388">
        <f>Plantillas!H$481</f>
        <v>0</v>
      </c>
      <c r="GR13" s="2388">
        <f>Plantillas!H$482</f>
        <v>0</v>
      </c>
      <c r="GS13" s="2388">
        <f>Plantillas!H$483</f>
        <v>0</v>
      </c>
      <c r="GT13" s="2388">
        <f>Plantillas!H$484</f>
        <v>0</v>
      </c>
      <c r="GU13" s="2388">
        <f>Plantillas!H$485</f>
        <v>0</v>
      </c>
      <c r="GV13" s="2388">
        <f>Plantillas!H$486</f>
        <v>0</v>
      </c>
      <c r="GW13" s="2388">
        <f>Plantillas!H$487</f>
        <v>0</v>
      </c>
      <c r="GX13" s="2388">
        <f>Plantillas!H$488</f>
        <v>0</v>
      </c>
      <c r="GY13" s="2388">
        <f>Plantillas!H$489</f>
        <v>0</v>
      </c>
      <c r="GZ13" s="2388" t="str">
        <f>Plantillas!H$490</f>
        <v>X</v>
      </c>
      <c r="HA13" s="2388">
        <f>Plantillas!H$491</f>
        <v>0</v>
      </c>
      <c r="HB13" s="2388">
        <f>Plantillas!H$492</f>
        <v>0</v>
      </c>
      <c r="HC13" s="2388">
        <f>Plantillas!H$493</f>
        <v>0</v>
      </c>
      <c r="HD13" s="2388">
        <f>Plantillas!H$494</f>
        <v>0</v>
      </c>
      <c r="HE13" s="2388">
        <f>Plantillas!H$495</f>
        <v>0</v>
      </c>
      <c r="HF13" s="2389">
        <f>Plantillas!H$496</f>
        <v>0</v>
      </c>
      <c r="HG13" s="778">
        <v>11</v>
      </c>
      <c r="HH13" s="1942">
        <f>'[1]0688W'!$S$3</f>
        <v>0</v>
      </c>
      <c r="HI13" s="2375">
        <f>'[1]0688W'!$C$6</f>
        <v>0</v>
      </c>
      <c r="HJ13" s="2376">
        <f>'[1]0688W'!$H$6</f>
        <v>0</v>
      </c>
      <c r="HK13" s="2376">
        <f>'[1]0688W'!$C$8</f>
        <v>0</v>
      </c>
      <c r="HL13" s="2376">
        <f>'[1]0688W'!$I$8</f>
        <v>0</v>
      </c>
      <c r="HM13" s="2376">
        <f>'[1]0688W'!$C$10</f>
        <v>0</v>
      </c>
      <c r="HN13" s="2376">
        <f>'[1]0688W'!$I$10</f>
        <v>0</v>
      </c>
      <c r="HO13" s="2373">
        <f>'[1]0688W'!$E$13</f>
        <v>0</v>
      </c>
      <c r="HP13" s="2374">
        <f>'[1]0688W'!$I$13</f>
        <v>0</v>
      </c>
      <c r="HQ13" s="2372">
        <f>'[1]0688W'!$Q$6</f>
        <v>0</v>
      </c>
      <c r="HR13" s="2373">
        <f>'[1]0688W'!$U$6</f>
        <v>0</v>
      </c>
      <c r="HS13" s="2373">
        <f>'[1]0688W'!$Q$7</f>
        <v>0</v>
      </c>
      <c r="HT13" s="2373">
        <f>'[1]0688W'!$U$7</f>
        <v>0</v>
      </c>
      <c r="HU13" s="2373">
        <f>'[1]0688W'!$Q$8</f>
        <v>0</v>
      </c>
      <c r="HV13" s="2373">
        <f>'[1]0688W'!$U$8</f>
        <v>0</v>
      </c>
      <c r="HW13" s="2373">
        <f>'[1]0688W'!$X$8</f>
        <v>0</v>
      </c>
      <c r="HX13" s="2373">
        <f>'[1]0688W'!$Q$9</f>
        <v>0</v>
      </c>
      <c r="HY13" s="2373">
        <f>'[1]0688W'!$U$9</f>
        <v>0</v>
      </c>
      <c r="HZ13" s="2373">
        <f>'[1]0688W'!$Q$10</f>
        <v>0</v>
      </c>
      <c r="IA13" s="2373">
        <f>'[1]0688W'!$U$10</f>
        <v>0</v>
      </c>
      <c r="IB13" s="2373">
        <f>'[1]0688W'!$P$13</f>
        <v>0</v>
      </c>
      <c r="IC13" s="2373">
        <f>'[1]0688W'!$Q$13</f>
        <v>0</v>
      </c>
      <c r="ID13" s="2373">
        <f>'[1]0688W'!$R$13</f>
        <v>0</v>
      </c>
      <c r="IE13" s="2373">
        <f>'[1]0688W'!$S$13</f>
        <v>0</v>
      </c>
      <c r="IF13" s="2374">
        <f>'[1]0688W'!$U$13</f>
        <v>0</v>
      </c>
      <c r="IG13" s="2372">
        <f>'[1]0688W'!$F$17</f>
        <v>0</v>
      </c>
      <c r="IH13" s="2373">
        <f>'[1]0688W'!$F$18</f>
        <v>0</v>
      </c>
      <c r="II13" s="2373">
        <f>'[1]0688W'!$F$19</f>
        <v>0</v>
      </c>
      <c r="IJ13" s="2373">
        <f>'[1]0688W'!$F$20</f>
        <v>0</v>
      </c>
      <c r="IK13" s="2373">
        <f>'[1]0688W'!$H$21</f>
        <v>0</v>
      </c>
      <c r="IL13" s="2373">
        <f>'[1]0688W'!$H$22</f>
        <v>0</v>
      </c>
      <c r="IM13" s="2373">
        <f>'[1]0688W'!$H$23</f>
        <v>0</v>
      </c>
      <c r="IN13" s="2373">
        <f>'[1]0688W'!$H$24</f>
        <v>0</v>
      </c>
      <c r="IO13" s="2373">
        <f>'[1]0688W'!$H$25</f>
        <v>0</v>
      </c>
      <c r="IP13" s="2368">
        <f>'[1]0688W'!$K$26</f>
        <v>0</v>
      </c>
      <c r="IQ13" s="2371">
        <f>'[1]0688W'!$M$26</f>
        <v>0</v>
      </c>
      <c r="IR13" s="2373">
        <f>'[1]0688W'!$V$19</f>
        <v>0</v>
      </c>
      <c r="IS13" s="2373">
        <f>'[1]0688W'!$V$20</f>
        <v>0</v>
      </c>
      <c r="IT13" s="2373">
        <f>'[1]0688W'!$V$21</f>
        <v>0</v>
      </c>
      <c r="IU13" s="2374">
        <f>'[1]0688W'!$V$22</f>
        <v>0</v>
      </c>
      <c r="IV13" s="2715">
        <f>'[1]0688W'!$D$38</f>
        <v>0</v>
      </c>
      <c r="IW13" s="2369">
        <f>'[1]0688W'!$G$38</f>
        <v>0</v>
      </c>
      <c r="IX13" s="2369">
        <f>'[1]0688W'!$J$38</f>
        <v>0</v>
      </c>
      <c r="IY13" s="2369">
        <f>'[1]0688W'!$M$38</f>
        <v>0</v>
      </c>
      <c r="IZ13" s="2369">
        <f>'[1]0688W'!$P$38</f>
        <v>0</v>
      </c>
      <c r="JA13" s="2371">
        <f>'[1]0688W'!$S$38</f>
        <v>0</v>
      </c>
      <c r="JB13" s="2716">
        <f>'[1]0688W'!$F$44</f>
        <v>0</v>
      </c>
      <c r="JC13" s="2717" t="str">
        <f>'[1]0688W'!$O$44</f>
        <v>JESUS MARTIN RICALDE CASTRO</v>
      </c>
      <c r="JD13" s="2715">
        <f t="shared" si="7"/>
        <v>0</v>
      </c>
      <c r="JE13" s="2369">
        <f t="shared" si="8"/>
        <v>0</v>
      </c>
      <c r="JF13" s="2369">
        <f t="shared" si="9"/>
        <v>0</v>
      </c>
      <c r="JG13" s="2369">
        <f t="shared" si="10"/>
        <v>0</v>
      </c>
      <c r="JH13" s="2369">
        <f t="shared" si="11"/>
        <v>0</v>
      </c>
      <c r="JI13" s="2371">
        <f t="shared" si="30"/>
        <v>0</v>
      </c>
      <c r="JJ13" s="2372">
        <f t="shared" si="12"/>
        <v>0</v>
      </c>
      <c r="JK13" s="2373">
        <f t="shared" si="13"/>
        <v>0</v>
      </c>
      <c r="JL13" s="2373">
        <f t="shared" si="14"/>
        <v>0</v>
      </c>
      <c r="JM13" s="2373">
        <f t="shared" si="15"/>
        <v>0</v>
      </c>
      <c r="JN13" s="2373">
        <f t="shared" si="16"/>
        <v>0</v>
      </c>
      <c r="JO13" s="2373">
        <f t="shared" si="17"/>
        <v>0</v>
      </c>
      <c r="JP13" s="2372">
        <f t="shared" si="18"/>
        <v>0</v>
      </c>
      <c r="JQ13" s="2373">
        <f t="shared" si="19"/>
        <v>0</v>
      </c>
      <c r="JR13" s="2373">
        <f t="shared" si="20"/>
        <v>0</v>
      </c>
      <c r="JS13" s="2373">
        <f t="shared" si="21"/>
        <v>0</v>
      </c>
      <c r="JT13" s="2373">
        <f t="shared" si="31"/>
        <v>0</v>
      </c>
      <c r="JU13" s="2373">
        <f t="shared" si="22"/>
        <v>0</v>
      </c>
      <c r="JV13" s="2372">
        <f t="shared" si="23"/>
        <v>0</v>
      </c>
      <c r="JW13" s="2373">
        <f t="shared" si="24"/>
        <v>0</v>
      </c>
      <c r="JX13" s="2373">
        <f t="shared" si="25"/>
        <v>0</v>
      </c>
      <c r="JY13" s="2373">
        <f t="shared" si="26"/>
        <v>0</v>
      </c>
      <c r="JZ13" s="2373">
        <f t="shared" si="27"/>
        <v>0</v>
      </c>
      <c r="KA13" s="2374">
        <f t="shared" si="28"/>
        <v>0</v>
      </c>
      <c r="KB13" s="2373">
        <f t="shared" si="29"/>
        <v>0</v>
      </c>
      <c r="KC13" s="2373">
        <f t="shared" si="2"/>
        <v>0</v>
      </c>
      <c r="KD13" s="2373">
        <f t="shared" si="3"/>
        <v>0</v>
      </c>
      <c r="KE13" s="2373">
        <f t="shared" si="4"/>
        <v>0</v>
      </c>
      <c r="KF13" s="2373">
        <f t="shared" si="5"/>
        <v>0</v>
      </c>
      <c r="KG13" s="2374">
        <f t="shared" si="6"/>
        <v>0</v>
      </c>
      <c r="KH13" s="1361">
        <v>12</v>
      </c>
      <c r="KI13" s="1956" t="s">
        <v>1820</v>
      </c>
      <c r="KJ13" s="1956" t="s">
        <v>1820</v>
      </c>
      <c r="KK13" s="1956" t="s">
        <v>1820</v>
      </c>
      <c r="KL13" s="1956" t="s">
        <v>1820</v>
      </c>
      <c r="KM13" s="1956" t="s">
        <v>1820</v>
      </c>
      <c r="KN13" s="1956" t="s">
        <v>1820</v>
      </c>
      <c r="KO13" s="1956" t="s">
        <v>1820</v>
      </c>
      <c r="KP13" s="1956" t="s">
        <v>1820</v>
      </c>
      <c r="KQ13" s="1956" t="s">
        <v>1820</v>
      </c>
      <c r="KR13" s="1956" t="s">
        <v>1820</v>
      </c>
      <c r="KS13" s="1956" t="s">
        <v>1820</v>
      </c>
      <c r="KT13" s="1956" t="s">
        <v>1820</v>
      </c>
      <c r="KU13" s="1956" t="s">
        <v>1820</v>
      </c>
      <c r="KV13" s="1956" t="s">
        <v>1820</v>
      </c>
      <c r="KW13" s="1956" t="s">
        <v>1820</v>
      </c>
      <c r="KX13" s="1956"/>
      <c r="KY13" s="1956"/>
      <c r="KZ13" s="1956"/>
      <c r="LA13" s="1956"/>
      <c r="LB13" s="1957"/>
      <c r="LC13" s="2662">
        <v>12</v>
      </c>
      <c r="LD13" s="3748">
        <f>Plantillas!S$477</f>
        <v>0</v>
      </c>
      <c r="LE13" s="3748">
        <f>Plantillas!S$478</f>
        <v>0</v>
      </c>
      <c r="LF13" s="3748">
        <f>Plantillas!S$479</f>
        <v>0</v>
      </c>
      <c r="LG13" s="3748" t="str">
        <f>Plantillas!S$480</f>
        <v>MOCM850610M</v>
      </c>
      <c r="LH13" s="3748">
        <f>Plantillas!S$481</f>
        <v>0</v>
      </c>
      <c r="LI13" s="3748" t="str">
        <f>Plantillas!S$482</f>
        <v>SAXA000000M</v>
      </c>
      <c r="LJ13" s="3748" t="str">
        <f>Plantillas!S$483</f>
        <v>SEMG681107M</v>
      </c>
      <c r="LK13" s="3748" t="str">
        <f>Plantillas!S$484</f>
        <v>OIGF750502M</v>
      </c>
      <c r="LL13" s="3748" t="str">
        <f>Plantillas!S$485</f>
        <v>IUPI670124M</v>
      </c>
      <c r="LM13" s="3748" t="str">
        <f>Plantillas!S$486</f>
        <v>BAVC691223M</v>
      </c>
      <c r="LN13" s="3748" t="str">
        <f>Plantillas!S$487</f>
        <v>MOCL491213M</v>
      </c>
      <c r="LO13" s="3748" t="str">
        <f>Plantillas!S$488</f>
        <v>EETQ820705M</v>
      </c>
      <c r="LP13" s="3748" t="str">
        <f>Plantillas!S$489</f>
        <v>PAHE841010M</v>
      </c>
      <c r="LQ13" s="3748" t="str">
        <f>Plantillas!S$490</f>
        <v>PERL770721H</v>
      </c>
      <c r="LR13" s="3748">
        <f>Plantillas!S$491</f>
        <v>0</v>
      </c>
      <c r="LS13" s="3748">
        <f>Plantillas!S$492</f>
        <v>0</v>
      </c>
      <c r="LT13" s="3748">
        <f>Plantillas!S$493</f>
        <v>0</v>
      </c>
      <c r="LU13" s="3748">
        <f>Plantillas!S$494</f>
        <v>0</v>
      </c>
      <c r="LV13" s="3748">
        <f>Plantillas!S$495</f>
        <v>0</v>
      </c>
      <c r="LW13" s="3749">
        <f>Plantillas!S$496</f>
        <v>0</v>
      </c>
    </row>
    <row r="14" spans="1:336" s="19" customFormat="1" ht="14.25" customHeight="1">
      <c r="A14" s="126"/>
      <c r="B14" s="3836"/>
      <c r="C14" s="3839"/>
      <c r="D14" s="3861"/>
      <c r="E14" s="3862"/>
      <c r="F14" s="3862"/>
      <c r="G14" s="3862"/>
      <c r="H14" s="3862"/>
      <c r="I14" s="3863"/>
      <c r="J14" s="3810"/>
      <c r="K14" s="3811"/>
      <c r="L14" s="3810"/>
      <c r="M14" s="3811"/>
      <c r="N14" s="3810"/>
      <c r="O14" s="3811"/>
      <c r="P14" s="3810"/>
      <c r="Q14" s="3811"/>
      <c r="R14" s="3810"/>
      <c r="S14" s="3811"/>
      <c r="T14" s="3810"/>
      <c r="U14" s="3811"/>
      <c r="V14" s="3810"/>
      <c r="W14" s="3811"/>
      <c r="X14" s="3810"/>
      <c r="Y14" s="3811"/>
      <c r="Z14" s="3810"/>
      <c r="AA14" s="3811"/>
      <c r="AB14" s="3810"/>
      <c r="AC14" s="3811"/>
      <c r="AD14" s="3810"/>
      <c r="AE14" s="3811"/>
      <c r="AF14" s="3810"/>
      <c r="AG14" s="3811"/>
      <c r="AH14" s="3810"/>
      <c r="AI14" s="3811"/>
      <c r="AJ14" s="3810"/>
      <c r="AK14" s="3811"/>
      <c r="AL14" s="3166"/>
      <c r="AM14" s="3166"/>
      <c r="AN14" s="3166"/>
      <c r="AO14" s="3166"/>
      <c r="AP14" s="3166"/>
      <c r="AQ14" s="3166"/>
      <c r="AR14" s="3166"/>
      <c r="AS14" s="3166"/>
      <c r="AT14" s="3166"/>
      <c r="AU14" s="3166"/>
      <c r="AV14" s="3167"/>
      <c r="AW14" s="2804" t="s">
        <v>79</v>
      </c>
      <c r="AX14" s="1950">
        <v>13</v>
      </c>
      <c r="AY14" s="1951" t="str">
        <f>Plantillas!D$512</f>
        <v>JOSE VASCONCELOS</v>
      </c>
      <c r="AZ14" s="1951" t="str">
        <f>Plantillas!M$512</f>
        <v>23PPR0125U</v>
      </c>
      <c r="BA14" s="1951" t="str">
        <f>Plantillas!Q$512</f>
        <v>MATUTINO</v>
      </c>
      <c r="BB14" s="2388">
        <f>Plantillas!Z$543</f>
        <v>6</v>
      </c>
      <c r="BC14" s="1952">
        <f>Plantillas!C$513</f>
        <v>0</v>
      </c>
      <c r="BD14" s="1951" t="str">
        <f>Plantillas!P$513</f>
        <v>9981 47 65 68</v>
      </c>
      <c r="BE14" s="1953" t="str">
        <f>Plantillas!E$547</f>
        <v>RUIZ VALLE * PATRICIA</v>
      </c>
      <c r="BF14" s="1952">
        <f>Plantillas!AA$543</f>
        <v>61</v>
      </c>
      <c r="BG14" s="1950">
        <v>13</v>
      </c>
      <c r="BH14" s="1951" t="str">
        <f>Plantillas!B$517</f>
        <v>RUIZ VALLE * PATRICIA</v>
      </c>
      <c r="BI14" s="1951" t="str">
        <f>Plantillas!B$518</f>
        <v>C HALE HERRERA * LUZMY MIGANGELY</v>
      </c>
      <c r="BJ14" s="1951">
        <f>Plantillas!B$519</f>
        <v>0</v>
      </c>
      <c r="BK14" s="1951" t="str">
        <f>Plantillas!B$520</f>
        <v>CABALLERO CHAN * AMPARO ISABEL</v>
      </c>
      <c r="BL14" s="1951" t="str">
        <f>Plantillas!B$521</f>
        <v>MARTINEZ TORRES * SONIA CRISTHELL</v>
      </c>
      <c r="BM14" s="1951" t="str">
        <f>Plantillas!B$522</f>
        <v>CETINA EK * ADDY ISABELINA</v>
      </c>
      <c r="BN14" s="1951">
        <f>Plantillas!B$523</f>
        <v>0</v>
      </c>
      <c r="BO14" s="1951" t="str">
        <f>Plantillas!B$524</f>
        <v>BARRERA AVILA * ABRAN</v>
      </c>
      <c r="BP14" s="1951" t="str">
        <f>Plantillas!B$525</f>
        <v>SANTOS UC * DORA INES</v>
      </c>
      <c r="BQ14" s="1954">
        <f>Plantillas!B$526</f>
        <v>0</v>
      </c>
      <c r="BR14" s="1954">
        <f>Plantillas!B$527</f>
        <v>0</v>
      </c>
      <c r="BS14" s="1954">
        <f>Plantillas!B$528</f>
        <v>0</v>
      </c>
      <c r="BT14" s="1954">
        <f>Plantillas!B$529</f>
        <v>0</v>
      </c>
      <c r="BU14" s="1954">
        <f>Plantillas!B$530</f>
        <v>0</v>
      </c>
      <c r="BV14" s="1954">
        <f>Plantillas!B$531</f>
        <v>0</v>
      </c>
      <c r="BW14" s="1954">
        <f>Plantillas!B$532</f>
        <v>0</v>
      </c>
      <c r="BX14" s="1954">
        <f>Plantillas!B$533</f>
        <v>0</v>
      </c>
      <c r="BY14" s="1954">
        <f>Plantillas!B$534</f>
        <v>0</v>
      </c>
      <c r="BZ14" s="1954">
        <f>Plantillas!B$535</f>
        <v>0</v>
      </c>
      <c r="CA14" s="1955">
        <f>Plantillas!B$536</f>
        <v>0</v>
      </c>
      <c r="CB14" s="1361">
        <v>13</v>
      </c>
      <c r="CC14" s="1954" t="str">
        <f>Plantillas!J$517</f>
        <v>RUVP720331NA9</v>
      </c>
      <c r="CD14" s="1954">
        <f>Plantillas!J$518</f>
        <v>0</v>
      </c>
      <c r="CE14" s="1954">
        <f>Plantillas!J$519</f>
        <v>0</v>
      </c>
      <c r="CF14" s="1954" t="str">
        <f>Plantillas!J$520</f>
        <v>CACX840208IT2</v>
      </c>
      <c r="CG14" s="1954" t="str">
        <f>Plantillas!J$521</f>
        <v>VECN851113N92</v>
      </c>
      <c r="CH14" s="1954">
        <f>Plantillas!J$522</f>
        <v>0</v>
      </c>
      <c r="CI14" s="1954">
        <f>Plantillas!J$523</f>
        <v>0</v>
      </c>
      <c r="CJ14" s="1954" t="str">
        <f>Plantillas!J$524</f>
        <v>BAAA901113MJ2</v>
      </c>
      <c r="CK14" s="1954" t="str">
        <f>Plantillas!J$525</f>
        <v>SAUD591115Q9A</v>
      </c>
      <c r="CL14" s="1954">
        <f>Plantillas!J$526</f>
        <v>0</v>
      </c>
      <c r="CM14" s="1954">
        <f>Plantillas!J$527</f>
        <v>0</v>
      </c>
      <c r="CN14" s="1954">
        <f>Plantillas!J$528</f>
        <v>0</v>
      </c>
      <c r="CO14" s="1954">
        <f>Plantillas!J$529</f>
        <v>0</v>
      </c>
      <c r="CP14" s="1954">
        <f>Plantillas!J$530</f>
        <v>0</v>
      </c>
      <c r="CQ14" s="1954">
        <f>Plantillas!J$531</f>
        <v>0</v>
      </c>
      <c r="CR14" s="1954">
        <f>Plantillas!J$532</f>
        <v>0</v>
      </c>
      <c r="CS14" s="1954">
        <f>Plantillas!J$533</f>
        <v>0</v>
      </c>
      <c r="CT14" s="1954">
        <f>Plantillas!J$534</f>
        <v>0</v>
      </c>
      <c r="CU14" s="1954">
        <f>Plantillas!J$535</f>
        <v>0</v>
      </c>
      <c r="CV14" s="1954">
        <f>Plantillas!J$536</f>
        <v>0</v>
      </c>
      <c r="CW14" s="1361">
        <v>13</v>
      </c>
      <c r="CX14" s="1954">
        <f>Plantillas!K$517</f>
        <v>99999</v>
      </c>
      <c r="CY14" s="1954">
        <f>Plantillas!K$518</f>
        <v>0</v>
      </c>
      <c r="CZ14" s="1954">
        <f>Plantillas!K$519</f>
        <v>0</v>
      </c>
      <c r="DA14" s="1954">
        <f>Plantillas!K$520</f>
        <v>99999</v>
      </c>
      <c r="DB14" s="1954">
        <f>Plantillas!K$521</f>
        <v>99999</v>
      </c>
      <c r="DC14" s="1954">
        <f>Plantillas!K$522</f>
        <v>0</v>
      </c>
      <c r="DD14" s="1954">
        <f>Plantillas!K$523</f>
        <v>0</v>
      </c>
      <c r="DE14" s="1954">
        <f>Plantillas!K$524</f>
        <v>99999</v>
      </c>
      <c r="DF14" s="1954">
        <f>Plantillas!K$525</f>
        <v>99999</v>
      </c>
      <c r="DG14" s="1954">
        <f>Plantillas!K$526</f>
        <v>0</v>
      </c>
      <c r="DH14" s="1954">
        <f>Plantillas!K$527</f>
        <v>0</v>
      </c>
      <c r="DI14" s="1954">
        <f>Plantillas!K$528</f>
        <v>0</v>
      </c>
      <c r="DJ14" s="1954">
        <f>Plantillas!K$529</f>
        <v>0</v>
      </c>
      <c r="DK14" s="1954">
        <f>Plantillas!K$530</f>
        <v>0</v>
      </c>
      <c r="DL14" s="1954">
        <f>Plantillas!K$531</f>
        <v>0</v>
      </c>
      <c r="DM14" s="1954">
        <f>Plantillas!K$532</f>
        <v>0</v>
      </c>
      <c r="DN14" s="1954">
        <f>Plantillas!K$533</f>
        <v>0</v>
      </c>
      <c r="DO14" s="1954">
        <f>Plantillas!K$534</f>
        <v>0</v>
      </c>
      <c r="DP14" s="1954">
        <f>Plantillas!K$535</f>
        <v>0</v>
      </c>
      <c r="DQ14" s="1954">
        <f>Plantillas!K$536</f>
        <v>0</v>
      </c>
      <c r="DR14" s="1361">
        <v>13</v>
      </c>
      <c r="DS14" s="1954" t="str">
        <f>Plantillas!L$517</f>
        <v>DIRECTOR</v>
      </c>
      <c r="DT14" s="1954">
        <f>Plantillas!L$518</f>
        <v>0</v>
      </c>
      <c r="DU14" s="1954">
        <f>Plantillas!L$519</f>
        <v>0</v>
      </c>
      <c r="DV14" s="1954" t="str">
        <f>Plantillas!L$520</f>
        <v>DOCENTE</v>
      </c>
      <c r="DW14" s="1954" t="str">
        <f>Plantillas!L$521</f>
        <v>DOCENTE</v>
      </c>
      <c r="DX14" s="1954" t="str">
        <f>Plantillas!L$522</f>
        <v>DOCENTE</v>
      </c>
      <c r="DY14" s="1954">
        <f>Plantillas!L$523</f>
        <v>0</v>
      </c>
      <c r="DZ14" s="1954" t="str">
        <f>Plantillas!L$524</f>
        <v>INGLES</v>
      </c>
      <c r="EA14" s="1954" t="str">
        <f>Plantillas!L$525</f>
        <v>INTENDENTE</v>
      </c>
      <c r="EB14" s="1954">
        <f>Plantillas!L$526</f>
        <v>0</v>
      </c>
      <c r="EC14" s="1954">
        <f>Plantillas!L$527</f>
        <v>0</v>
      </c>
      <c r="ED14" s="1954">
        <f>Plantillas!L$528</f>
        <v>0</v>
      </c>
      <c r="EE14" s="1954">
        <f>Plantillas!L$529</f>
        <v>0</v>
      </c>
      <c r="EF14" s="1954">
        <f>Plantillas!L$530</f>
        <v>0</v>
      </c>
      <c r="EG14" s="1954">
        <f>Plantillas!L$531</f>
        <v>0</v>
      </c>
      <c r="EH14" s="1954">
        <f>Plantillas!L$532</f>
        <v>0</v>
      </c>
      <c r="EI14" s="1954">
        <f>Plantillas!L$533</f>
        <v>0</v>
      </c>
      <c r="EJ14" s="1954">
        <f>Plantillas!L$534</f>
        <v>0</v>
      </c>
      <c r="EK14" s="1954">
        <f>Plantillas!L$535</f>
        <v>0</v>
      </c>
      <c r="EL14" s="1954">
        <f>Plantillas!L$536</f>
        <v>0</v>
      </c>
      <c r="EM14" s="1361">
        <v>13</v>
      </c>
      <c r="EN14" s="1956">
        <f>Plantillas!U$517</f>
        <v>20</v>
      </c>
      <c r="EO14" s="1956">
        <f>Plantillas!U$518</f>
        <v>0</v>
      </c>
      <c r="EP14" s="1956">
        <f>Plantillas!U$519</f>
        <v>0</v>
      </c>
      <c r="EQ14" s="1956">
        <f>Plantillas!U$520</f>
        <v>20</v>
      </c>
      <c r="ER14" s="1956">
        <f>Plantillas!U$521</f>
        <v>20</v>
      </c>
      <c r="ES14" s="1956">
        <f>Plantillas!U$522</f>
        <v>0</v>
      </c>
      <c r="ET14" s="1956">
        <f>Plantillas!U$523</f>
        <v>0</v>
      </c>
      <c r="EU14" s="1956">
        <f>Plantillas!U$524</f>
        <v>20</v>
      </c>
      <c r="EV14" s="1956">
        <f>Plantillas!U$525</f>
        <v>20</v>
      </c>
      <c r="EW14" s="1956">
        <f>Plantillas!U$526</f>
        <v>0</v>
      </c>
      <c r="EX14" s="1956">
        <f>Plantillas!U$527</f>
        <v>0</v>
      </c>
      <c r="EY14" s="1956">
        <f>Plantillas!U$528</f>
        <v>0</v>
      </c>
      <c r="EZ14" s="1956">
        <f>Plantillas!U$529</f>
        <v>0</v>
      </c>
      <c r="FA14" s="1956">
        <f>Plantillas!U$530</f>
        <v>0</v>
      </c>
      <c r="FB14" s="1956">
        <f>Plantillas!U$531</f>
        <v>0</v>
      </c>
      <c r="FC14" s="1956">
        <f>Plantillas!U$532</f>
        <v>0</v>
      </c>
      <c r="FD14" s="1956">
        <f>Plantillas!U$533</f>
        <v>0</v>
      </c>
      <c r="FE14" s="1956">
        <f>Plantillas!U$534</f>
        <v>0</v>
      </c>
      <c r="FF14" s="1956">
        <f>Plantillas!U$535</f>
        <v>0</v>
      </c>
      <c r="FG14" s="1957">
        <f>Plantillas!U$536</f>
        <v>0</v>
      </c>
      <c r="FH14" s="1361">
        <v>13</v>
      </c>
      <c r="FI14" s="1956">
        <f>Plantillas!T$517</f>
        <v>0</v>
      </c>
      <c r="FJ14" s="1956">
        <f>Plantillas!T$518</f>
        <v>0</v>
      </c>
      <c r="FK14" s="1956">
        <f>Plantillas!T$519</f>
        <v>0</v>
      </c>
      <c r="FL14" s="1956">
        <f>Plantillas!T$520</f>
        <v>0</v>
      </c>
      <c r="FM14" s="1956">
        <f>Plantillas!T$521</f>
        <v>0</v>
      </c>
      <c r="FN14" s="1956">
        <f>Plantillas!T$522</f>
        <v>0</v>
      </c>
      <c r="FO14" s="1956">
        <f>Plantillas!T$523</f>
        <v>0</v>
      </c>
      <c r="FP14" s="1956">
        <f>Plantillas!T$524</f>
        <v>0</v>
      </c>
      <c r="FQ14" s="1956">
        <f>Plantillas!T$525</f>
        <v>0</v>
      </c>
      <c r="FR14" s="1956">
        <f>Plantillas!T$526</f>
        <v>0</v>
      </c>
      <c r="FS14" s="1956">
        <f>Plantillas!T$527</f>
        <v>0</v>
      </c>
      <c r="FT14" s="1956">
        <f>Plantillas!T$528</f>
        <v>0</v>
      </c>
      <c r="FU14" s="1956">
        <f>Plantillas!T$529</f>
        <v>0</v>
      </c>
      <c r="FV14" s="1956">
        <f>Plantillas!T$530</f>
        <v>0</v>
      </c>
      <c r="FW14" s="1956">
        <f>Plantillas!T$531</f>
        <v>0</v>
      </c>
      <c r="FX14" s="1956">
        <f>Plantillas!T$532</f>
        <v>0</v>
      </c>
      <c r="FY14" s="1956">
        <f>Plantillas!T$533</f>
        <v>0</v>
      </c>
      <c r="FZ14" s="1956">
        <f>Plantillas!T$534</f>
        <v>0</v>
      </c>
      <c r="GA14" s="1956">
        <f>Plantillas!T$535</f>
        <v>0</v>
      </c>
      <c r="GB14" s="1957">
        <f>Plantillas!T$536</f>
        <v>0</v>
      </c>
      <c r="GC14" s="1361">
        <v>13</v>
      </c>
      <c r="GD14" s="1353">
        <f>Plantillas!V$546</f>
        <v>8</v>
      </c>
      <c r="GE14" s="1353">
        <f>Plantillas!W$546</f>
        <v>10</v>
      </c>
      <c r="GF14" s="1353">
        <f>Plantillas!X$546</f>
        <v>13</v>
      </c>
      <c r="GG14" s="1353">
        <f>Plantillas!Y$546</f>
        <v>11</v>
      </c>
      <c r="GH14" s="1353">
        <f>Plantillas!Z$546</f>
        <v>11</v>
      </c>
      <c r="GI14" s="1353">
        <f>Plantillas!AA$546</f>
        <v>8</v>
      </c>
      <c r="GJ14" s="1353">
        <f t="shared" si="0"/>
        <v>61</v>
      </c>
      <c r="GK14" s="1354">
        <f>Plantillas!U$546</f>
        <v>13</v>
      </c>
      <c r="GL14" s="1361">
        <v>13</v>
      </c>
      <c r="GM14" s="2388">
        <f>Plantillas!H$517</f>
        <v>0</v>
      </c>
      <c r="GN14" s="2388">
        <f>Plantillas!H$518</f>
        <v>0</v>
      </c>
      <c r="GO14" s="2388">
        <f>Plantillas!H$519</f>
        <v>0</v>
      </c>
      <c r="GP14" s="2388">
        <f>Plantillas!H$520</f>
        <v>0</v>
      </c>
      <c r="GQ14" s="2388">
        <f>Plantillas!H$521</f>
        <v>0</v>
      </c>
      <c r="GR14" s="2388">
        <f>Plantillas!H$522</f>
        <v>0</v>
      </c>
      <c r="GS14" s="2388">
        <f>Plantillas!H$523</f>
        <v>0</v>
      </c>
      <c r="GT14" s="2388" t="str">
        <f>Plantillas!H$524</f>
        <v>X</v>
      </c>
      <c r="GU14" s="2388">
        <f>Plantillas!H$525</f>
        <v>0</v>
      </c>
      <c r="GV14" s="2388">
        <f>Plantillas!H$526</f>
        <v>0</v>
      </c>
      <c r="GW14" s="2388">
        <f>Plantillas!H$527</f>
        <v>0</v>
      </c>
      <c r="GX14" s="2388">
        <f>Plantillas!H$528</f>
        <v>0</v>
      </c>
      <c r="GY14" s="2388">
        <f>Plantillas!H$529</f>
        <v>0</v>
      </c>
      <c r="GZ14" s="2388">
        <f>Plantillas!H$530</f>
        <v>0</v>
      </c>
      <c r="HA14" s="2388">
        <f>Plantillas!H$531</f>
        <v>0</v>
      </c>
      <c r="HB14" s="2388">
        <f>Plantillas!H$532</f>
        <v>0</v>
      </c>
      <c r="HC14" s="2388">
        <f>Plantillas!H$533</f>
        <v>0</v>
      </c>
      <c r="HD14" s="2388">
        <f>Plantillas!H$534</f>
        <v>0</v>
      </c>
      <c r="HE14" s="2388">
        <f>Plantillas!H$535</f>
        <v>0</v>
      </c>
      <c r="HF14" s="2389">
        <f>Plantillas!H$536</f>
        <v>0</v>
      </c>
      <c r="HG14" s="778">
        <v>12</v>
      </c>
      <c r="HH14" s="1942" t="str">
        <f>'[1]0099M'!$S$3</f>
        <v>manantialcedu@hotmail.com</v>
      </c>
      <c r="HI14" s="1943" t="str">
        <f>'[1]0099M'!$C$6</f>
        <v>CENTRO EDUCATIVO EL MANANTIAL</v>
      </c>
      <c r="HJ14" s="771" t="str">
        <f>'[1]0099M'!$H$6</f>
        <v>23PPR0099M</v>
      </c>
      <c r="HK14" s="771" t="str">
        <f>'[1]0099M'!$C$8</f>
        <v>AV. KABAH L. 7 MZ. 3 SMZ. 43</v>
      </c>
      <c r="HL14" s="771" t="str">
        <f>'[1]0099M'!$I$8</f>
        <v>9987 34 70 49</v>
      </c>
      <c r="HM14" s="771" t="str">
        <f>'[1]0099M'!$C$10</f>
        <v>CANCUN</v>
      </c>
      <c r="HN14" s="771" t="str">
        <f>'[1]0099M'!$I$10</f>
        <v>BENITO JUAREZ</v>
      </c>
      <c r="HO14" s="183">
        <f>'[1]0099M'!$E$13</f>
        <v>0</v>
      </c>
      <c r="HP14" s="782" t="str">
        <f>'[1]0099M'!$I$13</f>
        <v>X</v>
      </c>
      <c r="HQ14" s="779" t="str">
        <f>'[1]0099M'!$Q$6</f>
        <v>X</v>
      </c>
      <c r="HR14" s="183">
        <f>'[1]0099M'!$U$6</f>
        <v>0</v>
      </c>
      <c r="HS14" s="183" t="str">
        <f>'[1]0099M'!$Q$7</f>
        <v>X</v>
      </c>
      <c r="HT14" s="183">
        <f>'[1]0099M'!$U$7</f>
        <v>0</v>
      </c>
      <c r="HU14" s="183">
        <f>'[1]0099M'!$Q$8</f>
        <v>0</v>
      </c>
      <c r="HV14" s="183" t="str">
        <f>'[1]0099M'!$U$8</f>
        <v>X</v>
      </c>
      <c r="HW14" s="183">
        <f>'[1]0099M'!$X$8</f>
        <v>0</v>
      </c>
      <c r="HX14" s="183">
        <f>'[1]0099M'!$Q$9</f>
        <v>0</v>
      </c>
      <c r="HY14" s="183" t="str">
        <f>'[1]0099M'!$U$9</f>
        <v>X</v>
      </c>
      <c r="HZ14" s="183">
        <f>'[1]0099M'!$Q$10</f>
        <v>0</v>
      </c>
      <c r="IA14" s="183" t="str">
        <f>'[1]0099M'!$U$10</f>
        <v>X</v>
      </c>
      <c r="IB14" s="183">
        <f>'[1]0099M'!$P$13</f>
        <v>4</v>
      </c>
      <c r="IC14" s="183">
        <f>'[1]0099M'!$Q$13</f>
        <v>0</v>
      </c>
      <c r="ID14" s="183">
        <f>'[1]0099M'!$R$13</f>
        <v>1</v>
      </c>
      <c r="IE14" s="183">
        <f>'[1]0099M'!$S$13</f>
        <v>2</v>
      </c>
      <c r="IF14" s="782">
        <f>'[1]0099M'!$U$13</f>
        <v>0</v>
      </c>
      <c r="IG14" s="779">
        <f>'[1]0099M'!$F$17</f>
        <v>1</v>
      </c>
      <c r="IH14" s="183">
        <f>'[1]0099M'!$F$18</f>
        <v>0</v>
      </c>
      <c r="II14" s="183">
        <f>'[1]0099M'!$F$19</f>
        <v>0</v>
      </c>
      <c r="IJ14" s="183">
        <f>'[1]0099M'!$F$20</f>
        <v>0</v>
      </c>
      <c r="IK14" s="183">
        <f>'[1]0099M'!$H$21</f>
        <v>3</v>
      </c>
      <c r="IL14" s="183">
        <f>'[1]0099M'!$H$22</f>
        <v>1</v>
      </c>
      <c r="IM14" s="183">
        <f>'[1]0099M'!$H$23</f>
        <v>0</v>
      </c>
      <c r="IN14" s="183">
        <f>'[1]0099M'!$H$24</f>
        <v>1</v>
      </c>
      <c r="IO14" s="183">
        <f>'[1]0099M'!$H$25</f>
        <v>5</v>
      </c>
      <c r="IP14" s="1358">
        <f>'[1]0099M'!$K$26</f>
        <v>7</v>
      </c>
      <c r="IQ14" s="1354">
        <f>'[1]0099M'!$M$26</f>
        <v>8</v>
      </c>
      <c r="IR14" s="183">
        <f>'[1]0099M'!$V$19</f>
        <v>0</v>
      </c>
      <c r="IS14" s="183">
        <f>'[1]0099M'!$V$20</f>
        <v>0</v>
      </c>
      <c r="IT14" s="183">
        <f>'[1]0099M'!$V$21</f>
        <v>0</v>
      </c>
      <c r="IU14" s="782">
        <f>'[1]0099M'!$V$22</f>
        <v>0</v>
      </c>
      <c r="IV14" s="779">
        <f>'[1]0099M'!$D$38</f>
        <v>1</v>
      </c>
      <c r="IW14" s="183">
        <f>'[1]0099M'!$G$38</f>
        <v>1</v>
      </c>
      <c r="IX14" s="183">
        <f>'[1]0099M'!$J$38</f>
        <v>1</v>
      </c>
      <c r="IY14" s="183">
        <f>'[1]0099M'!$M$38</f>
        <v>1</v>
      </c>
      <c r="IZ14" s="183">
        <f>'[1]0099M'!$P$38</f>
        <v>1</v>
      </c>
      <c r="JA14" s="782">
        <f>'[1]0099M'!$S$38</f>
        <v>1</v>
      </c>
      <c r="JB14" s="1944" t="str">
        <f>'[1]0099M'!$F$44</f>
        <v>AURORA LETICIA TUCUCH SANTOS</v>
      </c>
      <c r="JC14" s="1945" t="str">
        <f>'[1]0099M'!$O$44</f>
        <v>JESUS MARTIN RICALDE CASTRO</v>
      </c>
      <c r="JD14" s="779">
        <f t="shared" si="7"/>
        <v>9</v>
      </c>
      <c r="JE14" s="183">
        <f t="shared" si="8"/>
        <v>13</v>
      </c>
      <c r="JF14" s="183">
        <f t="shared" si="9"/>
        <v>8</v>
      </c>
      <c r="JG14" s="183">
        <f t="shared" si="10"/>
        <v>13</v>
      </c>
      <c r="JH14" s="183">
        <f t="shared" si="11"/>
        <v>17</v>
      </c>
      <c r="JI14" s="782">
        <f t="shared" si="30"/>
        <v>13</v>
      </c>
      <c r="JJ14" s="779">
        <f t="shared" si="12"/>
        <v>1</v>
      </c>
      <c r="JK14" s="183">
        <f t="shared" si="13"/>
        <v>4</v>
      </c>
      <c r="JL14" s="183">
        <f t="shared" si="14"/>
        <v>3</v>
      </c>
      <c r="JM14" s="183">
        <f t="shared" si="15"/>
        <v>1</v>
      </c>
      <c r="JN14" s="183">
        <f t="shared" si="16"/>
        <v>3</v>
      </c>
      <c r="JO14" s="183">
        <f t="shared" si="17"/>
        <v>3</v>
      </c>
      <c r="JP14" s="779">
        <f t="shared" si="18"/>
        <v>1</v>
      </c>
      <c r="JQ14" s="183">
        <f t="shared" si="19"/>
        <v>2</v>
      </c>
      <c r="JR14" s="183">
        <f t="shared" si="20"/>
        <v>0</v>
      </c>
      <c r="JS14" s="183">
        <f t="shared" si="21"/>
        <v>1</v>
      </c>
      <c r="JT14" s="183">
        <f t="shared" si="31"/>
        <v>1</v>
      </c>
      <c r="JU14" s="183">
        <f t="shared" si="22"/>
        <v>0</v>
      </c>
      <c r="JV14" s="779">
        <f t="shared" si="23"/>
        <v>9</v>
      </c>
      <c r="JW14" s="183">
        <f t="shared" si="24"/>
        <v>15</v>
      </c>
      <c r="JX14" s="183">
        <f t="shared" si="25"/>
        <v>11</v>
      </c>
      <c r="JY14" s="183">
        <f t="shared" si="26"/>
        <v>13</v>
      </c>
      <c r="JZ14" s="183">
        <f t="shared" si="27"/>
        <v>19</v>
      </c>
      <c r="KA14" s="782">
        <f t="shared" si="28"/>
        <v>16</v>
      </c>
      <c r="KB14" s="183">
        <f t="shared" si="29"/>
        <v>0</v>
      </c>
      <c r="KC14" s="183">
        <f t="shared" si="2"/>
        <v>0</v>
      </c>
      <c r="KD14" s="183">
        <f t="shared" si="3"/>
        <v>0</v>
      </c>
      <c r="KE14" s="183">
        <f t="shared" si="4"/>
        <v>0</v>
      </c>
      <c r="KF14" s="183">
        <f t="shared" si="5"/>
        <v>0</v>
      </c>
      <c r="KG14" s="782">
        <f t="shared" si="6"/>
        <v>0</v>
      </c>
      <c r="KH14" s="1361">
        <v>13</v>
      </c>
      <c r="KI14" s="1956" t="s">
        <v>1822</v>
      </c>
      <c r="KJ14" s="1956" t="s">
        <v>1822</v>
      </c>
      <c r="KK14" s="1956" t="s">
        <v>1822</v>
      </c>
      <c r="KL14" s="1956" t="s">
        <v>1822</v>
      </c>
      <c r="KM14" s="1956" t="s">
        <v>1822</v>
      </c>
      <c r="KN14" s="1956" t="s">
        <v>1822</v>
      </c>
      <c r="KO14" s="1956" t="s">
        <v>1822</v>
      </c>
      <c r="KP14" s="1956" t="s">
        <v>1822</v>
      </c>
      <c r="KQ14" s="1956" t="s">
        <v>1822</v>
      </c>
      <c r="KR14" s="1956"/>
      <c r="KS14" s="1956"/>
      <c r="KT14" s="1956"/>
      <c r="KU14" s="1956"/>
      <c r="KV14" s="1956"/>
      <c r="KW14" s="1956"/>
      <c r="KX14" s="1956"/>
      <c r="KY14" s="1956"/>
      <c r="KZ14" s="1956"/>
      <c r="LA14" s="1956"/>
      <c r="LB14" s="1957"/>
      <c r="LC14" s="2662">
        <v>13</v>
      </c>
      <c r="LD14" s="3748" t="str">
        <f>Plantillas!S$517</f>
        <v>RUVP720331M</v>
      </c>
      <c r="LE14" s="3748">
        <f>Plantillas!S$518</f>
        <v>0</v>
      </c>
      <c r="LF14" s="3748">
        <f>Plantillas!S$519</f>
        <v>0</v>
      </c>
      <c r="LG14" s="3748" t="str">
        <f>Plantillas!S$520</f>
        <v>CACX840208M</v>
      </c>
      <c r="LH14" s="3748" t="str">
        <f>Plantillas!S$521</f>
        <v>VECN000000M</v>
      </c>
      <c r="LI14" s="3748">
        <f>Plantillas!S$522</f>
        <v>0</v>
      </c>
      <c r="LJ14" s="3748">
        <f>Plantillas!S$523</f>
        <v>0</v>
      </c>
      <c r="LK14" s="3748" t="str">
        <f>Plantillas!S$524</f>
        <v>BAAA901113H</v>
      </c>
      <c r="LL14" s="3748" t="str">
        <f>Plantillas!S$525</f>
        <v>SAUD591115M</v>
      </c>
      <c r="LM14" s="3748">
        <f>Plantillas!S$526</f>
        <v>0</v>
      </c>
      <c r="LN14" s="3748">
        <f>Plantillas!S$527</f>
        <v>0</v>
      </c>
      <c r="LO14" s="3748">
        <f>Plantillas!S$528</f>
        <v>0</v>
      </c>
      <c r="LP14" s="3748">
        <f>Plantillas!S$529</f>
        <v>0</v>
      </c>
      <c r="LQ14" s="3748">
        <f>Plantillas!S$530</f>
        <v>0</v>
      </c>
      <c r="LR14" s="3748">
        <f>Plantillas!S$531</f>
        <v>0</v>
      </c>
      <c r="LS14" s="3748">
        <f>Plantillas!S$532</f>
        <v>0</v>
      </c>
      <c r="LT14" s="3748">
        <f>Plantillas!S$533</f>
        <v>0</v>
      </c>
      <c r="LU14" s="3748">
        <f>Plantillas!S$534</f>
        <v>0</v>
      </c>
      <c r="LV14" s="3748">
        <f>Plantillas!S$535</f>
        <v>0</v>
      </c>
      <c r="LW14" s="3749">
        <f>Plantillas!S$536</f>
        <v>0</v>
      </c>
    </row>
    <row r="15" spans="1:336" s="19" customFormat="1" ht="14.25" customHeight="1">
      <c r="A15" s="126"/>
      <c r="B15" s="3836"/>
      <c r="C15" s="3839"/>
      <c r="D15" s="3861"/>
      <c r="E15" s="3862"/>
      <c r="F15" s="3862"/>
      <c r="G15" s="3862"/>
      <c r="H15" s="3862"/>
      <c r="I15" s="3863"/>
      <c r="J15" s="3810"/>
      <c r="K15" s="3811"/>
      <c r="L15" s="3810"/>
      <c r="M15" s="3811"/>
      <c r="N15" s="3810"/>
      <c r="O15" s="3811"/>
      <c r="P15" s="3810"/>
      <c r="Q15" s="3811"/>
      <c r="R15" s="3810"/>
      <c r="S15" s="3811"/>
      <c r="T15" s="3810"/>
      <c r="U15" s="3811"/>
      <c r="V15" s="3810"/>
      <c r="W15" s="3811"/>
      <c r="X15" s="3810"/>
      <c r="Y15" s="3811"/>
      <c r="Z15" s="3810"/>
      <c r="AA15" s="3811"/>
      <c r="AB15" s="3810"/>
      <c r="AC15" s="3811"/>
      <c r="AD15" s="3810"/>
      <c r="AE15" s="3811"/>
      <c r="AF15" s="3810"/>
      <c r="AG15" s="3811"/>
      <c r="AH15" s="3810"/>
      <c r="AI15" s="3811"/>
      <c r="AJ15" s="3810"/>
      <c r="AK15" s="3811"/>
      <c r="AL15" s="3166"/>
      <c r="AM15" s="3166"/>
      <c r="AN15" s="3166"/>
      <c r="AO15" s="3166"/>
      <c r="AP15" s="3166"/>
      <c r="AQ15" s="3166"/>
      <c r="AR15" s="3166"/>
      <c r="AS15" s="3166"/>
      <c r="AT15" s="3166"/>
      <c r="AU15" s="3166"/>
      <c r="AV15" s="3167"/>
      <c r="AW15" s="2804" t="s">
        <v>79</v>
      </c>
      <c r="AX15" s="1950">
        <v>14</v>
      </c>
      <c r="AY15" s="1951" t="str">
        <f>Plantillas!D$552</f>
        <v>CENTRO INFANTIL LATINOAMERICANO</v>
      </c>
      <c r="AZ15" s="1951" t="str">
        <f>Plantillas!M$552</f>
        <v>23PPR0156N</v>
      </c>
      <c r="BA15" s="1951" t="str">
        <f>Plantillas!Q$552</f>
        <v>MATUTINO</v>
      </c>
      <c r="BB15" s="2388">
        <f>Plantillas!Z$583</f>
        <v>4</v>
      </c>
      <c r="BC15" s="1952">
        <f>Plantillas!C$553</f>
        <v>0</v>
      </c>
      <c r="BD15" s="1951" t="str">
        <f>Plantillas!P$553</f>
        <v>9985 77 44 15</v>
      </c>
      <c r="BE15" s="1953" t="str">
        <f>Plantillas!E$587</f>
        <v>G.CANTON PUERTO * REBECA</v>
      </c>
      <c r="BF15" s="1952">
        <f>Plantillas!AA$583</f>
        <v>49</v>
      </c>
      <c r="BG15" s="1950">
        <v>14</v>
      </c>
      <c r="BH15" s="1951" t="str">
        <f>Plantillas!B$557</f>
        <v>G.CANTON PUERTO * REBECA</v>
      </c>
      <c r="BI15" s="1951" t="str">
        <f>Plantillas!B$558</f>
        <v>VALENZUELA GOMEZ * MARLEN</v>
      </c>
      <c r="BJ15" s="1951">
        <f>Plantillas!B$559</f>
        <v>0</v>
      </c>
      <c r="BK15" s="1951" t="str">
        <f>Plantillas!B$560</f>
        <v>OSEGUERA MARQUINA * AMERICA J</v>
      </c>
      <c r="BL15" s="1951">
        <f>Plantillas!B$561</f>
        <v>0</v>
      </c>
      <c r="BM15" s="1951" t="str">
        <f>Plantillas!B$562</f>
        <v>SÀNCHEZ TORRES * LUIS MAURICIO</v>
      </c>
      <c r="BN15" s="1951" t="str">
        <f>Plantillas!B$563</f>
        <v>BRANDT SOLANO * IRMA NOEMI</v>
      </c>
      <c r="BO15" s="1951" t="str">
        <f>Plantillas!B$564</f>
        <v>CÀMARA LÒPEZ * LUCÌA ELENA</v>
      </c>
      <c r="BP15" s="1951">
        <f>Plantillas!B$565</f>
        <v>0</v>
      </c>
      <c r="BQ15" s="1954">
        <f>Plantillas!B$566</f>
        <v>0</v>
      </c>
      <c r="BR15" s="1954">
        <f>Plantillas!B$567</f>
        <v>0</v>
      </c>
      <c r="BS15" s="1954">
        <f>Plantillas!B$568</f>
        <v>0</v>
      </c>
      <c r="BT15" s="1954">
        <f>Plantillas!B$569</f>
        <v>0</v>
      </c>
      <c r="BU15" s="1954">
        <f>Plantillas!B$570</f>
        <v>0</v>
      </c>
      <c r="BV15" s="1954">
        <f>Plantillas!B$571</f>
        <v>0</v>
      </c>
      <c r="BW15" s="1954">
        <f>Plantillas!B$572</f>
        <v>0</v>
      </c>
      <c r="BX15" s="1954">
        <f>Plantillas!B$573</f>
        <v>0</v>
      </c>
      <c r="BY15" s="1954">
        <f>Plantillas!B$574</f>
        <v>0</v>
      </c>
      <c r="BZ15" s="1954">
        <f>Plantillas!B$575</f>
        <v>0</v>
      </c>
      <c r="CA15" s="1955">
        <f>Plantillas!B$576</f>
        <v>0</v>
      </c>
      <c r="CB15" s="1361">
        <v>14</v>
      </c>
      <c r="CC15" s="1954" t="str">
        <f>Plantillas!J$557</f>
        <v>GAPR810529DX9</v>
      </c>
      <c r="CD15" s="1954">
        <f>Plantillas!J$558</f>
        <v>0</v>
      </c>
      <c r="CE15" s="1954">
        <f>Plantillas!J$559</f>
        <v>0</v>
      </c>
      <c r="CF15" s="1954">
        <f>Plantillas!J$560</f>
        <v>0</v>
      </c>
      <c r="CG15" s="1954">
        <f>Plantillas!J$561</f>
        <v>0</v>
      </c>
      <c r="CH15" s="1954" t="str">
        <f>Plantillas!J$562</f>
        <v>SATL840306HD0</v>
      </c>
      <c r="CI15" s="1954" t="str">
        <f>Plantillas!J$563</f>
        <v>BASI540925M60</v>
      </c>
      <c r="CJ15" s="1954" t="str">
        <f>Plantillas!J$564</f>
        <v>CALL820103000</v>
      </c>
      <c r="CK15" s="1954">
        <f>Plantillas!J$565</f>
        <v>0</v>
      </c>
      <c r="CL15" s="1954">
        <f>Plantillas!J$566</f>
        <v>0</v>
      </c>
      <c r="CM15" s="1954">
        <f>Plantillas!J$567</f>
        <v>0</v>
      </c>
      <c r="CN15" s="1954">
        <f>Plantillas!J$568</f>
        <v>0</v>
      </c>
      <c r="CO15" s="1954">
        <f>Plantillas!J$569</f>
        <v>0</v>
      </c>
      <c r="CP15" s="1954">
        <f>Plantillas!J$570</f>
        <v>0</v>
      </c>
      <c r="CQ15" s="1954">
        <f>Plantillas!J$571</f>
        <v>0</v>
      </c>
      <c r="CR15" s="1954">
        <f>Plantillas!J$572</f>
        <v>0</v>
      </c>
      <c r="CS15" s="1954">
        <f>Plantillas!J$573</f>
        <v>0</v>
      </c>
      <c r="CT15" s="1954">
        <f>Plantillas!J$574</f>
        <v>0</v>
      </c>
      <c r="CU15" s="1954">
        <f>Plantillas!J$575</f>
        <v>0</v>
      </c>
      <c r="CV15" s="1954">
        <f>Plantillas!J$576</f>
        <v>0</v>
      </c>
      <c r="CW15" s="1361">
        <v>14</v>
      </c>
      <c r="CX15" s="1954">
        <f>Plantillas!K$557</f>
        <v>99999</v>
      </c>
      <c r="CY15" s="1954">
        <f>Plantillas!K$558</f>
        <v>99999</v>
      </c>
      <c r="CZ15" s="1954">
        <f>Plantillas!K$559</f>
        <v>0</v>
      </c>
      <c r="DA15" s="1954">
        <f>Plantillas!K$560</f>
        <v>99999</v>
      </c>
      <c r="DB15" s="1954">
        <f>Plantillas!K$561</f>
        <v>0</v>
      </c>
      <c r="DC15" s="1954">
        <f>Plantillas!K$562</f>
        <v>99999</v>
      </c>
      <c r="DD15" s="1954">
        <f>Plantillas!K$563</f>
        <v>99999</v>
      </c>
      <c r="DE15" s="1954">
        <f>Plantillas!K$564</f>
        <v>99999</v>
      </c>
      <c r="DF15" s="1954">
        <f>Plantillas!K$565</f>
        <v>0</v>
      </c>
      <c r="DG15" s="1954">
        <f>Plantillas!K$566</f>
        <v>0</v>
      </c>
      <c r="DH15" s="1954">
        <f>Plantillas!K$567</f>
        <v>0</v>
      </c>
      <c r="DI15" s="1954">
        <f>Plantillas!K$568</f>
        <v>0</v>
      </c>
      <c r="DJ15" s="1954">
        <f>Plantillas!K$569</f>
        <v>0</v>
      </c>
      <c r="DK15" s="1954">
        <f>Plantillas!K$570</f>
        <v>0</v>
      </c>
      <c r="DL15" s="1954">
        <f>Plantillas!K$571</f>
        <v>0</v>
      </c>
      <c r="DM15" s="1954">
        <f>Plantillas!K$572</f>
        <v>0</v>
      </c>
      <c r="DN15" s="1954">
        <f>Plantillas!K$573</f>
        <v>0</v>
      </c>
      <c r="DO15" s="1954">
        <f>Plantillas!K$574</f>
        <v>0</v>
      </c>
      <c r="DP15" s="1954">
        <f>Plantillas!K$575</f>
        <v>0</v>
      </c>
      <c r="DQ15" s="1954">
        <f>Plantillas!K$576</f>
        <v>0</v>
      </c>
      <c r="DR15" s="1361">
        <v>14</v>
      </c>
      <c r="DS15" s="1954" t="str">
        <f>Plantillas!L$557</f>
        <v>DIRECTOR</v>
      </c>
      <c r="DT15" s="1954" t="str">
        <f>Plantillas!L$558</f>
        <v>DOCENTE</v>
      </c>
      <c r="DU15" s="1954">
        <f>Plantillas!L$559</f>
        <v>0</v>
      </c>
      <c r="DV15" s="1954" t="str">
        <f>Plantillas!L$560</f>
        <v>DOCENTE</v>
      </c>
      <c r="DW15" s="1954">
        <f>Plantillas!L$561</f>
        <v>0</v>
      </c>
      <c r="DX15" s="1954" t="str">
        <f>Plantillas!L$562</f>
        <v>EDUC. FISICA</v>
      </c>
      <c r="DY15" s="1954" t="str">
        <f>Plantillas!L$563</f>
        <v>ADMON-</v>
      </c>
      <c r="DZ15" s="1954" t="str">
        <f>Plantillas!L$564</f>
        <v>INTENDENTE</v>
      </c>
      <c r="EA15" s="1954">
        <f>Plantillas!L$565</f>
        <v>0</v>
      </c>
      <c r="EB15" s="1954">
        <f>Plantillas!L$566</f>
        <v>0</v>
      </c>
      <c r="EC15" s="1954">
        <f>Plantillas!L$567</f>
        <v>0</v>
      </c>
      <c r="ED15" s="1954">
        <f>Plantillas!L$568</f>
        <v>0</v>
      </c>
      <c r="EE15" s="1954">
        <f>Plantillas!L$569</f>
        <v>0</v>
      </c>
      <c r="EF15" s="1954">
        <f>Plantillas!L$570</f>
        <v>0</v>
      </c>
      <c r="EG15" s="1954">
        <f>Plantillas!L$571</f>
        <v>0</v>
      </c>
      <c r="EH15" s="1954">
        <f>Plantillas!L$572</f>
        <v>0</v>
      </c>
      <c r="EI15" s="1954">
        <f>Plantillas!L$573</f>
        <v>0</v>
      </c>
      <c r="EJ15" s="1954">
        <f>Plantillas!L$574</f>
        <v>0</v>
      </c>
      <c r="EK15" s="1954">
        <f>Plantillas!L$575</f>
        <v>0</v>
      </c>
      <c r="EL15" s="1954">
        <f>Plantillas!L$576</f>
        <v>0</v>
      </c>
      <c r="EM15" s="1361">
        <v>14</v>
      </c>
      <c r="EN15" s="1956">
        <f>Plantillas!U$557</f>
        <v>20</v>
      </c>
      <c r="EO15" s="1956">
        <f>Plantillas!U$558</f>
        <v>20</v>
      </c>
      <c r="EP15" s="1956">
        <f>Plantillas!U$559</f>
        <v>20</v>
      </c>
      <c r="EQ15" s="1956">
        <f>Plantillas!U$560</f>
        <v>20</v>
      </c>
      <c r="ER15" s="1956">
        <f>Plantillas!U$561</f>
        <v>0</v>
      </c>
      <c r="ES15" s="1956">
        <f>Plantillas!U$562</f>
        <v>20</v>
      </c>
      <c r="ET15" s="1956">
        <f>Plantillas!U$563</f>
        <v>20</v>
      </c>
      <c r="EU15" s="1956">
        <f>Plantillas!U$564</f>
        <v>20</v>
      </c>
      <c r="EV15" s="1956">
        <f>Plantillas!U$565</f>
        <v>0</v>
      </c>
      <c r="EW15" s="1956">
        <f>Plantillas!U$566</f>
        <v>0</v>
      </c>
      <c r="EX15" s="1956">
        <f>Plantillas!U$567</f>
        <v>0</v>
      </c>
      <c r="EY15" s="1956">
        <f>Plantillas!U$568</f>
        <v>0</v>
      </c>
      <c r="EZ15" s="1956">
        <f>Plantillas!U$569</f>
        <v>0</v>
      </c>
      <c r="FA15" s="1956">
        <f>Plantillas!U$570</f>
        <v>0</v>
      </c>
      <c r="FB15" s="1956">
        <f>Plantillas!U$571</f>
        <v>0</v>
      </c>
      <c r="FC15" s="1956">
        <f>Plantillas!U$572</f>
        <v>0</v>
      </c>
      <c r="FD15" s="1956">
        <f>Plantillas!U$573</f>
        <v>0</v>
      </c>
      <c r="FE15" s="1956">
        <f>Plantillas!U$574</f>
        <v>0</v>
      </c>
      <c r="FF15" s="1956">
        <f>Plantillas!U$575</f>
        <v>0</v>
      </c>
      <c r="FG15" s="1957">
        <f>Plantillas!U$576</f>
        <v>0</v>
      </c>
      <c r="FH15" s="1361">
        <v>14</v>
      </c>
      <c r="FI15" s="1956">
        <f>Plantillas!T$557</f>
        <v>0</v>
      </c>
      <c r="FJ15" s="1956">
        <f>Plantillas!T$558</f>
        <v>0</v>
      </c>
      <c r="FK15" s="1956">
        <f>Plantillas!T$559</f>
        <v>0</v>
      </c>
      <c r="FL15" s="1956">
        <f>Plantillas!T$560</f>
        <v>0</v>
      </c>
      <c r="FM15" s="1956">
        <f>Plantillas!T$561</f>
        <v>0</v>
      </c>
      <c r="FN15" s="1956">
        <f>Plantillas!T$562</f>
        <v>0</v>
      </c>
      <c r="FO15" s="1956">
        <f>Plantillas!T$563</f>
        <v>0</v>
      </c>
      <c r="FP15" s="1956">
        <f>Plantillas!T$564</f>
        <v>0</v>
      </c>
      <c r="FQ15" s="1956">
        <f>Plantillas!T$565</f>
        <v>0</v>
      </c>
      <c r="FR15" s="1956">
        <f>Plantillas!T$566</f>
        <v>0</v>
      </c>
      <c r="FS15" s="1956">
        <f>Plantillas!T$567</f>
        <v>0</v>
      </c>
      <c r="FT15" s="1956">
        <f>Plantillas!T$568</f>
        <v>0</v>
      </c>
      <c r="FU15" s="1956">
        <f>Plantillas!T$569</f>
        <v>0</v>
      </c>
      <c r="FV15" s="1956">
        <f>Plantillas!T$570</f>
        <v>0</v>
      </c>
      <c r="FW15" s="1956">
        <f>Plantillas!T$571</f>
        <v>0</v>
      </c>
      <c r="FX15" s="1956">
        <f>Plantillas!T$572</f>
        <v>0</v>
      </c>
      <c r="FY15" s="1956">
        <f>Plantillas!T$573</f>
        <v>0</v>
      </c>
      <c r="FZ15" s="1956">
        <f>Plantillas!T$574</f>
        <v>0</v>
      </c>
      <c r="GA15" s="1956">
        <f>Plantillas!T$575</f>
        <v>0</v>
      </c>
      <c r="GB15" s="1957">
        <f>Plantillas!T$576</f>
        <v>0</v>
      </c>
      <c r="GC15" s="1361">
        <v>14</v>
      </c>
      <c r="GD15" s="1353">
        <f>Plantillas!V$586</f>
        <v>15</v>
      </c>
      <c r="GE15" s="1353">
        <f>Plantillas!W$586</f>
        <v>13</v>
      </c>
      <c r="GF15" s="1353">
        <f>Plantillas!X$586</f>
        <v>10</v>
      </c>
      <c r="GG15" s="1353">
        <f>Plantillas!Y$586</f>
        <v>11</v>
      </c>
      <c r="GH15" s="1353">
        <f>Plantillas!Z$586</f>
        <v>0</v>
      </c>
      <c r="GI15" s="1353">
        <f>Plantillas!AA$586</f>
        <v>0</v>
      </c>
      <c r="GJ15" s="1353">
        <f t="shared" si="0"/>
        <v>49</v>
      </c>
      <c r="GK15" s="1354">
        <f>Plantillas!U$586</f>
        <v>18</v>
      </c>
      <c r="GL15" s="1361">
        <v>14</v>
      </c>
      <c r="GM15" s="2388">
        <f>Plantillas!H$557</f>
        <v>0</v>
      </c>
      <c r="GN15" s="2388">
        <f>Plantillas!H$558</f>
        <v>0</v>
      </c>
      <c r="GO15" s="2388">
        <f>Plantillas!H$559</f>
        <v>0</v>
      </c>
      <c r="GP15" s="2388">
        <f>Plantillas!H$560</f>
        <v>0</v>
      </c>
      <c r="GQ15" s="2388">
        <f>Plantillas!H$561</f>
        <v>0</v>
      </c>
      <c r="GR15" s="2388" t="str">
        <f>Plantillas!H$562</f>
        <v>X</v>
      </c>
      <c r="GS15" s="2388">
        <f>Plantillas!H$563</f>
        <v>0</v>
      </c>
      <c r="GT15" s="2388">
        <f>Plantillas!H$564</f>
        <v>0</v>
      </c>
      <c r="GU15" s="2388">
        <f>Plantillas!H$565</f>
        <v>0</v>
      </c>
      <c r="GV15" s="2388">
        <f>Plantillas!H$566</f>
        <v>0</v>
      </c>
      <c r="GW15" s="2388">
        <f>Plantillas!H$567</f>
        <v>0</v>
      </c>
      <c r="GX15" s="2388">
        <f>Plantillas!H$568</f>
        <v>0</v>
      </c>
      <c r="GY15" s="2388">
        <f>Plantillas!H$569</f>
        <v>0</v>
      </c>
      <c r="GZ15" s="2388">
        <f>Plantillas!H$570</f>
        <v>0</v>
      </c>
      <c r="HA15" s="2388">
        <f>Plantillas!H$571</f>
        <v>0</v>
      </c>
      <c r="HB15" s="2388">
        <f>Plantillas!H$572</f>
        <v>0</v>
      </c>
      <c r="HC15" s="2388">
        <f>Plantillas!H$573</f>
        <v>0</v>
      </c>
      <c r="HD15" s="2388">
        <f>Plantillas!H$574</f>
        <v>0</v>
      </c>
      <c r="HE15" s="2388">
        <f>Plantillas!H$575</f>
        <v>0</v>
      </c>
      <c r="HF15" s="2389">
        <f>Plantillas!H$576</f>
        <v>0</v>
      </c>
      <c r="HG15" s="778">
        <v>13</v>
      </c>
      <c r="HH15" s="1942" t="str">
        <f>'[1]0100L'!$S$3</f>
        <v>centroescolarhispano@hotmail.com</v>
      </c>
      <c r="HI15" s="1943" t="str">
        <f>'[1]0100L'!$C$6</f>
        <v>COLEGIO HISPANOAMERICANO LA LUNA</v>
      </c>
      <c r="HJ15" s="771" t="str">
        <f>'[1]0100L'!$H$6</f>
        <v>23PPR0100L</v>
      </c>
      <c r="HK15" s="771" t="str">
        <f>'[1]0100L'!$C$8</f>
        <v>REG. 311 SMZ. 313 MADROÑO 131</v>
      </c>
      <c r="HL15" s="771" t="str">
        <f>'[1]0100L'!$I$8</f>
        <v>9981 23 57 16</v>
      </c>
      <c r="HM15" s="771" t="str">
        <f>'[1]0100L'!$C$10</f>
        <v>CANCUN</v>
      </c>
      <c r="HN15" s="771" t="str">
        <f>'[1]0100L'!$I$10</f>
        <v>BENITO JUAREZ</v>
      </c>
      <c r="HO15" s="183">
        <f>'[1]0100L'!$E$13</f>
        <v>0</v>
      </c>
      <c r="HP15" s="782" t="str">
        <f>'[1]0100L'!$I$13</f>
        <v>X</v>
      </c>
      <c r="HQ15" s="779" t="str">
        <f>'[1]0100L'!$Q$6</f>
        <v>X</v>
      </c>
      <c r="HR15" s="183">
        <f>'[1]0100L'!$U$6</f>
        <v>0</v>
      </c>
      <c r="HS15" s="183" t="str">
        <f>'[1]0100L'!$Q$7</f>
        <v>X</v>
      </c>
      <c r="HT15" s="183">
        <f>'[1]0100L'!$U$7</f>
        <v>0</v>
      </c>
      <c r="HU15" s="183" t="str">
        <f>'[1]0100L'!$Q$8</f>
        <v>X</v>
      </c>
      <c r="HV15" s="183">
        <f>'[1]0100L'!$U$8</f>
        <v>0</v>
      </c>
      <c r="HW15" s="183">
        <f>'[1]0100L'!$X$8</f>
        <v>0</v>
      </c>
      <c r="HX15" s="183">
        <f>'[1]0100L'!$Q$9</f>
        <v>0</v>
      </c>
      <c r="HY15" s="183" t="str">
        <f>'[1]0100L'!$U$9</f>
        <v>X</v>
      </c>
      <c r="HZ15" s="183">
        <f>'[1]0100L'!$Q$10</f>
        <v>0</v>
      </c>
      <c r="IA15" s="183" t="str">
        <f>'[1]0100L'!$U$10</f>
        <v>X</v>
      </c>
      <c r="IB15" s="183">
        <f>'[1]0100L'!$P$13</f>
        <v>6</v>
      </c>
      <c r="IC15" s="183">
        <f>'[1]0100L'!$Q$13</f>
        <v>0</v>
      </c>
      <c r="ID15" s="183">
        <f>'[1]0100L'!$R$13</f>
        <v>0</v>
      </c>
      <c r="IE15" s="183">
        <f>'[1]0100L'!$S$13</f>
        <v>1</v>
      </c>
      <c r="IF15" s="782">
        <f>'[1]0100L'!$U$13</f>
        <v>1</v>
      </c>
      <c r="IG15" s="779">
        <f>'[1]0100L'!$F$17</f>
        <v>1</v>
      </c>
      <c r="IH15" s="183">
        <f>'[1]0100L'!$F$18</f>
        <v>0</v>
      </c>
      <c r="II15" s="183">
        <f>'[1]0100L'!$F$19</f>
        <v>0</v>
      </c>
      <c r="IJ15" s="183">
        <f>'[1]0100L'!$F$20</f>
        <v>0</v>
      </c>
      <c r="IK15" s="183">
        <f>'[1]0100L'!$H$21</f>
        <v>5</v>
      </c>
      <c r="IL15" s="183">
        <f>'[1]0100L'!$H$22</f>
        <v>1</v>
      </c>
      <c r="IM15" s="183">
        <f>'[1]0100L'!$H$23</f>
        <v>0</v>
      </c>
      <c r="IN15" s="183">
        <f>'[1]0100L'!$H$24</f>
        <v>1</v>
      </c>
      <c r="IO15" s="183">
        <f>'[1]0100L'!$H$25</f>
        <v>4</v>
      </c>
      <c r="IP15" s="1358">
        <f>'[1]0100L'!$K$26</f>
        <v>12</v>
      </c>
      <c r="IQ15" s="1354">
        <f>'[1]0100L'!$M$26</f>
        <v>11</v>
      </c>
      <c r="IR15" s="183">
        <f>'[1]0100L'!$V$19</f>
        <v>0</v>
      </c>
      <c r="IS15" s="183">
        <f>'[1]0100L'!$V$20</f>
        <v>0</v>
      </c>
      <c r="IT15" s="183">
        <f>'[1]0100L'!$V$21</f>
        <v>0</v>
      </c>
      <c r="IU15" s="782">
        <f>'[1]0100L'!$V$22</f>
        <v>0</v>
      </c>
      <c r="IV15" s="779">
        <f>'[1]0100L'!$D$38</f>
        <v>1</v>
      </c>
      <c r="IW15" s="183">
        <f>'[1]0100L'!$G$38</f>
        <v>1</v>
      </c>
      <c r="IX15" s="183">
        <f>'[1]0100L'!$J$38</f>
        <v>1</v>
      </c>
      <c r="IY15" s="183">
        <f>'[1]0100L'!$M$38</f>
        <v>1</v>
      </c>
      <c r="IZ15" s="183">
        <f>'[1]0100L'!$P$38</f>
        <v>1</v>
      </c>
      <c r="JA15" s="782">
        <f>'[1]0100L'!$S$38</f>
        <v>1</v>
      </c>
      <c r="JB15" s="1944" t="str">
        <f>'[1]0100L'!$F$44</f>
        <v xml:space="preserve">CRUZ MARTINEZ BELEM </v>
      </c>
      <c r="JC15" s="1945" t="str">
        <f>'[1]0100L'!$O$44</f>
        <v>JESUS MARTIN RICALDE CASTRO</v>
      </c>
      <c r="JD15" s="779">
        <f t="shared" si="7"/>
        <v>15</v>
      </c>
      <c r="JE15" s="183">
        <f t="shared" si="8"/>
        <v>17</v>
      </c>
      <c r="JF15" s="183">
        <f t="shared" si="9"/>
        <v>24</v>
      </c>
      <c r="JG15" s="183">
        <f t="shared" si="10"/>
        <v>12</v>
      </c>
      <c r="JH15" s="183">
        <f t="shared" si="11"/>
        <v>19</v>
      </c>
      <c r="JI15" s="782">
        <f t="shared" si="30"/>
        <v>20</v>
      </c>
      <c r="JJ15" s="779">
        <f t="shared" si="12"/>
        <v>3</v>
      </c>
      <c r="JK15" s="183">
        <f t="shared" si="13"/>
        <v>5</v>
      </c>
      <c r="JL15" s="183">
        <f t="shared" si="14"/>
        <v>3</v>
      </c>
      <c r="JM15" s="183">
        <f t="shared" si="15"/>
        <v>3</v>
      </c>
      <c r="JN15" s="183">
        <f t="shared" si="16"/>
        <v>6</v>
      </c>
      <c r="JO15" s="183">
        <f t="shared" si="17"/>
        <v>6</v>
      </c>
      <c r="JP15" s="779">
        <f t="shared" si="18"/>
        <v>1</v>
      </c>
      <c r="JQ15" s="183">
        <f t="shared" si="19"/>
        <v>1</v>
      </c>
      <c r="JR15" s="183">
        <f t="shared" si="20"/>
        <v>1</v>
      </c>
      <c r="JS15" s="183">
        <f t="shared" si="21"/>
        <v>0</v>
      </c>
      <c r="JT15" s="183">
        <f t="shared" si="31"/>
        <v>1</v>
      </c>
      <c r="JU15" s="183">
        <f t="shared" si="22"/>
        <v>0</v>
      </c>
      <c r="JV15" s="779">
        <f t="shared" si="23"/>
        <v>17</v>
      </c>
      <c r="JW15" s="183">
        <f t="shared" si="24"/>
        <v>21</v>
      </c>
      <c r="JX15" s="183">
        <f t="shared" si="25"/>
        <v>26</v>
      </c>
      <c r="JY15" s="183">
        <f t="shared" si="26"/>
        <v>15</v>
      </c>
      <c r="JZ15" s="183">
        <f t="shared" si="27"/>
        <v>24</v>
      </c>
      <c r="KA15" s="782">
        <f t="shared" si="28"/>
        <v>26</v>
      </c>
      <c r="KB15" s="183">
        <f t="shared" si="29"/>
        <v>0</v>
      </c>
      <c r="KC15" s="183">
        <f t="shared" si="2"/>
        <v>0</v>
      </c>
      <c r="KD15" s="183">
        <f t="shared" si="3"/>
        <v>0</v>
      </c>
      <c r="KE15" s="183">
        <f t="shared" si="4"/>
        <v>0</v>
      </c>
      <c r="KF15" s="183">
        <f t="shared" si="5"/>
        <v>0</v>
      </c>
      <c r="KG15" s="782">
        <f t="shared" si="6"/>
        <v>0</v>
      </c>
      <c r="KH15" s="1361">
        <v>14</v>
      </c>
      <c r="KI15" s="1956" t="s">
        <v>1824</v>
      </c>
      <c r="KJ15" s="1956" t="s">
        <v>1824</v>
      </c>
      <c r="KK15" s="1956" t="s">
        <v>1824</v>
      </c>
      <c r="KL15" s="1956" t="s">
        <v>1824</v>
      </c>
      <c r="KM15" s="1956" t="s">
        <v>1824</v>
      </c>
      <c r="KN15" s="1956" t="s">
        <v>1824</v>
      </c>
      <c r="KO15" s="1956"/>
      <c r="KP15" s="1956"/>
      <c r="KQ15" s="1956"/>
      <c r="KR15" s="1956"/>
      <c r="KS15" s="1956"/>
      <c r="KT15" s="1956"/>
      <c r="KU15" s="1956"/>
      <c r="KV15" s="1956"/>
      <c r="KW15" s="1956"/>
      <c r="KX15" s="1956"/>
      <c r="KY15" s="1956"/>
      <c r="KZ15" s="1956"/>
      <c r="LA15" s="1956"/>
      <c r="LB15" s="1957"/>
      <c r="LC15" s="2662">
        <v>14</v>
      </c>
      <c r="LD15" s="3748" t="str">
        <f>Plantillas!S$557</f>
        <v>GAPR810529M</v>
      </c>
      <c r="LE15" s="3748">
        <f>Plantillas!S$558</f>
        <v>0</v>
      </c>
      <c r="LF15" s="3748">
        <f>Plantillas!S$559</f>
        <v>0</v>
      </c>
      <c r="LG15" s="3748" t="str">
        <f>Plantillas!S$560</f>
        <v>AERC530228M</v>
      </c>
      <c r="LH15" s="3748">
        <f>Plantillas!S$561</f>
        <v>0</v>
      </c>
      <c r="LI15" s="3748" t="str">
        <f>Plantillas!S$562</f>
        <v>SATL840306H</v>
      </c>
      <c r="LJ15" s="3748" t="str">
        <f>Plantillas!S$563</f>
        <v>BASI540925M</v>
      </c>
      <c r="LK15" s="3748" t="str">
        <f>Plantillas!S$564</f>
        <v>CALL820103M</v>
      </c>
      <c r="LL15" s="3748">
        <f>Plantillas!S$565</f>
        <v>0</v>
      </c>
      <c r="LM15" s="3748">
        <f>Plantillas!S$566</f>
        <v>0</v>
      </c>
      <c r="LN15" s="3748">
        <f>Plantillas!S$567</f>
        <v>0</v>
      </c>
      <c r="LO15" s="3748">
        <f>Plantillas!S$568</f>
        <v>0</v>
      </c>
      <c r="LP15" s="3748">
        <f>Plantillas!S$569</f>
        <v>0</v>
      </c>
      <c r="LQ15" s="3748">
        <f>Plantillas!S$570</f>
        <v>0</v>
      </c>
      <c r="LR15" s="3748">
        <f>Plantillas!S$571</f>
        <v>0</v>
      </c>
      <c r="LS15" s="3748">
        <f>Plantillas!S$572</f>
        <v>0</v>
      </c>
      <c r="LT15" s="3748">
        <f>Plantillas!S$573</f>
        <v>0</v>
      </c>
      <c r="LU15" s="3748">
        <f>Plantillas!S$574</f>
        <v>0</v>
      </c>
      <c r="LV15" s="3748">
        <f>Plantillas!S$575</f>
        <v>0</v>
      </c>
      <c r="LW15" s="3749">
        <f>Plantillas!S$576</f>
        <v>0</v>
      </c>
    </row>
    <row r="16" spans="1:336" s="19" customFormat="1" ht="14.25" customHeight="1" thickBot="1">
      <c r="A16" s="126"/>
      <c r="B16" s="3837"/>
      <c r="C16" s="3840"/>
      <c r="D16" s="3864"/>
      <c r="E16" s="3865"/>
      <c r="F16" s="3865"/>
      <c r="G16" s="3865"/>
      <c r="H16" s="3865"/>
      <c r="I16" s="3866"/>
      <c r="J16" s="3812"/>
      <c r="K16" s="3813"/>
      <c r="L16" s="3812"/>
      <c r="M16" s="3813"/>
      <c r="N16" s="3812"/>
      <c r="O16" s="3813"/>
      <c r="P16" s="3812"/>
      <c r="Q16" s="3813"/>
      <c r="R16" s="3812"/>
      <c r="S16" s="3813"/>
      <c r="T16" s="3812"/>
      <c r="U16" s="3813"/>
      <c r="V16" s="3812"/>
      <c r="W16" s="3813"/>
      <c r="X16" s="3812"/>
      <c r="Y16" s="3813"/>
      <c r="Z16" s="3812"/>
      <c r="AA16" s="3813"/>
      <c r="AB16" s="3812"/>
      <c r="AC16" s="3813"/>
      <c r="AD16" s="3812"/>
      <c r="AE16" s="3813"/>
      <c r="AF16" s="3812"/>
      <c r="AG16" s="3813"/>
      <c r="AH16" s="3812"/>
      <c r="AI16" s="3813"/>
      <c r="AJ16" s="3812"/>
      <c r="AK16" s="3813"/>
      <c r="AL16" s="3169"/>
      <c r="AM16" s="3169"/>
      <c r="AN16" s="3169"/>
      <c r="AO16" s="3169"/>
      <c r="AP16" s="3169"/>
      <c r="AQ16" s="3169"/>
      <c r="AR16" s="3169"/>
      <c r="AS16" s="3169"/>
      <c r="AT16" s="3169"/>
      <c r="AU16" s="3169"/>
      <c r="AV16" s="3170"/>
      <c r="AW16" s="2804" t="s">
        <v>79</v>
      </c>
      <c r="AX16" s="1950">
        <v>15</v>
      </c>
      <c r="AY16" s="1951" t="str">
        <f>Plantillas!D$592</f>
        <v>COLEGIO KING DAVID</v>
      </c>
      <c r="AZ16" s="1951" t="str">
        <f>Plantillas!M$592</f>
        <v>23PPR0163X</v>
      </c>
      <c r="BA16" s="1951" t="str">
        <f>Plantillas!Q$592</f>
        <v>MATUTINO</v>
      </c>
      <c r="BB16" s="2388">
        <f>Plantillas!Z$623</f>
        <v>10</v>
      </c>
      <c r="BC16" s="1952">
        <f>Plantillas!C$593</f>
        <v>0</v>
      </c>
      <c r="BD16" s="1951" t="str">
        <f>Plantillas!P$593</f>
        <v>9981 79 87 49</v>
      </c>
      <c r="BE16" s="1953" t="str">
        <f>Plantillas!E$627</f>
        <v>MARIA ALMA MIRANDA VALDEZ</v>
      </c>
      <c r="BF16" s="1952">
        <f>Plantillas!AA$623</f>
        <v>161</v>
      </c>
      <c r="BG16" s="1950">
        <v>15</v>
      </c>
      <c r="BH16" s="1951" t="str">
        <f>Plantillas!B$597</f>
        <v>JUAREZ ESPINOSA * BELINDA</v>
      </c>
      <c r="BI16" s="1951" t="str">
        <f>Plantillas!B$598</f>
        <v>ABRAJAN HERNANDEZ * MAXIMA GUADALUPE</v>
      </c>
      <c r="BJ16" s="1951" t="str">
        <f>Plantillas!B$599</f>
        <v>BONFIL YAM * WENDY KARINA</v>
      </c>
      <c r="BK16" s="1951" t="str">
        <f>Plantillas!B$600</f>
        <v>JIMENEZ ALVAREZ * MIRNA ZULMY</v>
      </c>
      <c r="BL16" s="1951" t="str">
        <f>Plantillas!B$601</f>
        <v>CERVANTES MANRIQUEZ * GEORGINA</v>
      </c>
      <c r="BM16" s="1951" t="str">
        <f>Plantillas!B$602</f>
        <v>BARRIGA PARADA * MARIA DEL ROSARIO</v>
      </c>
      <c r="BN16" s="1951" t="str">
        <f>Plantillas!B$603</f>
        <v>MIRANDA VALDEZ * MARIA ALMA</v>
      </c>
      <c r="BO16" s="1951" t="str">
        <f>Plantillas!B$604</f>
        <v>CEN NAJERA * ILIANA BEATRIZ</v>
      </c>
      <c r="BP16" s="1951" t="str">
        <f>Plantillas!B$605</f>
        <v>ADME AVILEZ  * CARLOS CAMERINO</v>
      </c>
      <c r="BQ16" s="1954" t="str">
        <f>Plantillas!B$606</f>
        <v>SOLIS PEREZ * JOSE ALFREDO</v>
      </c>
      <c r="BR16" s="1954" t="str">
        <f>Plantillas!B$607</f>
        <v>LOPEZ RIVERA LETICIA</v>
      </c>
      <c r="BS16" s="1954" t="str">
        <f>Plantillas!B$608</f>
        <v>HERNANDEZ DE LA PARRA * ADRIANA</v>
      </c>
      <c r="BT16" s="1954" t="str">
        <f>Plantillas!B$609</f>
        <v>REYES BARBA * ANNETTE</v>
      </c>
      <c r="BU16" s="1954" t="str">
        <f>Plantillas!B$610</f>
        <v>BARBA HERNANDEZ * DIANA</v>
      </c>
      <c r="BV16" s="1954" t="str">
        <f>Plantillas!B$611</f>
        <v>LASTRA SUAREZ * SILVIA PATRICIA</v>
      </c>
      <c r="BW16" s="1954" t="str">
        <f>Plantillas!B$612</f>
        <v>BAUTISTA SAURI * GLORIA EDITH</v>
      </c>
      <c r="BX16" s="1954" t="str">
        <f>Plantillas!B$613</f>
        <v>PECH SILVEIRA * FRANCO ANTONIO</v>
      </c>
      <c r="BY16" s="1954">
        <f>Plantillas!B$614</f>
        <v>0</v>
      </c>
      <c r="BZ16" s="1954">
        <f>Plantillas!B$615</f>
        <v>0</v>
      </c>
      <c r="CA16" s="1955">
        <f>Plantillas!B$616</f>
        <v>0</v>
      </c>
      <c r="CB16" s="1361">
        <v>15</v>
      </c>
      <c r="CC16" s="1954">
        <f>Plantillas!J$597</f>
        <v>0</v>
      </c>
      <c r="CD16" s="1954">
        <f>Plantillas!J$598</f>
        <v>0</v>
      </c>
      <c r="CE16" s="1954" t="str">
        <f>Plantillas!J$599</f>
        <v>GATN820919N02</v>
      </c>
      <c r="CF16" s="1954" t="str">
        <f>Plantillas!J$600</f>
        <v>ROPD851105N03</v>
      </c>
      <c r="CG16" s="1954">
        <f>Plantillas!J$601</f>
        <v>0</v>
      </c>
      <c r="CH16" s="1954" t="str">
        <f>Plantillas!J$602</f>
        <v>JIAM790618Y04</v>
      </c>
      <c r="CI16" s="1954" t="str">
        <f>Plantillas!J$603</f>
        <v>MIVA670502MD1</v>
      </c>
      <c r="CJ16" s="1954" t="str">
        <f>Plantillas!J$604</f>
        <v>PECY781231N00</v>
      </c>
      <c r="CK16" s="1954" t="str">
        <f>Plantillas!J$605</f>
        <v>PAVM761203R08</v>
      </c>
      <c r="CL16" s="1954" t="str">
        <f>Plantillas!J$606</f>
        <v>VIMA680911L03</v>
      </c>
      <c r="CM16" s="1954" t="str">
        <f>Plantillas!J$607</f>
        <v>GOGC7802059Z5</v>
      </c>
      <c r="CN16" s="1954" t="str">
        <f>Plantillas!J$608</f>
        <v>ROCE831128S10</v>
      </c>
      <c r="CO16" s="1954" t="str">
        <f>Plantillas!J$609</f>
        <v>LORL670104SR9</v>
      </c>
      <c r="CP16" s="1954" t="str">
        <f>Plantillas!J$610</f>
        <v>MERA660115AF1</v>
      </c>
      <c r="CQ16" s="1954" t="str">
        <f>Plantillas!J$611</f>
        <v>SAFS7212016F9</v>
      </c>
      <c r="CR16" s="1954" t="str">
        <f>Plantillas!J$612</f>
        <v>BASG701105AL5</v>
      </c>
      <c r="CS16" s="1954" t="str">
        <f>Plantillas!J$613</f>
        <v>PESF781004R08</v>
      </c>
      <c r="CT16" s="1954">
        <f>Plantillas!J$614</f>
        <v>0</v>
      </c>
      <c r="CU16" s="1954">
        <f>Plantillas!J$615</f>
        <v>0</v>
      </c>
      <c r="CV16" s="1954">
        <f>Plantillas!J$616</f>
        <v>0</v>
      </c>
      <c r="CW16" s="1361">
        <v>15</v>
      </c>
      <c r="CX16" s="1954">
        <f>Plantillas!K$597</f>
        <v>0</v>
      </c>
      <c r="CY16" s="1954">
        <f>Plantillas!K$598</f>
        <v>0</v>
      </c>
      <c r="CZ16" s="1954">
        <f>Plantillas!K$599</f>
        <v>99999</v>
      </c>
      <c r="DA16" s="1954">
        <f>Plantillas!K$600</f>
        <v>99999</v>
      </c>
      <c r="DB16" s="1954">
        <f>Plantillas!K$601</f>
        <v>99999</v>
      </c>
      <c r="DC16" s="1954">
        <f>Plantillas!K$602</f>
        <v>99999</v>
      </c>
      <c r="DD16" s="1954">
        <f>Plantillas!K$603</f>
        <v>0</v>
      </c>
      <c r="DE16" s="1954">
        <f>Plantillas!K$604</f>
        <v>99999</v>
      </c>
      <c r="DF16" s="1954">
        <f>Plantillas!K$605</f>
        <v>99999</v>
      </c>
      <c r="DG16" s="1954">
        <f>Plantillas!K$606</f>
        <v>99999</v>
      </c>
      <c r="DH16" s="1954">
        <f>Plantillas!K$607</f>
        <v>99999</v>
      </c>
      <c r="DI16" s="1954">
        <f>Plantillas!K$608</f>
        <v>99999</v>
      </c>
      <c r="DJ16" s="1954">
        <f>Plantillas!K$609</f>
        <v>99999</v>
      </c>
      <c r="DK16" s="1954">
        <f>Plantillas!K$610</f>
        <v>99999</v>
      </c>
      <c r="DL16" s="1954">
        <f>Plantillas!K$611</f>
        <v>99999</v>
      </c>
      <c r="DM16" s="1954">
        <f>Plantillas!K$612</f>
        <v>99999</v>
      </c>
      <c r="DN16" s="1954">
        <f>Plantillas!K$613</f>
        <v>99999</v>
      </c>
      <c r="DO16" s="1954">
        <f>Plantillas!K$614</f>
        <v>0</v>
      </c>
      <c r="DP16" s="1954">
        <f>Plantillas!K$615</f>
        <v>0</v>
      </c>
      <c r="DQ16" s="1954">
        <f>Plantillas!K$616</f>
        <v>0</v>
      </c>
      <c r="DR16" s="1361">
        <v>15</v>
      </c>
      <c r="DS16" s="1954" t="str">
        <f>Plantillas!L$597</f>
        <v>DOCENTE</v>
      </c>
      <c r="DT16" s="1954">
        <f>Plantillas!L$598</f>
        <v>0</v>
      </c>
      <c r="DU16" s="1954" t="str">
        <f>Plantillas!L$599</f>
        <v>DOCENTE</v>
      </c>
      <c r="DV16" s="1954" t="str">
        <f>Plantillas!L$600</f>
        <v>DOCENTE</v>
      </c>
      <c r="DW16" s="1954" t="str">
        <f>Plantillas!L$601</f>
        <v>DOCENTE</v>
      </c>
      <c r="DX16" s="1954" t="str">
        <f>Plantillas!L$602</f>
        <v>DOCENTE</v>
      </c>
      <c r="DY16" s="1954" t="str">
        <f>Plantillas!L$603</f>
        <v>DOCENTE</v>
      </c>
      <c r="DZ16" s="1954" t="str">
        <f>Plantillas!L$604</f>
        <v>EDUC FÍSICA</v>
      </c>
      <c r="EA16" s="1954" t="str">
        <f>Plantillas!L$605</f>
        <v>INGLES</v>
      </c>
      <c r="EB16" s="1954" t="str">
        <f>Plantillas!L$606</f>
        <v>INGLES</v>
      </c>
      <c r="EC16" s="1954" t="str">
        <f>Plantillas!L$607</f>
        <v>INGLES</v>
      </c>
      <c r="ED16" s="1954" t="str">
        <f>Plantillas!L$608</f>
        <v>INGLES</v>
      </c>
      <c r="EE16" s="1954" t="str">
        <f>Plantillas!L$609</f>
        <v>ARTISTICA</v>
      </c>
      <c r="EF16" s="1954" t="str">
        <f>Plantillas!L$610</f>
        <v>TECNOLOGIA</v>
      </c>
      <c r="EG16" s="1954" t="str">
        <f>Plantillas!L$611</f>
        <v>ADMON</v>
      </c>
      <c r="EH16" s="1954" t="str">
        <f>Plantillas!L$612</f>
        <v>ADMON</v>
      </c>
      <c r="EI16" s="1954" t="str">
        <f>Plantillas!L$613</f>
        <v>INTENDENTE</v>
      </c>
      <c r="EJ16" s="1954">
        <f>Plantillas!L$614</f>
        <v>0</v>
      </c>
      <c r="EK16" s="1954">
        <f>Plantillas!L$615</f>
        <v>0</v>
      </c>
      <c r="EL16" s="1954">
        <f>Plantillas!L$616</f>
        <v>0</v>
      </c>
      <c r="EM16" s="1361">
        <v>15</v>
      </c>
      <c r="EN16" s="1956">
        <f>Plantillas!U$597</f>
        <v>20</v>
      </c>
      <c r="EO16" s="1956">
        <f>Plantillas!U$598</f>
        <v>0</v>
      </c>
      <c r="EP16" s="1956">
        <f>Plantillas!U$599</f>
        <v>20</v>
      </c>
      <c r="EQ16" s="1956">
        <f>Plantillas!U$600</f>
        <v>20</v>
      </c>
      <c r="ER16" s="1956">
        <f>Plantillas!U$601</f>
        <v>20</v>
      </c>
      <c r="ES16" s="1956">
        <f>Plantillas!U$602</f>
        <v>20</v>
      </c>
      <c r="ET16" s="1956">
        <f>Plantillas!U$603</f>
        <v>20</v>
      </c>
      <c r="EU16" s="1956">
        <f>Plantillas!U$604</f>
        <v>20</v>
      </c>
      <c r="EV16" s="1956">
        <f>Plantillas!U$605</f>
        <v>20</v>
      </c>
      <c r="EW16" s="1956">
        <f>Plantillas!U$606</f>
        <v>20</v>
      </c>
      <c r="EX16" s="1956">
        <f>Plantillas!U$607</f>
        <v>20</v>
      </c>
      <c r="EY16" s="1956">
        <f>Plantillas!U$608</f>
        <v>20</v>
      </c>
      <c r="EZ16" s="1956">
        <f>Plantillas!U$609</f>
        <v>20</v>
      </c>
      <c r="FA16" s="1956">
        <f>Plantillas!U$610</f>
        <v>20</v>
      </c>
      <c r="FB16" s="1956">
        <f>Plantillas!U$611</f>
        <v>20</v>
      </c>
      <c r="FC16" s="1956">
        <f>Plantillas!U$612</f>
        <v>20</v>
      </c>
      <c r="FD16" s="1956">
        <f>Plantillas!U$613</f>
        <v>20</v>
      </c>
      <c r="FE16" s="1956">
        <f>Plantillas!U$614</f>
        <v>0</v>
      </c>
      <c r="FF16" s="1956">
        <f>Plantillas!U$615</f>
        <v>0</v>
      </c>
      <c r="FG16" s="1957">
        <f>Plantillas!U$616</f>
        <v>0</v>
      </c>
      <c r="FH16" s="1361">
        <v>15</v>
      </c>
      <c r="FI16" s="1956">
        <f>Plantillas!T$597</f>
        <v>0</v>
      </c>
      <c r="FJ16" s="1956">
        <f>Plantillas!T$598</f>
        <v>0</v>
      </c>
      <c r="FK16" s="1956">
        <f>Plantillas!T$599</f>
        <v>0</v>
      </c>
      <c r="FL16" s="1956">
        <f>Plantillas!T$600</f>
        <v>0</v>
      </c>
      <c r="FM16" s="1956">
        <f>Plantillas!T$601</f>
        <v>0</v>
      </c>
      <c r="FN16" s="1956">
        <f>Plantillas!T$602</f>
        <v>0</v>
      </c>
      <c r="FO16" s="1956">
        <f>Plantillas!T$603</f>
        <v>0</v>
      </c>
      <c r="FP16" s="1956">
        <f>Plantillas!T$604</f>
        <v>0</v>
      </c>
      <c r="FQ16" s="1956">
        <f>Plantillas!T$605</f>
        <v>0</v>
      </c>
      <c r="FR16" s="1956">
        <f>Plantillas!T$606</f>
        <v>0</v>
      </c>
      <c r="FS16" s="1956">
        <f>Plantillas!T$607</f>
        <v>0</v>
      </c>
      <c r="FT16" s="1956">
        <f>Plantillas!T$608</f>
        <v>0</v>
      </c>
      <c r="FU16" s="1956">
        <f>Plantillas!T$609</f>
        <v>0</v>
      </c>
      <c r="FV16" s="1956">
        <f>Plantillas!T$610</f>
        <v>0</v>
      </c>
      <c r="FW16" s="1956">
        <f>Plantillas!T$611</f>
        <v>0</v>
      </c>
      <c r="FX16" s="1956">
        <f>Plantillas!T$612</f>
        <v>0</v>
      </c>
      <c r="FY16" s="1956">
        <f>Plantillas!T$613</f>
        <v>0</v>
      </c>
      <c r="FZ16" s="1956">
        <f>Plantillas!T$614</f>
        <v>0</v>
      </c>
      <c r="GA16" s="1956">
        <f>Plantillas!T$615</f>
        <v>0</v>
      </c>
      <c r="GB16" s="1957">
        <f>Plantillas!T$616</f>
        <v>0</v>
      </c>
      <c r="GC16" s="1361">
        <v>15</v>
      </c>
      <c r="GD16" s="1353">
        <f>Plantillas!V$626</f>
        <v>42</v>
      </c>
      <c r="GE16" s="1353">
        <f>Plantillas!W$626</f>
        <v>29</v>
      </c>
      <c r="GF16" s="1353">
        <f>Plantillas!X$626</f>
        <v>26</v>
      </c>
      <c r="GG16" s="1353">
        <f>Plantillas!Y$626</f>
        <v>23</v>
      </c>
      <c r="GH16" s="1353">
        <f>Plantillas!Z$626</f>
        <v>32</v>
      </c>
      <c r="GI16" s="1353">
        <f>Plantillas!AA$626</f>
        <v>10</v>
      </c>
      <c r="GJ16" s="1353">
        <f t="shared" si="0"/>
        <v>162</v>
      </c>
      <c r="GK16" s="1354">
        <f>Plantillas!U$626</f>
        <v>28</v>
      </c>
      <c r="GL16" s="1361">
        <v>15</v>
      </c>
      <c r="GM16" s="2388">
        <f>Plantillas!H$597</f>
        <v>0</v>
      </c>
      <c r="GN16" s="2388">
        <f>Plantillas!H$598</f>
        <v>0</v>
      </c>
      <c r="GO16" s="2388">
        <f>Plantillas!H$599</f>
        <v>0</v>
      </c>
      <c r="GP16" s="2388">
        <f>Plantillas!H$600</f>
        <v>0</v>
      </c>
      <c r="GQ16" s="2388">
        <f>Plantillas!H$601</f>
        <v>0</v>
      </c>
      <c r="GR16" s="2388">
        <f>Plantillas!H$602</f>
        <v>0</v>
      </c>
      <c r="GS16" s="2388">
        <f>Plantillas!H$603</f>
        <v>0</v>
      </c>
      <c r="GT16" s="2388">
        <f>Plantillas!H$604</f>
        <v>0</v>
      </c>
      <c r="GU16" s="2388">
        <f>Plantillas!H$605</f>
        <v>0</v>
      </c>
      <c r="GV16" s="2388">
        <f>Plantillas!H$606</f>
        <v>0</v>
      </c>
      <c r="GW16" s="2388">
        <f>Plantillas!H$607</f>
        <v>0</v>
      </c>
      <c r="GX16" s="2388">
        <f>Plantillas!H$608</f>
        <v>0</v>
      </c>
      <c r="GY16" s="2388">
        <f>Plantillas!H$609</f>
        <v>0</v>
      </c>
      <c r="GZ16" s="2388">
        <f>Plantillas!H$610</f>
        <v>0</v>
      </c>
      <c r="HA16" s="2388">
        <f>Plantillas!H$611</f>
        <v>0</v>
      </c>
      <c r="HB16" s="2388">
        <f>Plantillas!H$612</f>
        <v>0</v>
      </c>
      <c r="HC16" s="2388" t="str">
        <f>Plantillas!H$613</f>
        <v>X</v>
      </c>
      <c r="HD16" s="2388">
        <f>Plantillas!H$614</f>
        <v>0</v>
      </c>
      <c r="HE16" s="2388">
        <f>Plantillas!H$615</f>
        <v>0</v>
      </c>
      <c r="HF16" s="2389">
        <f>Plantillas!H$616</f>
        <v>0</v>
      </c>
      <c r="HG16" s="778">
        <v>14</v>
      </c>
      <c r="HH16" s="1942" t="str">
        <f>'[1]0125U'!$S$3</f>
        <v>pspatriciarv@hotmail.com</v>
      </c>
      <c r="HI16" s="1943" t="str">
        <f>'[1]0125U'!$C$6</f>
        <v>JOSE VASCONCELOS</v>
      </c>
      <c r="HJ16" s="771" t="str">
        <f>'[1]0125U'!$H$6</f>
        <v>23PPR0125U</v>
      </c>
      <c r="HK16" s="771" t="str">
        <f>'[1]0125U'!$C$8</f>
        <v>AV. POLITECNICO SMZ. 502 MZ. 8</v>
      </c>
      <c r="HL16" s="771" t="str">
        <f>'[1]0125U'!$I$8</f>
        <v>9981 47 65 68</v>
      </c>
      <c r="HM16" s="771" t="str">
        <f>'[1]0125U'!$C$10</f>
        <v>CANCUN</v>
      </c>
      <c r="HN16" s="771" t="str">
        <f>'[1]0125U'!$I$10</f>
        <v>BANITO JUAREZ</v>
      </c>
      <c r="HO16" s="183">
        <f>'[1]0125U'!$E$13</f>
        <v>0</v>
      </c>
      <c r="HP16" s="782" t="str">
        <f>'[1]0125U'!$I$13</f>
        <v>X</v>
      </c>
      <c r="HQ16" s="779" t="str">
        <f>'[1]0125U'!$Q$6</f>
        <v>X</v>
      </c>
      <c r="HR16" s="183">
        <f>'[1]0125U'!$U$6</f>
        <v>0</v>
      </c>
      <c r="HS16" s="183" t="str">
        <f>'[1]0125U'!$Q$7</f>
        <v>X</v>
      </c>
      <c r="HT16" s="183">
        <f>'[1]0125U'!$U$7</f>
        <v>0</v>
      </c>
      <c r="HU16" s="183">
        <f>'[1]0125U'!$Q$8</f>
        <v>0</v>
      </c>
      <c r="HV16" s="183" t="str">
        <f>'[1]0125U'!$U$8</f>
        <v>X</v>
      </c>
      <c r="HW16" s="183">
        <f>'[1]0125U'!$X$8</f>
        <v>0</v>
      </c>
      <c r="HX16" s="183">
        <f>'[1]0125U'!$Q$9</f>
        <v>0</v>
      </c>
      <c r="HY16" s="183" t="str">
        <f>'[1]0125U'!$U$9</f>
        <v>X</v>
      </c>
      <c r="HZ16" s="183">
        <f>'[1]0125U'!$Q$10</f>
        <v>0</v>
      </c>
      <c r="IA16" s="183" t="str">
        <f>'[1]0125U'!$U$10</f>
        <v>X</v>
      </c>
      <c r="IB16" s="183">
        <f>'[1]0125U'!$P$13</f>
        <v>4</v>
      </c>
      <c r="IC16" s="183">
        <f>'[1]0125U'!$Q$13</f>
        <v>0</v>
      </c>
      <c r="ID16" s="183">
        <f>'[1]0125U'!$R$13</f>
        <v>1</v>
      </c>
      <c r="IE16" s="183">
        <f>'[1]0125U'!$S$13</f>
        <v>1</v>
      </c>
      <c r="IF16" s="782">
        <f>'[1]0125U'!$U$13</f>
        <v>1</v>
      </c>
      <c r="IG16" s="779">
        <f>'[1]0125U'!$F$17</f>
        <v>0</v>
      </c>
      <c r="IH16" s="183">
        <f>'[1]0125U'!$F$18</f>
        <v>1</v>
      </c>
      <c r="II16" s="183">
        <f>'[1]0125U'!$F$19</f>
        <v>0</v>
      </c>
      <c r="IJ16" s="183">
        <f>'[1]0125U'!$F$20</f>
        <v>0</v>
      </c>
      <c r="IK16" s="183">
        <f>'[1]0125U'!$H$21</f>
        <v>4</v>
      </c>
      <c r="IL16" s="183">
        <f>'[1]0125U'!$H$22</f>
        <v>1</v>
      </c>
      <c r="IM16" s="183">
        <f>'[1]0125U'!$H$23</f>
        <v>0</v>
      </c>
      <c r="IN16" s="183">
        <f>'[1]0125U'!$H$24</f>
        <v>1</v>
      </c>
      <c r="IO16" s="183">
        <f>'[1]0125U'!$H$25</f>
        <v>1</v>
      </c>
      <c r="IP16" s="1358">
        <f>'[1]0125U'!$K$26</f>
        <v>6</v>
      </c>
      <c r="IQ16" s="1354">
        <f>'[1]0125U'!$M$26</f>
        <v>7</v>
      </c>
      <c r="IR16" s="183">
        <f>'[1]0125U'!$V$19</f>
        <v>0</v>
      </c>
      <c r="IS16" s="183">
        <f>'[1]0125U'!$V$20</f>
        <v>0</v>
      </c>
      <c r="IT16" s="183">
        <f>'[1]0125U'!$V$21</f>
        <v>0</v>
      </c>
      <c r="IU16" s="782">
        <f>'[1]0125U'!$V$22</f>
        <v>0</v>
      </c>
      <c r="IV16" s="779">
        <f>'[1]0125U'!$D$38</f>
        <v>1</v>
      </c>
      <c r="IW16" s="183">
        <f>'[1]0125U'!$G$38</f>
        <v>1</v>
      </c>
      <c r="IX16" s="183">
        <f>'[1]0125U'!$J$38</f>
        <v>1</v>
      </c>
      <c r="IY16" s="183">
        <f>'[1]0125U'!$M$38</f>
        <v>1</v>
      </c>
      <c r="IZ16" s="183">
        <f>'[1]0125U'!$P$38</f>
        <v>1</v>
      </c>
      <c r="JA16" s="782">
        <f>'[1]0125U'!$S$38</f>
        <v>1</v>
      </c>
      <c r="JB16" s="1944" t="str">
        <f>'[1]0125U'!$F$44</f>
        <v>PATRICIA RUIZ VALLE</v>
      </c>
      <c r="JC16" s="1945" t="str">
        <f>'[1]0125U'!$O$44</f>
        <v>JESUS MARTIN RICALDE CASTRO</v>
      </c>
      <c r="JD16" s="779">
        <f t="shared" si="7"/>
        <v>7</v>
      </c>
      <c r="JE16" s="183">
        <f t="shared" si="8"/>
        <v>9</v>
      </c>
      <c r="JF16" s="183">
        <f t="shared" si="9"/>
        <v>12</v>
      </c>
      <c r="JG16" s="183">
        <f t="shared" si="10"/>
        <v>11</v>
      </c>
      <c r="JH16" s="183">
        <f t="shared" si="11"/>
        <v>12</v>
      </c>
      <c r="JI16" s="782">
        <f>HR38+HS38</f>
        <v>7</v>
      </c>
      <c r="JJ16" s="779">
        <f t="shared" si="12"/>
        <v>1</v>
      </c>
      <c r="JK16" s="183">
        <f t="shared" si="13"/>
        <v>1</v>
      </c>
      <c r="JL16" s="183">
        <f t="shared" si="14"/>
        <v>1</v>
      </c>
      <c r="JM16" s="183">
        <f t="shared" si="15"/>
        <v>2</v>
      </c>
      <c r="JN16" s="183">
        <f t="shared" si="16"/>
        <v>1</v>
      </c>
      <c r="JO16" s="183">
        <f t="shared" si="17"/>
        <v>2</v>
      </c>
      <c r="JP16" s="779">
        <f t="shared" si="18"/>
        <v>0</v>
      </c>
      <c r="JQ16" s="183">
        <f t="shared" si="19"/>
        <v>0</v>
      </c>
      <c r="JR16" s="183">
        <f t="shared" si="20"/>
        <v>0</v>
      </c>
      <c r="JS16" s="183">
        <f t="shared" si="21"/>
        <v>2</v>
      </c>
      <c r="JT16" s="183">
        <f t="shared" si="31"/>
        <v>2</v>
      </c>
      <c r="JU16" s="183">
        <f t="shared" si="22"/>
        <v>1</v>
      </c>
      <c r="JV16" s="779">
        <f t="shared" si="23"/>
        <v>8</v>
      </c>
      <c r="JW16" s="183">
        <f t="shared" si="24"/>
        <v>10</v>
      </c>
      <c r="JX16" s="183">
        <f t="shared" si="25"/>
        <v>13</v>
      </c>
      <c r="JY16" s="183">
        <f t="shared" si="26"/>
        <v>11</v>
      </c>
      <c r="JZ16" s="183">
        <f t="shared" si="27"/>
        <v>11</v>
      </c>
      <c r="KA16" s="782">
        <f t="shared" si="28"/>
        <v>8</v>
      </c>
      <c r="KB16" s="183">
        <f t="shared" si="29"/>
        <v>0</v>
      </c>
      <c r="KC16" s="183">
        <f t="shared" si="2"/>
        <v>0</v>
      </c>
      <c r="KD16" s="183">
        <f t="shared" si="3"/>
        <v>0</v>
      </c>
      <c r="KE16" s="183">
        <f t="shared" si="4"/>
        <v>0</v>
      </c>
      <c r="KF16" s="183">
        <f t="shared" si="5"/>
        <v>0</v>
      </c>
      <c r="KG16" s="782">
        <f t="shared" si="6"/>
        <v>0</v>
      </c>
      <c r="KH16" s="1361">
        <v>15</v>
      </c>
      <c r="KI16" s="1956" t="s">
        <v>1825</v>
      </c>
      <c r="KJ16" s="1956"/>
      <c r="KK16" s="1956" t="s">
        <v>1825</v>
      </c>
      <c r="KL16" s="1956" t="s">
        <v>1825</v>
      </c>
      <c r="KM16" s="1956" t="s">
        <v>1825</v>
      </c>
      <c r="KN16" s="1956" t="s">
        <v>1825</v>
      </c>
      <c r="KO16" s="1956" t="s">
        <v>1825</v>
      </c>
      <c r="KP16" s="1956" t="s">
        <v>1825</v>
      </c>
      <c r="KQ16" s="1956" t="s">
        <v>1825</v>
      </c>
      <c r="KR16" s="1956" t="s">
        <v>1825</v>
      </c>
      <c r="KS16" s="1956" t="s">
        <v>1825</v>
      </c>
      <c r="KT16" s="1956" t="s">
        <v>1825</v>
      </c>
      <c r="KU16" s="1956" t="s">
        <v>1825</v>
      </c>
      <c r="KV16" s="1956" t="s">
        <v>1825</v>
      </c>
      <c r="KW16" s="1956" t="s">
        <v>1825</v>
      </c>
      <c r="KX16" s="1956" t="s">
        <v>1825</v>
      </c>
      <c r="KY16" s="1956" t="s">
        <v>1825</v>
      </c>
      <c r="KZ16" s="1956"/>
      <c r="LA16" s="1956"/>
      <c r="LB16" s="1957"/>
      <c r="LC16" s="2662">
        <v>15</v>
      </c>
      <c r="LD16" s="3748" t="str">
        <f>Plantillas!S$597</f>
        <v>MIVA670502M</v>
      </c>
      <c r="LE16" s="3748">
        <f>Plantillas!S$598</f>
        <v>0</v>
      </c>
      <c r="LF16" s="3748" t="str">
        <f>Plantillas!S$599</f>
        <v>GATN820919M</v>
      </c>
      <c r="LG16" s="3748" t="str">
        <f>Plantillas!S$600</f>
        <v>ROPD851105M</v>
      </c>
      <c r="LH16" s="3748" t="str">
        <f>Plantillas!S$601</f>
        <v>AUMG880228M</v>
      </c>
      <c r="LI16" s="3748" t="str">
        <f>Plantillas!S$602</f>
        <v>JIAM790618M</v>
      </c>
      <c r="LJ16" s="3748" t="str">
        <f>Plantillas!S$603</f>
        <v>MIVA670502M</v>
      </c>
      <c r="LK16" s="3748" t="str">
        <f>Plantillas!S$604</f>
        <v>PECY781231H</v>
      </c>
      <c r="LL16" s="3748" t="str">
        <f>Plantillas!S$605</f>
        <v>PAVM761203M</v>
      </c>
      <c r="LM16" s="3748" t="str">
        <f>Plantillas!S$606</f>
        <v>VIMA680911M</v>
      </c>
      <c r="LN16" s="3748" t="str">
        <f>Plantillas!S$607</f>
        <v>GOGC780205M</v>
      </c>
      <c r="LO16" s="3748" t="str">
        <f>Plantillas!S$608</f>
        <v>ROCE831128M</v>
      </c>
      <c r="LP16" s="3748" t="str">
        <f>Plantillas!S$609</f>
        <v>LORL670104M</v>
      </c>
      <c r="LQ16" s="3748" t="str">
        <f>Plantillas!S$610</f>
        <v>MERA660115M</v>
      </c>
      <c r="LR16" s="3748" t="str">
        <f>Plantillas!S$611</f>
        <v>SAFS721201M</v>
      </c>
      <c r="LS16" s="3748" t="str">
        <f>Plantillas!S$612</f>
        <v>BASG701105M</v>
      </c>
      <c r="LT16" s="3748" t="str">
        <f>Plantillas!S$613</f>
        <v>PESF781004H</v>
      </c>
      <c r="LU16" s="3748">
        <f>Plantillas!S$614</f>
        <v>0</v>
      </c>
      <c r="LV16" s="3748">
        <f>Plantillas!S$615</f>
        <v>0</v>
      </c>
      <c r="LW16" s="3749">
        <f>Plantillas!S$616</f>
        <v>0</v>
      </c>
      <c r="LX16" s="19" t="s">
        <v>79</v>
      </c>
    </row>
    <row r="17" spans="1:336" s="18" customFormat="1" ht="12.75" customHeight="1">
      <c r="A17" s="125">
        <v>1</v>
      </c>
      <c r="B17" s="32">
        <f>VLOOKUP(T6,AX23:DI42,2,2)</f>
        <v>0</v>
      </c>
      <c r="C17" s="34">
        <f>VLOOKUP(T6,AX23:DI42,3,3)</f>
        <v>0</v>
      </c>
      <c r="D17" s="28" t="str">
        <f>VLOOKUP(T6,BG2:CA21,2,2)</f>
        <v>CERVANTES BENITEZ * ANTONIA</v>
      </c>
      <c r="E17" s="20"/>
      <c r="F17" s="20"/>
      <c r="G17" s="20"/>
      <c r="H17" s="20"/>
      <c r="I17" s="3359" t="str">
        <f>VLOOKUP(T6,LC24:LW43,2,21)</f>
        <v>042</v>
      </c>
      <c r="J17" s="3867">
        <f>VLOOKUP(T6,AX44:BR63,2,2)</f>
        <v>0</v>
      </c>
      <c r="K17" s="3867"/>
      <c r="L17" s="3780">
        <f>VLOOKUP(T6,BS44:CM63,2,2)</f>
        <v>0</v>
      </c>
      <c r="M17" s="3780"/>
      <c r="N17" s="3780">
        <f>VLOOKUP(T6,CN44:DH63,2,2)</f>
        <v>0</v>
      </c>
      <c r="O17" s="3780"/>
      <c r="P17" s="3780">
        <f>VLOOKUP(T6,DI44:EC63,2,2)</f>
        <v>0</v>
      </c>
      <c r="Q17" s="3780"/>
      <c r="R17" s="3780">
        <f>VLOOKUP(T6,ED44:EX63,2,2)</f>
        <v>0</v>
      </c>
      <c r="S17" s="3780"/>
      <c r="T17" s="3780">
        <f>VLOOKUP(T6,EY44:FS63,2,2)</f>
        <v>0</v>
      </c>
      <c r="U17" s="3780"/>
      <c r="V17" s="3841">
        <f t="shared" ref="V17:V36" si="32">SUM(L17:U17)/4</f>
        <v>0</v>
      </c>
      <c r="W17" s="3842"/>
      <c r="X17" s="3848"/>
      <c r="Y17" s="3849"/>
      <c r="Z17" s="3848"/>
      <c r="AA17" s="3849"/>
      <c r="AB17" s="3850"/>
      <c r="AC17" s="3851"/>
      <c r="AD17" s="3850"/>
      <c r="AE17" s="3851"/>
      <c r="AF17" s="3362" t="str">
        <f t="shared" ref="AF17:AF36" si="33">CONCATENATE(B17,C17)</f>
        <v>00</v>
      </c>
      <c r="AG17" s="3363">
        <f>AH17</f>
        <v>0</v>
      </c>
      <c r="AH17" s="3846">
        <f>VLOOKUP(T6,AX23:DI42,4,4)</f>
        <v>0</v>
      </c>
      <c r="AI17" s="3847"/>
      <c r="AJ17" s="3854"/>
      <c r="AK17" s="3855"/>
      <c r="AL17" s="3188">
        <f>VLOOKUP(T6,GL2:HF21,2,21)</f>
        <v>0</v>
      </c>
      <c r="AM17" s="3189" t="str">
        <f>VLOOKUP(T6,GL23:HF42,2,21)</f>
        <v>X</v>
      </c>
      <c r="AN17" s="3190" t="str">
        <f>VLOOKUP(T6,CB2:CV21,2,21)</f>
        <v>CEBA641230GX0</v>
      </c>
      <c r="AO17" s="3190" t="str">
        <f>VLOOKUP(T6,CW2:DQ21,2,21)</f>
        <v>078312 E022100.0231688</v>
      </c>
      <c r="AP17" s="3190" t="str">
        <f>VLOOKUP(T6,DR2:EL21,2,21)</f>
        <v>DIRECTOR</v>
      </c>
      <c r="AQ17" s="3190">
        <f>VLOOKUP(T6,DR23:EL42,2,21)</f>
        <v>0</v>
      </c>
      <c r="AR17" s="3190" t="str">
        <f>VLOOKUP(T6,LC2:LW21,2,21)</f>
        <v>CEBA641230MSL</v>
      </c>
      <c r="AS17" s="3189" t="str">
        <f>VLOOKUP(T6,FH2:GB21,2,21)</f>
        <v>7D</v>
      </c>
      <c r="AT17" s="3189">
        <f>VLOOKUP(T6,EM2:FG21,2,21)</f>
        <v>10</v>
      </c>
      <c r="AU17" s="3191" t="str">
        <f>VLOOKUP(T6,FH23:GB42,2,21)</f>
        <v>16-09-1986</v>
      </c>
      <c r="AV17" s="3192" t="str">
        <f>VLOOKUP(T6,KH2:LB21,2,21)</f>
        <v>23DPR0055K</v>
      </c>
      <c r="AW17" s="2803" t="str">
        <f>VLOOKUP(T6,KH24:LB43,2,21)</f>
        <v>KABAH</v>
      </c>
      <c r="AX17" s="1950">
        <v>16</v>
      </c>
      <c r="AY17" s="1951">
        <f>Plantillas!D$632</f>
        <v>0</v>
      </c>
      <c r="AZ17" s="1951">
        <f>Plantillas!M$632</f>
        <v>0</v>
      </c>
      <c r="BA17" s="1951">
        <f>Plantillas!Q$632</f>
        <v>0</v>
      </c>
      <c r="BB17" s="2388">
        <f>Plantillas!Z$663</f>
        <v>0</v>
      </c>
      <c r="BC17" s="1952">
        <f>Plantillas!C$633</f>
        <v>0</v>
      </c>
      <c r="BD17" s="1951">
        <f>Plantillas!P$633</f>
        <v>0</v>
      </c>
      <c r="BE17" s="1953">
        <f>Plantillas!E$667</f>
        <v>0</v>
      </c>
      <c r="BF17" s="1952">
        <f>Plantillas!AA$663</f>
        <v>0</v>
      </c>
      <c r="BG17" s="1950">
        <v>16</v>
      </c>
      <c r="BH17" s="1951">
        <f>Plantillas!B$637</f>
        <v>0</v>
      </c>
      <c r="BI17" s="1951">
        <f>Plantillas!B$638</f>
        <v>0</v>
      </c>
      <c r="BJ17" s="1951">
        <f>Plantillas!B$639</f>
        <v>0</v>
      </c>
      <c r="BK17" s="1951">
        <f>Plantillas!B$640</f>
        <v>0</v>
      </c>
      <c r="BL17" s="1951">
        <f>Plantillas!B$641</f>
        <v>0</v>
      </c>
      <c r="BM17" s="1951">
        <f>Plantillas!B$642</f>
        <v>0</v>
      </c>
      <c r="BN17" s="1951">
        <f>Plantillas!B$643</f>
        <v>0</v>
      </c>
      <c r="BO17" s="1951">
        <f>Plantillas!B$644</f>
        <v>0</v>
      </c>
      <c r="BP17" s="1951">
        <f>Plantillas!B$645</f>
        <v>0</v>
      </c>
      <c r="BQ17" s="1954">
        <f>Plantillas!B$646</f>
        <v>0</v>
      </c>
      <c r="BR17" s="1954">
        <f>Plantillas!B$647</f>
        <v>0</v>
      </c>
      <c r="BS17" s="1954">
        <f>Plantillas!B$648</f>
        <v>0</v>
      </c>
      <c r="BT17" s="1954">
        <f>Plantillas!B$649</f>
        <v>0</v>
      </c>
      <c r="BU17" s="1954">
        <f>Plantillas!B$650</f>
        <v>0</v>
      </c>
      <c r="BV17" s="1954">
        <f>Plantillas!B$651</f>
        <v>0</v>
      </c>
      <c r="BW17" s="1954">
        <f>Plantillas!B$652</f>
        <v>0</v>
      </c>
      <c r="BX17" s="1954">
        <f>Plantillas!B$653</f>
        <v>0</v>
      </c>
      <c r="BY17" s="1954">
        <f>Plantillas!B$654</f>
        <v>0</v>
      </c>
      <c r="BZ17" s="1954">
        <f>Plantillas!B$655</f>
        <v>0</v>
      </c>
      <c r="CA17" s="1955">
        <f>Plantillas!B$656</f>
        <v>0</v>
      </c>
      <c r="CB17" s="1361">
        <v>16</v>
      </c>
      <c r="CC17" s="1954">
        <f>Plantillas!J$637</f>
        <v>0</v>
      </c>
      <c r="CD17" s="1954">
        <f>Plantillas!J$638</f>
        <v>0</v>
      </c>
      <c r="CE17" s="1954">
        <f>Plantillas!J$639</f>
        <v>0</v>
      </c>
      <c r="CF17" s="1954">
        <f>Plantillas!J$640</f>
        <v>0</v>
      </c>
      <c r="CG17" s="1954">
        <f>Plantillas!J$641</f>
        <v>0</v>
      </c>
      <c r="CH17" s="1954">
        <f>Plantillas!J$642</f>
        <v>0</v>
      </c>
      <c r="CI17" s="1954">
        <f>Plantillas!J$643</f>
        <v>0</v>
      </c>
      <c r="CJ17" s="1954">
        <f>Plantillas!J$644</f>
        <v>0</v>
      </c>
      <c r="CK17" s="1954">
        <f>Plantillas!J$645</f>
        <v>0</v>
      </c>
      <c r="CL17" s="1954">
        <f>Plantillas!J$646</f>
        <v>0</v>
      </c>
      <c r="CM17" s="1954">
        <f>Plantillas!J$647</f>
        <v>0</v>
      </c>
      <c r="CN17" s="1954">
        <f>Plantillas!J$648</f>
        <v>0</v>
      </c>
      <c r="CO17" s="1954">
        <f>Plantillas!J$649</f>
        <v>0</v>
      </c>
      <c r="CP17" s="1954">
        <f>Plantillas!J$650</f>
        <v>0</v>
      </c>
      <c r="CQ17" s="1954">
        <f>Plantillas!J$651</f>
        <v>0</v>
      </c>
      <c r="CR17" s="1954">
        <f>Plantillas!J$652</f>
        <v>0</v>
      </c>
      <c r="CS17" s="1954">
        <f>Plantillas!J$653</f>
        <v>0</v>
      </c>
      <c r="CT17" s="1954">
        <f>Plantillas!J$654</f>
        <v>0</v>
      </c>
      <c r="CU17" s="1954">
        <f>Plantillas!J$655</f>
        <v>0</v>
      </c>
      <c r="CV17" s="1954">
        <f>Plantillas!J$656</f>
        <v>0</v>
      </c>
      <c r="CW17" s="1361">
        <v>16</v>
      </c>
      <c r="CX17" s="1954">
        <f>Plantillas!K$637</f>
        <v>0</v>
      </c>
      <c r="CY17" s="1954">
        <f>Plantillas!K$638</f>
        <v>0</v>
      </c>
      <c r="CZ17" s="1954">
        <f>Plantillas!K$639</f>
        <v>0</v>
      </c>
      <c r="DA17" s="1954">
        <f>Plantillas!K$640</f>
        <v>0</v>
      </c>
      <c r="DB17" s="1954">
        <f>Plantillas!K$641</f>
        <v>0</v>
      </c>
      <c r="DC17" s="1954">
        <f>Plantillas!K$642</f>
        <v>0</v>
      </c>
      <c r="DD17" s="1954">
        <f>Plantillas!K$643</f>
        <v>0</v>
      </c>
      <c r="DE17" s="1954">
        <f>Plantillas!K$644</f>
        <v>0</v>
      </c>
      <c r="DF17" s="1954">
        <f>Plantillas!K$645</f>
        <v>0</v>
      </c>
      <c r="DG17" s="1954">
        <f>Plantillas!K$646</f>
        <v>0</v>
      </c>
      <c r="DH17" s="1954">
        <f>Plantillas!K$647</f>
        <v>0</v>
      </c>
      <c r="DI17" s="1954">
        <f>Plantillas!K$648</f>
        <v>0</v>
      </c>
      <c r="DJ17" s="1954">
        <f>Plantillas!K$649</f>
        <v>0</v>
      </c>
      <c r="DK17" s="1954">
        <f>Plantillas!K$650</f>
        <v>0</v>
      </c>
      <c r="DL17" s="1954">
        <f>Plantillas!K$651</f>
        <v>0</v>
      </c>
      <c r="DM17" s="1954">
        <f>Plantillas!K$652</f>
        <v>0</v>
      </c>
      <c r="DN17" s="1954">
        <f>Plantillas!K$653</f>
        <v>0</v>
      </c>
      <c r="DO17" s="1954">
        <f>Plantillas!K$654</f>
        <v>0</v>
      </c>
      <c r="DP17" s="1954">
        <f>Plantillas!K$655</f>
        <v>0</v>
      </c>
      <c r="DQ17" s="1954">
        <f>Plantillas!K$656</f>
        <v>0</v>
      </c>
      <c r="DR17" s="1361">
        <v>16</v>
      </c>
      <c r="DS17" s="1954">
        <f>Plantillas!L$637</f>
        <v>0</v>
      </c>
      <c r="DT17" s="1954">
        <f>Plantillas!L$638</f>
        <v>0</v>
      </c>
      <c r="DU17" s="1954">
        <f>Plantillas!L$639</f>
        <v>0</v>
      </c>
      <c r="DV17" s="1954">
        <f>Plantillas!L$640</f>
        <v>0</v>
      </c>
      <c r="DW17" s="1954">
        <f>Plantillas!L$641</f>
        <v>0</v>
      </c>
      <c r="DX17" s="1954">
        <f>Plantillas!L$642</f>
        <v>0</v>
      </c>
      <c r="DY17" s="1954">
        <f>Plantillas!L$643</f>
        <v>0</v>
      </c>
      <c r="DZ17" s="1954">
        <f>Plantillas!L$644</f>
        <v>0</v>
      </c>
      <c r="EA17" s="1954">
        <f>Plantillas!L$645</f>
        <v>0</v>
      </c>
      <c r="EB17" s="1954">
        <f>Plantillas!L$646</f>
        <v>0</v>
      </c>
      <c r="EC17" s="1954">
        <f>Plantillas!L$647</f>
        <v>0</v>
      </c>
      <c r="ED17" s="1954">
        <f>Plantillas!L$648</f>
        <v>0</v>
      </c>
      <c r="EE17" s="1954">
        <f>Plantillas!L$649</f>
        <v>0</v>
      </c>
      <c r="EF17" s="1954">
        <f>Plantillas!L$650</f>
        <v>0</v>
      </c>
      <c r="EG17" s="1954">
        <f>Plantillas!L$651</f>
        <v>0</v>
      </c>
      <c r="EH17" s="1954">
        <f>Plantillas!L$652</f>
        <v>0</v>
      </c>
      <c r="EI17" s="1954">
        <f>Plantillas!L$653</f>
        <v>0</v>
      </c>
      <c r="EJ17" s="1954">
        <f>Plantillas!L$654</f>
        <v>0</v>
      </c>
      <c r="EK17" s="1954">
        <f>Plantillas!L$655</f>
        <v>0</v>
      </c>
      <c r="EL17" s="1954">
        <f>Plantillas!L$656</f>
        <v>0</v>
      </c>
      <c r="EM17" s="1361">
        <v>16</v>
      </c>
      <c r="EN17" s="1956">
        <f>Plantillas!U$637</f>
        <v>0</v>
      </c>
      <c r="EO17" s="1956">
        <f>Plantillas!U$638</f>
        <v>0</v>
      </c>
      <c r="EP17" s="1956">
        <f>Plantillas!U$639</f>
        <v>0</v>
      </c>
      <c r="EQ17" s="1956">
        <f>Plantillas!U$640</f>
        <v>0</v>
      </c>
      <c r="ER17" s="1956">
        <f>Plantillas!U$641</f>
        <v>0</v>
      </c>
      <c r="ES17" s="1956">
        <f>Plantillas!U$642</f>
        <v>0</v>
      </c>
      <c r="ET17" s="1956">
        <f>Plantillas!U$643</f>
        <v>0</v>
      </c>
      <c r="EU17" s="1956">
        <f>Plantillas!U$644</f>
        <v>0</v>
      </c>
      <c r="EV17" s="1956">
        <f>Plantillas!U$645</f>
        <v>0</v>
      </c>
      <c r="EW17" s="1956">
        <f>Plantillas!U$646</f>
        <v>0</v>
      </c>
      <c r="EX17" s="1956">
        <f>Plantillas!U$647</f>
        <v>0</v>
      </c>
      <c r="EY17" s="1956">
        <f>Plantillas!U$648</f>
        <v>0</v>
      </c>
      <c r="EZ17" s="1956">
        <f>Plantillas!U$649</f>
        <v>0</v>
      </c>
      <c r="FA17" s="1956">
        <f>Plantillas!U$650</f>
        <v>0</v>
      </c>
      <c r="FB17" s="1956">
        <f>Plantillas!U$651</f>
        <v>0</v>
      </c>
      <c r="FC17" s="1956">
        <f>Plantillas!U$652</f>
        <v>0</v>
      </c>
      <c r="FD17" s="1956">
        <f>Plantillas!U$653</f>
        <v>0</v>
      </c>
      <c r="FE17" s="1956">
        <f>Plantillas!U$654</f>
        <v>0</v>
      </c>
      <c r="FF17" s="1956">
        <f>Plantillas!U$655</f>
        <v>0</v>
      </c>
      <c r="FG17" s="1957">
        <f>Plantillas!U$656</f>
        <v>0</v>
      </c>
      <c r="FH17" s="1361">
        <v>16</v>
      </c>
      <c r="FI17" s="1956">
        <f>Plantillas!T$637</f>
        <v>0</v>
      </c>
      <c r="FJ17" s="1956">
        <f>Plantillas!T$638</f>
        <v>0</v>
      </c>
      <c r="FK17" s="1956">
        <f>Plantillas!T$639</f>
        <v>0</v>
      </c>
      <c r="FL17" s="1956">
        <f>Plantillas!T$640</f>
        <v>0</v>
      </c>
      <c r="FM17" s="1956">
        <f>Plantillas!T$641</f>
        <v>0</v>
      </c>
      <c r="FN17" s="1956">
        <f>Plantillas!T$642</f>
        <v>0</v>
      </c>
      <c r="FO17" s="1956">
        <f>Plantillas!T$643</f>
        <v>0</v>
      </c>
      <c r="FP17" s="1956">
        <f>Plantillas!T$644</f>
        <v>0</v>
      </c>
      <c r="FQ17" s="1956">
        <f>Plantillas!T$645</f>
        <v>0</v>
      </c>
      <c r="FR17" s="1956">
        <f>Plantillas!T$646</f>
        <v>0</v>
      </c>
      <c r="FS17" s="1956">
        <f>Plantillas!T$647</f>
        <v>0</v>
      </c>
      <c r="FT17" s="1956">
        <f>Plantillas!T$648</f>
        <v>0</v>
      </c>
      <c r="FU17" s="1956">
        <f>Plantillas!T$649</f>
        <v>0</v>
      </c>
      <c r="FV17" s="1956">
        <f>Plantillas!T$650</f>
        <v>0</v>
      </c>
      <c r="FW17" s="1956">
        <f>Plantillas!T$651</f>
        <v>0</v>
      </c>
      <c r="FX17" s="1956">
        <f>Plantillas!T$652</f>
        <v>0</v>
      </c>
      <c r="FY17" s="1956">
        <f>Plantillas!T$653</f>
        <v>0</v>
      </c>
      <c r="FZ17" s="1956">
        <f>Plantillas!T$654</f>
        <v>0</v>
      </c>
      <c r="GA17" s="1956">
        <f>Plantillas!T$655</f>
        <v>0</v>
      </c>
      <c r="GB17" s="1957">
        <f>Plantillas!T$656</f>
        <v>0</v>
      </c>
      <c r="GC17" s="1361">
        <v>16</v>
      </c>
      <c r="GD17" s="1353">
        <f>Plantillas!V$666</f>
        <v>42</v>
      </c>
      <c r="GE17" s="1353">
        <f>Plantillas!W$666</f>
        <v>29</v>
      </c>
      <c r="GF17" s="1353">
        <f>Plantillas!X$666</f>
        <v>26</v>
      </c>
      <c r="GG17" s="1353">
        <f>Plantillas!Y$666</f>
        <v>23</v>
      </c>
      <c r="GH17" s="1353">
        <f>Plantillas!Z$666</f>
        <v>32</v>
      </c>
      <c r="GI17" s="1353">
        <f>Plantillas!AA$666</f>
        <v>10</v>
      </c>
      <c r="GJ17" s="1353">
        <f>SUM(GD17:GI17)</f>
        <v>162</v>
      </c>
      <c r="GK17" s="1354">
        <f>Plantillas!U$666</f>
        <v>28</v>
      </c>
      <c r="GL17" s="1361">
        <v>16</v>
      </c>
      <c r="GM17" s="2388">
        <f>Plantillas!H$637</f>
        <v>0</v>
      </c>
      <c r="GN17" s="2388">
        <f>Plantillas!H$638</f>
        <v>0</v>
      </c>
      <c r="GO17" s="2388">
        <f>Plantillas!H$639</f>
        <v>0</v>
      </c>
      <c r="GP17" s="2388">
        <f>Plantillas!H$640</f>
        <v>0</v>
      </c>
      <c r="GQ17" s="2388">
        <f>Plantillas!H$641</f>
        <v>0</v>
      </c>
      <c r="GR17" s="2388">
        <f>Plantillas!H$642</f>
        <v>0</v>
      </c>
      <c r="GS17" s="2388">
        <f>Plantillas!H$643</f>
        <v>0</v>
      </c>
      <c r="GT17" s="2388">
        <f>Plantillas!H$644</f>
        <v>0</v>
      </c>
      <c r="GU17" s="2388">
        <f>Plantillas!H$645</f>
        <v>0</v>
      </c>
      <c r="GV17" s="2388">
        <f>Plantillas!H$646</f>
        <v>0</v>
      </c>
      <c r="GW17" s="2388">
        <f>Plantillas!H$647</f>
        <v>0</v>
      </c>
      <c r="GX17" s="2388">
        <f>Plantillas!H$648</f>
        <v>0</v>
      </c>
      <c r="GY17" s="2388">
        <f>Plantillas!H$649</f>
        <v>0</v>
      </c>
      <c r="GZ17" s="2388">
        <f>Plantillas!H$650</f>
        <v>0</v>
      </c>
      <c r="HA17" s="2388">
        <f>Plantillas!H$651</f>
        <v>0</v>
      </c>
      <c r="HB17" s="2388">
        <f>Plantillas!H$652</f>
        <v>0</v>
      </c>
      <c r="HC17" s="2388">
        <f>Plantillas!H$653</f>
        <v>0</v>
      </c>
      <c r="HD17" s="2388">
        <f>Plantillas!H$654</f>
        <v>0</v>
      </c>
      <c r="HE17" s="2388">
        <f>Plantillas!H$655</f>
        <v>0</v>
      </c>
      <c r="HF17" s="2389">
        <f>Plantillas!H$656</f>
        <v>0</v>
      </c>
      <c r="HG17" s="778">
        <v>15</v>
      </c>
      <c r="HH17" s="1942" t="str">
        <f>'[1]0156N'!$S$3</f>
        <v>cilaqroo@hotmail.com</v>
      </c>
      <c r="HI17" s="1943" t="str">
        <f>'[1]0156N'!$C$6</f>
        <v>CENTRO INFANTIL LATINOAMERICANO</v>
      </c>
      <c r="HJ17" s="771" t="str">
        <f>'[1]0156N'!$H$6</f>
        <v>23PPR0156N</v>
      </c>
      <c r="HK17" s="771" t="str">
        <f>'[1]0156N'!$C$8</f>
        <v>AV. CANCÚN MZ. 25 L. 6</v>
      </c>
      <c r="HL17" s="771" t="str">
        <f>'[1]0156N'!$I$8</f>
        <v>9985 77 44 15</v>
      </c>
      <c r="HM17" s="771" t="str">
        <f>'[1]0156N'!$C$10</f>
        <v>CANCUN</v>
      </c>
      <c r="HN17" s="771" t="str">
        <f>'[1]0156N'!$I$10</f>
        <v>BENITO JUAREZ</v>
      </c>
      <c r="HO17" s="183">
        <f>'[1]0156N'!$E$13</f>
        <v>0</v>
      </c>
      <c r="HP17" s="782" t="str">
        <f>'[1]0156N'!$I$13</f>
        <v>X</v>
      </c>
      <c r="HQ17" s="779" t="str">
        <f>'[1]0156N'!$Q$6</f>
        <v>X</v>
      </c>
      <c r="HR17" s="183">
        <f>'[1]0156N'!$U$6</f>
        <v>0</v>
      </c>
      <c r="HS17" s="183" t="str">
        <f>'[1]0156N'!$Q$7</f>
        <v>X</v>
      </c>
      <c r="HT17" s="183">
        <f>'[1]0156N'!$U$7</f>
        <v>0</v>
      </c>
      <c r="HU17" s="183">
        <f>'[1]0156N'!$Q$8</f>
        <v>0</v>
      </c>
      <c r="HV17" s="183" t="str">
        <f>'[1]0156N'!$U$8</f>
        <v>X</v>
      </c>
      <c r="HW17" s="183">
        <f>'[1]0156N'!$X$8</f>
        <v>0</v>
      </c>
      <c r="HX17" s="183">
        <f>'[1]0156N'!$Q$9</f>
        <v>0</v>
      </c>
      <c r="HY17" s="183" t="str">
        <f>'[1]0156N'!$U$9</f>
        <v>X</v>
      </c>
      <c r="HZ17" s="183">
        <f>'[1]0156N'!$Q$10</f>
        <v>0</v>
      </c>
      <c r="IA17" s="183" t="str">
        <f>'[1]0156N'!$U$10</f>
        <v>X</v>
      </c>
      <c r="IB17" s="183">
        <f>'[1]0156N'!$P$13</f>
        <v>4</v>
      </c>
      <c r="IC17" s="183">
        <f>'[1]0156N'!$Q$13</f>
        <v>0</v>
      </c>
      <c r="ID17" s="183">
        <f>'[1]0156N'!$R$13</f>
        <v>1</v>
      </c>
      <c r="IE17" s="183">
        <f>'[1]0156N'!$S$13</f>
        <v>0</v>
      </c>
      <c r="IF17" s="782">
        <f>'[1]0156N'!$U$13</f>
        <v>0</v>
      </c>
      <c r="IG17" s="779">
        <f>'[1]0156N'!$F$17</f>
        <v>0</v>
      </c>
      <c r="IH17" s="183">
        <f>'[1]0156N'!$F$18</f>
        <v>1</v>
      </c>
      <c r="II17" s="183">
        <f>'[1]0156N'!$F$19</f>
        <v>0</v>
      </c>
      <c r="IJ17" s="183">
        <f>'[1]0156N'!$F$20</f>
        <v>0</v>
      </c>
      <c r="IK17" s="183">
        <f>'[1]0156N'!$H$21</f>
        <v>2</v>
      </c>
      <c r="IL17" s="183">
        <f>'[1]0156N'!$H$22</f>
        <v>0</v>
      </c>
      <c r="IM17" s="183">
        <f>'[1]0156N'!$H$23</f>
        <v>0</v>
      </c>
      <c r="IN17" s="183">
        <f>'[1]0156N'!$H$24</f>
        <v>1</v>
      </c>
      <c r="IO17" s="183">
        <f>'[1]0156N'!$H$25</f>
        <v>3</v>
      </c>
      <c r="IP17" s="1358">
        <f>'[1]0156N'!$K$26</f>
        <v>9</v>
      </c>
      <c r="IQ17" s="1354">
        <f>'[1]0156N'!$M$26</f>
        <v>9</v>
      </c>
      <c r="IR17" s="183">
        <f>'[1]0156N'!$V$19</f>
        <v>0</v>
      </c>
      <c r="IS17" s="183">
        <f>'[1]0156N'!$V$20</f>
        <v>0</v>
      </c>
      <c r="IT17" s="183">
        <f>'[1]0156N'!$V$21</f>
        <v>0</v>
      </c>
      <c r="IU17" s="782">
        <f>'[1]0156N'!$V$22</f>
        <v>0</v>
      </c>
      <c r="IV17" s="779">
        <f>'[1]0156N'!$D$38</f>
        <v>1</v>
      </c>
      <c r="IW17" s="183">
        <f>'[1]0156N'!$G$38</f>
        <v>1</v>
      </c>
      <c r="IX17" s="183">
        <f>'[1]0156N'!$J$38</f>
        <v>1</v>
      </c>
      <c r="IY17" s="183">
        <f>'[1]0156N'!$M$38</f>
        <v>1</v>
      </c>
      <c r="IZ17" s="183">
        <f>'[1]0156N'!$P$38</f>
        <v>0</v>
      </c>
      <c r="JA17" s="782">
        <f>'[1]0156N'!$S$38</f>
        <v>0</v>
      </c>
      <c r="JB17" s="1944" t="str">
        <f>'[1]0156N'!$F$44</f>
        <v>G.CANTO PUERTO REBECA</v>
      </c>
      <c r="JC17" s="1945" t="str">
        <f>'[1]0156N'!$O$44</f>
        <v>JESUS MARTIN RICALDE CASTRO</v>
      </c>
      <c r="JD17" s="779">
        <f t="shared" si="7"/>
        <v>16</v>
      </c>
      <c r="JE17" s="183">
        <f t="shared" si="8"/>
        <v>14</v>
      </c>
      <c r="JF17" s="183">
        <f t="shared" si="9"/>
        <v>9</v>
      </c>
      <c r="JG17" s="183">
        <f t="shared" si="10"/>
        <v>11</v>
      </c>
      <c r="JH17" s="183">
        <f t="shared" si="11"/>
        <v>0</v>
      </c>
      <c r="JI17" s="782">
        <f t="shared" si="30"/>
        <v>0</v>
      </c>
      <c r="JJ17" s="779">
        <f t="shared" si="12"/>
        <v>0</v>
      </c>
      <c r="JK17" s="183">
        <f t="shared" si="13"/>
        <v>1</v>
      </c>
      <c r="JL17" s="183">
        <f t="shared" si="14"/>
        <v>1</v>
      </c>
      <c r="JM17" s="183">
        <f t="shared" si="15"/>
        <v>1</v>
      </c>
      <c r="JN17" s="183">
        <f t="shared" si="16"/>
        <v>0</v>
      </c>
      <c r="JO17" s="183">
        <f t="shared" si="17"/>
        <v>0</v>
      </c>
      <c r="JP17" s="779">
        <f t="shared" si="18"/>
        <v>1</v>
      </c>
      <c r="JQ17" s="183">
        <f t="shared" si="19"/>
        <v>2</v>
      </c>
      <c r="JR17" s="183">
        <f t="shared" si="20"/>
        <v>0</v>
      </c>
      <c r="JS17" s="183">
        <f t="shared" si="21"/>
        <v>1</v>
      </c>
      <c r="JT17" s="183">
        <f t="shared" si="31"/>
        <v>0</v>
      </c>
      <c r="JU17" s="183">
        <f t="shared" si="22"/>
        <v>0</v>
      </c>
      <c r="JV17" s="779">
        <f t="shared" si="23"/>
        <v>15</v>
      </c>
      <c r="JW17" s="183">
        <f t="shared" si="24"/>
        <v>13</v>
      </c>
      <c r="JX17" s="183">
        <f t="shared" si="25"/>
        <v>10</v>
      </c>
      <c r="JY17" s="183">
        <f t="shared" si="26"/>
        <v>11</v>
      </c>
      <c r="JZ17" s="183">
        <f t="shared" si="27"/>
        <v>0</v>
      </c>
      <c r="KA17" s="782">
        <f t="shared" si="28"/>
        <v>0</v>
      </c>
      <c r="KB17" s="183">
        <f t="shared" si="29"/>
        <v>0</v>
      </c>
      <c r="KC17" s="183">
        <f t="shared" si="2"/>
        <v>0</v>
      </c>
      <c r="KD17" s="183">
        <f t="shared" si="3"/>
        <v>0</v>
      </c>
      <c r="KE17" s="183">
        <f t="shared" si="4"/>
        <v>0</v>
      </c>
      <c r="KF17" s="183">
        <f t="shared" si="5"/>
        <v>0</v>
      </c>
      <c r="KG17" s="782">
        <f t="shared" si="6"/>
        <v>0</v>
      </c>
      <c r="KH17" s="1361">
        <v>16</v>
      </c>
      <c r="KI17" s="1956"/>
      <c r="KJ17" s="1956"/>
      <c r="KK17" s="1956"/>
      <c r="KL17" s="1956"/>
      <c r="KM17" s="1956"/>
      <c r="KN17" s="1956"/>
      <c r="KO17" s="1956"/>
      <c r="KP17" s="1956"/>
      <c r="KQ17" s="1956"/>
      <c r="KR17" s="1956"/>
      <c r="KS17" s="1956"/>
      <c r="KT17" s="1956"/>
      <c r="KU17" s="1956"/>
      <c r="KV17" s="1956"/>
      <c r="KW17" s="1956"/>
      <c r="KX17" s="1956"/>
      <c r="KY17" s="1956"/>
      <c r="KZ17" s="1956"/>
      <c r="LA17" s="1956"/>
      <c r="LB17" s="1957"/>
      <c r="LC17" s="2662">
        <v>16</v>
      </c>
      <c r="LD17" s="3748">
        <f>Plantillas!S$637</f>
        <v>0</v>
      </c>
      <c r="LE17" s="3748">
        <f>Plantillas!S$638</f>
        <v>0</v>
      </c>
      <c r="LF17" s="3748">
        <f>Plantillas!S$639</f>
        <v>0</v>
      </c>
      <c r="LG17" s="3748">
        <f>Plantillas!S$640</f>
        <v>0</v>
      </c>
      <c r="LH17" s="3748">
        <f>Plantillas!S$641</f>
        <v>0</v>
      </c>
      <c r="LI17" s="3748">
        <f>Plantillas!S$642</f>
        <v>0</v>
      </c>
      <c r="LJ17" s="3748">
        <f>Plantillas!S$643</f>
        <v>0</v>
      </c>
      <c r="LK17" s="3748">
        <f>Plantillas!S$644</f>
        <v>0</v>
      </c>
      <c r="LL17" s="3748">
        <f>Plantillas!S$645</f>
        <v>0</v>
      </c>
      <c r="LM17" s="3748">
        <f>Plantillas!S$646</f>
        <v>0</v>
      </c>
      <c r="LN17" s="3748">
        <f>Plantillas!S$647</f>
        <v>0</v>
      </c>
      <c r="LO17" s="3748">
        <f>Plantillas!S$648</f>
        <v>0</v>
      </c>
      <c r="LP17" s="3748">
        <f>Plantillas!S$649</f>
        <v>0</v>
      </c>
      <c r="LQ17" s="3748">
        <f>Plantillas!S$650</f>
        <v>0</v>
      </c>
      <c r="LR17" s="3748">
        <f>Plantillas!S$651</f>
        <v>0</v>
      </c>
      <c r="LS17" s="3748">
        <f>Plantillas!S$652</f>
        <v>0</v>
      </c>
      <c r="LT17" s="3748">
        <f>Plantillas!S$653</f>
        <v>0</v>
      </c>
      <c r="LU17" s="3748">
        <f>Plantillas!S$654</f>
        <v>0</v>
      </c>
      <c r="LV17" s="3748">
        <f>Plantillas!S$655</f>
        <v>0</v>
      </c>
      <c r="LW17" s="3749">
        <f>Plantillas!S$656</f>
        <v>0</v>
      </c>
      <c r="LX17" s="18" t="s">
        <v>79</v>
      </c>
    </row>
    <row r="18" spans="1:336" ht="12.75" customHeight="1">
      <c r="A18" s="16">
        <v>2</v>
      </c>
      <c r="B18" s="31" t="str">
        <f>VLOOKUP(T6,AX23:DI42,5,5)</f>
        <v>1º</v>
      </c>
      <c r="C18" s="35" t="str">
        <f>VLOOKUP(T6,AX23:DI42,6,6)</f>
        <v>A</v>
      </c>
      <c r="D18" s="29" t="str">
        <f>VLOOKUP(T6,BG2:CA21,3,3)</f>
        <v>ARANDA ESCALANTE * ARELI GUADALUPE</v>
      </c>
      <c r="E18" s="21"/>
      <c r="F18" s="21"/>
      <c r="G18" s="21"/>
      <c r="H18" s="21"/>
      <c r="I18" s="3360" t="str">
        <f>VLOOKUP(T6,LC24:LW43,3,21)</f>
        <v>042</v>
      </c>
      <c r="J18" s="3780">
        <f>VLOOKUP(T6,AX44:BR63,3,3)</f>
        <v>0</v>
      </c>
      <c r="K18" s="3780"/>
      <c r="L18" s="3780">
        <f>VLOOKUP(T6,BS44:CM63,3,3)</f>
        <v>6.5</v>
      </c>
      <c r="M18" s="3780"/>
      <c r="N18" s="3780">
        <f>VLOOKUP(T6,CN44:DH63,3,3)</f>
        <v>0</v>
      </c>
      <c r="O18" s="3780"/>
      <c r="P18" s="3780">
        <f>VLOOKUP(T6,DI44:EC63,3,3)</f>
        <v>0</v>
      </c>
      <c r="Q18" s="3780"/>
      <c r="R18" s="3780">
        <f>VLOOKUP(T6,ED44:EX63,3,3)</f>
        <v>0</v>
      </c>
      <c r="S18" s="3780"/>
      <c r="T18" s="3780">
        <f>VLOOKUP(T6,EY44:FS63,3,3)</f>
        <v>0</v>
      </c>
      <c r="U18" s="3780"/>
      <c r="V18" s="3781">
        <f t="shared" si="32"/>
        <v>1.625</v>
      </c>
      <c r="W18" s="3782"/>
      <c r="X18" s="3787"/>
      <c r="Y18" s="3788"/>
      <c r="Z18" s="3787"/>
      <c r="AA18" s="3788"/>
      <c r="AB18" s="3783"/>
      <c r="AC18" s="3784"/>
      <c r="AD18" s="3783"/>
      <c r="AE18" s="3784"/>
      <c r="AF18" s="2939" t="str">
        <f t="shared" si="33"/>
        <v>1ºA</v>
      </c>
      <c r="AG18" s="2940">
        <f>AH18</f>
        <v>29</v>
      </c>
      <c r="AH18" s="3818">
        <f>VLOOKUP(T6,AX23:DI42,7,7)</f>
        <v>29</v>
      </c>
      <c r="AI18" s="3819"/>
      <c r="AJ18" s="3856"/>
      <c r="AK18" s="3857"/>
      <c r="AL18" s="3193">
        <f>VLOOKUP(T6,GL2:HF21,3,21)</f>
        <v>0</v>
      </c>
      <c r="AM18" s="3194" t="str">
        <f>VLOOKUP(T6,GL23:HF42,3,21)</f>
        <v>X</v>
      </c>
      <c r="AN18" s="3195" t="str">
        <f>VLOOKUP(T6,CB2:CV21,3,21)</f>
        <v>AAEA820728V25</v>
      </c>
      <c r="AO18" s="3195" t="str">
        <f>VLOOKUP(T6,CW2:DQ21,3,21)</f>
        <v>078312 E028100.0230501</v>
      </c>
      <c r="AP18" s="3195" t="str">
        <f>VLOOKUP(T6,DR2:EL21,3,21)</f>
        <v>DOCENTE</v>
      </c>
      <c r="AQ18" s="3195">
        <f>VLOOKUP(T6,DR23:EL42,3,21)</f>
        <v>0</v>
      </c>
      <c r="AR18" s="3195" t="str">
        <f>VLOOKUP(T6,LC2:LW21,3,21)</f>
        <v>AAEA820728MYN</v>
      </c>
      <c r="AS18" s="3194">
        <f>VLOOKUP(T6,FH2:GB21,3,21)</f>
        <v>0</v>
      </c>
      <c r="AT18" s="3194">
        <f>VLOOKUP(T6,EM2:FG21,3,21)</f>
        <v>10</v>
      </c>
      <c r="AU18" s="3196" t="str">
        <f>VLOOKUP(T6,FH23:GB42,3,21)</f>
        <v>16-01-2008</v>
      </c>
      <c r="AV18" s="3197" t="str">
        <f>VLOOKUP(T6,KH2:LB21,3,21)</f>
        <v>23DPR0055K</v>
      </c>
      <c r="AW18" s="2803" t="str">
        <f>VLOOKUP(T6,KH24:LB43,3,21)</f>
        <v>KABAH</v>
      </c>
      <c r="AX18" s="1958">
        <v>17</v>
      </c>
      <c r="AY18" s="1959">
        <f>Plantillas!D$672</f>
        <v>0</v>
      </c>
      <c r="AZ18" s="1960">
        <f>Plantillas!M$672</f>
        <v>0</v>
      </c>
      <c r="BA18" s="1959">
        <f>Plantillas!Q$672</f>
        <v>0</v>
      </c>
      <c r="BB18" s="1968">
        <f>Plantillas!Z$703</f>
        <v>0</v>
      </c>
      <c r="BC18" s="1961">
        <f>Plantillas!C$673</f>
        <v>0</v>
      </c>
      <c r="BD18" s="1960">
        <f>Plantillas!P$673</f>
        <v>0</v>
      </c>
      <c r="BE18" s="1962">
        <f>Plantillas!E$707</f>
        <v>0</v>
      </c>
      <c r="BF18" s="1963">
        <f>Plantillas!AA$703</f>
        <v>0</v>
      </c>
      <c r="BG18" s="1958">
        <v>17</v>
      </c>
      <c r="BH18" s="1960">
        <f>Plantillas!B$677</f>
        <v>0</v>
      </c>
      <c r="BI18" s="1960">
        <f>Plantillas!B$678</f>
        <v>0</v>
      </c>
      <c r="BJ18" s="1960">
        <f>Plantillas!B$679</f>
        <v>0</v>
      </c>
      <c r="BK18" s="1960">
        <f>Plantillas!B$680</f>
        <v>0</v>
      </c>
      <c r="BL18" s="1960">
        <f>Plantillas!B$681</f>
        <v>0</v>
      </c>
      <c r="BM18" s="1960">
        <f>Plantillas!B$682</f>
        <v>0</v>
      </c>
      <c r="BN18" s="1960">
        <f>Plantillas!B$683</f>
        <v>0</v>
      </c>
      <c r="BO18" s="1960">
        <f>Plantillas!B$684</f>
        <v>0</v>
      </c>
      <c r="BP18" s="1960">
        <f>Plantillas!B$685</f>
        <v>0</v>
      </c>
      <c r="BQ18" s="1964">
        <f>Plantillas!B$686</f>
        <v>0</v>
      </c>
      <c r="BR18" s="1964">
        <f>Plantillas!B$687</f>
        <v>0</v>
      </c>
      <c r="BS18" s="1964">
        <f>Plantillas!B$688</f>
        <v>0</v>
      </c>
      <c r="BT18" s="1964">
        <f>Plantillas!B$689</f>
        <v>0</v>
      </c>
      <c r="BU18" s="1964">
        <f>Plantillas!B$690</f>
        <v>0</v>
      </c>
      <c r="BV18" s="1964">
        <f>Plantillas!B$691</f>
        <v>0</v>
      </c>
      <c r="BW18" s="1964">
        <f>Plantillas!B$692</f>
        <v>0</v>
      </c>
      <c r="BX18" s="1964">
        <f>Plantillas!B$693</f>
        <v>0</v>
      </c>
      <c r="BY18" s="1964">
        <f>Plantillas!B$694</f>
        <v>0</v>
      </c>
      <c r="BZ18" s="1964">
        <f>Plantillas!B$695</f>
        <v>0</v>
      </c>
      <c r="CA18" s="1965">
        <f>Plantillas!B$696</f>
        <v>0</v>
      </c>
      <c r="CB18" s="779">
        <v>17</v>
      </c>
      <c r="CC18" s="1964">
        <f>Plantillas!J$677</f>
        <v>0</v>
      </c>
      <c r="CD18" s="1964">
        <f>Plantillas!J$678</f>
        <v>0</v>
      </c>
      <c r="CE18" s="1964">
        <f>Plantillas!J$679</f>
        <v>0</v>
      </c>
      <c r="CF18" s="1964">
        <f>Plantillas!J$680</f>
        <v>0</v>
      </c>
      <c r="CG18" s="1964">
        <f>Plantillas!J$681</f>
        <v>0</v>
      </c>
      <c r="CH18" s="1964">
        <f>Plantillas!J$6665</f>
        <v>0</v>
      </c>
      <c r="CI18" s="1964">
        <f>Plantillas!J$683</f>
        <v>0</v>
      </c>
      <c r="CJ18" s="1964">
        <f>Plantillas!J$684</f>
        <v>0</v>
      </c>
      <c r="CK18" s="1964">
        <f>Plantillas!J$685</f>
        <v>0</v>
      </c>
      <c r="CL18" s="1964">
        <f>Plantillas!J$686</f>
        <v>0</v>
      </c>
      <c r="CM18" s="1964">
        <f>Plantillas!J$687</f>
        <v>0</v>
      </c>
      <c r="CN18" s="1964">
        <f>Plantillas!J$688</f>
        <v>0</v>
      </c>
      <c r="CO18" s="1964">
        <f>Plantillas!J$689</f>
        <v>0</v>
      </c>
      <c r="CP18" s="1964">
        <f>Plantillas!J$690</f>
        <v>0</v>
      </c>
      <c r="CQ18" s="1964">
        <f>Plantillas!J$691</f>
        <v>0</v>
      </c>
      <c r="CR18" s="1964">
        <f>Plantillas!J$692</f>
        <v>0</v>
      </c>
      <c r="CS18" s="1964">
        <f>Plantillas!J$693</f>
        <v>0</v>
      </c>
      <c r="CT18" s="1964">
        <f>Plantillas!J$694</f>
        <v>0</v>
      </c>
      <c r="CU18" s="1964">
        <f>Plantillas!J$695</f>
        <v>0</v>
      </c>
      <c r="CV18" s="1964">
        <f>Plantillas!J$696</f>
        <v>0</v>
      </c>
      <c r="CW18" s="779">
        <v>17</v>
      </c>
      <c r="CX18" s="1964">
        <f>Plantillas!K$677</f>
        <v>0</v>
      </c>
      <c r="CY18" s="1964">
        <f>Plantillas!K$678</f>
        <v>0</v>
      </c>
      <c r="CZ18" s="1964">
        <f>Plantillas!K$679</f>
        <v>0</v>
      </c>
      <c r="DA18" s="1964">
        <f>Plantillas!K$680</f>
        <v>0</v>
      </c>
      <c r="DB18" s="1964">
        <f>Plantillas!K$681</f>
        <v>0</v>
      </c>
      <c r="DC18" s="1964">
        <f>Plantillas!K$682</f>
        <v>0</v>
      </c>
      <c r="DD18" s="1964">
        <f>Plantillas!K$683</f>
        <v>0</v>
      </c>
      <c r="DE18" s="1964">
        <f>Plantillas!K$684</f>
        <v>0</v>
      </c>
      <c r="DF18" s="1964">
        <f>Plantillas!K$685</f>
        <v>0</v>
      </c>
      <c r="DG18" s="1964">
        <f>Plantillas!K$686</f>
        <v>0</v>
      </c>
      <c r="DH18" s="1964">
        <f>Plantillas!K$687</f>
        <v>0</v>
      </c>
      <c r="DI18" s="1964">
        <f>Plantillas!K$688</f>
        <v>0</v>
      </c>
      <c r="DJ18" s="1964">
        <f>Plantillas!K$689</f>
        <v>0</v>
      </c>
      <c r="DK18" s="1964">
        <f>Plantillas!K$690</f>
        <v>0</v>
      </c>
      <c r="DL18" s="1964">
        <f>Plantillas!K$691</f>
        <v>0</v>
      </c>
      <c r="DM18" s="1964">
        <f>Plantillas!K$692</f>
        <v>0</v>
      </c>
      <c r="DN18" s="1964">
        <f>Plantillas!K$693</f>
        <v>0</v>
      </c>
      <c r="DO18" s="1964">
        <f>Plantillas!K$694</f>
        <v>0</v>
      </c>
      <c r="DP18" s="1964">
        <f>Plantillas!K$695</f>
        <v>0</v>
      </c>
      <c r="DQ18" s="1964">
        <f>Plantillas!K$696</f>
        <v>0</v>
      </c>
      <c r="DR18" s="779">
        <v>17</v>
      </c>
      <c r="DS18" s="1964">
        <f>Plantillas!L$677</f>
        <v>0</v>
      </c>
      <c r="DT18" s="1964">
        <f>Plantillas!L$678</f>
        <v>0</v>
      </c>
      <c r="DU18" s="1964">
        <f>Plantillas!L$679</f>
        <v>0</v>
      </c>
      <c r="DV18" s="1964">
        <f>Plantillas!L$680</f>
        <v>0</v>
      </c>
      <c r="DW18" s="1964">
        <f>Plantillas!L$681</f>
        <v>0</v>
      </c>
      <c r="DX18" s="1964">
        <f>Plantillas!L$682</f>
        <v>0</v>
      </c>
      <c r="DY18" s="1964">
        <f>Plantillas!L$683</f>
        <v>0</v>
      </c>
      <c r="DZ18" s="1964">
        <f>Plantillas!L$684</f>
        <v>0</v>
      </c>
      <c r="EA18" s="1964">
        <f>Plantillas!L$685</f>
        <v>0</v>
      </c>
      <c r="EB18" s="1964">
        <f>Plantillas!L$686</f>
        <v>0</v>
      </c>
      <c r="EC18" s="1964">
        <f>Plantillas!L$687</f>
        <v>0</v>
      </c>
      <c r="ED18" s="1964">
        <f>Plantillas!L$688</f>
        <v>0</v>
      </c>
      <c r="EE18" s="1964">
        <f>Plantillas!L$689</f>
        <v>0</v>
      </c>
      <c r="EF18" s="1964">
        <f>Plantillas!L$690</f>
        <v>0</v>
      </c>
      <c r="EG18" s="1964">
        <f>Plantillas!L$691</f>
        <v>0</v>
      </c>
      <c r="EH18" s="1964">
        <f>Plantillas!L$692</f>
        <v>0</v>
      </c>
      <c r="EI18" s="1964">
        <f>Plantillas!L$693</f>
        <v>0</v>
      </c>
      <c r="EJ18" s="1964">
        <f>Plantillas!L$694</f>
        <v>0</v>
      </c>
      <c r="EK18" s="1964">
        <f>Plantillas!L$695</f>
        <v>0</v>
      </c>
      <c r="EL18" s="1964">
        <f>Plantillas!L$696</f>
        <v>0</v>
      </c>
      <c r="EM18" s="779">
        <v>17</v>
      </c>
      <c r="EN18" s="1966">
        <f>Plantillas!U$677</f>
        <v>0</v>
      </c>
      <c r="EO18" s="1966">
        <f>Plantillas!U$678</f>
        <v>0</v>
      </c>
      <c r="EP18" s="1966">
        <f>Plantillas!U$679</f>
        <v>0</v>
      </c>
      <c r="EQ18" s="1966">
        <f>Plantillas!U$680</f>
        <v>0</v>
      </c>
      <c r="ER18" s="1966">
        <f>Plantillas!U$681</f>
        <v>0</v>
      </c>
      <c r="ES18" s="1966">
        <f>Plantillas!U$682</f>
        <v>0</v>
      </c>
      <c r="ET18" s="1966">
        <f>Plantillas!U$683</f>
        <v>0</v>
      </c>
      <c r="EU18" s="1966">
        <f>Plantillas!U$684</f>
        <v>0</v>
      </c>
      <c r="EV18" s="1966">
        <f>Plantillas!U$685</f>
        <v>0</v>
      </c>
      <c r="EW18" s="1966">
        <f>Plantillas!U$686</f>
        <v>0</v>
      </c>
      <c r="EX18" s="1966">
        <f>Plantillas!U$687</f>
        <v>0</v>
      </c>
      <c r="EY18" s="1966">
        <f>Plantillas!U$688</f>
        <v>0</v>
      </c>
      <c r="EZ18" s="1966">
        <f>Plantillas!U$689</f>
        <v>0</v>
      </c>
      <c r="FA18" s="1966">
        <f>Plantillas!U$690</f>
        <v>0</v>
      </c>
      <c r="FB18" s="1966">
        <f>Plantillas!U$691</f>
        <v>0</v>
      </c>
      <c r="FC18" s="1966">
        <f>Plantillas!U$692</f>
        <v>0</v>
      </c>
      <c r="FD18" s="1966">
        <f>Plantillas!U$693</f>
        <v>0</v>
      </c>
      <c r="FE18" s="1966">
        <f>Plantillas!U$694</f>
        <v>0</v>
      </c>
      <c r="FF18" s="1966">
        <f>Plantillas!U$695</f>
        <v>0</v>
      </c>
      <c r="FG18" s="1967">
        <f>Plantillas!U$696</f>
        <v>0</v>
      </c>
      <c r="FH18" s="779">
        <v>17</v>
      </c>
      <c r="FI18" s="1966">
        <f>Plantillas!T$677</f>
        <v>0</v>
      </c>
      <c r="FJ18" s="1966">
        <f>Plantillas!T$678</f>
        <v>0</v>
      </c>
      <c r="FK18" s="1966">
        <f>Plantillas!T$679</f>
        <v>0</v>
      </c>
      <c r="FL18" s="1966">
        <f>Plantillas!T$680</f>
        <v>0</v>
      </c>
      <c r="FM18" s="1966">
        <f>Plantillas!T$681</f>
        <v>0</v>
      </c>
      <c r="FN18" s="1966">
        <f>Plantillas!T$682</f>
        <v>0</v>
      </c>
      <c r="FO18" s="1966">
        <f>Plantillas!T$683</f>
        <v>0</v>
      </c>
      <c r="FP18" s="1966">
        <f>Plantillas!T$684</f>
        <v>0</v>
      </c>
      <c r="FQ18" s="1966">
        <f>Plantillas!T$685</f>
        <v>0</v>
      </c>
      <c r="FR18" s="1966">
        <f>Plantillas!T$686</f>
        <v>0</v>
      </c>
      <c r="FS18" s="1966">
        <f>Plantillas!T$687</f>
        <v>0</v>
      </c>
      <c r="FT18" s="1966">
        <f>Plantillas!T$688</f>
        <v>0</v>
      </c>
      <c r="FU18" s="1966">
        <f>Plantillas!T$689</f>
        <v>0</v>
      </c>
      <c r="FV18" s="1966">
        <f>Plantillas!T$690</f>
        <v>0</v>
      </c>
      <c r="FW18" s="1966">
        <f>Plantillas!T$691</f>
        <v>0</v>
      </c>
      <c r="FX18" s="1966">
        <f>Plantillas!T$692</f>
        <v>0</v>
      </c>
      <c r="FY18" s="1966">
        <f>Plantillas!T$693</f>
        <v>0</v>
      </c>
      <c r="FZ18" s="1966">
        <f>Plantillas!T$694</f>
        <v>0</v>
      </c>
      <c r="GA18" s="1966">
        <f>Plantillas!T$695</f>
        <v>0</v>
      </c>
      <c r="GB18" s="1967">
        <f>Plantillas!T$696</f>
        <v>0</v>
      </c>
      <c r="GC18" s="779">
        <v>17</v>
      </c>
      <c r="GD18" s="183">
        <f>Plantillas!V$706</f>
        <v>0</v>
      </c>
      <c r="GE18" s="183">
        <f>Plantillas!W$706</f>
        <v>0</v>
      </c>
      <c r="GF18" s="183">
        <f>Plantillas!X$706</f>
        <v>0</v>
      </c>
      <c r="GG18" s="183">
        <f>Plantillas!Y$706</f>
        <v>0</v>
      </c>
      <c r="GH18" s="183">
        <f>Plantillas!Z$706</f>
        <v>0</v>
      </c>
      <c r="GI18" s="183">
        <f>Plantillas!AA$706</f>
        <v>0</v>
      </c>
      <c r="GJ18" s="183">
        <f>SUM(GD18:GI18)</f>
        <v>0</v>
      </c>
      <c r="GK18" s="782">
        <f>Plantillas!U$706</f>
        <v>0</v>
      </c>
      <c r="GL18" s="779">
        <v>17</v>
      </c>
      <c r="GM18" s="1933">
        <f>Plantillas!H$677</f>
        <v>0</v>
      </c>
      <c r="GN18" s="1933">
        <f>Plantillas!H$678</f>
        <v>0</v>
      </c>
      <c r="GO18" s="1933">
        <f>Plantillas!H$679</f>
        <v>0</v>
      </c>
      <c r="GP18" s="1933">
        <f>Plantillas!H$680</f>
        <v>0</v>
      </c>
      <c r="GQ18" s="1933">
        <f>Plantillas!H$681</f>
        <v>0</v>
      </c>
      <c r="GR18" s="1933">
        <f>Plantillas!H$682</f>
        <v>0</v>
      </c>
      <c r="GS18" s="1933">
        <f>Plantillas!H$683</f>
        <v>0</v>
      </c>
      <c r="GT18" s="1933">
        <f>Plantillas!H$684</f>
        <v>0</v>
      </c>
      <c r="GU18" s="1933">
        <f>Plantillas!H$685</f>
        <v>0</v>
      </c>
      <c r="GV18" s="1933">
        <f>Plantillas!H$686</f>
        <v>0</v>
      </c>
      <c r="GW18" s="1933">
        <f>Plantillas!H$687</f>
        <v>0</v>
      </c>
      <c r="GX18" s="1933">
        <f>Plantillas!H$688</f>
        <v>0</v>
      </c>
      <c r="GY18" s="1933">
        <f>Plantillas!H$689</f>
        <v>0</v>
      </c>
      <c r="GZ18" s="1933">
        <f>Plantillas!H$690</f>
        <v>0</v>
      </c>
      <c r="HA18" s="1933">
        <f>Plantillas!H$691</f>
        <v>0</v>
      </c>
      <c r="HB18" s="1933">
        <f>Plantillas!H$692</f>
        <v>0</v>
      </c>
      <c r="HC18" s="1933">
        <f>Plantillas!H$693</f>
        <v>0</v>
      </c>
      <c r="HD18" s="1933">
        <f>Plantillas!H$694</f>
        <v>0</v>
      </c>
      <c r="HE18" s="1933">
        <f>Plantillas!H$695</f>
        <v>0</v>
      </c>
      <c r="HF18" s="1934">
        <f>Plantillas!H$696</f>
        <v>0</v>
      </c>
      <c r="HG18" s="778">
        <v>16</v>
      </c>
      <c r="HH18" s="1942" t="str">
        <f>'[1]0163X'!$S$3</f>
        <v>glorita05111@hotmail.com</v>
      </c>
      <c r="HI18" s="1943" t="str">
        <f>'[1]0163X'!$C$6</f>
        <v>COLEGIO KING DAVID</v>
      </c>
      <c r="HJ18" s="771" t="str">
        <f>'[1]0163X'!$H$6</f>
        <v>23PPR0163X</v>
      </c>
      <c r="HK18" s="771" t="str">
        <f>'[1]0163X'!$C$8</f>
        <v>SM-313  MZA-20  LTE-3  AV-FONATUR</v>
      </c>
      <c r="HL18" s="771" t="str">
        <f>'[1]0163X'!$I$8</f>
        <v>9981 79 87 49</v>
      </c>
      <c r="HM18" s="771" t="str">
        <f>'[1]0163X'!$C$10</f>
        <v xml:space="preserve">CANCUN  </v>
      </c>
      <c r="HN18" s="771" t="str">
        <f>'[1]0163X'!$I$10</f>
        <v>BENITO JUAREZ</v>
      </c>
      <c r="HO18" s="183">
        <f>'[1]0163X'!$E$13</f>
        <v>0</v>
      </c>
      <c r="HP18" s="782" t="str">
        <f>'[1]0163X'!$I$13</f>
        <v>X</v>
      </c>
      <c r="HQ18" s="779" t="str">
        <f>'[1]0163X'!$Q$6</f>
        <v>X</v>
      </c>
      <c r="HR18" s="183">
        <f>'[1]0163X'!$U$6</f>
        <v>0</v>
      </c>
      <c r="HS18" s="183" t="str">
        <f>'[1]0163X'!$Q$7</f>
        <v>X</v>
      </c>
      <c r="HT18" s="183">
        <f>'[1]0163X'!$U$7</f>
        <v>0</v>
      </c>
      <c r="HU18" s="183">
        <f>'[1]0163X'!$Q$8</f>
        <v>0</v>
      </c>
      <c r="HV18" s="183" t="str">
        <f>'[1]0163X'!$U$8</f>
        <v>X</v>
      </c>
      <c r="HW18" s="183">
        <f>'[1]0163X'!$X$8</f>
        <v>0</v>
      </c>
      <c r="HX18" s="183">
        <f>'[1]0163X'!$Q$9</f>
        <v>0</v>
      </c>
      <c r="HY18" s="183" t="str">
        <f>'[1]0163X'!$U$9</f>
        <v>X</v>
      </c>
      <c r="HZ18" s="183">
        <f>'[1]0163X'!$Q$10</f>
        <v>0</v>
      </c>
      <c r="IA18" s="183" t="str">
        <f>'[1]0163X'!$U$10</f>
        <v>X</v>
      </c>
      <c r="IB18" s="183">
        <f>'[1]0163X'!$P$13</f>
        <v>6</v>
      </c>
      <c r="IC18" s="183">
        <f>'[1]0163X'!$Q$13</f>
        <v>0</v>
      </c>
      <c r="ID18" s="183">
        <f>'[1]0163X'!$R$13</f>
        <v>1</v>
      </c>
      <c r="IE18" s="183">
        <f>'[1]0163X'!$S$13</f>
        <v>1</v>
      </c>
      <c r="IF18" s="782">
        <f>'[1]0163X'!$U$13</f>
        <v>0</v>
      </c>
      <c r="IG18" s="779">
        <f>'[1]0163X'!$F$17</f>
        <v>1</v>
      </c>
      <c r="IH18" s="183">
        <f>'[1]0163X'!$F$18</f>
        <v>0</v>
      </c>
      <c r="II18" s="183">
        <f>'[1]0163X'!$F$19</f>
        <v>0</v>
      </c>
      <c r="IJ18" s="183">
        <f>'[1]0163X'!$F$20</f>
        <v>0</v>
      </c>
      <c r="IK18" s="183">
        <f>'[1]0163X'!$H$21</f>
        <v>8</v>
      </c>
      <c r="IL18" s="183">
        <f>'[1]0163X'!$H$22</f>
        <v>1</v>
      </c>
      <c r="IM18" s="183">
        <f>'[1]0163X'!$H$23</f>
        <v>0</v>
      </c>
      <c r="IN18" s="183">
        <f>'[1]0163X'!$H$24</f>
        <v>1</v>
      </c>
      <c r="IO18" s="183">
        <f>'[1]0163X'!$H$25</f>
        <v>7</v>
      </c>
      <c r="IP18" s="1358">
        <f>'[1]0163X'!$K$26</f>
        <v>13</v>
      </c>
      <c r="IQ18" s="1354">
        <f>'[1]0163X'!$M$26</f>
        <v>15</v>
      </c>
      <c r="IR18" s="183">
        <f>'[1]0163X'!$V$19</f>
        <v>0</v>
      </c>
      <c r="IS18" s="183">
        <f>'[1]0163X'!$V$20</f>
        <v>0</v>
      </c>
      <c r="IT18" s="183">
        <f>'[1]0163X'!$V$21</f>
        <v>0</v>
      </c>
      <c r="IU18" s="782">
        <f>'[1]0163X'!$V$22</f>
        <v>0</v>
      </c>
      <c r="IV18" s="779">
        <f>'[1]0163X'!$D$38</f>
        <v>2</v>
      </c>
      <c r="IW18" s="183">
        <f>'[1]0163X'!$G$38</f>
        <v>2</v>
      </c>
      <c r="IX18" s="183">
        <f>'[1]0163X'!$J$38</f>
        <v>2</v>
      </c>
      <c r="IY18" s="183">
        <f>'[1]0163X'!$M$38</f>
        <v>1</v>
      </c>
      <c r="IZ18" s="183">
        <f>'[1]0163X'!$P$38</f>
        <v>2</v>
      </c>
      <c r="JA18" s="782">
        <f>'[1]0163X'!$S$38</f>
        <v>1</v>
      </c>
      <c r="JB18" s="1944" t="str">
        <f>'[1]0163X'!$F$44</f>
        <v>MIRANDA VALDEZ MARIA ALMA</v>
      </c>
      <c r="JC18" s="1945" t="str">
        <f>'[1]0163X'!$O$44</f>
        <v>JESUS MARTIN RICALDE CASTRO</v>
      </c>
      <c r="JD18" s="779">
        <f t="shared" si="7"/>
        <v>41</v>
      </c>
      <c r="JE18" s="183">
        <f t="shared" si="8"/>
        <v>27</v>
      </c>
      <c r="JF18" s="183">
        <f t="shared" si="9"/>
        <v>25</v>
      </c>
      <c r="JG18" s="183">
        <f t="shared" si="10"/>
        <v>23</v>
      </c>
      <c r="JH18" s="183">
        <f t="shared" si="11"/>
        <v>33</v>
      </c>
      <c r="JI18" s="782">
        <f t="shared" si="30"/>
        <v>9</v>
      </c>
      <c r="JJ18" s="779">
        <f t="shared" si="12"/>
        <v>3</v>
      </c>
      <c r="JK18" s="183">
        <f t="shared" si="13"/>
        <v>3</v>
      </c>
      <c r="JL18" s="183">
        <f t="shared" si="14"/>
        <v>2</v>
      </c>
      <c r="JM18" s="183">
        <f t="shared" si="15"/>
        <v>1</v>
      </c>
      <c r="JN18" s="183">
        <f t="shared" si="16"/>
        <v>0</v>
      </c>
      <c r="JO18" s="183">
        <f t="shared" si="17"/>
        <v>1</v>
      </c>
      <c r="JP18" s="779">
        <f t="shared" si="18"/>
        <v>2</v>
      </c>
      <c r="JQ18" s="183">
        <f t="shared" si="19"/>
        <v>1</v>
      </c>
      <c r="JR18" s="183">
        <f t="shared" si="20"/>
        <v>1</v>
      </c>
      <c r="JS18" s="183">
        <f t="shared" si="21"/>
        <v>1</v>
      </c>
      <c r="JT18" s="183">
        <f t="shared" si="31"/>
        <v>1</v>
      </c>
      <c r="JU18" s="183">
        <f t="shared" si="22"/>
        <v>0</v>
      </c>
      <c r="JV18" s="779">
        <f t="shared" si="23"/>
        <v>42</v>
      </c>
      <c r="JW18" s="183">
        <f t="shared" si="24"/>
        <v>29</v>
      </c>
      <c r="JX18" s="183">
        <f t="shared" si="25"/>
        <v>26</v>
      </c>
      <c r="JY18" s="183">
        <f t="shared" si="26"/>
        <v>23</v>
      </c>
      <c r="JZ18" s="183">
        <f t="shared" si="27"/>
        <v>32</v>
      </c>
      <c r="KA18" s="782">
        <f t="shared" si="28"/>
        <v>10</v>
      </c>
      <c r="KB18" s="183">
        <f t="shared" si="29"/>
        <v>0</v>
      </c>
      <c r="KC18" s="183">
        <f t="shared" si="2"/>
        <v>0</v>
      </c>
      <c r="KD18" s="183">
        <f t="shared" si="3"/>
        <v>0</v>
      </c>
      <c r="KE18" s="183">
        <f t="shared" si="4"/>
        <v>0</v>
      </c>
      <c r="KF18" s="183">
        <f t="shared" si="5"/>
        <v>0</v>
      </c>
      <c r="KG18" s="782">
        <f t="shared" si="6"/>
        <v>0</v>
      </c>
      <c r="KH18" s="779">
        <v>17</v>
      </c>
      <c r="KI18" s="1966"/>
      <c r="KJ18" s="1966"/>
      <c r="KK18" s="1966"/>
      <c r="KL18" s="1966"/>
      <c r="KM18" s="1966"/>
      <c r="KN18" s="1966"/>
      <c r="KO18" s="1966"/>
      <c r="KP18" s="1966"/>
      <c r="KQ18" s="1966"/>
      <c r="KR18" s="1966"/>
      <c r="KS18" s="1966"/>
      <c r="KT18" s="1966"/>
      <c r="KU18" s="1966"/>
      <c r="KV18" s="1966"/>
      <c r="KW18" s="1966"/>
      <c r="KX18" s="1966"/>
      <c r="KY18" s="1966"/>
      <c r="KZ18" s="1966"/>
      <c r="LA18" s="1966"/>
      <c r="LB18" s="1967"/>
      <c r="LC18" s="1943">
        <v>17</v>
      </c>
      <c r="LD18" s="3744">
        <f>Plantillas!S$677</f>
        <v>0</v>
      </c>
      <c r="LE18" s="3744">
        <f>Plantillas!S$678</f>
        <v>0</v>
      </c>
      <c r="LF18" s="3744">
        <f>Plantillas!S$679</f>
        <v>0</v>
      </c>
      <c r="LG18" s="3744">
        <f>Plantillas!S$680</f>
        <v>0</v>
      </c>
      <c r="LH18" s="3744">
        <f>Plantillas!S$681</f>
        <v>0</v>
      </c>
      <c r="LI18" s="3744">
        <f>Plantillas!S$682</f>
        <v>0</v>
      </c>
      <c r="LJ18" s="3744">
        <f>Plantillas!S$683</f>
        <v>0</v>
      </c>
      <c r="LK18" s="3744">
        <f>Plantillas!S$684</f>
        <v>0</v>
      </c>
      <c r="LL18" s="3744">
        <f>Plantillas!S$685</f>
        <v>0</v>
      </c>
      <c r="LM18" s="3744">
        <f>Plantillas!S$686</f>
        <v>0</v>
      </c>
      <c r="LN18" s="3744">
        <f>Plantillas!S$687</f>
        <v>0</v>
      </c>
      <c r="LO18" s="3744">
        <f>Plantillas!S$688</f>
        <v>0</v>
      </c>
      <c r="LP18" s="3744">
        <f>Plantillas!S$689</f>
        <v>0</v>
      </c>
      <c r="LQ18" s="3744">
        <f>Plantillas!S$690</f>
        <v>0</v>
      </c>
      <c r="LR18" s="3744">
        <f>Plantillas!S$691</f>
        <v>0</v>
      </c>
      <c r="LS18" s="3744">
        <f>Plantillas!S$692</f>
        <v>0</v>
      </c>
      <c r="LT18" s="3744">
        <f>Plantillas!S$693</f>
        <v>0</v>
      </c>
      <c r="LU18" s="3744">
        <f>Plantillas!S$694</f>
        <v>0</v>
      </c>
      <c r="LV18" s="3744">
        <f>Plantillas!S$695</f>
        <v>0</v>
      </c>
      <c r="LW18" s="3745">
        <f>Plantillas!S$696</f>
        <v>0</v>
      </c>
      <c r="LX18" s="27" t="s">
        <v>79</v>
      </c>
    </row>
    <row r="19" spans="1:336" ht="12.75" customHeight="1">
      <c r="A19" s="16">
        <v>3</v>
      </c>
      <c r="B19" s="31" t="str">
        <f>VLOOKUP(T6,AX23:DI42,8,8)</f>
        <v>1º</v>
      </c>
      <c r="C19" s="35" t="str">
        <f>VLOOKUP(T6,AX23:DI42,9,9)</f>
        <v>B</v>
      </c>
      <c r="D19" s="29" t="str">
        <f>VLOOKUP(T6,BG2:CA21,4,4)</f>
        <v>AKE QUEB * MARIANA DEL CONSUELO</v>
      </c>
      <c r="E19" s="21"/>
      <c r="F19" s="21"/>
      <c r="G19" s="21"/>
      <c r="H19" s="21"/>
      <c r="I19" s="3360" t="str">
        <f>VLOOKUP(T6,LC24:LW43,4,21)</f>
        <v>042</v>
      </c>
      <c r="J19" s="3780">
        <f>VLOOKUP(T6,AX44:BR63,4,4)</f>
        <v>7</v>
      </c>
      <c r="K19" s="3780"/>
      <c r="L19" s="3780">
        <f>VLOOKUP(T6,BS44:CM63,4,4)</f>
        <v>6.5</v>
      </c>
      <c r="M19" s="3780"/>
      <c r="N19" s="3780">
        <f>VLOOKUP(T6,CN44:DH63,4,4)</f>
        <v>0</v>
      </c>
      <c r="O19" s="3780"/>
      <c r="P19" s="3780">
        <f>VLOOKUP(T6,DI44:EC63,4,4)</f>
        <v>0</v>
      </c>
      <c r="Q19" s="3780"/>
      <c r="R19" s="3780">
        <f>VLOOKUP(T6,ED44:EX63,4,4)</f>
        <v>0</v>
      </c>
      <c r="S19" s="3780"/>
      <c r="T19" s="3780">
        <f>VLOOKUP(T6,EY44:FS63,4,4)</f>
        <v>0</v>
      </c>
      <c r="U19" s="3780"/>
      <c r="V19" s="3781">
        <f t="shared" si="32"/>
        <v>1.625</v>
      </c>
      <c r="W19" s="3782"/>
      <c r="X19" s="3787"/>
      <c r="Y19" s="3788"/>
      <c r="Z19" s="3787"/>
      <c r="AA19" s="3788"/>
      <c r="AB19" s="3783"/>
      <c r="AC19" s="3784"/>
      <c r="AD19" s="3783"/>
      <c r="AE19" s="3784"/>
      <c r="AF19" s="2939" t="str">
        <f t="shared" si="33"/>
        <v>1ºB</v>
      </c>
      <c r="AG19" s="2940">
        <f t="shared" ref="AG19:AG36" si="34">AH19</f>
        <v>27</v>
      </c>
      <c r="AH19" s="3818">
        <f>VLOOKUP(T6,AX23:DI42,10,10)</f>
        <v>27</v>
      </c>
      <c r="AI19" s="3819"/>
      <c r="AJ19" s="3856"/>
      <c r="AK19" s="3857"/>
      <c r="AL19" s="3193">
        <f>VLOOKUP(T6,GL2:HF21,4,21)</f>
        <v>0</v>
      </c>
      <c r="AM19" s="3194" t="str">
        <f>VLOOKUP(T6,GL23:HF42,4,21)</f>
        <v>X</v>
      </c>
      <c r="AN19" s="3195" t="str">
        <f>VLOOKUP(T6,CB2:CV21,4,21)</f>
        <v>AEQM701008HL2</v>
      </c>
      <c r="AO19" s="3195" t="str">
        <f>VLOOKUP(T6,CW2:DQ21,4,21)</f>
        <v>078312 E028100.0233023</v>
      </c>
      <c r="AP19" s="3195" t="str">
        <f>VLOOKUP(T6,DR2:EL21,4,21)</f>
        <v>DOCENTE</v>
      </c>
      <c r="AQ19" s="3195">
        <f>VLOOKUP(T6,DR23:EL42,4,21)</f>
        <v>0</v>
      </c>
      <c r="AR19" s="3195" t="str">
        <f>VLOOKUP(T6,LC2:LW21,4,21)</f>
        <v>AEQM701008MCC</v>
      </c>
      <c r="AS19" s="3194" t="str">
        <f>VLOOKUP(T6,FH2:GB21,4,21)</f>
        <v>7A</v>
      </c>
      <c r="AT19" s="3194">
        <f>VLOOKUP(T6,EM2:FG21,4,21)</f>
        <v>10</v>
      </c>
      <c r="AU19" s="3196" t="str">
        <f>VLOOKUP(T6,FH23:GB42,4,21)</f>
        <v>01-09-1995</v>
      </c>
      <c r="AV19" s="3197" t="str">
        <f>VLOOKUP(T6,KH2:LB21,4,21)</f>
        <v>23DPR0055K</v>
      </c>
      <c r="AW19" s="2803" t="str">
        <f>VLOOKUP(T6,KH24:LB43,4,21)</f>
        <v>KABAH</v>
      </c>
      <c r="AX19" s="1958">
        <v>18</v>
      </c>
      <c r="AY19" s="1959">
        <f>Plantillas!D$712</f>
        <v>0</v>
      </c>
      <c r="AZ19" s="1960">
        <f>Plantillas!M$712</f>
        <v>0</v>
      </c>
      <c r="BA19" s="1959">
        <f>Plantillas!Q$712</f>
        <v>0</v>
      </c>
      <c r="BB19" s="1968">
        <f>Plantillas!Z$743</f>
        <v>0</v>
      </c>
      <c r="BC19" s="1961">
        <f>Plantillas!C$713</f>
        <v>0</v>
      </c>
      <c r="BD19" s="1960">
        <f>Plantillas!P$713</f>
        <v>0</v>
      </c>
      <c r="BE19" s="1962">
        <f>Plantillas!E$747</f>
        <v>0</v>
      </c>
      <c r="BF19" s="1963">
        <f>Plantillas!AA$743</f>
        <v>0</v>
      </c>
      <c r="BG19" s="1958">
        <v>18</v>
      </c>
      <c r="BH19" s="1960">
        <f>Plantillas!B$717</f>
        <v>0</v>
      </c>
      <c r="BI19" s="1960">
        <f>Plantillas!B$718</f>
        <v>0</v>
      </c>
      <c r="BJ19" s="1960">
        <f>Plantillas!B$719</f>
        <v>0</v>
      </c>
      <c r="BK19" s="1960">
        <f>Plantillas!B$720</f>
        <v>0</v>
      </c>
      <c r="BL19" s="1960">
        <f>Plantillas!B$721</f>
        <v>0</v>
      </c>
      <c r="BM19" s="1960">
        <f>Plantillas!B$722</f>
        <v>0</v>
      </c>
      <c r="BN19" s="1960">
        <f>Plantillas!B$723</f>
        <v>0</v>
      </c>
      <c r="BO19" s="1960">
        <f>Plantillas!B$724</f>
        <v>0</v>
      </c>
      <c r="BP19" s="1960">
        <f>Plantillas!B$725</f>
        <v>0</v>
      </c>
      <c r="BQ19" s="1964">
        <f>Plantillas!B$726</f>
        <v>0</v>
      </c>
      <c r="BR19" s="1964">
        <f>Plantillas!B$727</f>
        <v>0</v>
      </c>
      <c r="BS19" s="1964">
        <f>Plantillas!B$728</f>
        <v>0</v>
      </c>
      <c r="BT19" s="1964">
        <f>Plantillas!B$729</f>
        <v>0</v>
      </c>
      <c r="BU19" s="1964">
        <f>Plantillas!B$730</f>
        <v>0</v>
      </c>
      <c r="BV19" s="1964">
        <f>Plantillas!B$731</f>
        <v>0</v>
      </c>
      <c r="BW19" s="1964">
        <f>Plantillas!B$732</f>
        <v>0</v>
      </c>
      <c r="BX19" s="1964">
        <f>Plantillas!B$733</f>
        <v>0</v>
      </c>
      <c r="BY19" s="1964">
        <f>Plantillas!B$734</f>
        <v>0</v>
      </c>
      <c r="BZ19" s="1964">
        <f>Plantillas!B$735</f>
        <v>0</v>
      </c>
      <c r="CA19" s="1965">
        <f>Plantillas!B$736</f>
        <v>0</v>
      </c>
      <c r="CB19" s="779">
        <v>18</v>
      </c>
      <c r="CC19" s="1964">
        <f>Plantillas!J$717</f>
        <v>0</v>
      </c>
      <c r="CD19" s="1964">
        <f>Plantillas!J$718</f>
        <v>0</v>
      </c>
      <c r="CE19" s="1964">
        <f>Plantillas!J$719</f>
        <v>0</v>
      </c>
      <c r="CF19" s="1964">
        <f>Plantillas!J$720</f>
        <v>0</v>
      </c>
      <c r="CG19" s="1964">
        <f>Plantillas!J$721</f>
        <v>0</v>
      </c>
      <c r="CH19" s="1964">
        <f>Plantillas!J$722</f>
        <v>0</v>
      </c>
      <c r="CI19" s="1964">
        <f>Plantillas!J$723</f>
        <v>0</v>
      </c>
      <c r="CJ19" s="1964">
        <f>Plantillas!J$724</f>
        <v>0</v>
      </c>
      <c r="CK19" s="1964">
        <f>Plantillas!J$725</f>
        <v>0</v>
      </c>
      <c r="CL19" s="1964">
        <f>Plantillas!J$726</f>
        <v>0</v>
      </c>
      <c r="CM19" s="1964">
        <f>Plantillas!J$727</f>
        <v>0</v>
      </c>
      <c r="CN19" s="1964">
        <f>Plantillas!J$728</f>
        <v>0</v>
      </c>
      <c r="CO19" s="1964">
        <f>Plantillas!J$729</f>
        <v>0</v>
      </c>
      <c r="CP19" s="1964">
        <f>Plantillas!J$730</f>
        <v>0</v>
      </c>
      <c r="CQ19" s="1964">
        <f>Plantillas!J$731</f>
        <v>0</v>
      </c>
      <c r="CR19" s="1964">
        <f>Plantillas!J$732</f>
        <v>0</v>
      </c>
      <c r="CS19" s="1964">
        <f>Plantillas!J$733</f>
        <v>0</v>
      </c>
      <c r="CT19" s="1964">
        <f>Plantillas!J$734</f>
        <v>0</v>
      </c>
      <c r="CU19" s="1964">
        <f>Plantillas!J$735</f>
        <v>0</v>
      </c>
      <c r="CV19" s="1964">
        <f>Plantillas!J$736</f>
        <v>0</v>
      </c>
      <c r="CW19" s="779">
        <v>18</v>
      </c>
      <c r="CX19" s="1964">
        <f>Plantillas!K$717</f>
        <v>0</v>
      </c>
      <c r="CY19" s="1964">
        <f>Plantillas!K$718</f>
        <v>0</v>
      </c>
      <c r="CZ19" s="1964">
        <f>Plantillas!K$719</f>
        <v>0</v>
      </c>
      <c r="DA19" s="1964">
        <f>Plantillas!K$720</f>
        <v>0</v>
      </c>
      <c r="DB19" s="1964">
        <f>Plantillas!K$721</f>
        <v>0</v>
      </c>
      <c r="DC19" s="1964">
        <f>Plantillas!K$722</f>
        <v>0</v>
      </c>
      <c r="DD19" s="1964">
        <f>Plantillas!K$723</f>
        <v>0</v>
      </c>
      <c r="DE19" s="1964">
        <f>Plantillas!K$724</f>
        <v>0</v>
      </c>
      <c r="DF19" s="1964">
        <f>Plantillas!K$725</f>
        <v>0</v>
      </c>
      <c r="DG19" s="1964">
        <f>Plantillas!K$726</f>
        <v>0</v>
      </c>
      <c r="DH19" s="1964">
        <f>Plantillas!K$727</f>
        <v>0</v>
      </c>
      <c r="DI19" s="1964">
        <f>Plantillas!K$728</f>
        <v>0</v>
      </c>
      <c r="DJ19" s="1964">
        <f>Plantillas!K$729</f>
        <v>0</v>
      </c>
      <c r="DK19" s="1964">
        <f>Plantillas!K$730</f>
        <v>0</v>
      </c>
      <c r="DL19" s="1964">
        <f>Plantillas!K$731</f>
        <v>0</v>
      </c>
      <c r="DM19" s="1964">
        <f>Plantillas!K$732</f>
        <v>0</v>
      </c>
      <c r="DN19" s="1964">
        <f>Plantillas!K$733</f>
        <v>0</v>
      </c>
      <c r="DO19" s="1964">
        <f>Plantillas!K$734</f>
        <v>0</v>
      </c>
      <c r="DP19" s="1964">
        <f>Plantillas!K$735</f>
        <v>0</v>
      </c>
      <c r="DQ19" s="1964">
        <f>Plantillas!K$736</f>
        <v>0</v>
      </c>
      <c r="DR19" s="779">
        <v>18</v>
      </c>
      <c r="DS19" s="1964">
        <f>Plantillas!L$717</f>
        <v>0</v>
      </c>
      <c r="DT19" s="1964">
        <f>Plantillas!L$718</f>
        <v>0</v>
      </c>
      <c r="DU19" s="1964">
        <f>Plantillas!L$719</f>
        <v>0</v>
      </c>
      <c r="DV19" s="1964">
        <f>Plantillas!L$720</f>
        <v>0</v>
      </c>
      <c r="DW19" s="1964">
        <f>Plantillas!L$721</f>
        <v>0</v>
      </c>
      <c r="DX19" s="1964">
        <f>Plantillas!L$722</f>
        <v>0</v>
      </c>
      <c r="DY19" s="1964">
        <f>Plantillas!L$723</f>
        <v>0</v>
      </c>
      <c r="DZ19" s="1964">
        <f>Plantillas!L$724</f>
        <v>0</v>
      </c>
      <c r="EA19" s="1964">
        <f>Plantillas!L$725</f>
        <v>0</v>
      </c>
      <c r="EB19" s="1964">
        <f>Plantillas!L$726</f>
        <v>0</v>
      </c>
      <c r="EC19" s="1964">
        <f>Plantillas!L$727</f>
        <v>0</v>
      </c>
      <c r="ED19" s="1964">
        <f>Plantillas!L$728</f>
        <v>0</v>
      </c>
      <c r="EE19" s="1964">
        <f>Plantillas!L$729</f>
        <v>0</v>
      </c>
      <c r="EF19" s="1964">
        <f>Plantillas!L$730</f>
        <v>0</v>
      </c>
      <c r="EG19" s="1964">
        <f>Plantillas!L$731</f>
        <v>0</v>
      </c>
      <c r="EH19" s="1964">
        <f>Plantillas!L$732</f>
        <v>0</v>
      </c>
      <c r="EI19" s="1964">
        <f>Plantillas!L$733</f>
        <v>0</v>
      </c>
      <c r="EJ19" s="1964">
        <f>Plantillas!L$734</f>
        <v>0</v>
      </c>
      <c r="EK19" s="1964">
        <f>Plantillas!L$735</f>
        <v>0</v>
      </c>
      <c r="EL19" s="1964">
        <f>Plantillas!L$736</f>
        <v>0</v>
      </c>
      <c r="EM19" s="779">
        <v>18</v>
      </c>
      <c r="EN19" s="1966">
        <f>Plantillas!U$717</f>
        <v>0</v>
      </c>
      <c r="EO19" s="1966">
        <f>Plantillas!U$718</f>
        <v>0</v>
      </c>
      <c r="EP19" s="1966">
        <f>Plantillas!U$719</f>
        <v>0</v>
      </c>
      <c r="EQ19" s="1966">
        <f>Plantillas!U$720</f>
        <v>0</v>
      </c>
      <c r="ER19" s="1966">
        <f>Plantillas!U$721</f>
        <v>0</v>
      </c>
      <c r="ES19" s="1966">
        <f>Plantillas!U$722</f>
        <v>0</v>
      </c>
      <c r="ET19" s="1966">
        <f>Plantillas!U$723</f>
        <v>0</v>
      </c>
      <c r="EU19" s="1966">
        <f>Plantillas!U$724</f>
        <v>0</v>
      </c>
      <c r="EV19" s="1966">
        <f>Plantillas!U$725</f>
        <v>0</v>
      </c>
      <c r="EW19" s="1966">
        <f>Plantillas!U$726</f>
        <v>0</v>
      </c>
      <c r="EX19" s="1966">
        <f>Plantillas!U$727</f>
        <v>0</v>
      </c>
      <c r="EY19" s="1966">
        <f>Plantillas!U$728</f>
        <v>0</v>
      </c>
      <c r="EZ19" s="1966">
        <f>Plantillas!U$729</f>
        <v>0</v>
      </c>
      <c r="FA19" s="1966">
        <f>Plantillas!U$730</f>
        <v>0</v>
      </c>
      <c r="FB19" s="1966">
        <f>Plantillas!U$731</f>
        <v>0</v>
      </c>
      <c r="FC19" s="1966">
        <f>Plantillas!U$732</f>
        <v>0</v>
      </c>
      <c r="FD19" s="1966">
        <f>Plantillas!U$733</f>
        <v>0</v>
      </c>
      <c r="FE19" s="1966">
        <f>Plantillas!U$734</f>
        <v>0</v>
      </c>
      <c r="FF19" s="1966">
        <f>Plantillas!U$735</f>
        <v>0</v>
      </c>
      <c r="FG19" s="1967">
        <f>Plantillas!U$736</f>
        <v>0</v>
      </c>
      <c r="FH19" s="779">
        <v>18</v>
      </c>
      <c r="FI19" s="1966">
        <f>Plantillas!T$717</f>
        <v>0</v>
      </c>
      <c r="FJ19" s="1966">
        <f>Plantillas!T$718</f>
        <v>0</v>
      </c>
      <c r="FK19" s="1966">
        <f>Plantillas!T$719</f>
        <v>0</v>
      </c>
      <c r="FL19" s="1966">
        <f>Plantillas!T$720</f>
        <v>0</v>
      </c>
      <c r="FM19" s="1966">
        <f>Plantillas!T$721</f>
        <v>0</v>
      </c>
      <c r="FN19" s="1966">
        <f>Plantillas!T$722</f>
        <v>0</v>
      </c>
      <c r="FO19" s="1966">
        <f>Plantillas!T$723</f>
        <v>0</v>
      </c>
      <c r="FP19" s="1966">
        <f>Plantillas!T$724</f>
        <v>0</v>
      </c>
      <c r="FQ19" s="1966">
        <f>Plantillas!T$725</f>
        <v>0</v>
      </c>
      <c r="FR19" s="1966">
        <f>Plantillas!T$726</f>
        <v>0</v>
      </c>
      <c r="FS19" s="1966">
        <f>Plantillas!T$727</f>
        <v>0</v>
      </c>
      <c r="FT19" s="1966">
        <f>Plantillas!T$728</f>
        <v>0</v>
      </c>
      <c r="FU19" s="1966">
        <f>Plantillas!T$729</f>
        <v>0</v>
      </c>
      <c r="FV19" s="1966">
        <f>Plantillas!T$730</f>
        <v>0</v>
      </c>
      <c r="FW19" s="1966">
        <f>Plantillas!T$731</f>
        <v>0</v>
      </c>
      <c r="FX19" s="1966">
        <f>Plantillas!T$732</f>
        <v>0</v>
      </c>
      <c r="FY19" s="1966">
        <f>Plantillas!T$733</f>
        <v>0</v>
      </c>
      <c r="FZ19" s="1966">
        <f>Plantillas!T$734</f>
        <v>0</v>
      </c>
      <c r="GA19" s="1966">
        <f>Plantillas!T$735</f>
        <v>0</v>
      </c>
      <c r="GB19" s="1967">
        <f>Plantillas!T$736</f>
        <v>0</v>
      </c>
      <c r="GC19" s="779">
        <v>18</v>
      </c>
      <c r="GD19" s="183">
        <f>Plantillas!V$746</f>
        <v>0</v>
      </c>
      <c r="GE19" s="183">
        <f>Plantillas!W$746</f>
        <v>0</v>
      </c>
      <c r="GF19" s="183">
        <f>Plantillas!X$746</f>
        <v>0</v>
      </c>
      <c r="GG19" s="183">
        <f>Plantillas!Y$746</f>
        <v>0</v>
      </c>
      <c r="GH19" s="183">
        <f>Plantillas!Z$746</f>
        <v>0</v>
      </c>
      <c r="GI19" s="183">
        <f>Plantillas!AA$746</f>
        <v>0</v>
      </c>
      <c r="GJ19" s="183">
        <f>SUM(GD19:GI19)</f>
        <v>0</v>
      </c>
      <c r="GK19" s="782">
        <f>Plantillas!U$746</f>
        <v>0</v>
      </c>
      <c r="GL19" s="779">
        <v>18</v>
      </c>
      <c r="GM19" s="1933">
        <f>Plantillas!H$717</f>
        <v>0</v>
      </c>
      <c r="GN19" s="1933">
        <f>Plantillas!H$718</f>
        <v>0</v>
      </c>
      <c r="GO19" s="1933">
        <f>Plantillas!H$719</f>
        <v>0</v>
      </c>
      <c r="GP19" s="1933">
        <f>Plantillas!H$720</f>
        <v>0</v>
      </c>
      <c r="GQ19" s="1933">
        <f>Plantillas!H$721</f>
        <v>0</v>
      </c>
      <c r="GR19" s="1933">
        <f>Plantillas!H$722</f>
        <v>0</v>
      </c>
      <c r="GS19" s="1933">
        <f>Plantillas!H$723</f>
        <v>0</v>
      </c>
      <c r="GT19" s="1933">
        <f>Plantillas!H$724</f>
        <v>0</v>
      </c>
      <c r="GU19" s="1933">
        <f>Plantillas!H$725</f>
        <v>0</v>
      </c>
      <c r="GV19" s="1933">
        <f>Plantillas!H$726</f>
        <v>0</v>
      </c>
      <c r="GW19" s="1933">
        <f>Plantillas!H$727</f>
        <v>0</v>
      </c>
      <c r="GX19" s="1933">
        <f>Plantillas!H$728</f>
        <v>0</v>
      </c>
      <c r="GY19" s="1933">
        <f>Plantillas!H$729</f>
        <v>0</v>
      </c>
      <c r="GZ19" s="1933">
        <f>Plantillas!H$730</f>
        <v>0</v>
      </c>
      <c r="HA19" s="1933">
        <f>Plantillas!H$731</f>
        <v>0</v>
      </c>
      <c r="HB19" s="1933">
        <f>Plantillas!H$732</f>
        <v>0</v>
      </c>
      <c r="HC19" s="1933">
        <f>Plantillas!H$733</f>
        <v>0</v>
      </c>
      <c r="HD19" s="1933">
        <f>Plantillas!H$734</f>
        <v>0</v>
      </c>
      <c r="HE19" s="1933">
        <f>Plantillas!H$735</f>
        <v>0</v>
      </c>
      <c r="HF19" s="1934">
        <f>Plantillas!H$736</f>
        <v>0</v>
      </c>
      <c r="HG19" s="778">
        <v>17</v>
      </c>
      <c r="HH19" s="1942"/>
      <c r="HI19" s="1943"/>
      <c r="HJ19" s="771"/>
      <c r="HK19" s="771"/>
      <c r="HL19" s="771"/>
      <c r="HM19" s="771"/>
      <c r="HN19" s="771"/>
      <c r="HO19" s="183"/>
      <c r="HP19" s="782"/>
      <c r="HQ19" s="779"/>
      <c r="HR19" s="183"/>
      <c r="HS19" s="183"/>
      <c r="HT19" s="183"/>
      <c r="HU19" s="183"/>
      <c r="HV19" s="183"/>
      <c r="HW19" s="183"/>
      <c r="HX19" s="183"/>
      <c r="HY19" s="183"/>
      <c r="HZ19" s="183"/>
      <c r="IA19" s="183"/>
      <c r="IB19" s="183"/>
      <c r="IC19" s="183"/>
      <c r="ID19" s="183"/>
      <c r="IE19" s="183"/>
      <c r="IF19" s="782"/>
      <c r="IG19" s="1943"/>
      <c r="IH19" s="771"/>
      <c r="II19" s="771"/>
      <c r="IJ19" s="771"/>
      <c r="IK19" s="771"/>
      <c r="IL19" s="771"/>
      <c r="IM19" s="771"/>
      <c r="IN19" s="771"/>
      <c r="IO19" s="771"/>
      <c r="IP19" s="2696"/>
      <c r="IQ19" s="2699"/>
      <c r="IR19" s="771"/>
      <c r="IS19" s="771"/>
      <c r="IT19" s="771"/>
      <c r="IU19" s="1970"/>
      <c r="IV19" s="1943"/>
      <c r="IW19" s="771"/>
      <c r="IX19" s="771"/>
      <c r="IY19" s="771"/>
      <c r="IZ19" s="771"/>
      <c r="JA19" s="1970"/>
      <c r="JB19" s="1944"/>
      <c r="JC19" s="1945"/>
      <c r="JD19" s="779">
        <f t="shared" si="7"/>
        <v>0</v>
      </c>
      <c r="JE19" s="183">
        <f t="shared" si="8"/>
        <v>0</v>
      </c>
      <c r="JF19" s="183">
        <f t="shared" si="9"/>
        <v>0</v>
      </c>
      <c r="JG19" s="183">
        <f t="shared" si="10"/>
        <v>0</v>
      </c>
      <c r="JH19" s="183">
        <f t="shared" si="11"/>
        <v>0</v>
      </c>
      <c r="JI19" s="782">
        <f t="shared" si="30"/>
        <v>0</v>
      </c>
      <c r="JJ19" s="779">
        <f t="shared" si="12"/>
        <v>0</v>
      </c>
      <c r="JK19" s="183">
        <f t="shared" si="13"/>
        <v>0</v>
      </c>
      <c r="JL19" s="183">
        <f t="shared" si="14"/>
        <v>0</v>
      </c>
      <c r="JM19" s="183">
        <f t="shared" si="15"/>
        <v>0</v>
      </c>
      <c r="JN19" s="183">
        <f t="shared" si="16"/>
        <v>0</v>
      </c>
      <c r="JO19" s="183">
        <f t="shared" si="17"/>
        <v>0</v>
      </c>
      <c r="JP19" s="779">
        <f t="shared" si="18"/>
        <v>0</v>
      </c>
      <c r="JQ19" s="183">
        <f t="shared" si="19"/>
        <v>0</v>
      </c>
      <c r="JR19" s="183">
        <f t="shared" si="20"/>
        <v>0</v>
      </c>
      <c r="JS19" s="183">
        <f t="shared" si="21"/>
        <v>0</v>
      </c>
      <c r="JT19" s="183">
        <f t="shared" si="31"/>
        <v>0</v>
      </c>
      <c r="JU19" s="183">
        <f t="shared" si="22"/>
        <v>0</v>
      </c>
      <c r="JV19" s="779">
        <f t="shared" si="23"/>
        <v>0</v>
      </c>
      <c r="JW19" s="183">
        <f t="shared" si="24"/>
        <v>0</v>
      </c>
      <c r="JX19" s="183">
        <f t="shared" si="25"/>
        <v>0</v>
      </c>
      <c r="JY19" s="183">
        <f t="shared" si="26"/>
        <v>0</v>
      </c>
      <c r="JZ19" s="183">
        <f t="shared" si="27"/>
        <v>0</v>
      </c>
      <c r="KA19" s="782">
        <f t="shared" si="28"/>
        <v>0</v>
      </c>
      <c r="KB19" s="183">
        <f t="shared" si="29"/>
        <v>0</v>
      </c>
      <c r="KC19" s="183">
        <f t="shared" si="2"/>
        <v>0</v>
      </c>
      <c r="KD19" s="183">
        <f t="shared" si="3"/>
        <v>0</v>
      </c>
      <c r="KE19" s="183">
        <f>IX41+IY41</f>
        <v>0</v>
      </c>
      <c r="KF19" s="183">
        <f t="shared" si="5"/>
        <v>0</v>
      </c>
      <c r="KG19" s="782">
        <f t="shared" si="6"/>
        <v>0</v>
      </c>
      <c r="KH19" s="779">
        <v>18</v>
      </c>
      <c r="KI19" s="1966"/>
      <c r="KJ19" s="1966"/>
      <c r="KK19" s="1966"/>
      <c r="KL19" s="1966"/>
      <c r="KM19" s="1966"/>
      <c r="KN19" s="1966"/>
      <c r="KO19" s="1966"/>
      <c r="KP19" s="1966"/>
      <c r="KQ19" s="1966"/>
      <c r="KR19" s="1966"/>
      <c r="KS19" s="1966"/>
      <c r="KT19" s="1966"/>
      <c r="KU19" s="1966"/>
      <c r="KV19" s="1966"/>
      <c r="KW19" s="1966"/>
      <c r="KX19" s="1966"/>
      <c r="KY19" s="1966"/>
      <c r="KZ19" s="1966"/>
      <c r="LA19" s="1966"/>
      <c r="LB19" s="1967"/>
      <c r="LC19" s="1943">
        <v>18</v>
      </c>
      <c r="LD19" s="3744">
        <f>Plantillas!S$717</f>
        <v>0</v>
      </c>
      <c r="LE19" s="3744">
        <f>Plantillas!S$718</f>
        <v>0</v>
      </c>
      <c r="LF19" s="3744">
        <f>Plantillas!S$719</f>
        <v>0</v>
      </c>
      <c r="LG19" s="3744">
        <f>Plantillas!S$720</f>
        <v>0</v>
      </c>
      <c r="LH19" s="3744">
        <f>Plantillas!S$721</f>
        <v>0</v>
      </c>
      <c r="LI19" s="3744">
        <f>Plantillas!S$722</f>
        <v>0</v>
      </c>
      <c r="LJ19" s="3744">
        <f>Plantillas!S$723</f>
        <v>0</v>
      </c>
      <c r="LK19" s="3744">
        <f>Plantillas!S$724</f>
        <v>0</v>
      </c>
      <c r="LL19" s="3744">
        <f>Plantillas!S$725</f>
        <v>0</v>
      </c>
      <c r="LM19" s="3744">
        <f>Plantillas!S$726</f>
        <v>0</v>
      </c>
      <c r="LN19" s="3744">
        <f>Plantillas!S$727</f>
        <v>0</v>
      </c>
      <c r="LO19" s="3744">
        <f>Plantillas!S$728</f>
        <v>0</v>
      </c>
      <c r="LP19" s="3744">
        <f>Plantillas!S$729</f>
        <v>0</v>
      </c>
      <c r="LQ19" s="3744">
        <f>Plantillas!S$730</f>
        <v>0</v>
      </c>
      <c r="LR19" s="3744">
        <f>Plantillas!S$731</f>
        <v>0</v>
      </c>
      <c r="LS19" s="3744">
        <f>Plantillas!S$732</f>
        <v>0</v>
      </c>
      <c r="LT19" s="3744">
        <f>Plantillas!S$733</f>
        <v>0</v>
      </c>
      <c r="LU19" s="3744">
        <f>Plantillas!S$734</f>
        <v>0</v>
      </c>
      <c r="LV19" s="3744">
        <f>Plantillas!S$735</f>
        <v>0</v>
      </c>
      <c r="LW19" s="3745">
        <f>Plantillas!S$736</f>
        <v>0</v>
      </c>
      <c r="LX19" s="19" t="s">
        <v>79</v>
      </c>
    </row>
    <row r="20" spans="1:336" ht="12.75" customHeight="1">
      <c r="A20" s="16">
        <v>4</v>
      </c>
      <c r="B20" s="31" t="str">
        <f>VLOOKUP(T6,AX23:DI42,11,11)</f>
        <v>2º</v>
      </c>
      <c r="C20" s="35" t="str">
        <f>VLOOKUP(T6,AX23:DI42,12,12)</f>
        <v>A</v>
      </c>
      <c r="D20" s="29" t="str">
        <f>VLOOKUP(T6,BG2:CA21,5,5)</f>
        <v>MORENO CARDENAS * IGNACIA</v>
      </c>
      <c r="E20" s="21"/>
      <c r="F20" s="21"/>
      <c r="G20" s="21"/>
      <c r="H20" s="21"/>
      <c r="I20" s="3360" t="str">
        <f>VLOOKUP(T6,LC24:LW43,5,21)</f>
        <v>042</v>
      </c>
      <c r="J20" s="3780">
        <f>VLOOKUP(T6,AX44:BR63,5,5)</f>
        <v>8</v>
      </c>
      <c r="K20" s="3780"/>
      <c r="L20" s="3780">
        <f>VLOOKUP(T6,BS44:CM63,5,5)</f>
        <v>7.2</v>
      </c>
      <c r="M20" s="3780"/>
      <c r="N20" s="3780">
        <f>VLOOKUP(T6,CN44:DH63,5,5)</f>
        <v>0</v>
      </c>
      <c r="O20" s="3780"/>
      <c r="P20" s="3780">
        <f>VLOOKUP(T6,DI44:EC63,5,5)</f>
        <v>0</v>
      </c>
      <c r="Q20" s="3780"/>
      <c r="R20" s="3780">
        <f>VLOOKUP(T6,ED44:EX63,5,5)</f>
        <v>0</v>
      </c>
      <c r="S20" s="3780"/>
      <c r="T20" s="3780">
        <f>VLOOKUP(T6,EY44:FS63,5,5)</f>
        <v>0</v>
      </c>
      <c r="U20" s="3780"/>
      <c r="V20" s="3781">
        <f t="shared" si="32"/>
        <v>1.8</v>
      </c>
      <c r="W20" s="3782"/>
      <c r="X20" s="3787"/>
      <c r="Y20" s="3788"/>
      <c r="Z20" s="3787"/>
      <c r="AA20" s="3788"/>
      <c r="AB20" s="3783"/>
      <c r="AC20" s="3784"/>
      <c r="AD20" s="3783"/>
      <c r="AE20" s="3784"/>
      <c r="AF20" s="2939" t="str">
        <f t="shared" si="33"/>
        <v>2ºA</v>
      </c>
      <c r="AG20" s="2940">
        <f t="shared" si="34"/>
        <v>31</v>
      </c>
      <c r="AH20" s="3818">
        <f>VLOOKUP(T6,AX23:DI42,13,13)</f>
        <v>31</v>
      </c>
      <c r="AI20" s="3819"/>
      <c r="AJ20" s="3856"/>
      <c r="AK20" s="3857"/>
      <c r="AL20" s="3193">
        <f>VLOOKUP(T6,GL2:HF21,5,21)</f>
        <v>0</v>
      </c>
      <c r="AM20" s="3194" t="str">
        <f>VLOOKUP(T6,GL23:HF42,5,21)</f>
        <v>X</v>
      </c>
      <c r="AN20" s="3195" t="str">
        <f>VLOOKUP(T6,CB2:CV21,5,21)</f>
        <v>MOCI710325EVA</v>
      </c>
      <c r="AO20" s="3195" t="str">
        <f>VLOOKUP(T6,CW2:DQ21,5,21)</f>
        <v>078312 E028100.0232722</v>
      </c>
      <c r="AP20" s="3195" t="str">
        <f>VLOOKUP(T6,DR2:EL21,5,21)</f>
        <v>DOCENTE</v>
      </c>
      <c r="AQ20" s="3195">
        <f>VLOOKUP(T6,DR23:EL42,5,21)</f>
        <v>0</v>
      </c>
      <c r="AR20" s="3195" t="str">
        <f>VLOOKUP(T6,LC2:LW21,5,21)</f>
        <v>MOCI710325MQR</v>
      </c>
      <c r="AS20" s="3194" t="str">
        <f>VLOOKUP(T6,FH2:GB21,5,21)</f>
        <v>7A</v>
      </c>
      <c r="AT20" s="3194">
        <f>VLOOKUP(T6,EM2:FG21,5,21)</f>
        <v>10</v>
      </c>
      <c r="AU20" s="3196" t="str">
        <f>VLOOKUP(T6,FH23:GB42,5,21)</f>
        <v>01-09-1994</v>
      </c>
      <c r="AV20" s="3197" t="str">
        <f>VLOOKUP(T6,KH2:LB21,5,21)</f>
        <v>23DPR0055K</v>
      </c>
      <c r="AW20" s="2803" t="str">
        <f>VLOOKUP(T6,KH24:LB43,5,21)</f>
        <v>KABAH</v>
      </c>
      <c r="AX20" s="1958">
        <v>19</v>
      </c>
      <c r="AY20" s="1959">
        <f>Plantillas!D$752</f>
        <v>0</v>
      </c>
      <c r="AZ20" s="1960">
        <f>Plantillas!M$752</f>
        <v>0</v>
      </c>
      <c r="BA20" s="1959">
        <f>Plantillas!Q$752</f>
        <v>0</v>
      </c>
      <c r="BB20" s="1968">
        <f>Plantillas!Z$783</f>
        <v>0</v>
      </c>
      <c r="BC20" s="1961">
        <f>Plantillas!C$753</f>
        <v>0</v>
      </c>
      <c r="BD20" s="1960">
        <f>Plantillas!P$753</f>
        <v>0</v>
      </c>
      <c r="BE20" s="1963">
        <f>Plantillas!E$788</f>
        <v>0</v>
      </c>
      <c r="BF20" s="1963">
        <f>Plantillas!AA$783</f>
        <v>0</v>
      </c>
      <c r="BG20" s="1958">
        <v>19</v>
      </c>
      <c r="BH20" s="1960">
        <f>Plantillas!B$757</f>
        <v>0</v>
      </c>
      <c r="BI20" s="1960">
        <f>Plantillas!B$758</f>
        <v>0</v>
      </c>
      <c r="BJ20" s="1960">
        <f>Plantillas!B$759</f>
        <v>0</v>
      </c>
      <c r="BK20" s="1960">
        <f>Plantillas!B$760</f>
        <v>0</v>
      </c>
      <c r="BL20" s="1960">
        <f>Plantillas!B$761</f>
        <v>0</v>
      </c>
      <c r="BM20" s="1960">
        <f>Plantillas!B$762</f>
        <v>0</v>
      </c>
      <c r="BN20" s="1960">
        <f>Plantillas!B$763</f>
        <v>0</v>
      </c>
      <c r="BO20" s="1960">
        <f>Plantillas!B$764</f>
        <v>0</v>
      </c>
      <c r="BP20" s="1960">
        <f>Plantillas!B$765</f>
        <v>0</v>
      </c>
      <c r="BQ20" s="1964">
        <f>Plantillas!B$766</f>
        <v>0</v>
      </c>
      <c r="BR20" s="1964">
        <f>Plantillas!B$767</f>
        <v>0</v>
      </c>
      <c r="BS20" s="1964">
        <f>Plantillas!B$768</f>
        <v>0</v>
      </c>
      <c r="BT20" s="1964">
        <f>Plantillas!B$769</f>
        <v>0</v>
      </c>
      <c r="BU20" s="1964">
        <f>Plantillas!B$770</f>
        <v>0</v>
      </c>
      <c r="BV20" s="1964">
        <f>Plantillas!B$771</f>
        <v>0</v>
      </c>
      <c r="BW20" s="1964">
        <f>Plantillas!B$772</f>
        <v>0</v>
      </c>
      <c r="BX20" s="1964">
        <f>Plantillas!B$773</f>
        <v>0</v>
      </c>
      <c r="BY20" s="1964">
        <f>Plantillas!B$774</f>
        <v>0</v>
      </c>
      <c r="BZ20" s="1964">
        <f>Plantillas!B$775</f>
        <v>0</v>
      </c>
      <c r="CA20" s="1965">
        <f>Plantillas!B$776</f>
        <v>0</v>
      </c>
      <c r="CB20" s="779">
        <v>19</v>
      </c>
      <c r="CC20" s="1964">
        <f>Plantillas!J$757</f>
        <v>0</v>
      </c>
      <c r="CD20" s="1964">
        <f>Plantillas!J$758</f>
        <v>0</v>
      </c>
      <c r="CE20" s="1964">
        <f>Plantillas!J$759</f>
        <v>0</v>
      </c>
      <c r="CF20" s="1964">
        <f>Plantillas!J$760</f>
        <v>0</v>
      </c>
      <c r="CG20" s="1964">
        <f>Plantillas!J$761</f>
        <v>0</v>
      </c>
      <c r="CH20" s="1964">
        <f>Plantillas!J$762</f>
        <v>0</v>
      </c>
      <c r="CI20" s="1964">
        <f>Plantillas!J$763</f>
        <v>0</v>
      </c>
      <c r="CJ20" s="1964">
        <f>Plantillas!J$764</f>
        <v>0</v>
      </c>
      <c r="CK20" s="1964">
        <f>Plantillas!J$765</f>
        <v>0</v>
      </c>
      <c r="CL20" s="1964">
        <f>Plantillas!J$766</f>
        <v>0</v>
      </c>
      <c r="CM20" s="1964">
        <f>Plantillas!J$767</f>
        <v>0</v>
      </c>
      <c r="CN20" s="1964">
        <f>Plantillas!J$768</f>
        <v>0</v>
      </c>
      <c r="CO20" s="1964">
        <f>Plantillas!J$769</f>
        <v>0</v>
      </c>
      <c r="CP20" s="1964">
        <f>Plantillas!J$770</f>
        <v>0</v>
      </c>
      <c r="CQ20" s="1964">
        <f>Plantillas!J$771</f>
        <v>0</v>
      </c>
      <c r="CR20" s="1964">
        <f>Plantillas!J$772</f>
        <v>0</v>
      </c>
      <c r="CS20" s="1964">
        <f>Plantillas!J$773</f>
        <v>0</v>
      </c>
      <c r="CT20" s="1964">
        <f>Plantillas!J$774</f>
        <v>0</v>
      </c>
      <c r="CU20" s="1964">
        <f>Plantillas!J$775</f>
        <v>0</v>
      </c>
      <c r="CV20" s="1964">
        <f>Plantillas!J$776</f>
        <v>0</v>
      </c>
      <c r="CW20" s="779">
        <v>19</v>
      </c>
      <c r="CX20" s="1964">
        <f>Plantillas!K$757</f>
        <v>0</v>
      </c>
      <c r="CY20" s="1964">
        <f>Plantillas!K$758</f>
        <v>0</v>
      </c>
      <c r="CZ20" s="1964">
        <f>Plantillas!K$759</f>
        <v>0</v>
      </c>
      <c r="DA20" s="1964">
        <f>Plantillas!K$760</f>
        <v>0</v>
      </c>
      <c r="DB20" s="1964">
        <f>Plantillas!K$761</f>
        <v>0</v>
      </c>
      <c r="DC20" s="1964">
        <f>Plantillas!K$762</f>
        <v>0</v>
      </c>
      <c r="DD20" s="1964">
        <f>Plantillas!K$763</f>
        <v>0</v>
      </c>
      <c r="DE20" s="1964">
        <f>Plantillas!K$764</f>
        <v>0</v>
      </c>
      <c r="DF20" s="1964">
        <f>Plantillas!K$765</f>
        <v>0</v>
      </c>
      <c r="DG20" s="1964">
        <f>Plantillas!K$766</f>
        <v>0</v>
      </c>
      <c r="DH20" s="1964">
        <f>Plantillas!K$767</f>
        <v>0</v>
      </c>
      <c r="DI20" s="1964">
        <f>Plantillas!K$768</f>
        <v>0</v>
      </c>
      <c r="DJ20" s="1964">
        <f>Plantillas!K$769</f>
        <v>0</v>
      </c>
      <c r="DK20" s="1964">
        <f>Plantillas!K$770</f>
        <v>0</v>
      </c>
      <c r="DL20" s="1964">
        <f>Plantillas!K$771</f>
        <v>0</v>
      </c>
      <c r="DM20" s="1964">
        <f>Plantillas!K$772</f>
        <v>0</v>
      </c>
      <c r="DN20" s="1964">
        <f>Plantillas!K$773</f>
        <v>0</v>
      </c>
      <c r="DO20" s="1964">
        <f>Plantillas!K$774</f>
        <v>0</v>
      </c>
      <c r="DP20" s="1964">
        <f>Plantillas!K$775</f>
        <v>0</v>
      </c>
      <c r="DQ20" s="1964">
        <f>Plantillas!K$776</f>
        <v>0</v>
      </c>
      <c r="DR20" s="779">
        <v>19</v>
      </c>
      <c r="DS20" s="1964">
        <f>Plantillas!L$757</f>
        <v>0</v>
      </c>
      <c r="DT20" s="1964">
        <f>Plantillas!L$758</f>
        <v>0</v>
      </c>
      <c r="DU20" s="1964">
        <f>Plantillas!L$759</f>
        <v>0</v>
      </c>
      <c r="DV20" s="1964">
        <f>Plantillas!L$760</f>
        <v>0</v>
      </c>
      <c r="DW20" s="1964">
        <f>Plantillas!L$761</f>
        <v>0</v>
      </c>
      <c r="DX20" s="1964">
        <f>Plantillas!L$762</f>
        <v>0</v>
      </c>
      <c r="DY20" s="1964">
        <f>Plantillas!L$763</f>
        <v>0</v>
      </c>
      <c r="DZ20" s="1964">
        <f>Plantillas!L$764</f>
        <v>0</v>
      </c>
      <c r="EA20" s="1964">
        <f>Plantillas!L$765</f>
        <v>0</v>
      </c>
      <c r="EB20" s="1964">
        <f>Plantillas!L$766</f>
        <v>0</v>
      </c>
      <c r="EC20" s="1964">
        <f>Plantillas!L$767</f>
        <v>0</v>
      </c>
      <c r="ED20" s="1964">
        <f>Plantillas!L$768</f>
        <v>0</v>
      </c>
      <c r="EE20" s="1964">
        <f>Plantillas!L$769</f>
        <v>0</v>
      </c>
      <c r="EF20" s="1964">
        <f>Plantillas!L$770</f>
        <v>0</v>
      </c>
      <c r="EG20" s="1964">
        <f>Plantillas!L$771</f>
        <v>0</v>
      </c>
      <c r="EH20" s="1964">
        <f>Plantillas!L$772</f>
        <v>0</v>
      </c>
      <c r="EI20" s="1964">
        <f>Plantillas!L$773</f>
        <v>0</v>
      </c>
      <c r="EJ20" s="1964">
        <f>Plantillas!L$774</f>
        <v>0</v>
      </c>
      <c r="EK20" s="1964">
        <f>Plantillas!L$775</f>
        <v>0</v>
      </c>
      <c r="EL20" s="1964">
        <f>Plantillas!L$776</f>
        <v>0</v>
      </c>
      <c r="EM20" s="779">
        <v>19</v>
      </c>
      <c r="EN20" s="1966">
        <f>Plantillas!U$757</f>
        <v>0</v>
      </c>
      <c r="EO20" s="1966">
        <f>Plantillas!U$758</f>
        <v>0</v>
      </c>
      <c r="EP20" s="1966">
        <f>Plantillas!U$759</f>
        <v>0</v>
      </c>
      <c r="EQ20" s="1966">
        <f>Plantillas!U$760</f>
        <v>0</v>
      </c>
      <c r="ER20" s="1966">
        <f>Plantillas!U$761</f>
        <v>0</v>
      </c>
      <c r="ES20" s="1966">
        <f>Plantillas!U$762</f>
        <v>0</v>
      </c>
      <c r="ET20" s="1966">
        <f>Plantillas!U$763</f>
        <v>0</v>
      </c>
      <c r="EU20" s="1966">
        <f>Plantillas!U$764</f>
        <v>0</v>
      </c>
      <c r="EV20" s="1966">
        <f>Plantillas!U$765</f>
        <v>0</v>
      </c>
      <c r="EW20" s="1966">
        <f>Plantillas!U$766</f>
        <v>0</v>
      </c>
      <c r="EX20" s="1966">
        <f>Plantillas!U$767</f>
        <v>0</v>
      </c>
      <c r="EY20" s="1966">
        <f>Plantillas!U$768</f>
        <v>0</v>
      </c>
      <c r="EZ20" s="1966">
        <f>Plantillas!U$769</f>
        <v>0</v>
      </c>
      <c r="FA20" s="1966">
        <f>Plantillas!U$770</f>
        <v>0</v>
      </c>
      <c r="FB20" s="1966">
        <f>Plantillas!U$771</f>
        <v>0</v>
      </c>
      <c r="FC20" s="1966">
        <f>Plantillas!U$772</f>
        <v>0</v>
      </c>
      <c r="FD20" s="1966">
        <f>Plantillas!U$773</f>
        <v>0</v>
      </c>
      <c r="FE20" s="1966">
        <f>Plantillas!U$774</f>
        <v>0</v>
      </c>
      <c r="FF20" s="1966">
        <f>Plantillas!U$775</f>
        <v>0</v>
      </c>
      <c r="FG20" s="1967">
        <f>Plantillas!U$776</f>
        <v>0</v>
      </c>
      <c r="FH20" s="779">
        <v>19</v>
      </c>
      <c r="FI20" s="1966">
        <f>Plantillas!T$757</f>
        <v>0</v>
      </c>
      <c r="FJ20" s="1966">
        <f>Plantillas!T$758</f>
        <v>0</v>
      </c>
      <c r="FK20" s="1966">
        <f>Plantillas!T$759</f>
        <v>0</v>
      </c>
      <c r="FL20" s="1966">
        <f>Plantillas!T$760</f>
        <v>0</v>
      </c>
      <c r="FM20" s="1966">
        <f>Plantillas!T$761</f>
        <v>0</v>
      </c>
      <c r="FN20" s="1966">
        <f>Plantillas!T$762</f>
        <v>0</v>
      </c>
      <c r="FO20" s="1966">
        <f>Plantillas!T$763</f>
        <v>0</v>
      </c>
      <c r="FP20" s="1966">
        <f>Plantillas!T$764</f>
        <v>0</v>
      </c>
      <c r="FQ20" s="1966">
        <f>Plantillas!T$765</f>
        <v>0</v>
      </c>
      <c r="FR20" s="1966">
        <f>Plantillas!T$766</f>
        <v>0</v>
      </c>
      <c r="FS20" s="1966">
        <f>Plantillas!T$767</f>
        <v>0</v>
      </c>
      <c r="FT20" s="1966">
        <f>Plantillas!T$768</f>
        <v>0</v>
      </c>
      <c r="FU20" s="1966">
        <f>Plantillas!T$769</f>
        <v>0</v>
      </c>
      <c r="FV20" s="1966">
        <f>Plantillas!T$770</f>
        <v>0</v>
      </c>
      <c r="FW20" s="1966">
        <f>Plantillas!T$771</f>
        <v>0</v>
      </c>
      <c r="FX20" s="1966">
        <f>Plantillas!T$772</f>
        <v>0</v>
      </c>
      <c r="FY20" s="1966">
        <f>Plantillas!T$773</f>
        <v>0</v>
      </c>
      <c r="FZ20" s="1966">
        <f>Plantillas!T$774</f>
        <v>0</v>
      </c>
      <c r="GA20" s="1966">
        <f>Plantillas!T$775</f>
        <v>0</v>
      </c>
      <c r="GB20" s="1967">
        <f>Plantillas!T$776</f>
        <v>0</v>
      </c>
      <c r="GC20" s="779">
        <v>19</v>
      </c>
      <c r="GD20" s="183">
        <f>Plantillas!V$786</f>
        <v>0</v>
      </c>
      <c r="GE20" s="183">
        <f>Plantillas!W$786</f>
        <v>0</v>
      </c>
      <c r="GF20" s="183">
        <f>Plantillas!X$786</f>
        <v>0</v>
      </c>
      <c r="GG20" s="183">
        <f>Plantillas!Y$786</f>
        <v>0</v>
      </c>
      <c r="GH20" s="183">
        <f>Plantillas!Z$786</f>
        <v>0</v>
      </c>
      <c r="GI20" s="183">
        <f>Plantillas!AA$786</f>
        <v>0</v>
      </c>
      <c r="GJ20" s="183">
        <f>SUM(GD20:GI20)</f>
        <v>0</v>
      </c>
      <c r="GK20" s="782">
        <f>Plantillas!U$786</f>
        <v>0</v>
      </c>
      <c r="GL20" s="779">
        <v>19</v>
      </c>
      <c r="GM20" s="1933">
        <f>Plantillas!H$757</f>
        <v>0</v>
      </c>
      <c r="GN20" s="1933">
        <f>Plantillas!H$758</f>
        <v>0</v>
      </c>
      <c r="GO20" s="1933">
        <f>Plantillas!H$759</f>
        <v>0</v>
      </c>
      <c r="GP20" s="1933">
        <f>Plantillas!H$760</f>
        <v>0</v>
      </c>
      <c r="GQ20" s="1933">
        <f>Plantillas!H$761</f>
        <v>0</v>
      </c>
      <c r="GR20" s="1933">
        <f>Plantillas!H$762</f>
        <v>0</v>
      </c>
      <c r="GS20" s="1933">
        <f>Plantillas!H$763</f>
        <v>0</v>
      </c>
      <c r="GT20" s="1933">
        <f>Plantillas!H$764</f>
        <v>0</v>
      </c>
      <c r="GU20" s="1933">
        <f>Plantillas!H$765</f>
        <v>0</v>
      </c>
      <c r="GV20" s="1933">
        <f>Plantillas!H$766</f>
        <v>0</v>
      </c>
      <c r="GW20" s="1933">
        <f>Plantillas!H$767</f>
        <v>0</v>
      </c>
      <c r="GX20" s="1933">
        <f>Plantillas!H$768</f>
        <v>0</v>
      </c>
      <c r="GY20" s="1933">
        <f>Plantillas!H$769</f>
        <v>0</v>
      </c>
      <c r="GZ20" s="1933">
        <f>Plantillas!H$770</f>
        <v>0</v>
      </c>
      <c r="HA20" s="1933">
        <f>Plantillas!H$771</f>
        <v>0</v>
      </c>
      <c r="HB20" s="1933">
        <f>Plantillas!H$772</f>
        <v>0</v>
      </c>
      <c r="HC20" s="1933">
        <f>Plantillas!H$773</f>
        <v>0</v>
      </c>
      <c r="HD20" s="1933">
        <f>Plantillas!H$774</f>
        <v>0</v>
      </c>
      <c r="HE20" s="1933">
        <f>Plantillas!H$775</f>
        <v>0</v>
      </c>
      <c r="HF20" s="1934">
        <f>Plantillas!H$776</f>
        <v>0</v>
      </c>
      <c r="HG20" s="778">
        <v>18</v>
      </c>
      <c r="HH20" s="1942"/>
      <c r="HI20" s="1943"/>
      <c r="HJ20" s="771"/>
      <c r="HK20" s="771"/>
      <c r="HL20" s="771"/>
      <c r="HM20" s="771"/>
      <c r="HN20" s="771"/>
      <c r="HO20" s="183"/>
      <c r="HP20" s="782"/>
      <c r="HQ20" s="779"/>
      <c r="HR20" s="183"/>
      <c r="HS20" s="183"/>
      <c r="HT20" s="183"/>
      <c r="HU20" s="183"/>
      <c r="HV20" s="183"/>
      <c r="HW20" s="183"/>
      <c r="HX20" s="183"/>
      <c r="HY20" s="183"/>
      <c r="HZ20" s="183"/>
      <c r="IA20" s="183"/>
      <c r="IB20" s="183"/>
      <c r="IC20" s="183"/>
      <c r="ID20" s="183"/>
      <c r="IE20" s="183"/>
      <c r="IF20" s="782"/>
      <c r="IG20" s="1943"/>
      <c r="IH20" s="771"/>
      <c r="II20" s="771"/>
      <c r="IJ20" s="771"/>
      <c r="IK20" s="771"/>
      <c r="IL20" s="771"/>
      <c r="IM20" s="771"/>
      <c r="IN20" s="771"/>
      <c r="IO20" s="771"/>
      <c r="IP20" s="2696"/>
      <c r="IQ20" s="2699"/>
      <c r="IR20" s="771"/>
      <c r="IS20" s="771"/>
      <c r="IT20" s="771"/>
      <c r="IU20" s="1970"/>
      <c r="IV20" s="1943"/>
      <c r="IW20" s="771"/>
      <c r="IX20" s="771"/>
      <c r="IY20" s="771"/>
      <c r="IZ20" s="771"/>
      <c r="JA20" s="1970"/>
      <c r="JB20" s="1944"/>
      <c r="JC20" s="1945"/>
      <c r="JD20" s="779">
        <f t="shared" si="7"/>
        <v>0</v>
      </c>
      <c r="JE20" s="183">
        <f t="shared" si="8"/>
        <v>0</v>
      </c>
      <c r="JF20" s="183">
        <f t="shared" si="9"/>
        <v>0</v>
      </c>
      <c r="JG20" s="183">
        <f t="shared" si="10"/>
        <v>0</v>
      </c>
      <c r="JH20" s="183">
        <f t="shared" si="11"/>
        <v>0</v>
      </c>
      <c r="JI20" s="782">
        <f t="shared" si="30"/>
        <v>0</v>
      </c>
      <c r="JJ20" s="779">
        <f t="shared" si="12"/>
        <v>0</v>
      </c>
      <c r="JK20" s="183">
        <f t="shared" si="13"/>
        <v>0</v>
      </c>
      <c r="JL20" s="183">
        <f t="shared" si="14"/>
        <v>0</v>
      </c>
      <c r="JM20" s="183">
        <f t="shared" si="15"/>
        <v>0</v>
      </c>
      <c r="JN20" s="183">
        <f t="shared" si="16"/>
        <v>0</v>
      </c>
      <c r="JO20" s="183">
        <f t="shared" si="17"/>
        <v>0</v>
      </c>
      <c r="JP20" s="779">
        <f t="shared" si="18"/>
        <v>0</v>
      </c>
      <c r="JQ20" s="183">
        <f t="shared" si="19"/>
        <v>0</v>
      </c>
      <c r="JR20" s="183">
        <f t="shared" si="20"/>
        <v>0</v>
      </c>
      <c r="JS20" s="183">
        <f t="shared" si="21"/>
        <v>0</v>
      </c>
      <c r="JT20" s="183">
        <f t="shared" si="31"/>
        <v>0</v>
      </c>
      <c r="JU20" s="183">
        <f t="shared" si="22"/>
        <v>0</v>
      </c>
      <c r="JV20" s="779">
        <f t="shared" si="23"/>
        <v>0</v>
      </c>
      <c r="JW20" s="183">
        <f t="shared" si="24"/>
        <v>0</v>
      </c>
      <c r="JX20" s="183">
        <f t="shared" si="25"/>
        <v>0</v>
      </c>
      <c r="JY20" s="183">
        <f t="shared" si="26"/>
        <v>0</v>
      </c>
      <c r="JZ20" s="183">
        <f t="shared" si="27"/>
        <v>0</v>
      </c>
      <c r="KA20" s="782">
        <f t="shared" si="28"/>
        <v>0</v>
      </c>
      <c r="KB20" s="183">
        <f t="shared" si="29"/>
        <v>0</v>
      </c>
      <c r="KC20" s="183">
        <f t="shared" si="2"/>
        <v>0</v>
      </c>
      <c r="KD20" s="183">
        <f t="shared" si="3"/>
        <v>0</v>
      </c>
      <c r="KE20" s="183">
        <f t="shared" si="4"/>
        <v>0</v>
      </c>
      <c r="KF20" s="183">
        <f t="shared" si="5"/>
        <v>0</v>
      </c>
      <c r="KG20" s="782">
        <f t="shared" si="6"/>
        <v>0</v>
      </c>
      <c r="KH20" s="779">
        <v>19</v>
      </c>
      <c r="KI20" s="1966"/>
      <c r="KJ20" s="1966"/>
      <c r="KK20" s="1966"/>
      <c r="KL20" s="1966"/>
      <c r="KM20" s="1966"/>
      <c r="KN20" s="1966"/>
      <c r="KO20" s="1966"/>
      <c r="KP20" s="1966"/>
      <c r="KQ20" s="1966"/>
      <c r="KR20" s="1966"/>
      <c r="KS20" s="1966"/>
      <c r="KT20" s="1966"/>
      <c r="KU20" s="1966"/>
      <c r="KV20" s="1966"/>
      <c r="KW20" s="1966"/>
      <c r="KX20" s="1966"/>
      <c r="KY20" s="1966"/>
      <c r="KZ20" s="1966"/>
      <c r="LA20" s="1966"/>
      <c r="LB20" s="1967"/>
      <c r="LC20" s="1943">
        <v>19</v>
      </c>
      <c r="LD20" s="3744">
        <f>Plantillas!S$757</f>
        <v>0</v>
      </c>
      <c r="LE20" s="3744">
        <f>Plantillas!S$758</f>
        <v>0</v>
      </c>
      <c r="LF20" s="3744">
        <f>Plantillas!S$759</f>
        <v>0</v>
      </c>
      <c r="LG20" s="3744">
        <f>Plantillas!S$760</f>
        <v>0</v>
      </c>
      <c r="LH20" s="3744">
        <f>Plantillas!S$761</f>
        <v>0</v>
      </c>
      <c r="LI20" s="3744">
        <f>Plantillas!S$762</f>
        <v>0</v>
      </c>
      <c r="LJ20" s="3744">
        <f>Plantillas!S$763</f>
        <v>0</v>
      </c>
      <c r="LK20" s="3744">
        <f>Plantillas!S$764</f>
        <v>0</v>
      </c>
      <c r="LL20" s="3744">
        <f>Plantillas!S$765</f>
        <v>0</v>
      </c>
      <c r="LM20" s="3744">
        <f>Plantillas!S$766</f>
        <v>0</v>
      </c>
      <c r="LN20" s="3744">
        <f>Plantillas!S$767</f>
        <v>0</v>
      </c>
      <c r="LO20" s="3744">
        <f>Plantillas!S$768</f>
        <v>0</v>
      </c>
      <c r="LP20" s="3744">
        <f>Plantillas!S$769</f>
        <v>0</v>
      </c>
      <c r="LQ20" s="3744">
        <f>Plantillas!S$770</f>
        <v>0</v>
      </c>
      <c r="LR20" s="3744">
        <f>Plantillas!S$771</f>
        <v>0</v>
      </c>
      <c r="LS20" s="3744">
        <f>Plantillas!S$772</f>
        <v>0</v>
      </c>
      <c r="LT20" s="3744">
        <f>Plantillas!S$773</f>
        <v>0</v>
      </c>
      <c r="LU20" s="3744">
        <f>Plantillas!S$774</f>
        <v>0</v>
      </c>
      <c r="LV20" s="3744">
        <f>Plantillas!S$775</f>
        <v>0</v>
      </c>
      <c r="LW20" s="3745">
        <f>Plantillas!S$776</f>
        <v>0</v>
      </c>
      <c r="LX20" s="27" t="s">
        <v>79</v>
      </c>
    </row>
    <row r="21" spans="1:336" ht="12.75" customHeight="1">
      <c r="A21" s="16">
        <v>5</v>
      </c>
      <c r="B21" s="31" t="str">
        <f>VLOOKUP(T6,AX23:DI42,14,14)</f>
        <v>2º</v>
      </c>
      <c r="C21" s="35" t="str">
        <f>VLOOKUP(T6,AX23:DI42,15,15)</f>
        <v>B</v>
      </c>
      <c r="D21" s="29" t="str">
        <f>VLOOKUP(T6,BG2:CA21,6,6)</f>
        <v>GONGORA SANTOS * GRACIELA</v>
      </c>
      <c r="E21" s="21"/>
      <c r="F21" s="21"/>
      <c r="G21" s="21"/>
      <c r="H21" s="21"/>
      <c r="I21" s="3360" t="str">
        <f>VLOOKUP(T6,LC24:LW43,6,21)</f>
        <v>042</v>
      </c>
      <c r="J21" s="3780">
        <f>VLOOKUP(T6,AX44:BR63,6,6)</f>
        <v>7</v>
      </c>
      <c r="K21" s="3780"/>
      <c r="L21" s="3780">
        <f>VLOOKUP(T6,BS44:CM63,6,6)</f>
        <v>6.8</v>
      </c>
      <c r="M21" s="3780"/>
      <c r="N21" s="3780">
        <f>VLOOKUP(T6,CN44:DH63,6,6)</f>
        <v>0</v>
      </c>
      <c r="O21" s="3780"/>
      <c r="P21" s="3780">
        <f>VLOOKUP(T6,DI44:EC63,6,6)</f>
        <v>0</v>
      </c>
      <c r="Q21" s="3780"/>
      <c r="R21" s="3780">
        <f>VLOOKUP(T6,ED44:EX63,6,6)</f>
        <v>0</v>
      </c>
      <c r="S21" s="3780"/>
      <c r="T21" s="3780">
        <f>VLOOKUP(T6,EY44:FS63,6,6)</f>
        <v>0</v>
      </c>
      <c r="U21" s="3780"/>
      <c r="V21" s="3781">
        <f t="shared" si="32"/>
        <v>1.7</v>
      </c>
      <c r="W21" s="3782"/>
      <c r="X21" s="3787"/>
      <c r="Y21" s="3788"/>
      <c r="Z21" s="3787"/>
      <c r="AA21" s="3788"/>
      <c r="AB21" s="3783"/>
      <c r="AC21" s="3784"/>
      <c r="AD21" s="3783"/>
      <c r="AE21" s="3784"/>
      <c r="AF21" s="2939" t="str">
        <f t="shared" si="33"/>
        <v>2ºB</v>
      </c>
      <c r="AG21" s="2940">
        <f t="shared" si="34"/>
        <v>33</v>
      </c>
      <c r="AH21" s="3818">
        <f>VLOOKUP(T6,AX23:DI42,16,16)</f>
        <v>33</v>
      </c>
      <c r="AI21" s="3819"/>
      <c r="AJ21" s="3856"/>
      <c r="AK21" s="3857"/>
      <c r="AL21" s="3193">
        <f>VLOOKUP(T6,GL2:HF21,6,21)</f>
        <v>0</v>
      </c>
      <c r="AM21" s="3194" t="str">
        <f>VLOOKUP(T6,GL23:HF42,6,21)</f>
        <v>X</v>
      </c>
      <c r="AN21" s="3195" t="str">
        <f>VLOOKUP(T6,CB2:CV21,6,21)</f>
        <v>GOSG720804RM7</v>
      </c>
      <c r="AO21" s="3195" t="str">
        <f>VLOOKUP(T6,CW2:DQ21,6,21)</f>
        <v>078312 E028100.0233382</v>
      </c>
      <c r="AP21" s="3195" t="str">
        <f>VLOOKUP(T6,DR2:EL21,6,21)</f>
        <v>DOCENTE</v>
      </c>
      <c r="AQ21" s="3195">
        <f>VLOOKUP(T6,DR23:EL42,6,21)</f>
        <v>0</v>
      </c>
      <c r="AR21" s="3195" t="str">
        <f>VLOOKUP(T6,LC2:LW21,6,21)</f>
        <v>GOSG720804MYN</v>
      </c>
      <c r="AS21" s="3194">
        <f>VLOOKUP(T6,FH2:GB21,6,21)</f>
        <v>0</v>
      </c>
      <c r="AT21" s="3194">
        <f>VLOOKUP(T6,EM2:FG21,6,21)</f>
        <v>10</v>
      </c>
      <c r="AU21" s="3196" t="str">
        <f>VLOOKUP(T6,FH23:GB42,6,21)</f>
        <v>16-09-1995</v>
      </c>
      <c r="AV21" s="3197" t="str">
        <f>VLOOKUP(T6,KH2:LB21,6,21)</f>
        <v>23DPR0055K</v>
      </c>
      <c r="AW21" s="2803" t="str">
        <f>VLOOKUP(T6,KH24:LB43,6,21)</f>
        <v>KABAH</v>
      </c>
      <c r="AX21" s="1971">
        <v>20</v>
      </c>
      <c r="AY21" s="1959" t="str">
        <f>Plantillas!D$5</f>
        <v>INSPECCION ESCOLAR</v>
      </c>
      <c r="AZ21" s="1972" t="str">
        <f>Plantillas!M$5</f>
        <v>23FIZ0042D</v>
      </c>
      <c r="BA21" s="1973" t="str">
        <f>Plantillas!Q$5</f>
        <v>DISCONTINUO</v>
      </c>
      <c r="BB21" s="1968">
        <f>Plantillas!Z$7</f>
        <v>0</v>
      </c>
      <c r="BC21" s="1974" t="str">
        <f>Plantillas!C$6</f>
        <v>SM 55  MZA 33  LTE 23  NUMERO 394</v>
      </c>
      <c r="BD21" s="1972" t="str">
        <f>Plantillas!P$6</f>
        <v>9981 49 34 04</v>
      </c>
      <c r="BE21" s="1974" t="str">
        <f>Plantillas!B$10</f>
        <v>RICALDE CASTRO * JESUS MARTIN</v>
      </c>
      <c r="BF21" s="1963">
        <f>Plantillas!AA$823</f>
        <v>0</v>
      </c>
      <c r="BG21" s="1971">
        <v>20</v>
      </c>
      <c r="BH21" s="1972" t="str">
        <f>Plantillas!B$10</f>
        <v>RICALDE CASTRO * JESUS MARTIN</v>
      </c>
      <c r="BI21" s="1972" t="str">
        <f>Plantillas!B$11</f>
        <v>GARCIA GONGORA * ANTONIO</v>
      </c>
      <c r="BJ21" s="1972" t="str">
        <f>Plantillas!B$13</f>
        <v>ESCAMILLA HUCHIM * MARCELO DAMIAN</v>
      </c>
      <c r="BK21" s="1976" t="str">
        <f>BH2</f>
        <v>CERVANTES BENITEZ * ANTONIA</v>
      </c>
      <c r="BL21" s="1976" t="str">
        <f>BH3</f>
        <v>BALAN XIU * MANUEL JESUS</v>
      </c>
      <c r="BM21" s="1976" t="str">
        <f>BH4</f>
        <v>CARDEÑA BENITEZ * LIDIA ESMERALDA</v>
      </c>
      <c r="BN21" s="1976" t="str">
        <f>BH5</f>
        <v>CETINA CHAY * JUAN CARLOS</v>
      </c>
      <c r="BO21" s="1976" t="str">
        <f>BH6</f>
        <v>COOX YAH * CARLOS  ENRIQUE</v>
      </c>
      <c r="BP21" s="2782" t="str">
        <f>BH7</f>
        <v>DZIB TUZ * MANUEL JESUS</v>
      </c>
      <c r="BQ21" s="1976" t="str">
        <f>BH8</f>
        <v>PUCH GOMEZ * MADAI ROXANA</v>
      </c>
      <c r="BR21" s="1976" t="str">
        <f>BH9</f>
        <v>DZIB TUZ * MANUEL JESUS</v>
      </c>
      <c r="BS21" s="1976" t="str">
        <f>BH10</f>
        <v>ARJONA SANTOYO * MARCO ANTONIO</v>
      </c>
      <c r="BT21" s="1976" t="str">
        <f>BH11</f>
        <v>CERVERA VIDAL * DULCE RUTH</v>
      </c>
      <c r="BU21" s="1976" t="str">
        <f>BH12</f>
        <v>TUCUCH SANTOS * AURORA LETICIA</v>
      </c>
      <c r="BV21" s="1976" t="str">
        <f>BH13</f>
        <v>CRUZ MARTINEZ * BELEM</v>
      </c>
      <c r="BW21" s="1976" t="str">
        <f>BH14</f>
        <v>RUIZ VALLE * PATRICIA</v>
      </c>
      <c r="BX21" s="1976" t="str">
        <f>BH15</f>
        <v>G.CANTON PUERTO * REBECA</v>
      </c>
      <c r="BY21" s="1976" t="str">
        <f>BH16</f>
        <v>JUAREZ ESPINOSA * BELINDA</v>
      </c>
      <c r="BZ21" s="1976">
        <f>BH17</f>
        <v>0</v>
      </c>
      <c r="CA21" s="1977">
        <f>BH18</f>
        <v>0</v>
      </c>
      <c r="CB21" s="780">
        <v>20</v>
      </c>
      <c r="CC21" s="1975" t="str">
        <f>Plantillas!J$10</f>
        <v>RICJ631111344</v>
      </c>
      <c r="CD21" s="1975" t="str">
        <f>Plantillas!J$11</f>
        <v>GAGA580703VC4</v>
      </c>
      <c r="CE21" s="1975" t="str">
        <f>Plantillas!J$13</f>
        <v>EAHM6509147YA</v>
      </c>
      <c r="CF21" s="1976" t="str">
        <f>CC2</f>
        <v>CEBA641230GX0</v>
      </c>
      <c r="CG21" s="1976" t="str">
        <f>CC3</f>
        <v>BAXM651202RZA</v>
      </c>
      <c r="CH21" s="1976" t="str">
        <f>CC4</f>
        <v>CABL680604888</v>
      </c>
      <c r="CI21" s="1976" t="str">
        <f>CC5</f>
        <v>CECJ</v>
      </c>
      <c r="CJ21" s="1976" t="str">
        <f>CC6</f>
        <v>COYC680807F77</v>
      </c>
      <c r="CK21" s="2782" t="str">
        <f>CC7</f>
        <v>DITM681226BF8</v>
      </c>
      <c r="CL21" s="1976" t="str">
        <f>CC8</f>
        <v>PUGM590714RJ0</v>
      </c>
      <c r="CM21" s="1976" t="str">
        <f>CC9</f>
        <v>DITM681226BF8</v>
      </c>
      <c r="CN21" s="1976" t="str">
        <f>CC10</f>
        <v>AOSM620706NT9</v>
      </c>
      <c r="CO21" s="1976" t="str">
        <f>CC11</f>
        <v>CEVD660311V54</v>
      </c>
      <c r="CP21" s="1976" t="str">
        <f>CC12</f>
        <v>TUSA850813AQA</v>
      </c>
      <c r="CQ21" s="1976">
        <f>CC13</f>
        <v>0</v>
      </c>
      <c r="CR21" s="1976" t="str">
        <f>CC14</f>
        <v>RUVP720331NA9</v>
      </c>
      <c r="CS21" s="1976" t="str">
        <f>CC15</f>
        <v>GAPR810529DX9</v>
      </c>
      <c r="CT21" s="1976">
        <f>CC16</f>
        <v>0</v>
      </c>
      <c r="CU21" s="1976">
        <f>CC17</f>
        <v>0</v>
      </c>
      <c r="CV21" s="1977">
        <f>CC18</f>
        <v>0</v>
      </c>
      <c r="CW21" s="780">
        <v>20</v>
      </c>
      <c r="CX21" s="1975" t="str">
        <f>Plantillas!K$10</f>
        <v>E020100.0000632</v>
      </c>
      <c r="CY21" s="1975" t="str">
        <f>Plantillas!K$11</f>
        <v>E028100.0230560</v>
      </c>
      <c r="CZ21" s="1975" t="str">
        <f>Plantillas!K$12</f>
        <v>E028100.0230723</v>
      </c>
      <c r="DA21" s="1975" t="str">
        <f>Plantillas!K$13</f>
        <v>E022100.0231608</v>
      </c>
      <c r="DB21" s="1975" t="str">
        <f>Plantillas!K$14</f>
        <v>E028100.0230964</v>
      </c>
      <c r="DC21" s="1975" t="str">
        <f>Plantillas!K$15</f>
        <v>078312 E028100.0232883</v>
      </c>
      <c r="DD21" s="1975">
        <f>Plantillas!K$16</f>
        <v>0</v>
      </c>
      <c r="DE21" s="1975">
        <f>Plantillas!K$17</f>
        <v>0</v>
      </c>
      <c r="DF21" s="1975">
        <f>Plantillas!K$805</f>
        <v>0</v>
      </c>
      <c r="DG21" s="1975">
        <f>Plantillas!K$806</f>
        <v>0</v>
      </c>
      <c r="DH21" s="1975">
        <f>Plantillas!K$807</f>
        <v>0</v>
      </c>
      <c r="DI21" s="1975">
        <f>Plantillas!K$808</f>
        <v>0</v>
      </c>
      <c r="DJ21" s="1975">
        <f>Plantillas!K$809</f>
        <v>0</v>
      </c>
      <c r="DK21" s="1975">
        <f>Plantillas!K$810</f>
        <v>0</v>
      </c>
      <c r="DL21" s="1975">
        <f>Plantillas!K$811</f>
        <v>0</v>
      </c>
      <c r="DM21" s="1975">
        <f>Plantillas!K$812</f>
        <v>0</v>
      </c>
      <c r="DN21" s="1975">
        <f>Plantillas!K$813</f>
        <v>0</v>
      </c>
      <c r="DO21" s="1975">
        <f>Plantillas!K$814</f>
        <v>0</v>
      </c>
      <c r="DP21" s="1975">
        <f>Plantillas!K$815</f>
        <v>0</v>
      </c>
      <c r="DQ21" s="1975">
        <f>Plantillas!K$816</f>
        <v>0</v>
      </c>
      <c r="DR21" s="780">
        <v>20</v>
      </c>
      <c r="DS21" s="1975" t="str">
        <f>Plantillas!L$10</f>
        <v>SUPERVISOR</v>
      </c>
      <c r="DT21" s="1975" t="str">
        <f>Plantillas!L$11</f>
        <v>A.T.P</v>
      </c>
      <c r="DU21" s="1975" t="str">
        <f>Plantillas!L$13</f>
        <v>A.T.P</v>
      </c>
      <c r="DV21" s="1976" t="str">
        <f>DS2</f>
        <v>DIRECTOR</v>
      </c>
      <c r="DW21" s="1976" t="str">
        <f>DS3</f>
        <v>DIRECTOR</v>
      </c>
      <c r="DX21" s="1976" t="str">
        <f>DS4</f>
        <v>DIRECTOR</v>
      </c>
      <c r="DY21" s="1976" t="str">
        <f>DS5</f>
        <v>DIRECTOR</v>
      </c>
      <c r="DZ21" s="1976" t="str">
        <f>DS6</f>
        <v>DIRECTOR</v>
      </c>
      <c r="EA21" s="2782" t="str">
        <f>DS7</f>
        <v>DIRECTOR</v>
      </c>
      <c r="EB21" s="1976" t="str">
        <f>DS8</f>
        <v>DIRECTOR</v>
      </c>
      <c r="EC21" s="1976" t="str">
        <f>DS9</f>
        <v>DOCENTE</v>
      </c>
      <c r="ED21" s="1976" t="str">
        <f>DS10</f>
        <v>DIRECTOR</v>
      </c>
      <c r="EE21" s="1976" t="str">
        <f>DS11</f>
        <v>DIRECTOR</v>
      </c>
      <c r="EF21" s="1976" t="str">
        <f>DS12</f>
        <v>DIRECTOR</v>
      </c>
      <c r="EG21" s="1976">
        <f>DS13</f>
        <v>0</v>
      </c>
      <c r="EH21" s="1976" t="str">
        <f>DS14</f>
        <v>DIRECTOR</v>
      </c>
      <c r="EI21" s="1976" t="str">
        <f>DS15</f>
        <v>DIRECTOR</v>
      </c>
      <c r="EJ21" s="1976" t="str">
        <f>DS16</f>
        <v>DOCENTE</v>
      </c>
      <c r="EK21" s="1976">
        <f>DS17</f>
        <v>0</v>
      </c>
      <c r="EL21" s="1977">
        <f>DS18</f>
        <v>0</v>
      </c>
      <c r="EM21" s="780">
        <v>20</v>
      </c>
      <c r="EN21" s="1976">
        <f>Plantillas!U$10</f>
        <v>10</v>
      </c>
      <c r="EO21" s="1976">
        <f>Plantillas!U$11</f>
        <v>10</v>
      </c>
      <c r="EP21" s="1976">
        <f>Plantillas!U$12</f>
        <v>10</v>
      </c>
      <c r="EQ21" s="1976">
        <f>Plantillas!U$13</f>
        <v>10</v>
      </c>
      <c r="ER21" s="1976">
        <f>Plantillas!U$14</f>
        <v>10</v>
      </c>
      <c r="ES21" s="1976">
        <f>Plantillas!U$15</f>
        <v>0</v>
      </c>
      <c r="ET21" s="1976">
        <f>Plantillas!U$16</f>
        <v>0</v>
      </c>
      <c r="EU21" s="1976">
        <f>Plantillas!U$17</f>
        <v>0</v>
      </c>
      <c r="EV21" s="1976">
        <f>Plantillas!U$18</f>
        <v>0</v>
      </c>
      <c r="EW21" s="1976">
        <f>Plantillas!U$806</f>
        <v>0</v>
      </c>
      <c r="EX21" s="1976">
        <f>Plantillas!U$807</f>
        <v>0</v>
      </c>
      <c r="EY21" s="1976">
        <f>Plantillas!U$808</f>
        <v>0</v>
      </c>
      <c r="EZ21" s="1976">
        <f>Plantillas!U$809</f>
        <v>0</v>
      </c>
      <c r="FA21" s="1976">
        <f>Plantillas!U$810</f>
        <v>0</v>
      </c>
      <c r="FB21" s="1976">
        <f>Plantillas!U$811</f>
        <v>0</v>
      </c>
      <c r="FC21" s="1976">
        <f>Plantillas!U$812</f>
        <v>0</v>
      </c>
      <c r="FD21" s="1976">
        <f>Plantillas!U$813</f>
        <v>0</v>
      </c>
      <c r="FE21" s="1976">
        <f>Plantillas!U$814</f>
        <v>0</v>
      </c>
      <c r="FF21" s="1976">
        <f>Plantillas!U$815</f>
        <v>0</v>
      </c>
      <c r="FG21" s="1977">
        <f>Plantillas!U$816</f>
        <v>0</v>
      </c>
      <c r="FH21" s="780">
        <v>20</v>
      </c>
      <c r="FI21" s="1976">
        <f>Plantillas!T$797</f>
        <v>0</v>
      </c>
      <c r="FJ21" s="1976">
        <f>Plantillas!T$798</f>
        <v>0</v>
      </c>
      <c r="FK21" s="1976">
        <f>Plantillas!T$799</f>
        <v>0</v>
      </c>
      <c r="FL21" s="1976">
        <f>Plantillas!T$800</f>
        <v>0</v>
      </c>
      <c r="FM21" s="1976">
        <f>Plantillas!T$801</f>
        <v>0</v>
      </c>
      <c r="FN21" s="1976">
        <f>Plantillas!T$802</f>
        <v>0</v>
      </c>
      <c r="FO21" s="1976">
        <f>Plantillas!T$803</f>
        <v>0</v>
      </c>
      <c r="FP21" s="1976">
        <f>Plantillas!T$804</f>
        <v>0</v>
      </c>
      <c r="FQ21" s="1976">
        <f>Plantillas!T$805</f>
        <v>0</v>
      </c>
      <c r="FR21" s="1976">
        <f>Plantillas!T$806</f>
        <v>0</v>
      </c>
      <c r="FS21" s="1976">
        <f>Plantillas!T$807</f>
        <v>0</v>
      </c>
      <c r="FT21" s="1976">
        <f>Plantillas!T$808</f>
        <v>0</v>
      </c>
      <c r="FU21" s="1976">
        <f>Plantillas!T$809</f>
        <v>0</v>
      </c>
      <c r="FV21" s="1976">
        <f>Plantillas!T$810</f>
        <v>0</v>
      </c>
      <c r="FW21" s="1976">
        <f>Plantillas!T$811</f>
        <v>0</v>
      </c>
      <c r="FX21" s="1976">
        <f>Plantillas!T$812</f>
        <v>0</v>
      </c>
      <c r="FY21" s="1976">
        <f>Plantillas!T$813</f>
        <v>0</v>
      </c>
      <c r="FZ21" s="1976">
        <f>Plantillas!T$814</f>
        <v>0</v>
      </c>
      <c r="GA21" s="1976">
        <f>Plantillas!T$815</f>
        <v>0</v>
      </c>
      <c r="GB21" s="1977">
        <f>Plantillas!T$816</f>
        <v>0</v>
      </c>
      <c r="GC21" s="780">
        <v>20</v>
      </c>
      <c r="GD21" s="783">
        <f>Plantillas!V$826</f>
        <v>0</v>
      </c>
      <c r="GE21" s="783">
        <f>Plantillas!W$826</f>
        <v>0</v>
      </c>
      <c r="GF21" s="783">
        <f>Plantillas!X$826</f>
        <v>0</v>
      </c>
      <c r="GG21" s="783">
        <f>Plantillas!Y$826</f>
        <v>0</v>
      </c>
      <c r="GH21" s="783">
        <f>Plantillas!Z$826</f>
        <v>0</v>
      </c>
      <c r="GI21" s="783">
        <f>Plantillas!AA$826</f>
        <v>0</v>
      </c>
      <c r="GJ21" s="783">
        <f>SUM(GD21:GI21)</f>
        <v>0</v>
      </c>
      <c r="GK21" s="784">
        <f>Plantillas!U$846</f>
        <v>0</v>
      </c>
      <c r="GL21" s="780">
        <v>20</v>
      </c>
      <c r="GM21" s="2213">
        <f>Plantillas!H$797</f>
        <v>0</v>
      </c>
      <c r="GN21" s="2213">
        <f>Plantillas!H$798</f>
        <v>0</v>
      </c>
      <c r="GO21" s="2213">
        <f>Plantillas!H$799</f>
        <v>0</v>
      </c>
      <c r="GP21" s="2213">
        <f>Plantillas!H$800</f>
        <v>0</v>
      </c>
      <c r="GQ21" s="2213">
        <f>Plantillas!H$801</f>
        <v>0</v>
      </c>
      <c r="GR21" s="2213">
        <f>Plantillas!H$802</f>
        <v>0</v>
      </c>
      <c r="GS21" s="2213">
        <f>Plantillas!H$803</f>
        <v>0</v>
      </c>
      <c r="GT21" s="2213">
        <f>Plantillas!H$804</f>
        <v>0</v>
      </c>
      <c r="GU21" s="2213">
        <f>Plantillas!H$805</f>
        <v>0</v>
      </c>
      <c r="GV21" s="2213">
        <f>Plantillas!H$806</f>
        <v>0</v>
      </c>
      <c r="GW21" s="2213">
        <f>Plantillas!H$807</f>
        <v>0</v>
      </c>
      <c r="GX21" s="2213">
        <f>Plantillas!H$808</f>
        <v>0</v>
      </c>
      <c r="GY21" s="2213">
        <f>Plantillas!H$809</f>
        <v>0</v>
      </c>
      <c r="GZ21" s="2213">
        <f>Plantillas!H$810</f>
        <v>0</v>
      </c>
      <c r="HA21" s="2213">
        <f>Plantillas!H$811</f>
        <v>0</v>
      </c>
      <c r="HB21" s="2213">
        <f>Plantillas!H$812</f>
        <v>0</v>
      </c>
      <c r="HC21" s="2213">
        <f>Plantillas!H$813</f>
        <v>0</v>
      </c>
      <c r="HD21" s="2213">
        <f>Plantillas!H$814</f>
        <v>0</v>
      </c>
      <c r="HE21" s="2213">
        <f>Plantillas!H$815</f>
        <v>0</v>
      </c>
      <c r="HF21" s="2214">
        <f>Plantillas!H$816</f>
        <v>0</v>
      </c>
      <c r="HG21" s="778">
        <v>19</v>
      </c>
      <c r="HH21" s="1980"/>
      <c r="HI21" s="1981"/>
      <c r="HJ21" s="1982"/>
      <c r="HK21" s="1982"/>
      <c r="HL21" s="1982"/>
      <c r="HM21" s="1982"/>
      <c r="HN21" s="1982"/>
      <c r="HO21" s="783"/>
      <c r="HP21" s="1982"/>
      <c r="HQ21" s="780"/>
      <c r="HR21" s="783"/>
      <c r="HS21" s="783"/>
      <c r="HT21" s="783"/>
      <c r="HU21" s="783"/>
      <c r="HV21" s="783"/>
      <c r="HW21" s="783"/>
      <c r="HX21" s="783"/>
      <c r="HY21" s="783"/>
      <c r="HZ21" s="783"/>
      <c r="IA21" s="783"/>
      <c r="IB21" s="783"/>
      <c r="IC21" s="783"/>
      <c r="ID21" s="783"/>
      <c r="IE21" s="783"/>
      <c r="IF21" s="784"/>
      <c r="IG21" s="1981"/>
      <c r="IH21" s="1982"/>
      <c r="II21" s="1982"/>
      <c r="IJ21" s="1982"/>
      <c r="IK21" s="1982"/>
      <c r="IL21" s="1982"/>
      <c r="IM21" s="1982"/>
      <c r="IN21" s="1982"/>
      <c r="IO21" s="1982"/>
      <c r="IP21" s="2697"/>
      <c r="IQ21" s="2700"/>
      <c r="IR21" s="1982"/>
      <c r="IS21" s="1982"/>
      <c r="IT21" s="1982"/>
      <c r="IU21" s="1983"/>
      <c r="IV21" s="1981"/>
      <c r="IW21" s="1982"/>
      <c r="IX21" s="1982"/>
      <c r="IY21" s="1982"/>
      <c r="IZ21" s="1982"/>
      <c r="JA21" s="1983"/>
      <c r="JB21" s="1984"/>
      <c r="JC21" s="1985"/>
      <c r="JD21" s="780">
        <f t="shared" si="7"/>
        <v>0</v>
      </c>
      <c r="JE21" s="783">
        <f t="shared" si="8"/>
        <v>0</v>
      </c>
      <c r="JF21" s="783">
        <f t="shared" si="9"/>
        <v>0</v>
      </c>
      <c r="JG21" s="783">
        <f t="shared" si="10"/>
        <v>0</v>
      </c>
      <c r="JH21" s="783">
        <f t="shared" si="11"/>
        <v>0</v>
      </c>
      <c r="JI21" s="784">
        <f t="shared" si="30"/>
        <v>0</v>
      </c>
      <c r="JJ21" s="780">
        <f t="shared" si="12"/>
        <v>0</v>
      </c>
      <c r="JK21" s="783">
        <f t="shared" si="13"/>
        <v>0</v>
      </c>
      <c r="JL21" s="783">
        <f t="shared" si="14"/>
        <v>0</v>
      </c>
      <c r="JM21" s="783">
        <f t="shared" si="15"/>
        <v>0</v>
      </c>
      <c r="JN21" s="783">
        <f t="shared" si="16"/>
        <v>0</v>
      </c>
      <c r="JO21" s="783">
        <f t="shared" si="17"/>
        <v>0</v>
      </c>
      <c r="JP21" s="780">
        <f t="shared" si="18"/>
        <v>0</v>
      </c>
      <c r="JQ21" s="783">
        <f t="shared" si="19"/>
        <v>0</v>
      </c>
      <c r="JR21" s="783">
        <f t="shared" si="20"/>
        <v>0</v>
      </c>
      <c r="JS21" s="783">
        <f t="shared" si="21"/>
        <v>0</v>
      </c>
      <c r="JT21" s="783">
        <f t="shared" si="31"/>
        <v>0</v>
      </c>
      <c r="JU21" s="783">
        <f t="shared" si="22"/>
        <v>0</v>
      </c>
      <c r="JV21" s="780">
        <f t="shared" si="23"/>
        <v>0</v>
      </c>
      <c r="JW21" s="783">
        <f t="shared" si="24"/>
        <v>0</v>
      </c>
      <c r="JX21" s="783">
        <f t="shared" si="25"/>
        <v>0</v>
      </c>
      <c r="JY21" s="783">
        <f t="shared" si="26"/>
        <v>0</v>
      </c>
      <c r="JZ21" s="783">
        <f t="shared" si="27"/>
        <v>0</v>
      </c>
      <c r="KA21" s="784">
        <f t="shared" si="28"/>
        <v>0</v>
      </c>
      <c r="KB21" s="783">
        <f t="shared" si="29"/>
        <v>0</v>
      </c>
      <c r="KC21" s="783">
        <f t="shared" si="2"/>
        <v>0</v>
      </c>
      <c r="KD21" s="783">
        <f t="shared" si="3"/>
        <v>0</v>
      </c>
      <c r="KE21" s="783">
        <f t="shared" si="4"/>
        <v>0</v>
      </c>
      <c r="KF21" s="783">
        <f t="shared" si="5"/>
        <v>0</v>
      </c>
      <c r="KG21" s="784">
        <f t="shared" si="6"/>
        <v>0</v>
      </c>
      <c r="KH21" s="780">
        <v>20</v>
      </c>
      <c r="KI21" s="1976" t="s">
        <v>1155</v>
      </c>
      <c r="KJ21" s="1976" t="s">
        <v>1155</v>
      </c>
      <c r="KK21" s="1976" t="s">
        <v>1155</v>
      </c>
      <c r="KL21" s="1976" t="str">
        <f>KI2</f>
        <v>23DPR0055K</v>
      </c>
      <c r="KM21" s="1976" t="str">
        <f>KI3</f>
        <v>23DPR0491L</v>
      </c>
      <c r="KN21" s="1976" t="str">
        <f>KI4</f>
        <v>23DPR0492K</v>
      </c>
      <c r="KO21" s="1976" t="str">
        <f>KI5</f>
        <v>23DPR0564N</v>
      </c>
      <c r="KP21" s="1976" t="str">
        <f>KI6</f>
        <v>23DPR0570Y</v>
      </c>
      <c r="KQ21" s="2782" t="str">
        <f>KI7</f>
        <v>23DPR0572W</v>
      </c>
      <c r="KR21" s="1976" t="str">
        <f>KI8</f>
        <v>23DPR0581D</v>
      </c>
      <c r="KS21" s="1976" t="str">
        <f>KI9</f>
        <v>23DPR0593I</v>
      </c>
      <c r="KT21" s="1976" t="str">
        <f>KI10</f>
        <v>23DPR0640C</v>
      </c>
      <c r="KU21" s="1976" t="str">
        <f>KI11</f>
        <v>23DPR0681C</v>
      </c>
      <c r="KV21" s="1976" t="str">
        <f>KI12</f>
        <v>23PPR0099M</v>
      </c>
      <c r="KW21" s="1976" t="str">
        <f>KI13</f>
        <v>23PPR0100L</v>
      </c>
      <c r="KX21" s="1976" t="str">
        <f>KI14</f>
        <v>23PPR0125U</v>
      </c>
      <c r="KY21" s="1976" t="str">
        <f>KI15</f>
        <v>23PPR0156N</v>
      </c>
      <c r="KZ21" s="1976" t="str">
        <f>KI16</f>
        <v>23PPR0163X</v>
      </c>
      <c r="LA21" s="1976">
        <f>KI17</f>
        <v>0</v>
      </c>
      <c r="LB21" s="1977">
        <f>KI18</f>
        <v>0</v>
      </c>
      <c r="LC21" s="1981">
        <v>20</v>
      </c>
      <c r="LD21" s="3750" t="str">
        <f>Plantillas!S$10</f>
        <v>RICJ631111HYN</v>
      </c>
      <c r="LE21" s="3750" t="str">
        <f>Plantillas!S$11</f>
        <v>GAGA580703HYNRNN08</v>
      </c>
      <c r="LF21" s="3750" t="str">
        <f>Plantillas!S$13</f>
        <v>HIME612302HYN</v>
      </c>
      <c r="LG21" s="3750" t="str">
        <f>LD2</f>
        <v>CEBA641230MSL</v>
      </c>
      <c r="LH21" s="3750" t="str">
        <f>LD3</f>
        <v>BAXM651202HCC</v>
      </c>
      <c r="LI21" s="3750" t="str">
        <f>LD4</f>
        <v>CABL680604MCC</v>
      </c>
      <c r="LJ21" s="3750" t="str">
        <f>LD5</f>
        <v>PUGM590714MYN</v>
      </c>
      <c r="LK21" s="3750" t="str">
        <f>LD6</f>
        <v>COYC680807H</v>
      </c>
      <c r="LL21" s="3751" t="str">
        <f>LD7</f>
        <v>DITM681226HCC</v>
      </c>
      <c r="LM21" s="3750" t="str">
        <f>LD8</f>
        <v>PUGM590714MYN</v>
      </c>
      <c r="LN21" s="3750" t="str">
        <f>LD9</f>
        <v>DITM681226HCC</v>
      </c>
      <c r="LO21" s="3750" t="str">
        <f>LD10</f>
        <v>AOSM620706HYN</v>
      </c>
      <c r="LP21" s="3750" t="str">
        <f>LD11</f>
        <v>CEVD660311MYN</v>
      </c>
      <c r="LQ21" s="3750" t="str">
        <f>LD12</f>
        <v>RAPD830915M</v>
      </c>
      <c r="LR21" s="3750">
        <f>LD13</f>
        <v>0</v>
      </c>
      <c r="LS21" s="3750" t="str">
        <f>LD14</f>
        <v>RUVP720331M</v>
      </c>
      <c r="LT21" s="3750" t="str">
        <f>LD15</f>
        <v>GAPR810529M</v>
      </c>
      <c r="LU21" s="3750" t="str">
        <f>LD16</f>
        <v>MIVA670502M</v>
      </c>
      <c r="LV21" s="3750">
        <f>LD17</f>
        <v>0</v>
      </c>
      <c r="LW21" s="3752">
        <f>LD18</f>
        <v>0</v>
      </c>
      <c r="LX21" s="27" t="s">
        <v>79</v>
      </c>
    </row>
    <row r="22" spans="1:336" ht="12.75" customHeight="1">
      <c r="A22" s="16">
        <v>6</v>
      </c>
      <c r="B22" s="31" t="str">
        <f>VLOOKUP(T6,AX23:DI42,17,17)</f>
        <v>3º</v>
      </c>
      <c r="C22" s="35" t="str">
        <f>VLOOKUP(T6,AX23:DI42,18,18)</f>
        <v>A</v>
      </c>
      <c r="D22" s="29" t="str">
        <f>VLOOKUP(T6,BG2:CA21,7,7)</f>
        <v>VARGAS GARCIA * DEBRA DORIS DEL SAGRARIO</v>
      </c>
      <c r="E22" s="21"/>
      <c r="F22" s="21"/>
      <c r="G22" s="21"/>
      <c r="H22" s="21"/>
      <c r="I22" s="3360" t="str">
        <f>VLOOKUP(T6,LC24:LW43,7,21)</f>
        <v>042</v>
      </c>
      <c r="J22" s="3780">
        <f>VLOOKUP(T6,AX44:BR63,7,7)</f>
        <v>4</v>
      </c>
      <c r="K22" s="3780"/>
      <c r="L22" s="3780">
        <f>VLOOKUP(T6,BS44:CM63,7,7)</f>
        <v>6.2</v>
      </c>
      <c r="M22" s="3780"/>
      <c r="N22" s="3780">
        <f>VLOOKUP(T6,CN44:DH63,7,7)</f>
        <v>0</v>
      </c>
      <c r="O22" s="3780"/>
      <c r="P22" s="3780">
        <f>VLOOKUP(T6,DI44:EC63,7,7)</f>
        <v>0</v>
      </c>
      <c r="Q22" s="3780"/>
      <c r="R22" s="3780">
        <f>VLOOKUP(T6,ED44:EX63,7,7)</f>
        <v>0</v>
      </c>
      <c r="S22" s="3780"/>
      <c r="T22" s="3780">
        <f>VLOOKUP(T6,EY44:FS63,7,7)</f>
        <v>0</v>
      </c>
      <c r="U22" s="3780"/>
      <c r="V22" s="3781">
        <f t="shared" si="32"/>
        <v>1.55</v>
      </c>
      <c r="W22" s="3782"/>
      <c r="X22" s="3787"/>
      <c r="Y22" s="3788"/>
      <c r="Z22" s="3787"/>
      <c r="AA22" s="3788"/>
      <c r="AB22" s="3783"/>
      <c r="AC22" s="3784"/>
      <c r="AD22" s="3783"/>
      <c r="AE22" s="3784"/>
      <c r="AF22" s="2939" t="str">
        <f t="shared" si="33"/>
        <v>3ºA</v>
      </c>
      <c r="AG22" s="2940">
        <f t="shared" si="34"/>
        <v>24</v>
      </c>
      <c r="AH22" s="3818">
        <f>VLOOKUP(T6,AX23:DI42,19,19)</f>
        <v>24</v>
      </c>
      <c r="AI22" s="3819"/>
      <c r="AJ22" s="3856"/>
      <c r="AK22" s="3857"/>
      <c r="AL22" s="3193">
        <f>VLOOKUP(T6,GL2:HF21,7,21)</f>
        <v>0</v>
      </c>
      <c r="AM22" s="3194" t="str">
        <f>VLOOKUP(T6,GL23:HF42,7,21)</f>
        <v>X</v>
      </c>
      <c r="AN22" s="3195" t="str">
        <f>VLOOKUP(T6,CB2:CV21,7,21)</f>
        <v>VAGD571220UB2</v>
      </c>
      <c r="AO22" s="3195" t="str">
        <f>VLOOKUP(T6,CW2:DQ21,7,21)</f>
        <v>078312 E028100.0232821</v>
      </c>
      <c r="AP22" s="3195" t="str">
        <f>VLOOKUP(T6,DR2:EL21,7,21)</f>
        <v>DOCENTE</v>
      </c>
      <c r="AQ22" s="3195">
        <f>VLOOKUP(T6,DR23:EL42,7,21)</f>
        <v>0</v>
      </c>
      <c r="AR22" s="3195" t="str">
        <f>VLOOKUP(T6,LC2:LW21,7,21)</f>
        <v>VAGD571220MYN</v>
      </c>
      <c r="AS22" s="3194" t="str">
        <f>VLOOKUP(T6,FH2:GB21,7,21)</f>
        <v>7A</v>
      </c>
      <c r="AT22" s="3194">
        <f>VLOOKUP(T6,EM2:FG21,7,21)</f>
        <v>10</v>
      </c>
      <c r="AU22" s="3196" t="str">
        <f>VLOOKUP(T6,FH23:GB42,7,21)</f>
        <v>16-10-1994</v>
      </c>
      <c r="AV22" s="3197" t="str">
        <f>VLOOKUP(T6,KH2:LB21,7,21)</f>
        <v>23DPR0055K</v>
      </c>
      <c r="AW22" s="2803" t="str">
        <f>VLOOKUP(T6,KH24:LB43,7,21)</f>
        <v>KABAH</v>
      </c>
      <c r="AX22" s="1986">
        <v>1</v>
      </c>
      <c r="AY22" s="1987" t="s">
        <v>23</v>
      </c>
      <c r="AZ22" s="1988" t="s">
        <v>24</v>
      </c>
      <c r="BA22" s="1989" t="s">
        <v>25</v>
      </c>
      <c r="BB22" s="1987" t="s">
        <v>23</v>
      </c>
      <c r="BC22" s="1988" t="s">
        <v>24</v>
      </c>
      <c r="BD22" s="1989" t="s">
        <v>25</v>
      </c>
      <c r="BE22" s="1987" t="s">
        <v>23</v>
      </c>
      <c r="BF22" s="1988" t="s">
        <v>24</v>
      </c>
      <c r="BG22" s="1989" t="s">
        <v>25</v>
      </c>
      <c r="BH22" s="1987" t="s">
        <v>23</v>
      </c>
      <c r="BI22" s="1988" t="s">
        <v>24</v>
      </c>
      <c r="BJ22" s="1989" t="s">
        <v>25</v>
      </c>
      <c r="BK22" s="1987" t="s">
        <v>23</v>
      </c>
      <c r="BL22" s="1988" t="s">
        <v>24</v>
      </c>
      <c r="BM22" s="1989" t="s">
        <v>25</v>
      </c>
      <c r="BN22" s="1987" t="s">
        <v>23</v>
      </c>
      <c r="BO22" s="1988" t="s">
        <v>24</v>
      </c>
      <c r="BP22" s="1989" t="s">
        <v>25</v>
      </c>
      <c r="BQ22" s="1987" t="s">
        <v>23</v>
      </c>
      <c r="BR22" s="1988" t="s">
        <v>24</v>
      </c>
      <c r="BS22" s="1989" t="s">
        <v>25</v>
      </c>
      <c r="BT22" s="1987" t="s">
        <v>23</v>
      </c>
      <c r="BU22" s="1988" t="s">
        <v>24</v>
      </c>
      <c r="BV22" s="1989" t="s">
        <v>25</v>
      </c>
      <c r="BW22" s="1987" t="s">
        <v>23</v>
      </c>
      <c r="BX22" s="1988" t="s">
        <v>24</v>
      </c>
      <c r="BY22" s="1989" t="s">
        <v>25</v>
      </c>
      <c r="BZ22" s="1987" t="s">
        <v>23</v>
      </c>
      <c r="CA22" s="1988" t="s">
        <v>24</v>
      </c>
      <c r="CB22" s="1989" t="s">
        <v>25</v>
      </c>
      <c r="CC22" s="1987" t="s">
        <v>23</v>
      </c>
      <c r="CD22" s="1988" t="s">
        <v>24</v>
      </c>
      <c r="CE22" s="1989" t="s">
        <v>25</v>
      </c>
      <c r="CF22" s="1987" t="s">
        <v>23</v>
      </c>
      <c r="CG22" s="1988" t="s">
        <v>24</v>
      </c>
      <c r="CH22" s="1989" t="s">
        <v>25</v>
      </c>
      <c r="CI22" s="1987" t="s">
        <v>23</v>
      </c>
      <c r="CJ22" s="1988" t="s">
        <v>24</v>
      </c>
      <c r="CK22" s="1989" t="s">
        <v>25</v>
      </c>
      <c r="CL22" s="1987" t="s">
        <v>23</v>
      </c>
      <c r="CM22" s="1988" t="s">
        <v>24</v>
      </c>
      <c r="CN22" s="1989" t="s">
        <v>25</v>
      </c>
      <c r="CO22" s="1987" t="s">
        <v>23</v>
      </c>
      <c r="CP22" s="1988" t="s">
        <v>24</v>
      </c>
      <c r="CQ22" s="1989" t="s">
        <v>25</v>
      </c>
      <c r="CR22" s="1987" t="s">
        <v>23</v>
      </c>
      <c r="CS22" s="1988" t="s">
        <v>24</v>
      </c>
      <c r="CT22" s="1989" t="s">
        <v>25</v>
      </c>
      <c r="CU22" s="1987" t="s">
        <v>23</v>
      </c>
      <c r="CV22" s="1988" t="s">
        <v>24</v>
      </c>
      <c r="CW22" s="1989" t="s">
        <v>25</v>
      </c>
      <c r="CX22" s="1987" t="s">
        <v>23</v>
      </c>
      <c r="CY22" s="1988" t="s">
        <v>24</v>
      </c>
      <c r="CZ22" s="1989" t="s">
        <v>25</v>
      </c>
      <c r="DA22" s="1987" t="s">
        <v>23</v>
      </c>
      <c r="DB22" s="1988" t="s">
        <v>24</v>
      </c>
      <c r="DC22" s="1989" t="s">
        <v>25</v>
      </c>
      <c r="DD22" s="1987" t="s">
        <v>23</v>
      </c>
      <c r="DE22" s="1988" t="s">
        <v>24</v>
      </c>
      <c r="DF22" s="1989" t="s">
        <v>25</v>
      </c>
      <c r="DG22" s="1987" t="s">
        <v>23</v>
      </c>
      <c r="DH22" s="1988" t="s">
        <v>24</v>
      </c>
      <c r="DI22" s="1990" t="s">
        <v>25</v>
      </c>
      <c r="DJ22" s="3770" t="s">
        <v>76</v>
      </c>
      <c r="DK22" s="3771"/>
      <c r="DL22" s="3771"/>
      <c r="DM22" s="3771"/>
      <c r="DN22" s="3771"/>
      <c r="DO22" s="3771"/>
      <c r="DP22" s="3771"/>
      <c r="DQ22" s="3772"/>
      <c r="DR22" s="3770" t="s">
        <v>75</v>
      </c>
      <c r="DS22" s="3771"/>
      <c r="DT22" s="3771"/>
      <c r="DU22" s="3771"/>
      <c r="DV22" s="3771"/>
      <c r="DW22" s="3771"/>
      <c r="DX22" s="3771"/>
      <c r="DY22" s="3771"/>
      <c r="DZ22" s="3771"/>
      <c r="EA22" s="3771"/>
      <c r="EB22" s="3771"/>
      <c r="EC22" s="3771"/>
      <c r="ED22" s="3771"/>
      <c r="EE22" s="3771"/>
      <c r="EF22" s="3771"/>
      <c r="EG22" s="3771"/>
      <c r="EH22" s="3771"/>
      <c r="EI22" s="3771"/>
      <c r="EJ22" s="3771"/>
      <c r="EK22" s="3771"/>
      <c r="EL22" s="3772"/>
      <c r="EM22" s="3776" t="s">
        <v>1690</v>
      </c>
      <c r="EN22" s="3777"/>
      <c r="EO22" s="3777"/>
      <c r="EP22" s="3777"/>
      <c r="EQ22" s="3777"/>
      <c r="ER22" s="3777"/>
      <c r="ES22" s="3777"/>
      <c r="ET22" s="3777"/>
      <c r="EU22" s="3777"/>
      <c r="EV22" s="3777"/>
      <c r="EW22" s="3777"/>
      <c r="EX22" s="3777"/>
      <c r="EY22" s="3777"/>
      <c r="EZ22" s="3777"/>
      <c r="FA22" s="3777"/>
      <c r="FB22" s="3777"/>
      <c r="FC22" s="3777"/>
      <c r="FD22" s="3777"/>
      <c r="FE22" s="3777"/>
      <c r="FF22" s="3777"/>
      <c r="FG22" s="3778"/>
      <c r="FH22" s="3776" t="s">
        <v>714</v>
      </c>
      <c r="FI22" s="3777"/>
      <c r="FJ22" s="3777"/>
      <c r="FK22" s="3777"/>
      <c r="FL22" s="3777"/>
      <c r="FM22" s="3777"/>
      <c r="FN22" s="3777"/>
      <c r="FO22" s="3777"/>
      <c r="FP22" s="3777"/>
      <c r="FQ22" s="3777"/>
      <c r="FR22" s="3777"/>
      <c r="FS22" s="3777"/>
      <c r="FT22" s="3777"/>
      <c r="FU22" s="3777"/>
      <c r="FV22" s="3777"/>
      <c r="FW22" s="3777"/>
      <c r="FX22" s="3777"/>
      <c r="FY22" s="3777"/>
      <c r="FZ22" s="3777"/>
      <c r="GA22" s="3777"/>
      <c r="GB22" s="3778"/>
      <c r="GC22" s="3793" t="s">
        <v>833</v>
      </c>
      <c r="GD22" s="3794"/>
      <c r="GE22" s="3794"/>
      <c r="GF22" s="3794"/>
      <c r="GG22" s="3794"/>
      <c r="GH22" s="3794"/>
      <c r="GI22" s="3794"/>
      <c r="GJ22" s="3794"/>
      <c r="GK22" s="3795"/>
      <c r="GM22" s="2379"/>
      <c r="GN22" s="3791" t="s">
        <v>1750</v>
      </c>
      <c r="GO22" s="3792"/>
      <c r="GP22" s="3792"/>
      <c r="GQ22" s="3792"/>
      <c r="GR22" s="3792"/>
      <c r="GS22" s="3792"/>
      <c r="GT22" s="3792"/>
      <c r="GU22" s="3792"/>
      <c r="GV22" s="3792"/>
      <c r="GW22" s="3792"/>
      <c r="GX22" s="3792"/>
      <c r="GY22" s="3792"/>
      <c r="GZ22" s="3792"/>
      <c r="HA22" s="3792"/>
      <c r="HB22" s="3792"/>
      <c r="HC22" s="3792"/>
      <c r="HD22" s="3792"/>
      <c r="HE22" s="3791">
        <f>COUNTA(GM23:HF42,si,"X")</f>
        <v>402</v>
      </c>
      <c r="HF22" s="3796"/>
      <c r="HG22" s="1991">
        <v>20</v>
      </c>
      <c r="HH22" s="1992">
        <f>SUM(HH3:HH21)</f>
        <v>0</v>
      </c>
      <c r="HI22" s="1992">
        <f t="shared" ref="HI22:HN22" si="35">COUNTA(HI3:HI21)</f>
        <v>16</v>
      </c>
      <c r="HJ22" s="1993">
        <f t="shared" si="35"/>
        <v>16</v>
      </c>
      <c r="HK22" s="1993">
        <f t="shared" si="35"/>
        <v>16</v>
      </c>
      <c r="HL22" s="1993">
        <f t="shared" si="35"/>
        <v>16</v>
      </c>
      <c r="HM22" s="1993">
        <f t="shared" si="35"/>
        <v>16</v>
      </c>
      <c r="HN22" s="1993">
        <f t="shared" si="35"/>
        <v>16</v>
      </c>
      <c r="HO22" s="1993">
        <f>COUNTIF(HO3:HO21,"x")</f>
        <v>10</v>
      </c>
      <c r="HP22" s="1994">
        <f t="shared" ref="HP22:IA22" si="36">COUNTIF(HP3:HP21,"x")</f>
        <v>5</v>
      </c>
      <c r="HQ22" s="2386">
        <f t="shared" si="36"/>
        <v>11</v>
      </c>
      <c r="HR22" s="2386">
        <f t="shared" si="36"/>
        <v>4</v>
      </c>
      <c r="HS22" s="2386">
        <f t="shared" si="36"/>
        <v>15</v>
      </c>
      <c r="HT22" s="2386">
        <f t="shared" si="36"/>
        <v>0</v>
      </c>
      <c r="HU22" s="2386">
        <f t="shared" si="36"/>
        <v>9</v>
      </c>
      <c r="HV22" s="2386">
        <f t="shared" si="36"/>
        <v>6</v>
      </c>
      <c r="HW22" s="2386">
        <f t="shared" si="36"/>
        <v>0</v>
      </c>
      <c r="HX22" s="2386">
        <f t="shared" si="36"/>
        <v>0</v>
      </c>
      <c r="HY22" s="2386">
        <f t="shared" si="36"/>
        <v>15</v>
      </c>
      <c r="HZ22" s="2386">
        <f>COUNTIF(HZ3:HZ21,"X")</f>
        <v>9</v>
      </c>
      <c r="IA22" s="2386">
        <f t="shared" si="36"/>
        <v>6</v>
      </c>
      <c r="IB22" s="2386">
        <f t="shared" ref="IB22:JA22" si="37">SUM(IB3:IB21)</f>
        <v>94</v>
      </c>
      <c r="IC22" s="2386">
        <f t="shared" si="37"/>
        <v>3</v>
      </c>
      <c r="ID22" s="2386">
        <f t="shared" si="37"/>
        <v>6</v>
      </c>
      <c r="IE22" s="2386">
        <f t="shared" si="37"/>
        <v>6</v>
      </c>
      <c r="IF22" s="2386">
        <f t="shared" si="37"/>
        <v>2</v>
      </c>
      <c r="IG22" s="2386">
        <f t="shared" si="37"/>
        <v>4</v>
      </c>
      <c r="IH22" s="2386">
        <f t="shared" si="37"/>
        <v>9</v>
      </c>
      <c r="II22" s="2386">
        <f t="shared" si="37"/>
        <v>1</v>
      </c>
      <c r="IJ22" s="2386">
        <f t="shared" si="37"/>
        <v>1</v>
      </c>
      <c r="IK22" s="2386">
        <f t="shared" si="37"/>
        <v>118</v>
      </c>
      <c r="IL22" s="2386">
        <f t="shared" si="37"/>
        <v>13</v>
      </c>
      <c r="IM22" s="2386">
        <f t="shared" si="37"/>
        <v>3</v>
      </c>
      <c r="IN22" s="2386">
        <f t="shared" si="37"/>
        <v>18</v>
      </c>
      <c r="IO22" s="2386">
        <f t="shared" si="37"/>
        <v>20</v>
      </c>
      <c r="IP22" s="2386">
        <f t="shared" si="37"/>
        <v>163</v>
      </c>
      <c r="IQ22" s="2386">
        <f t="shared" si="37"/>
        <v>146</v>
      </c>
      <c r="IR22" s="205">
        <f t="shared" si="37"/>
        <v>7</v>
      </c>
      <c r="IS22" s="205">
        <f t="shared" si="37"/>
        <v>53</v>
      </c>
      <c r="IT22" s="205">
        <f t="shared" si="37"/>
        <v>1</v>
      </c>
      <c r="IU22" s="205">
        <f t="shared" si="37"/>
        <v>1</v>
      </c>
      <c r="IV22" s="2236">
        <f t="shared" si="37"/>
        <v>21</v>
      </c>
      <c r="IW22" s="2237">
        <f t="shared" si="37"/>
        <v>20</v>
      </c>
      <c r="IX22" s="2237">
        <f t="shared" si="37"/>
        <v>21</v>
      </c>
      <c r="IY22" s="2237">
        <f t="shared" si="37"/>
        <v>20</v>
      </c>
      <c r="IZ22" s="2237">
        <f t="shared" si="37"/>
        <v>22</v>
      </c>
      <c r="JA22" s="2238">
        <f t="shared" si="37"/>
        <v>22</v>
      </c>
      <c r="JB22" s="205">
        <f>COUNTA(JB3:JB21)</f>
        <v>16</v>
      </c>
      <c r="JC22" s="205">
        <f>COUNTA(JC3:JC21)</f>
        <v>16</v>
      </c>
      <c r="JD22" s="783">
        <f>SUM(JD3:JD21)</f>
        <v>541</v>
      </c>
      <c r="JE22" s="783">
        <f t="shared" ref="JE22:JU22" si="38">SUM(JE3:JE21)</f>
        <v>542</v>
      </c>
      <c r="JF22" s="783">
        <f t="shared" si="38"/>
        <v>526</v>
      </c>
      <c r="JG22" s="783">
        <f t="shared" si="38"/>
        <v>525</v>
      </c>
      <c r="JH22" s="783">
        <f t="shared" si="38"/>
        <v>587</v>
      </c>
      <c r="JI22" s="783">
        <f t="shared" si="38"/>
        <v>599</v>
      </c>
      <c r="JJ22" s="2236">
        <f t="shared" si="38"/>
        <v>47</v>
      </c>
      <c r="JK22" s="2237">
        <f t="shared" si="38"/>
        <v>46</v>
      </c>
      <c r="JL22" s="2237">
        <f t="shared" si="38"/>
        <v>46</v>
      </c>
      <c r="JM22" s="2237">
        <f t="shared" si="38"/>
        <v>37</v>
      </c>
      <c r="JN22" s="2237">
        <f t="shared" si="38"/>
        <v>35</v>
      </c>
      <c r="JO22" s="2238">
        <f t="shared" si="38"/>
        <v>32</v>
      </c>
      <c r="JP22" s="2236">
        <f t="shared" si="38"/>
        <v>51</v>
      </c>
      <c r="JQ22" s="2237">
        <f t="shared" si="38"/>
        <v>68</v>
      </c>
      <c r="JR22" s="2237">
        <f t="shared" si="38"/>
        <v>68</v>
      </c>
      <c r="JS22" s="2237">
        <f t="shared" si="38"/>
        <v>42</v>
      </c>
      <c r="JT22" s="2237">
        <f t="shared" si="38"/>
        <v>59</v>
      </c>
      <c r="JU22" s="2238">
        <f t="shared" si="38"/>
        <v>42</v>
      </c>
      <c r="JV22" s="780">
        <f t="shared" ref="JV22:KB22" si="39">SUM(JV3:JV21)</f>
        <v>537</v>
      </c>
      <c r="JW22" s="783">
        <f t="shared" si="39"/>
        <v>520</v>
      </c>
      <c r="JX22" s="783">
        <f t="shared" si="39"/>
        <v>504</v>
      </c>
      <c r="JY22" s="783">
        <f>SUM(JY3:JY21)</f>
        <v>520</v>
      </c>
      <c r="JZ22" s="783">
        <f t="shared" si="39"/>
        <v>563</v>
      </c>
      <c r="KA22" s="783">
        <f t="shared" si="39"/>
        <v>589</v>
      </c>
      <c r="KB22" s="2236">
        <f t="shared" si="39"/>
        <v>0</v>
      </c>
      <c r="KC22" s="2237">
        <f>SUM(KC3:KC21)</f>
        <v>0</v>
      </c>
      <c r="KD22" s="2237">
        <f>SUM(KD3:KD21)</f>
        <v>0</v>
      </c>
      <c r="KE22" s="2237">
        <f>SUM(KE3:KE21)</f>
        <v>0</v>
      </c>
      <c r="KF22" s="2237">
        <f>SUM(KF3:KF21)</f>
        <v>0</v>
      </c>
      <c r="KG22" s="2238">
        <f>SUM(KG3:KG21)</f>
        <v>0</v>
      </c>
      <c r="KH22" s="2868"/>
      <c r="KI22" s="2880">
        <v>1</v>
      </c>
      <c r="KJ22" s="2880">
        <v>2</v>
      </c>
      <c r="KK22" s="2880">
        <v>3</v>
      </c>
      <c r="KL22" s="2880">
        <v>4</v>
      </c>
      <c r="KM22" s="2880">
        <v>5</v>
      </c>
      <c r="KN22" s="2880">
        <v>6</v>
      </c>
      <c r="KO22" s="2880">
        <v>7</v>
      </c>
      <c r="KP22" s="2880">
        <v>8</v>
      </c>
      <c r="KQ22" s="2880">
        <v>9</v>
      </c>
      <c r="KR22" s="2880">
        <v>10</v>
      </c>
      <c r="KS22" s="2880">
        <v>11</v>
      </c>
      <c r="KT22" s="2880">
        <v>12</v>
      </c>
      <c r="KU22" s="2880">
        <v>13</v>
      </c>
      <c r="KV22" s="2880">
        <v>14</v>
      </c>
      <c r="KW22" s="2880">
        <v>15</v>
      </c>
      <c r="KX22" s="2880">
        <v>16</v>
      </c>
      <c r="KY22" s="2880">
        <v>17</v>
      </c>
      <c r="KZ22" s="2880">
        <v>18</v>
      </c>
      <c r="LA22" s="2880">
        <v>19</v>
      </c>
      <c r="LB22" s="2880">
        <v>20</v>
      </c>
      <c r="LC22" s="2868"/>
      <c r="LD22" s="2869"/>
      <c r="LE22" s="2869"/>
      <c r="LF22" s="2869"/>
      <c r="LG22" s="2869"/>
      <c r="LH22" s="2869"/>
      <c r="LI22" s="2869"/>
      <c r="LJ22" s="2869"/>
      <c r="LK22" s="2869"/>
      <c r="LL22" s="2869"/>
      <c r="LM22" s="2869"/>
      <c r="LN22" s="2869"/>
      <c r="LO22" s="2869"/>
      <c r="LP22" s="2869"/>
      <c r="LQ22" s="2869"/>
      <c r="LR22" s="2869"/>
      <c r="LS22" s="2869"/>
      <c r="LT22" s="2869"/>
      <c r="LU22" s="2869"/>
      <c r="LV22" s="2869"/>
      <c r="LW22" s="2870"/>
    </row>
    <row r="23" spans="1:336" ht="12.75" customHeight="1">
      <c r="A23" s="16">
        <v>7</v>
      </c>
      <c r="B23" s="31" t="str">
        <f>VLOOKUP(T6,AX23:DI42,20,20)</f>
        <v>3º</v>
      </c>
      <c r="C23" s="35" t="str">
        <f>VLOOKUP(T6,AX23:DI42,21,21)</f>
        <v>B</v>
      </c>
      <c r="D23" s="29" t="str">
        <f>VLOOKUP(T6,BG2:CA21,8,8)</f>
        <v>CASTRO LOPEZ * SOSIMA PETRA</v>
      </c>
      <c r="E23" s="21"/>
      <c r="F23" s="21"/>
      <c r="G23" s="21"/>
      <c r="H23" s="21"/>
      <c r="I23" s="3360" t="str">
        <f>VLOOKUP(T6,LC24:LW43,8,21)</f>
        <v>042</v>
      </c>
      <c r="J23" s="3780">
        <f>VLOOKUP(T6,AX44:BR63,8,8)</f>
        <v>7</v>
      </c>
      <c r="K23" s="3780"/>
      <c r="L23" s="3780">
        <f>VLOOKUP(T6,BS44:CM63,8,8)</f>
        <v>6</v>
      </c>
      <c r="M23" s="3780"/>
      <c r="N23" s="3780">
        <f>VLOOKUP(T6,CN44:DH63,8,8)</f>
        <v>0</v>
      </c>
      <c r="O23" s="3780"/>
      <c r="P23" s="3780">
        <f>VLOOKUP(T6,DI44:EC63,8,8)</f>
        <v>0</v>
      </c>
      <c r="Q23" s="3780"/>
      <c r="R23" s="3780">
        <f>VLOOKUP(T6,ED44:EX63,8,8)</f>
        <v>0</v>
      </c>
      <c r="S23" s="3780"/>
      <c r="T23" s="3780">
        <f>VLOOKUP(T6,EY44:FS63,8,8)</f>
        <v>0</v>
      </c>
      <c r="U23" s="3780"/>
      <c r="V23" s="3781">
        <f t="shared" si="32"/>
        <v>1.5</v>
      </c>
      <c r="W23" s="3782"/>
      <c r="X23" s="3787"/>
      <c r="Y23" s="3788"/>
      <c r="Z23" s="3787"/>
      <c r="AA23" s="3788"/>
      <c r="AB23" s="3783"/>
      <c r="AC23" s="3784"/>
      <c r="AD23" s="3783"/>
      <c r="AE23" s="3784"/>
      <c r="AF23" s="2939" t="str">
        <f t="shared" si="33"/>
        <v>3ºB</v>
      </c>
      <c r="AG23" s="2940">
        <f t="shared" si="34"/>
        <v>33</v>
      </c>
      <c r="AH23" s="3818">
        <f>VLOOKUP(T6,AX23:DI42,22,22)</f>
        <v>33</v>
      </c>
      <c r="AI23" s="3819"/>
      <c r="AJ23" s="3856"/>
      <c r="AK23" s="3857"/>
      <c r="AL23" s="3193">
        <f>VLOOKUP(T6,GL2:HF21,8,21)</f>
        <v>0</v>
      </c>
      <c r="AM23" s="3194" t="str">
        <f>VLOOKUP(T6,GL23:HF42,8,21)</f>
        <v>X</v>
      </c>
      <c r="AN23" s="3195" t="str">
        <f>VLOOKUP(T6,CB2:CV21,8,21)</f>
        <v>CALS720517BFA</v>
      </c>
      <c r="AO23" s="3195" t="str">
        <f>VLOOKUP(T6,CW2:DQ21,8,21)</f>
        <v>078312 E028100.0232759</v>
      </c>
      <c r="AP23" s="3195" t="str">
        <f>VLOOKUP(T6,DR2:EL21,8,21)</f>
        <v>DOCENTE</v>
      </c>
      <c r="AQ23" s="3195">
        <f>VLOOKUP(T6,DR23:EL42,8,21)</f>
        <v>0</v>
      </c>
      <c r="AR23" s="3195" t="str">
        <f>VLOOKUP(T6,LC2:LW21,8,21)</f>
        <v>CALS720517MQR</v>
      </c>
      <c r="AS23" s="3194" t="str">
        <f>VLOOKUP(T6,FH2:GB21,8,21)</f>
        <v>7A</v>
      </c>
      <c r="AT23" s="3194">
        <f>VLOOKUP(T6,EM2:FG21,8,21)</f>
        <v>10</v>
      </c>
      <c r="AU23" s="3196" t="str">
        <f>VLOOKUP(T6,FH23:GB42,8,21)</f>
        <v>19-09-1994</v>
      </c>
      <c r="AV23" s="3197" t="str">
        <f>VLOOKUP(T6,KH2:LB21,8,21)</f>
        <v>23DPR0055K</v>
      </c>
      <c r="AW23" s="2803" t="str">
        <f>VLOOKUP(T6,KH24:LB43,8,21)</f>
        <v>KABAH</v>
      </c>
      <c r="AX23" s="1939">
        <v>1</v>
      </c>
      <c r="AY23" s="1995">
        <f>Plantillas!Y37</f>
        <v>0</v>
      </c>
      <c r="AZ23" s="1996">
        <f>Plantillas!Z$37</f>
        <v>0</v>
      </c>
      <c r="BA23" s="1997">
        <f>Plantillas!AA$37</f>
        <v>0</v>
      </c>
      <c r="BB23" s="1995" t="str">
        <f>Plantillas!$Y$38</f>
        <v>1º</v>
      </c>
      <c r="BC23" s="1996" t="str">
        <f>Plantillas!Z$38</f>
        <v>A</v>
      </c>
      <c r="BD23" s="1998">
        <f>Plantillas!AA$38</f>
        <v>29</v>
      </c>
      <c r="BE23" s="1995" t="str">
        <f>Plantillas!Y$39</f>
        <v>1º</v>
      </c>
      <c r="BF23" s="1996" t="str">
        <f>Plantillas!Z$39</f>
        <v>B</v>
      </c>
      <c r="BG23" s="1998">
        <f>Plantillas!AA$39</f>
        <v>27</v>
      </c>
      <c r="BH23" s="1995" t="str">
        <f>Plantillas!Y$40</f>
        <v>2º</v>
      </c>
      <c r="BI23" s="1996" t="str">
        <f>Plantillas!Z$40</f>
        <v>A</v>
      </c>
      <c r="BJ23" s="1998">
        <f>Plantillas!AA$40</f>
        <v>31</v>
      </c>
      <c r="BK23" s="1995" t="str">
        <f>Plantillas!Y$41</f>
        <v>2º</v>
      </c>
      <c r="BL23" s="1996" t="str">
        <f>Plantillas!Z$41</f>
        <v>B</v>
      </c>
      <c r="BM23" s="1998">
        <f>Plantillas!AA$41</f>
        <v>33</v>
      </c>
      <c r="BN23" s="1995" t="str">
        <f>Plantillas!Y$42</f>
        <v>3º</v>
      </c>
      <c r="BO23" s="1996" t="str">
        <f>Plantillas!Z$42</f>
        <v>A</v>
      </c>
      <c r="BP23" s="1998">
        <f>Plantillas!AA$42</f>
        <v>24</v>
      </c>
      <c r="BQ23" s="1995" t="str">
        <f>Plantillas!Y$43</f>
        <v>3º</v>
      </c>
      <c r="BR23" s="1996" t="str">
        <f>Plantillas!Z$43</f>
        <v>B</v>
      </c>
      <c r="BS23" s="1998">
        <f>Plantillas!AA$43</f>
        <v>33</v>
      </c>
      <c r="BT23" s="1995" t="str">
        <f>Plantillas!Y$44</f>
        <v>4º</v>
      </c>
      <c r="BU23" s="1996" t="str">
        <f>Plantillas!Z$44</f>
        <v>A</v>
      </c>
      <c r="BV23" s="1998">
        <f>Plantillas!AA$44</f>
        <v>31</v>
      </c>
      <c r="BW23" s="1995" t="str">
        <f>Plantillas!Y$45</f>
        <v>4º</v>
      </c>
      <c r="BX23" s="1996" t="str">
        <f>Plantillas!Z$45</f>
        <v>B</v>
      </c>
      <c r="BY23" s="1998">
        <f>Plantillas!AA$45</f>
        <v>29</v>
      </c>
      <c r="BZ23" s="1995" t="str">
        <f>Plantillas!Y$46</f>
        <v>5º</v>
      </c>
      <c r="CA23" s="1996" t="str">
        <f>Plantillas!Z$46</f>
        <v>A</v>
      </c>
      <c r="CB23" s="1998">
        <f>Plantillas!AA$46</f>
        <v>27</v>
      </c>
      <c r="CC23" s="1995" t="str">
        <f>Plantillas!Y$47</f>
        <v>5º</v>
      </c>
      <c r="CD23" s="1996" t="str">
        <f>Plantillas!Z$47</f>
        <v>B</v>
      </c>
      <c r="CE23" s="1998">
        <f>Plantillas!AA$47</f>
        <v>26</v>
      </c>
      <c r="CF23" s="1995" t="str">
        <f>Plantillas!Y$48</f>
        <v>6º</v>
      </c>
      <c r="CG23" s="1996" t="str">
        <f>Plantillas!Z$48</f>
        <v>A</v>
      </c>
      <c r="CH23" s="1998">
        <f>Plantillas!AA$48</f>
        <v>30</v>
      </c>
      <c r="CI23" s="1995" t="str">
        <f>Plantillas!Y$49</f>
        <v>6º</v>
      </c>
      <c r="CJ23" s="1996" t="str">
        <f>Plantillas!Z$49</f>
        <v>B</v>
      </c>
      <c r="CK23" s="1998">
        <f>Plantillas!AA$49</f>
        <v>30</v>
      </c>
      <c r="CL23" s="1995">
        <f>Plantillas!Y$50</f>
        <v>0</v>
      </c>
      <c r="CM23" s="1996">
        <f>Plantillas!Z$50</f>
        <v>0</v>
      </c>
      <c r="CN23" s="1998">
        <f>Plantillas!AA$50</f>
        <v>0</v>
      </c>
      <c r="CO23" s="1995">
        <f>Plantillas!Y$51</f>
        <v>0</v>
      </c>
      <c r="CP23" s="1996">
        <f>Plantillas!Z$51</f>
        <v>0</v>
      </c>
      <c r="CQ23" s="1998">
        <f>Plantillas!AA$51</f>
        <v>0</v>
      </c>
      <c r="CR23" s="1995">
        <f>Plantillas!Y$52</f>
        <v>0</v>
      </c>
      <c r="CS23" s="1996">
        <f>Plantillas!Z$52</f>
        <v>0</v>
      </c>
      <c r="CT23" s="1998">
        <f>Plantillas!AA$52</f>
        <v>0</v>
      </c>
      <c r="CU23" s="1995">
        <f>Plantillas!Y$53</f>
        <v>0</v>
      </c>
      <c r="CV23" s="1996">
        <f>Plantillas!Z$53</f>
        <v>0</v>
      </c>
      <c r="CW23" s="1998">
        <f>Plantillas!AA$53</f>
        <v>0</v>
      </c>
      <c r="CX23" s="1995">
        <f>Plantillas!Y$54</f>
        <v>0</v>
      </c>
      <c r="CY23" s="1996">
        <f>Plantillas!Z$54</f>
        <v>0</v>
      </c>
      <c r="CZ23" s="1998">
        <f>Plantillas!AA$54</f>
        <v>0</v>
      </c>
      <c r="DA23" s="1995">
        <f>Plantillas!Y$55</f>
        <v>0</v>
      </c>
      <c r="DB23" s="1996">
        <f>Plantillas!Z$55</f>
        <v>0</v>
      </c>
      <c r="DC23" s="1998">
        <f>Plantillas!AA$55</f>
        <v>0</v>
      </c>
      <c r="DD23" s="1995">
        <f>Plantillas!Y$56</f>
        <v>0</v>
      </c>
      <c r="DE23" s="1996">
        <f>Plantillas!Z$56</f>
        <v>0</v>
      </c>
      <c r="DF23" s="1998">
        <f>Plantillas!AA$56</f>
        <v>0</v>
      </c>
      <c r="DG23" s="1995">
        <f>Plantillas!Y$57</f>
        <v>0</v>
      </c>
      <c r="DH23" s="1996">
        <v>2</v>
      </c>
      <c r="DI23" s="2090" t="str">
        <f>Estadisticas!AA3</f>
        <v>antonia-sari02@hotmail</v>
      </c>
      <c r="DJ23" s="1938">
        <v>1</v>
      </c>
      <c r="DK23" s="1999" t="str">
        <f>VLOOKUP(T6,BG2:CA21,2,2)</f>
        <v>CERVANTES BENITEZ * ANTONIA</v>
      </c>
      <c r="DL23" s="2000" t="str">
        <f>VLOOKUP(T6,CB2:CV21,2,2)</f>
        <v>CEBA641230GX0</v>
      </c>
      <c r="DM23" s="2001" t="str">
        <f>VLOOKUP(T6,CW2:DQ21,2,2)</f>
        <v>078312 E022100.0231688</v>
      </c>
      <c r="DN23" s="2002" t="str">
        <f>VLOOKUP(T6,DR2:EL21,2,2)</f>
        <v>DIRECTOR</v>
      </c>
      <c r="DO23" s="2003">
        <f>VLOOKUP(T6,DR23:EL42,2,2)</f>
        <v>0</v>
      </c>
      <c r="DP23" s="2004">
        <f>VLOOKUP(T6,EM2:FG21,2,2)</f>
        <v>10</v>
      </c>
      <c r="DQ23" s="1999">
        <f>VLOOKUP(T6,EM23:FG42,2,2)</f>
        <v>0</v>
      </c>
      <c r="DR23" s="2005">
        <v>1</v>
      </c>
      <c r="DS23" s="2006">
        <f>Plantillas!N$37</f>
        <v>0</v>
      </c>
      <c r="DT23" s="2006">
        <f>Plantillas!N$38</f>
        <v>0</v>
      </c>
      <c r="DU23" s="2006">
        <f>Plantillas!N$39</f>
        <v>0</v>
      </c>
      <c r="DV23" s="2006">
        <f>Plantillas!N$40</f>
        <v>0</v>
      </c>
      <c r="DW23" s="2006">
        <f>Plantillas!N$41</f>
        <v>0</v>
      </c>
      <c r="DX23" s="2006">
        <f>Plantillas!N$42</f>
        <v>0</v>
      </c>
      <c r="DY23" s="2006">
        <f>Plantillas!N$43</f>
        <v>0</v>
      </c>
      <c r="DZ23" s="2006" t="str">
        <f>Plantillas!N$44</f>
        <v>23DPR0737O</v>
      </c>
      <c r="EA23" s="2006" t="str">
        <f>Plantillas!N$45</f>
        <v>23DPR0710H</v>
      </c>
      <c r="EB23" s="2006">
        <f>Plantillas!N$46</f>
        <v>0</v>
      </c>
      <c r="EC23" s="2006">
        <f>Plantillas!N$47</f>
        <v>0</v>
      </c>
      <c r="ED23" s="2006" t="str">
        <f>Plantillas!N$48</f>
        <v>23DPR0593I</v>
      </c>
      <c r="EE23" s="2006" t="str">
        <f>Plantillas!N$49</f>
        <v>23DPR0480F</v>
      </c>
      <c r="EF23" s="2006" t="str">
        <f>Plantillas!N$50</f>
        <v>23FUA0031K</v>
      </c>
      <c r="EG23" s="2006">
        <f>Plantillas!N$51</f>
        <v>0</v>
      </c>
      <c r="EH23" s="2006">
        <f>Plantillas!N$52</f>
        <v>0</v>
      </c>
      <c r="EI23" s="2006">
        <f>Plantillas!N$53</f>
        <v>0</v>
      </c>
      <c r="EJ23" s="2006">
        <f>Plantillas!N$54</f>
        <v>0</v>
      </c>
      <c r="EK23" s="2006">
        <f>Plantillas!N$55</f>
        <v>0</v>
      </c>
      <c r="EL23" s="2007">
        <f>Plantillas!N$56</f>
        <v>0</v>
      </c>
      <c r="EM23" s="1939">
        <v>1</v>
      </c>
      <c r="EN23" s="2008">
        <f>Plantillas!AA$37</f>
        <v>0</v>
      </c>
      <c r="EO23" s="2008">
        <f>Plantillas!AA$38</f>
        <v>29</v>
      </c>
      <c r="EP23" s="2008">
        <f>Plantillas!AA$39</f>
        <v>27</v>
      </c>
      <c r="EQ23" s="2008">
        <f>Plantillas!AA$40</f>
        <v>31</v>
      </c>
      <c r="ER23" s="2008">
        <f>Plantillas!AA$41</f>
        <v>33</v>
      </c>
      <c r="ES23" s="2008">
        <f>Plantillas!AA$42</f>
        <v>24</v>
      </c>
      <c r="ET23" s="2008">
        <f>Plantillas!AA$43</f>
        <v>33</v>
      </c>
      <c r="EU23" s="2008">
        <f>Plantillas!AA$44</f>
        <v>31</v>
      </c>
      <c r="EV23" s="2008">
        <f>Plantillas!AA$45</f>
        <v>29</v>
      </c>
      <c r="EW23" s="2008">
        <f>Plantillas!AA$46</f>
        <v>27</v>
      </c>
      <c r="EX23" s="2008">
        <f>Plantillas!AA$47</f>
        <v>26</v>
      </c>
      <c r="EY23" s="2008">
        <f>Plantillas!AA$48</f>
        <v>30</v>
      </c>
      <c r="EZ23" s="2008">
        <f>Plantillas!AA$49</f>
        <v>30</v>
      </c>
      <c r="FA23" s="2008">
        <f>Plantillas!AA$50</f>
        <v>0</v>
      </c>
      <c r="FB23" s="2008">
        <f>Plantillas!AA$51</f>
        <v>0</v>
      </c>
      <c r="FC23" s="2009">
        <f>Plantillas!AA$52</f>
        <v>0</v>
      </c>
      <c r="FD23" s="2009">
        <f>Plantillas!AA$53</f>
        <v>0</v>
      </c>
      <c r="FE23" s="2009">
        <f>Plantillas!AA$54</f>
        <v>0</v>
      </c>
      <c r="FF23" s="2009">
        <f>Plantillas!AA$55</f>
        <v>0</v>
      </c>
      <c r="FG23" s="2010">
        <f>Plantillas!AA$56</f>
        <v>0</v>
      </c>
      <c r="FH23" s="1939">
        <v>1</v>
      </c>
      <c r="FI23" s="2011" t="str">
        <f>Plantillas!W$37</f>
        <v>16-09-1986</v>
      </c>
      <c r="FJ23" s="2011" t="str">
        <f>Plantillas!W$38</f>
        <v>16-01-2008</v>
      </c>
      <c r="FK23" s="2011" t="str">
        <f>Plantillas!W$39</f>
        <v>01-09-1995</v>
      </c>
      <c r="FL23" s="2011" t="str">
        <f>Plantillas!W$40</f>
        <v>01-09-1994</v>
      </c>
      <c r="FM23" s="2011" t="str">
        <f>Plantillas!W$41</f>
        <v>16-09-1995</v>
      </c>
      <c r="FN23" s="2011" t="str">
        <f>Plantillas!W$42</f>
        <v>16-10-1994</v>
      </c>
      <c r="FO23" s="2011" t="str">
        <f>Plantillas!W$43</f>
        <v>19-09-1994</v>
      </c>
      <c r="FP23" s="2011" t="str">
        <f>Plantillas!W$44</f>
        <v>01-09-1984</v>
      </c>
      <c r="FQ23" s="2011" t="str">
        <f>Plantillas!W$45</f>
        <v>01-10-1993</v>
      </c>
      <c r="FR23" s="2011" t="str">
        <f>Plantillas!W$46</f>
        <v>01-10-2004</v>
      </c>
      <c r="FS23" s="2011" t="str">
        <f>Plantillas!W$47</f>
        <v>01-09-1983</v>
      </c>
      <c r="FT23" s="2011" t="str">
        <f>Plantillas!W$48</f>
        <v>01-09-1996</v>
      </c>
      <c r="FU23" s="2011" t="str">
        <f>Plantillas!W$49</f>
        <v>01-09-1998</v>
      </c>
      <c r="FV23" s="2011" t="str">
        <f>Plantillas!W$50</f>
        <v>16-09-1995</v>
      </c>
      <c r="FW23" s="2011" t="str">
        <f>Plantillas!W$51</f>
        <v>01-07-2010</v>
      </c>
      <c r="FX23" s="2011">
        <f>Plantillas!W$52</f>
        <v>0</v>
      </c>
      <c r="FY23" s="2011">
        <f>Plantillas!W$53</f>
        <v>0</v>
      </c>
      <c r="FZ23" s="2011">
        <f>Plantillas!W$54</f>
        <v>0</v>
      </c>
      <c r="GA23" s="2011">
        <f>Plantillas!W$55</f>
        <v>0</v>
      </c>
      <c r="GB23" s="2012">
        <f>Plantillas!W$56</f>
        <v>0</v>
      </c>
      <c r="GC23" s="1355">
        <v>1</v>
      </c>
      <c r="GD23" s="1356">
        <f>JD25+JE25</f>
        <v>2</v>
      </c>
      <c r="GE23" s="1356">
        <f>JF25+JG25</f>
        <v>2</v>
      </c>
      <c r="GF23" s="1356">
        <f>JH25+JI25</f>
        <v>2</v>
      </c>
      <c r="GG23" s="1356">
        <f>JJ25+JK25</f>
        <v>2</v>
      </c>
      <c r="GH23" s="1356">
        <f>JL25+JM25</f>
        <v>2</v>
      </c>
      <c r="GI23" s="1356">
        <f>JN25+JO25</f>
        <v>2</v>
      </c>
      <c r="GJ23" s="1356">
        <f>SUM(GD23:GI23)</f>
        <v>12</v>
      </c>
      <c r="GK23" s="1357">
        <f>SUM(JV3:KA3)</f>
        <v>350</v>
      </c>
      <c r="GL23" s="1356">
        <v>1</v>
      </c>
      <c r="GM23" s="1915" t="str">
        <f>Plantillas!I$37</f>
        <v>X</v>
      </c>
      <c r="GN23" s="1915" t="str">
        <f>Plantillas!I$38</f>
        <v>X</v>
      </c>
      <c r="GO23" s="1915" t="str">
        <f>Plantillas!I$39</f>
        <v>X</v>
      </c>
      <c r="GP23" s="1915" t="str">
        <f>Plantillas!I$40</f>
        <v>X</v>
      </c>
      <c r="GQ23" s="1915" t="str">
        <f>Plantillas!I$41</f>
        <v>X</v>
      </c>
      <c r="GR23" s="1915" t="str">
        <f>Plantillas!I$42</f>
        <v>X</v>
      </c>
      <c r="GS23" s="1915" t="str">
        <f>Plantillas!I$43</f>
        <v>X</v>
      </c>
      <c r="GT23" s="1915" t="str">
        <f>Plantillas!I$44</f>
        <v>X</v>
      </c>
      <c r="GU23" s="1915" t="str">
        <f>Plantillas!I$45</f>
        <v>X</v>
      </c>
      <c r="GV23" s="1915">
        <f>Plantillas!I$46</f>
        <v>0</v>
      </c>
      <c r="GW23" s="1915" t="str">
        <f>Plantillas!I$47</f>
        <v>X</v>
      </c>
      <c r="GX23" s="1915" t="str">
        <f>Plantillas!I$48</f>
        <v>X</v>
      </c>
      <c r="GY23" s="1915">
        <f>Plantillas!I$49</f>
        <v>0</v>
      </c>
      <c r="GZ23" s="1915" t="str">
        <f>Plantillas!I$50</f>
        <v>X</v>
      </c>
      <c r="HA23" s="1915" t="str">
        <f>Plantillas!I$51</f>
        <v>X</v>
      </c>
      <c r="HB23" s="1915">
        <f>Plantillas!I$52</f>
        <v>0</v>
      </c>
      <c r="HC23" s="1915">
        <f>Plantillas!I$53</f>
        <v>0</v>
      </c>
      <c r="HD23" s="1915">
        <f>Plantillas!I$54</f>
        <v>0</v>
      </c>
      <c r="HE23" s="1915">
        <f>Plantillas!I$55</f>
        <v>0</v>
      </c>
      <c r="HF23" s="1916">
        <f>Plantillas!I$56</f>
        <v>0</v>
      </c>
      <c r="HG23" s="1903"/>
      <c r="HH23" s="2378">
        <f>HH44+HJ44+HL44+HN44+HP44+HR44</f>
        <v>1773</v>
      </c>
      <c r="HI23" s="2377">
        <f>HI44+HK44+HM44+HO44+HQ44+HS44</f>
        <v>1547</v>
      </c>
      <c r="HJ23" s="3801" t="s">
        <v>1751</v>
      </c>
      <c r="HK23" s="3802"/>
      <c r="HL23" s="3802"/>
      <c r="HM23" s="3802"/>
      <c r="HN23" s="3802"/>
      <c r="HO23" s="3802"/>
      <c r="HP23" s="3802"/>
      <c r="HQ23" s="3803"/>
      <c r="HR23" s="3802">
        <f>SUM(HH25:HS43)</f>
        <v>3320</v>
      </c>
      <c r="HS23" s="3803"/>
      <c r="HT23" s="2378">
        <f>HT44+HV44+HX44+HZ44+IB44+ID44</f>
        <v>121</v>
      </c>
      <c r="HU23" s="2377">
        <f>HU44+HW44+HY44+IA44+IC44+IE44</f>
        <v>122</v>
      </c>
      <c r="HV23" s="3910" t="s">
        <v>1752</v>
      </c>
      <c r="HW23" s="3911"/>
      <c r="HX23" s="3911"/>
      <c r="HY23" s="3911"/>
      <c r="HZ23" s="3911"/>
      <c r="IA23" s="3911"/>
      <c r="IB23" s="3911"/>
      <c r="IC23" s="3911"/>
      <c r="ID23" s="3891">
        <f>SUM(HT25:IE43)</f>
        <v>243</v>
      </c>
      <c r="IE23" s="3892"/>
      <c r="IF23" s="2378">
        <f>IF44+IH44+IJ44+IL44+IN44+IP44</f>
        <v>192</v>
      </c>
      <c r="IG23" s="2377">
        <f>IG44+II44+IK44+IM44+IO44+IQ44</f>
        <v>138</v>
      </c>
      <c r="IH23" s="3905" t="s">
        <v>1753</v>
      </c>
      <c r="II23" s="3906"/>
      <c r="IJ23" s="3906"/>
      <c r="IK23" s="3906"/>
      <c r="IL23" s="3906"/>
      <c r="IM23" s="3906"/>
      <c r="IN23" s="3906"/>
      <c r="IO23" s="3906"/>
      <c r="IP23" s="3893">
        <f>SUM(IF25:IQ43)</f>
        <v>330</v>
      </c>
      <c r="IQ23" s="3894"/>
      <c r="IR23" s="2378">
        <f>IR44+IT44+IV44+IX44+IZ44+JB44</f>
        <v>0</v>
      </c>
      <c r="IS23" s="2377">
        <f>IS44+IU44+IW44+IY44+JA44+JC44</f>
        <v>0</v>
      </c>
      <c r="IT23" s="3886" t="s">
        <v>1754</v>
      </c>
      <c r="IU23" s="3887"/>
      <c r="IV23" s="3887"/>
      <c r="IW23" s="3887"/>
      <c r="IX23" s="3887"/>
      <c r="IY23" s="3887"/>
      <c r="IZ23" s="3887"/>
      <c r="JA23" s="3888"/>
      <c r="JB23" s="3801">
        <f>SUM(IR25:JC43)</f>
        <v>0</v>
      </c>
      <c r="JC23" s="3803"/>
      <c r="JD23" s="2321">
        <f>JD44+JF44+JH44+JJ44+JL44+JN44</f>
        <v>38</v>
      </c>
      <c r="JE23" s="2320">
        <f>JE44+JG44+JI44+JK44+JM44+JO44</f>
        <v>80</v>
      </c>
      <c r="JF23" s="3884" t="s">
        <v>1755</v>
      </c>
      <c r="JG23" s="3885"/>
      <c r="JH23" s="3885"/>
      <c r="JI23" s="3885"/>
      <c r="JJ23" s="3885"/>
      <c r="JK23" s="3885"/>
      <c r="JL23" s="3885"/>
      <c r="JM23" s="3885"/>
      <c r="JN23" s="3802">
        <f>SUM(JD25:JO43)</f>
        <v>118</v>
      </c>
      <c r="JO23" s="3803"/>
      <c r="JP23" s="2321">
        <f>JP44+JR44+JT44+JV44+JX44+JZ44</f>
        <v>0</v>
      </c>
      <c r="JQ23" s="2320">
        <f>JQ44+JS44+JU44+JW44+JY44+KA44</f>
        <v>0</v>
      </c>
      <c r="JR23" s="3889" t="s">
        <v>1756</v>
      </c>
      <c r="JS23" s="3890"/>
      <c r="JT23" s="3890"/>
      <c r="JU23" s="3890"/>
      <c r="JV23" s="3890"/>
      <c r="JW23" s="3890"/>
      <c r="JX23" s="3890"/>
      <c r="JY23" s="3890"/>
      <c r="JZ23" s="3802">
        <f>SUM(JP25:KA43)</f>
        <v>0</v>
      </c>
      <c r="KA23" s="3803"/>
      <c r="KB23" s="3907" t="s">
        <v>1757</v>
      </c>
      <c r="KC23" s="3908"/>
      <c r="KD23" s="3908"/>
      <c r="KE23" s="3908"/>
      <c r="KF23" s="3908"/>
      <c r="KG23" s="3909"/>
      <c r="KH23" s="3776" t="s">
        <v>846</v>
      </c>
      <c r="KI23" s="3777"/>
      <c r="KJ23" s="3777"/>
      <c r="KK23" s="3777"/>
      <c r="KL23" s="3777"/>
      <c r="KM23" s="3777"/>
      <c r="KN23" s="3777"/>
      <c r="KO23" s="3777"/>
      <c r="KP23" s="3777"/>
      <c r="KQ23" s="3777"/>
      <c r="KR23" s="3777"/>
      <c r="KS23" s="3777"/>
      <c r="KT23" s="3777"/>
      <c r="KU23" s="3777"/>
      <c r="KV23" s="3777"/>
      <c r="KW23" s="3777"/>
      <c r="KX23" s="3777"/>
      <c r="KY23" s="3777"/>
      <c r="KZ23" s="3777"/>
      <c r="LA23" s="3777"/>
      <c r="LB23" s="3778"/>
      <c r="LC23" s="3328">
        <v>0</v>
      </c>
      <c r="LD23" s="2880">
        <v>1</v>
      </c>
      <c r="LE23" s="2880">
        <v>2</v>
      </c>
      <c r="LF23" s="2880">
        <v>3</v>
      </c>
      <c r="LG23" s="2880">
        <v>4</v>
      </c>
      <c r="LH23" s="2880">
        <v>5</v>
      </c>
      <c r="LI23" s="2880">
        <v>6</v>
      </c>
      <c r="LJ23" s="2880">
        <v>7</v>
      </c>
      <c r="LK23" s="2880">
        <v>8</v>
      </c>
      <c r="LL23" s="2880">
        <v>9</v>
      </c>
      <c r="LM23" s="2880">
        <v>10</v>
      </c>
      <c r="LN23" s="2880">
        <v>11</v>
      </c>
      <c r="LO23" s="2880">
        <v>12</v>
      </c>
      <c r="LP23" s="2880">
        <v>13</v>
      </c>
      <c r="LQ23" s="2880">
        <v>14</v>
      </c>
      <c r="LR23" s="2880">
        <v>15</v>
      </c>
      <c r="LS23" s="2880">
        <v>16</v>
      </c>
      <c r="LT23" s="2880">
        <v>17</v>
      </c>
      <c r="LU23" s="2880">
        <v>18</v>
      </c>
      <c r="LV23" s="2880">
        <v>19</v>
      </c>
      <c r="LW23" s="3329">
        <v>20</v>
      </c>
    </row>
    <row r="24" spans="1:336" ht="12.75" customHeight="1">
      <c r="A24" s="16">
        <v>8</v>
      </c>
      <c r="B24" s="31" t="str">
        <f>VLOOKUP(T6,AX23:DI42,23,23)</f>
        <v>4º</v>
      </c>
      <c r="C24" s="35" t="str">
        <f>VLOOKUP(T6,AX23:DI42,24,24)</f>
        <v>A</v>
      </c>
      <c r="D24" s="29" t="str">
        <f>VLOOKUP(T6,BG2:CA21,9,9)</f>
        <v>SANCHEZ BUSTAMANTE * CONCEPCION</v>
      </c>
      <c r="E24" s="21"/>
      <c r="F24" s="21"/>
      <c r="G24" s="21"/>
      <c r="H24" s="21"/>
      <c r="I24" s="3360" t="str">
        <f>VLOOKUP(T6,LC24:LW43,9,21)</f>
        <v>042</v>
      </c>
      <c r="J24" s="3780">
        <f>VLOOKUP(T6,AX44:BR63,9,9)</f>
        <v>0</v>
      </c>
      <c r="K24" s="3780"/>
      <c r="L24" s="3780">
        <f>VLOOKUP(T6,BS44:CM63,9,9)</f>
        <v>6.1</v>
      </c>
      <c r="M24" s="3780"/>
      <c r="N24" s="3780">
        <f>VLOOKUP(T6,CN44:DH63,9,9)</f>
        <v>0</v>
      </c>
      <c r="O24" s="3780"/>
      <c r="P24" s="3780">
        <f>VLOOKUP(T6,DI44:EC63,9,9)</f>
        <v>0</v>
      </c>
      <c r="Q24" s="3780"/>
      <c r="R24" s="3780">
        <f>VLOOKUP(T6,ED44:EX63,9,9)</f>
        <v>0</v>
      </c>
      <c r="S24" s="3780"/>
      <c r="T24" s="3780">
        <f>VLOOKUP(T6,EY44:FS63,9,9)</f>
        <v>0</v>
      </c>
      <c r="U24" s="3780"/>
      <c r="V24" s="3781">
        <f t="shared" si="32"/>
        <v>1.5249999999999999</v>
      </c>
      <c r="W24" s="3782"/>
      <c r="X24" s="3820"/>
      <c r="Y24" s="3821"/>
      <c r="Z24" s="3820"/>
      <c r="AA24" s="3821"/>
      <c r="AB24" s="3783"/>
      <c r="AC24" s="3784"/>
      <c r="AD24" s="3783"/>
      <c r="AE24" s="3784"/>
      <c r="AF24" s="2939" t="str">
        <f t="shared" si="33"/>
        <v>4ºA</v>
      </c>
      <c r="AG24" s="2940">
        <f t="shared" si="34"/>
        <v>31</v>
      </c>
      <c r="AH24" s="3818">
        <f>VLOOKUP(T6,AX23:DI42,25,25)</f>
        <v>31</v>
      </c>
      <c r="AI24" s="3819"/>
      <c r="AJ24" s="3856"/>
      <c r="AK24" s="3857"/>
      <c r="AL24" s="3193">
        <f>VLOOKUP(T6,GL2:HF21,9,21)</f>
        <v>0</v>
      </c>
      <c r="AM24" s="3194" t="str">
        <f>VLOOKUP(T6,GL23:HF42,9,21)</f>
        <v>X</v>
      </c>
      <c r="AN24" s="3195" t="str">
        <f>VLOOKUP(T6,CB2:CV21,9,21)</f>
        <v>SABC641208519</v>
      </c>
      <c r="AO24" s="3195" t="str">
        <f>VLOOKUP(T6,CW2:DQ21,9,21)</f>
        <v>078312 E028100.0233935</v>
      </c>
      <c r="AP24" s="3195" t="str">
        <f>VLOOKUP(T6,DR2:EL21,9,21)</f>
        <v>DOCENTE</v>
      </c>
      <c r="AQ24" s="3195" t="str">
        <f>VLOOKUP(T6,DR23:EL42,9,21)</f>
        <v>23DPR0737O</v>
      </c>
      <c r="AR24" s="3195" t="str">
        <f>VLOOKUP(T6,LC2:LW21,9,21)</f>
        <v>SABC641208MQR</v>
      </c>
      <c r="AS24" s="3194" t="str">
        <f>VLOOKUP(T6,FH2:GB21,9,21)</f>
        <v>7A</v>
      </c>
      <c r="AT24" s="3194">
        <f>VLOOKUP(T6,EM2:FG21,9,21)</f>
        <v>10</v>
      </c>
      <c r="AU24" s="3196" t="str">
        <f>VLOOKUP(T6,FH23:GB42,9,21)</f>
        <v>01-09-1984</v>
      </c>
      <c r="AV24" s="3197" t="str">
        <f>VLOOKUP(T6,KH2:LB21,9,21)</f>
        <v>23DPR0055K</v>
      </c>
      <c r="AW24" s="2803" t="str">
        <f>VLOOKUP(T6,KH24:LB43,9,21)</f>
        <v>KABAH</v>
      </c>
      <c r="AX24" s="779">
        <v>2</v>
      </c>
      <c r="AY24" s="2013">
        <f>Plantillas!Y$77</f>
        <v>0</v>
      </c>
      <c r="AZ24" s="2014">
        <f>Plantillas!Z$77</f>
        <v>0</v>
      </c>
      <c r="BA24" s="2015">
        <f>Plantillas!AA$77</f>
        <v>0</v>
      </c>
      <c r="BB24" s="2013" t="str">
        <f>Plantillas!$Y$78</f>
        <v>1º</v>
      </c>
      <c r="BC24" s="2014" t="str">
        <f>Plantillas!Z$78</f>
        <v>A</v>
      </c>
      <c r="BD24" s="2016">
        <f>Plantillas!AA$78</f>
        <v>31</v>
      </c>
      <c r="BE24" s="2013" t="str">
        <f>Plantillas!Y$79</f>
        <v>1º</v>
      </c>
      <c r="BF24" s="2014" t="str">
        <f>Plantillas!Z$79</f>
        <v>B</v>
      </c>
      <c r="BG24" s="2016">
        <f>Plantillas!AA$79</f>
        <v>27</v>
      </c>
      <c r="BH24" s="2013" t="str">
        <f>Plantillas!Y$80</f>
        <v>1º</v>
      </c>
      <c r="BI24" s="2014" t="str">
        <f>Plantillas!Z$80</f>
        <v>C</v>
      </c>
      <c r="BJ24" s="2016">
        <f>Plantillas!AA$80</f>
        <v>29</v>
      </c>
      <c r="BK24" s="2013" t="str">
        <f>Plantillas!Y$81</f>
        <v>2º</v>
      </c>
      <c r="BL24" s="2014" t="str">
        <f>Plantillas!Z$81</f>
        <v>A</v>
      </c>
      <c r="BM24" s="2016">
        <f>Plantillas!AA$81</f>
        <v>32</v>
      </c>
      <c r="BN24" s="2013" t="str">
        <f>Plantillas!Y$82</f>
        <v>2º</v>
      </c>
      <c r="BO24" s="2014" t="str">
        <f>Plantillas!Z$82</f>
        <v>B</v>
      </c>
      <c r="BP24" s="2016">
        <f>Plantillas!AA$82</f>
        <v>34</v>
      </c>
      <c r="BQ24" s="2013" t="str">
        <f>Plantillas!Y$83</f>
        <v>3º</v>
      </c>
      <c r="BR24" s="2014" t="str">
        <f>Plantillas!Z$83</f>
        <v>A</v>
      </c>
      <c r="BS24" s="2016">
        <f>Plantillas!AA$83</f>
        <v>32</v>
      </c>
      <c r="BT24" s="2013" t="str">
        <f>Plantillas!Y$84</f>
        <v>3º</v>
      </c>
      <c r="BU24" s="2014" t="str">
        <f>Plantillas!Z$84</f>
        <v>B</v>
      </c>
      <c r="BV24" s="2016">
        <f>Plantillas!AA$84</f>
        <v>31</v>
      </c>
      <c r="BW24" s="2013" t="str">
        <f>Plantillas!Y$85</f>
        <v>4º</v>
      </c>
      <c r="BX24" s="2014" t="str">
        <f>Plantillas!Z$85</f>
        <v>A</v>
      </c>
      <c r="BY24" s="2016">
        <f>Plantillas!AA$85</f>
        <v>26</v>
      </c>
      <c r="BZ24" s="2013" t="str">
        <f>Plantillas!Y$86</f>
        <v>4º</v>
      </c>
      <c r="CA24" s="2014" t="str">
        <f>Plantillas!Z$86</f>
        <v>B</v>
      </c>
      <c r="CB24" s="2016">
        <f>Plantillas!AA$86</f>
        <v>28</v>
      </c>
      <c r="CC24" s="2013" t="str">
        <f>Plantillas!Y$87</f>
        <v>4º</v>
      </c>
      <c r="CD24" s="2014" t="str">
        <f>Plantillas!Z$87</f>
        <v>C</v>
      </c>
      <c r="CE24" s="2016">
        <f>Plantillas!AA$87</f>
        <v>30</v>
      </c>
      <c r="CF24" s="2013" t="str">
        <f>Plantillas!Y$88</f>
        <v>5º</v>
      </c>
      <c r="CG24" s="2014" t="str">
        <f>Plantillas!Z$88</f>
        <v>A</v>
      </c>
      <c r="CH24" s="2016">
        <f>Plantillas!AA$88</f>
        <v>34</v>
      </c>
      <c r="CI24" s="2013" t="str">
        <f>Plantillas!Y$89</f>
        <v>5º</v>
      </c>
      <c r="CJ24" s="2014" t="str">
        <f>Plantillas!Z$89</f>
        <v>B</v>
      </c>
      <c r="CK24" s="2016">
        <f>Plantillas!AA$89</f>
        <v>35</v>
      </c>
      <c r="CL24" s="2013" t="str">
        <f>Plantillas!Y$90</f>
        <v>6º</v>
      </c>
      <c r="CM24" s="2014" t="str">
        <f>Plantillas!Z$90</f>
        <v>A</v>
      </c>
      <c r="CN24" s="2016">
        <f>Plantillas!AA$90</f>
        <v>33</v>
      </c>
      <c r="CO24" s="2013" t="str">
        <f>Plantillas!Y$91</f>
        <v>6º</v>
      </c>
      <c r="CP24" s="2014" t="str">
        <f>Plantillas!Z$91</f>
        <v>B</v>
      </c>
      <c r="CQ24" s="2016">
        <f>Plantillas!AA$91</f>
        <v>34</v>
      </c>
      <c r="CR24" s="2013">
        <f>Plantillas!Y$92</f>
        <v>0</v>
      </c>
      <c r="CS24" s="2014">
        <f>Plantillas!Z$92</f>
        <v>0</v>
      </c>
      <c r="CT24" s="2016">
        <f>Plantillas!AA$92</f>
        <v>0</v>
      </c>
      <c r="CU24" s="2013">
        <f>Plantillas!Y$93</f>
        <v>0</v>
      </c>
      <c r="CV24" s="2014">
        <f>Plantillas!Z$93</f>
        <v>0</v>
      </c>
      <c r="CW24" s="2016">
        <f>Plantillas!AA$93</f>
        <v>0</v>
      </c>
      <c r="CX24" s="2013">
        <f>Plantillas!Y$94</f>
        <v>0</v>
      </c>
      <c r="CY24" s="2014">
        <f>Plantillas!Z$94</f>
        <v>0</v>
      </c>
      <c r="CZ24" s="2016">
        <f>Plantillas!AA$94</f>
        <v>0</v>
      </c>
      <c r="DA24" s="2013">
        <f>Plantillas!Y$95</f>
        <v>0</v>
      </c>
      <c r="DB24" s="2014">
        <f>Plantillas!Z$95</f>
        <v>0</v>
      </c>
      <c r="DC24" s="2016">
        <f>Plantillas!AA$95</f>
        <v>0</v>
      </c>
      <c r="DD24" s="2013">
        <f>Plantillas!Y$96</f>
        <v>0</v>
      </c>
      <c r="DE24" s="2014">
        <f>Plantillas!Z$96</f>
        <v>0</v>
      </c>
      <c r="DF24" s="2016">
        <f>Plantillas!AA$96</f>
        <v>0</v>
      </c>
      <c r="DG24" s="2013">
        <f>Plantillas!Y$97</f>
        <v>0</v>
      </c>
      <c r="DH24" s="2014">
        <v>3</v>
      </c>
      <c r="DI24" s="2091" t="str">
        <f>Estadisticas!AA4</f>
        <v>toloc65@hotmail.com</v>
      </c>
      <c r="DJ24" s="183">
        <v>2</v>
      </c>
      <c r="DK24" s="84" t="str">
        <f>VLOOKUP(T6,BG2:CA21,3,3)</f>
        <v>ARANDA ESCALANTE * ARELI GUADALUPE</v>
      </c>
      <c r="DL24" s="2018" t="str">
        <f>VLOOKUP(T6,CB2:CV21,3,3)</f>
        <v>AAEA820728V25</v>
      </c>
      <c r="DM24" s="2019" t="str">
        <f>VLOOKUP(T6,CW2:DQ21,3,3)</f>
        <v>078312 E028100.0230501</v>
      </c>
      <c r="DN24" s="2020" t="str">
        <f>VLOOKUP(T6,DR2:EL21,3,3)</f>
        <v>DOCENTE</v>
      </c>
      <c r="DO24" s="2021">
        <f>VLOOKUP(T6,DR23:EL42,3,3)</f>
        <v>0</v>
      </c>
      <c r="DP24" s="2022">
        <f>VLOOKUP(T6,EM2:FG21,3,3)</f>
        <v>10</v>
      </c>
      <c r="DQ24" s="84">
        <f>VLOOKUP(T6,EM23:FG42,3,3)</f>
        <v>29</v>
      </c>
      <c r="DR24" s="2023">
        <v>2</v>
      </c>
      <c r="DS24" s="2024" t="str">
        <f>Plantillas!N$77</f>
        <v>23DPR0492K</v>
      </c>
      <c r="DT24" s="2024">
        <f>Plantillas!N$78</f>
        <v>0</v>
      </c>
      <c r="DU24" s="2024" t="str">
        <f>Plantillas!N$79</f>
        <v>23DPR0593I</v>
      </c>
      <c r="DV24" s="2024" t="str">
        <f>Plantillas!N$80</f>
        <v>23DPR0436S</v>
      </c>
      <c r="DW24" s="2024">
        <f>Plantillas!N$81</f>
        <v>0</v>
      </c>
      <c r="DX24" s="2024">
        <f>Plantillas!N$82</f>
        <v>0</v>
      </c>
      <c r="DY24" s="2024">
        <f>Plantillas!N$83</f>
        <v>0</v>
      </c>
      <c r="DZ24" s="2024" t="str">
        <f>Plantillas!N$84</f>
        <v>23DPR0492K</v>
      </c>
      <c r="EA24" s="2024" t="str">
        <f>Plantillas!N$85</f>
        <v>23DPR0541C</v>
      </c>
      <c r="EB24" s="2024" t="str">
        <f>Plantillas!N$86</f>
        <v>23DPR0492K</v>
      </c>
      <c r="EC24" s="2024">
        <f>Plantillas!N$87</f>
        <v>0</v>
      </c>
      <c r="ED24" s="2024" t="str">
        <f>Plantillas!N$88</f>
        <v>23DPR0570Y</v>
      </c>
      <c r="EE24" s="2024" t="str">
        <f>Plantillas!N$89</f>
        <v>23DPR0688W</v>
      </c>
      <c r="EF24" s="2024" t="str">
        <f>Plantillas!N$90</f>
        <v xml:space="preserve"> 23FUA0027Y</v>
      </c>
      <c r="EG24" s="2024">
        <f>Plantillas!N$91</f>
        <v>0</v>
      </c>
      <c r="EH24" s="2024">
        <f>Plantillas!N$92</f>
        <v>0</v>
      </c>
      <c r="EI24" s="2024">
        <f>Plantillas!N$93</f>
        <v>0</v>
      </c>
      <c r="EJ24" s="2024">
        <f>Plantillas!N$94</f>
        <v>0</v>
      </c>
      <c r="EK24" s="2024">
        <f>Plantillas!N$95</f>
        <v>0</v>
      </c>
      <c r="EL24" s="2024">
        <f>Plantillas!N$96</f>
        <v>0</v>
      </c>
      <c r="EM24" s="779">
        <v>2</v>
      </c>
      <c r="EN24" s="1966">
        <f>Plantillas!AA$77</f>
        <v>0</v>
      </c>
      <c r="EO24" s="1966">
        <f>Plantillas!AA$78</f>
        <v>31</v>
      </c>
      <c r="EP24" s="1966">
        <f>Plantillas!AA$79</f>
        <v>27</v>
      </c>
      <c r="EQ24" s="1966">
        <f>Plantillas!AA$80</f>
        <v>29</v>
      </c>
      <c r="ER24" s="1966">
        <f>Plantillas!AA$81</f>
        <v>32</v>
      </c>
      <c r="ES24" s="1966">
        <f>Plantillas!AA$82</f>
        <v>34</v>
      </c>
      <c r="ET24" s="1966">
        <f>Plantillas!AA$83</f>
        <v>32</v>
      </c>
      <c r="EU24" s="1966">
        <f>Plantillas!AA$84</f>
        <v>31</v>
      </c>
      <c r="EV24" s="1966">
        <f>Plantillas!AA$85</f>
        <v>26</v>
      </c>
      <c r="EW24" s="1966">
        <f>Plantillas!AA$86</f>
        <v>28</v>
      </c>
      <c r="EX24" s="1966">
        <f>Plantillas!AA$87</f>
        <v>30</v>
      </c>
      <c r="EY24" s="1966">
        <f>Plantillas!AA$88</f>
        <v>34</v>
      </c>
      <c r="EZ24" s="1966">
        <f>Plantillas!AA$89</f>
        <v>35</v>
      </c>
      <c r="FA24" s="1966">
        <f>Plantillas!AA$90</f>
        <v>33</v>
      </c>
      <c r="FB24" s="1966">
        <f>Plantillas!AA$91</f>
        <v>34</v>
      </c>
      <c r="FC24" s="1966">
        <f>Plantillas!AA$92</f>
        <v>0</v>
      </c>
      <c r="FD24" s="1966">
        <f>Plantillas!AA$93</f>
        <v>0</v>
      </c>
      <c r="FE24" s="1966">
        <f>Plantillas!AA$94</f>
        <v>0</v>
      </c>
      <c r="FF24" s="1966">
        <f>Plantillas!AA$95</f>
        <v>0</v>
      </c>
      <c r="FG24" s="1967">
        <f>Plantillas!AA$96</f>
        <v>0</v>
      </c>
      <c r="FH24" s="779">
        <v>2</v>
      </c>
      <c r="FI24" s="1959" t="str">
        <f>Plantillas!W$77</f>
        <v>01-09-1986</v>
      </c>
      <c r="FJ24" s="1959" t="str">
        <f>Plantillas!W$78</f>
        <v>01-09-2000</v>
      </c>
      <c r="FK24" s="1959" t="str">
        <f>Plantillas!W$79</f>
        <v>01-09-1990</v>
      </c>
      <c r="FL24" s="1959" t="str">
        <f>Plantillas!W$80</f>
        <v>20-08-2012</v>
      </c>
      <c r="FM24" s="1959">
        <f>Plantillas!W$81</f>
        <v>0</v>
      </c>
      <c r="FN24" s="1959" t="str">
        <f>Plantillas!W$82</f>
        <v>01-02-1992</v>
      </c>
      <c r="FO24" s="1959">
        <f>Plantillas!W$83</f>
        <v>0</v>
      </c>
      <c r="FP24" s="1959" t="str">
        <f>Plantillas!W$84</f>
        <v>01-09-1991</v>
      </c>
      <c r="FQ24" s="1959" t="str">
        <f>Plantillas!W$85</f>
        <v>01-09-2005</v>
      </c>
      <c r="FR24" s="1959" t="str">
        <f>Plantillas!W$86</f>
        <v>01-09-1991</v>
      </c>
      <c r="FS24" s="1959" t="str">
        <f>Plantillas!W$87</f>
        <v>20-10-1987</v>
      </c>
      <c r="FT24" s="1959" t="str">
        <f>Plantillas!W$88</f>
        <v>16-08-2005</v>
      </c>
      <c r="FU24" s="1959" t="str">
        <f>Plantillas!W$89</f>
        <v>101-09-1987</v>
      </c>
      <c r="FV24" s="1959" t="str">
        <f>Plantillas!W$90</f>
        <v>01-09-1991</v>
      </c>
      <c r="FW24" s="1959">
        <f>Plantillas!W$91</f>
        <v>0</v>
      </c>
      <c r="FX24" s="1959" t="str">
        <f>Plantillas!W$92</f>
        <v>16-10-1998</v>
      </c>
      <c r="FY24" s="1959" t="str">
        <f>Plantillas!W$93</f>
        <v>16-10-1998</v>
      </c>
      <c r="FZ24" s="1959">
        <f>Plantillas!W$94</f>
        <v>0</v>
      </c>
      <c r="GA24" s="1959" t="str">
        <f>Plantillas!W$95</f>
        <v>01-10-1994</v>
      </c>
      <c r="GB24" s="2025">
        <f>Plantillas!W$96</f>
        <v>0</v>
      </c>
      <c r="GC24" s="1358">
        <v>2</v>
      </c>
      <c r="GD24" s="1359">
        <f>JD26+JE26</f>
        <v>3</v>
      </c>
      <c r="GE24" s="1359">
        <f t="shared" ref="GE24:GE42" si="40">JF26+JG26</f>
        <v>2</v>
      </c>
      <c r="GF24" s="1359">
        <f t="shared" ref="GF24:GF42" si="41">JH26+JI26</f>
        <v>2</v>
      </c>
      <c r="GG24" s="1359">
        <f t="shared" ref="GG24:GG42" si="42">JJ26+JK26</f>
        <v>3</v>
      </c>
      <c r="GH24" s="1359">
        <f t="shared" ref="GH24:GH42" si="43">JL26+JM26</f>
        <v>2</v>
      </c>
      <c r="GI24" s="1359">
        <f t="shared" ref="GI24:GI42" si="44">JN26+JO26</f>
        <v>1</v>
      </c>
      <c r="GJ24" s="1359">
        <f t="shared" ref="GJ24:GJ37" si="45">SUM(GD24:GI24)</f>
        <v>13</v>
      </c>
      <c r="GK24" s="1360">
        <f t="shared" ref="GK24:GK42" si="46">SUM(JV4:KA4)</f>
        <v>436</v>
      </c>
      <c r="GL24" s="1359">
        <v>2</v>
      </c>
      <c r="GM24" s="1933">
        <f>Plantillas!I$77</f>
        <v>0</v>
      </c>
      <c r="GN24" s="1933" t="str">
        <f>Plantillas!I$78</f>
        <v>X</v>
      </c>
      <c r="GO24" s="1933">
        <f>Plantillas!I$79</f>
        <v>0</v>
      </c>
      <c r="GP24" s="1933" t="str">
        <f>Plantillas!I$80</f>
        <v>X</v>
      </c>
      <c r="GQ24" s="1933" t="str">
        <f>Plantillas!I$81</f>
        <v>X</v>
      </c>
      <c r="GR24" s="1933" t="str">
        <f>Plantillas!I$82</f>
        <v>X</v>
      </c>
      <c r="GS24" s="1933" t="str">
        <f>Plantillas!I$83</f>
        <v>X</v>
      </c>
      <c r="GT24" s="1933" t="str">
        <f>Plantillas!I$84</f>
        <v>X</v>
      </c>
      <c r="GU24" s="1933" t="str">
        <f>Plantillas!I$85</f>
        <v>X</v>
      </c>
      <c r="GV24" s="1933" t="str">
        <f>Plantillas!I$86</f>
        <v>X</v>
      </c>
      <c r="GW24" s="1933" t="str">
        <f>Plantillas!I$87</f>
        <v>X</v>
      </c>
      <c r="GX24" s="1933">
        <f>Plantillas!I$88</f>
        <v>0</v>
      </c>
      <c r="GY24" s="1933" t="str">
        <f>Plantillas!I$89</f>
        <v>X</v>
      </c>
      <c r="GZ24" s="1933">
        <f>Plantillas!I$90</f>
        <v>0</v>
      </c>
      <c r="HA24" s="1933">
        <f>Plantillas!I$91</f>
        <v>0</v>
      </c>
      <c r="HB24" s="1933" t="str">
        <f>Plantillas!I$92</f>
        <v>X</v>
      </c>
      <c r="HC24" s="1933">
        <f>Plantillas!I$93</f>
        <v>0</v>
      </c>
      <c r="HD24" s="1933" t="str">
        <f>Plantillas!I$94</f>
        <v>X</v>
      </c>
      <c r="HE24" s="1933">
        <f>Plantillas!I$95</f>
        <v>0</v>
      </c>
      <c r="HF24" s="1934">
        <f>Plantillas!I$96</f>
        <v>0</v>
      </c>
      <c r="HG24" s="778">
        <v>0</v>
      </c>
      <c r="HH24" s="2701">
        <v>2</v>
      </c>
      <c r="HI24" s="2702">
        <v>3</v>
      </c>
      <c r="HJ24" s="2701">
        <v>4</v>
      </c>
      <c r="HK24" s="2703">
        <v>5</v>
      </c>
      <c r="HL24" s="2701">
        <v>6</v>
      </c>
      <c r="HM24" s="2702">
        <v>7</v>
      </c>
      <c r="HN24" s="2701">
        <v>8</v>
      </c>
      <c r="HO24" s="2702">
        <v>9</v>
      </c>
      <c r="HP24" s="2701">
        <v>10</v>
      </c>
      <c r="HQ24" s="2702">
        <v>11</v>
      </c>
      <c r="HR24" s="2701">
        <v>12</v>
      </c>
      <c r="HS24" s="2703">
        <v>13</v>
      </c>
      <c r="HT24" s="2701">
        <v>14</v>
      </c>
      <c r="HU24" s="2702">
        <v>15</v>
      </c>
      <c r="HV24" s="2701">
        <v>16</v>
      </c>
      <c r="HW24" s="2702">
        <v>17</v>
      </c>
      <c r="HX24" s="2701">
        <v>18</v>
      </c>
      <c r="HY24" s="2702">
        <v>19</v>
      </c>
      <c r="HZ24" s="2701">
        <v>20</v>
      </c>
      <c r="IA24" s="2702">
        <v>21</v>
      </c>
      <c r="IB24" s="2701">
        <v>22</v>
      </c>
      <c r="IC24" s="2702">
        <v>23</v>
      </c>
      <c r="ID24" s="2701">
        <v>24</v>
      </c>
      <c r="IE24" s="2703">
        <v>25</v>
      </c>
      <c r="IF24" s="2701">
        <v>26</v>
      </c>
      <c r="IG24" s="2702">
        <v>27</v>
      </c>
      <c r="IH24" s="2704">
        <v>28</v>
      </c>
      <c r="II24" s="2705">
        <v>29</v>
      </c>
      <c r="IJ24" s="2701">
        <v>30</v>
      </c>
      <c r="IK24" s="2702">
        <v>31</v>
      </c>
      <c r="IL24" s="2704">
        <v>32</v>
      </c>
      <c r="IM24" s="2705">
        <v>33</v>
      </c>
      <c r="IN24" s="2701">
        <v>34</v>
      </c>
      <c r="IO24" s="2702">
        <v>35</v>
      </c>
      <c r="IP24" s="2704">
        <v>36</v>
      </c>
      <c r="IQ24" s="2706">
        <v>37</v>
      </c>
      <c r="IR24" s="2707">
        <v>38</v>
      </c>
      <c r="IS24" s="2708">
        <v>39</v>
      </c>
      <c r="IT24" s="2701">
        <v>40</v>
      </c>
      <c r="IU24" s="2702">
        <v>41</v>
      </c>
      <c r="IV24" s="2709">
        <v>42</v>
      </c>
      <c r="IW24" s="2708">
        <v>43</v>
      </c>
      <c r="IX24" s="2701">
        <v>44</v>
      </c>
      <c r="IY24" s="2702">
        <v>45</v>
      </c>
      <c r="IZ24" s="2709">
        <v>46</v>
      </c>
      <c r="JA24" s="2708">
        <v>47</v>
      </c>
      <c r="JB24" s="2710">
        <v>48</v>
      </c>
      <c r="JC24" s="2702">
        <v>49</v>
      </c>
      <c r="JD24" s="2711">
        <v>50</v>
      </c>
      <c r="JE24" s="2705">
        <v>51</v>
      </c>
      <c r="JF24" s="2710">
        <v>52</v>
      </c>
      <c r="JG24" s="2702">
        <v>53</v>
      </c>
      <c r="JH24" s="2711">
        <v>54</v>
      </c>
      <c r="JI24" s="2705">
        <v>55</v>
      </c>
      <c r="JJ24" s="2710">
        <v>56</v>
      </c>
      <c r="JK24" s="2702">
        <v>57</v>
      </c>
      <c r="JL24" s="2711">
        <v>58</v>
      </c>
      <c r="JM24" s="2705">
        <v>59</v>
      </c>
      <c r="JN24" s="2710">
        <v>60</v>
      </c>
      <c r="JO24" s="2702">
        <v>61</v>
      </c>
      <c r="JP24" s="2712">
        <v>62</v>
      </c>
      <c r="JQ24" s="2713">
        <v>63</v>
      </c>
      <c r="JR24" s="2712">
        <v>64</v>
      </c>
      <c r="JS24" s="2713">
        <v>65</v>
      </c>
      <c r="JT24" s="2712">
        <v>66</v>
      </c>
      <c r="JU24" s="2713">
        <v>67</v>
      </c>
      <c r="JV24" s="2712">
        <v>68</v>
      </c>
      <c r="JW24" s="2713">
        <v>69</v>
      </c>
      <c r="JX24" s="2712">
        <v>70</v>
      </c>
      <c r="JY24" s="2713">
        <v>71</v>
      </c>
      <c r="JZ24" s="2712">
        <v>72</v>
      </c>
      <c r="KA24" s="2713">
        <v>73</v>
      </c>
      <c r="KB24" s="2712">
        <v>74</v>
      </c>
      <c r="KC24" s="2714">
        <v>75</v>
      </c>
      <c r="KD24" s="2712">
        <v>76</v>
      </c>
      <c r="KE24" s="2714">
        <v>77</v>
      </c>
      <c r="KF24" s="2712">
        <v>78</v>
      </c>
      <c r="KG24" s="2714">
        <v>79</v>
      </c>
      <c r="KH24" s="1358">
        <v>1</v>
      </c>
      <c r="KI24" s="1931" t="str">
        <f>Plantillas!D32</f>
        <v>KABAH</v>
      </c>
      <c r="KJ24" s="1931" t="str">
        <f t="shared" ref="KJ24:KJ39" si="47">KI24</f>
        <v>KABAH</v>
      </c>
      <c r="KK24" s="1931" t="str">
        <f t="shared" ref="KK24:KX24" si="48">KJ24</f>
        <v>KABAH</v>
      </c>
      <c r="KL24" s="1931" t="str">
        <f t="shared" si="48"/>
        <v>KABAH</v>
      </c>
      <c r="KM24" s="1931" t="str">
        <f t="shared" si="48"/>
        <v>KABAH</v>
      </c>
      <c r="KN24" s="1931" t="str">
        <f t="shared" si="48"/>
        <v>KABAH</v>
      </c>
      <c r="KO24" s="1931" t="str">
        <f t="shared" si="48"/>
        <v>KABAH</v>
      </c>
      <c r="KP24" s="1931" t="str">
        <f t="shared" si="48"/>
        <v>KABAH</v>
      </c>
      <c r="KQ24" s="1931" t="str">
        <f t="shared" si="48"/>
        <v>KABAH</v>
      </c>
      <c r="KR24" s="1931" t="str">
        <f t="shared" si="48"/>
        <v>KABAH</v>
      </c>
      <c r="KS24" s="1931" t="str">
        <f t="shared" si="48"/>
        <v>KABAH</v>
      </c>
      <c r="KT24" s="1931" t="str">
        <f t="shared" si="48"/>
        <v>KABAH</v>
      </c>
      <c r="KU24" s="1931" t="str">
        <f t="shared" si="48"/>
        <v>KABAH</v>
      </c>
      <c r="KV24" s="1931" t="str">
        <f t="shared" si="48"/>
        <v>KABAH</v>
      </c>
      <c r="KW24" s="1931" t="str">
        <f t="shared" si="48"/>
        <v>KABAH</v>
      </c>
      <c r="KX24" s="1931" t="str">
        <f t="shared" si="48"/>
        <v>KABAH</v>
      </c>
      <c r="KY24" s="1931"/>
      <c r="KZ24" s="1931"/>
      <c r="LA24" s="1931"/>
      <c r="LB24" s="1932"/>
      <c r="LC24" s="1355">
        <v>1</v>
      </c>
      <c r="LD24" s="2984" t="s">
        <v>100</v>
      </c>
      <c r="LE24" s="2984" t="s">
        <v>100</v>
      </c>
      <c r="LF24" s="2984" t="s">
        <v>100</v>
      </c>
      <c r="LG24" s="2984" t="s">
        <v>100</v>
      </c>
      <c r="LH24" s="2984" t="s">
        <v>100</v>
      </c>
      <c r="LI24" s="2984" t="s">
        <v>100</v>
      </c>
      <c r="LJ24" s="2984" t="s">
        <v>100</v>
      </c>
      <c r="LK24" s="2984" t="s">
        <v>100</v>
      </c>
      <c r="LL24" s="2984" t="s">
        <v>100</v>
      </c>
      <c r="LM24" s="2984" t="s">
        <v>100</v>
      </c>
      <c r="LN24" s="2984" t="s">
        <v>100</v>
      </c>
      <c r="LO24" s="2984" t="s">
        <v>100</v>
      </c>
      <c r="LP24" s="2984" t="s">
        <v>100</v>
      </c>
      <c r="LQ24" s="2984" t="s">
        <v>100</v>
      </c>
      <c r="LR24" s="2984" t="s">
        <v>100</v>
      </c>
      <c r="LS24" s="2984" t="s">
        <v>100</v>
      </c>
      <c r="LT24" s="2984"/>
      <c r="LU24" s="2984"/>
      <c r="LV24" s="2984"/>
      <c r="LW24" s="2987"/>
    </row>
    <row r="25" spans="1:336" ht="12.75" customHeight="1">
      <c r="A25" s="16">
        <v>9</v>
      </c>
      <c r="B25" s="31" t="str">
        <f>VLOOKUP(T6,AX23:DI42,26,26)</f>
        <v>4º</v>
      </c>
      <c r="C25" s="35" t="str">
        <f>VLOOKUP(T6,AX23:DI42,27,27)</f>
        <v>B</v>
      </c>
      <c r="D25" s="29" t="str">
        <f>VLOOKUP(T6,BG2:CA21,10,10)</f>
        <v>VIVEROS SALAZAR *NORA</v>
      </c>
      <c r="E25" s="21"/>
      <c r="F25" s="21"/>
      <c r="G25" s="21"/>
      <c r="H25" s="21"/>
      <c r="I25" s="3360" t="str">
        <f>VLOOKUP(T6,LC24:LW43,10,21)</f>
        <v>042</v>
      </c>
      <c r="J25" s="3780">
        <f>VLOOKUP(T6,AX44:BR63,10,10)</f>
        <v>0</v>
      </c>
      <c r="K25" s="3780"/>
      <c r="L25" s="3780">
        <f>VLOOKUP(T6,BS44:CM63,10,10)</f>
        <v>6.9</v>
      </c>
      <c r="M25" s="3780"/>
      <c r="N25" s="3780">
        <f>VLOOKUP(T6,CN44:DH63,10,10)</f>
        <v>0</v>
      </c>
      <c r="O25" s="3780"/>
      <c r="P25" s="3780">
        <f>VLOOKUP(T6,DI44:EC63,10,10)</f>
        <v>0</v>
      </c>
      <c r="Q25" s="3780"/>
      <c r="R25" s="3780">
        <f>VLOOKUP(T6,ED44:EX63,10,10)</f>
        <v>0</v>
      </c>
      <c r="S25" s="3780"/>
      <c r="T25" s="3780">
        <f>VLOOKUP(T6,EY44:FS63,10,10)</f>
        <v>0</v>
      </c>
      <c r="U25" s="3780"/>
      <c r="V25" s="3781">
        <f t="shared" si="32"/>
        <v>1.7250000000000001</v>
      </c>
      <c r="W25" s="3782"/>
      <c r="X25" s="3820"/>
      <c r="Y25" s="3821"/>
      <c r="Z25" s="3820"/>
      <c r="AA25" s="3821"/>
      <c r="AB25" s="3783"/>
      <c r="AC25" s="3784"/>
      <c r="AD25" s="3783"/>
      <c r="AE25" s="3784"/>
      <c r="AF25" s="2939" t="str">
        <f t="shared" si="33"/>
        <v>4ºB</v>
      </c>
      <c r="AG25" s="2940">
        <f t="shared" si="34"/>
        <v>29</v>
      </c>
      <c r="AH25" s="3818">
        <f>VLOOKUP(T6,AX23:DI42,28,28)</f>
        <v>29</v>
      </c>
      <c r="AI25" s="3819"/>
      <c r="AJ25" s="3856"/>
      <c r="AK25" s="3857"/>
      <c r="AL25" s="3193">
        <f>VLOOKUP(T6,GL2:HF21,10,21)</f>
        <v>0</v>
      </c>
      <c r="AM25" s="3194" t="str">
        <f>VLOOKUP(T6,GL23:HF42,10,21)</f>
        <v>X</v>
      </c>
      <c r="AN25" s="3195" t="str">
        <f>VLOOKUP(T6,CB2:CV21,10,21)</f>
        <v>VISN610207QM0</v>
      </c>
      <c r="AO25" s="3195" t="str">
        <f>VLOOKUP(T6,CW2:DQ21,10,21)</f>
        <v>078312 E028100.0232459</v>
      </c>
      <c r="AP25" s="3195" t="str">
        <f>VLOOKUP(T6,DR2:EL21,10,21)</f>
        <v>DOCENTE</v>
      </c>
      <c r="AQ25" s="3195" t="str">
        <f>VLOOKUP(T6,DR23:EL42,10,21)</f>
        <v>23DPR0710H</v>
      </c>
      <c r="AR25" s="3195" t="str">
        <f>VLOOKUP(T6,LC2:LW21,10,21)</f>
        <v>VISN610207MQR</v>
      </c>
      <c r="AS25" s="3194" t="str">
        <f>VLOOKUP(T6,FH2:GB21,10,21)</f>
        <v>7A</v>
      </c>
      <c r="AT25" s="3194">
        <f>VLOOKUP(T6,EM2:FG21,10,21)</f>
        <v>10</v>
      </c>
      <c r="AU25" s="3196" t="str">
        <f>VLOOKUP(T6,FH23:GB42,10,21)</f>
        <v>01-10-1993</v>
      </c>
      <c r="AV25" s="3197" t="str">
        <f>VLOOKUP(T6,KH2:LB21,10,21)</f>
        <v>23DPR0055K</v>
      </c>
      <c r="AW25" s="2803" t="str">
        <f>VLOOKUP(T6,KH24:LB43,10,21)</f>
        <v>KABAH</v>
      </c>
      <c r="AX25" s="779">
        <v>3</v>
      </c>
      <c r="AY25" s="2013">
        <f>Plantillas!Y$117</f>
        <v>0</v>
      </c>
      <c r="AZ25" s="2014">
        <f>Plantillas!Z$117</f>
        <v>0</v>
      </c>
      <c r="BA25" s="2015">
        <f>Plantillas!AA$117</f>
        <v>0</v>
      </c>
      <c r="BB25" s="2013" t="str">
        <f>Plantillas!Y$118</f>
        <v>1º</v>
      </c>
      <c r="BC25" s="2014" t="str">
        <f>Plantillas!Z$118</f>
        <v>A</v>
      </c>
      <c r="BD25" s="2016">
        <f>Plantillas!AA$118</f>
        <v>32</v>
      </c>
      <c r="BE25" s="2013" t="str">
        <f>Plantillas!Y$119</f>
        <v>2º</v>
      </c>
      <c r="BF25" s="2014" t="str">
        <f>Plantillas!Z$119</f>
        <v>A</v>
      </c>
      <c r="BG25" s="2016">
        <f>Plantillas!AA$119</f>
        <v>27</v>
      </c>
      <c r="BH25" s="2013" t="str">
        <f>Plantillas!Y$120</f>
        <v>2º</v>
      </c>
      <c r="BI25" s="2014" t="str">
        <f>Plantillas!Z$120</f>
        <v>B</v>
      </c>
      <c r="BJ25" s="2016">
        <f>Plantillas!AA$120</f>
        <v>31</v>
      </c>
      <c r="BK25" s="2013" t="str">
        <f>Plantillas!Y$121</f>
        <v>3º</v>
      </c>
      <c r="BL25" s="2014" t="str">
        <f>Plantillas!Z$121</f>
        <v>A</v>
      </c>
      <c r="BM25" s="2016">
        <f>Plantillas!AA$121</f>
        <v>27</v>
      </c>
      <c r="BN25" s="2013" t="str">
        <f>Plantillas!Y$122</f>
        <v>3º</v>
      </c>
      <c r="BO25" s="2014" t="str">
        <f>Plantillas!Z$122</f>
        <v>B</v>
      </c>
      <c r="BP25" s="2016">
        <f>Plantillas!AA$122</f>
        <v>22</v>
      </c>
      <c r="BQ25" s="2013" t="str">
        <f>Plantillas!Y$123</f>
        <v>4º</v>
      </c>
      <c r="BR25" s="2014" t="str">
        <f>Plantillas!Z$123</f>
        <v>A</v>
      </c>
      <c r="BS25" s="2016">
        <f>Plantillas!AA$123</f>
        <v>35</v>
      </c>
      <c r="BT25" s="2013" t="str">
        <f>Plantillas!Y$124</f>
        <v>5º</v>
      </c>
      <c r="BU25" s="2014" t="str">
        <f>Plantillas!Z$124</f>
        <v>A</v>
      </c>
      <c r="BV25" s="2016">
        <f>Plantillas!AA$124</f>
        <v>23</v>
      </c>
      <c r="BW25" s="2013" t="str">
        <f>Plantillas!Y$125</f>
        <v>5º</v>
      </c>
      <c r="BX25" s="2014" t="str">
        <f>Plantillas!Z$125</f>
        <v>B</v>
      </c>
      <c r="BY25" s="2016">
        <f>Plantillas!AA$125</f>
        <v>23</v>
      </c>
      <c r="BZ25" s="2013" t="str">
        <f>Plantillas!Y$126</f>
        <v>6º</v>
      </c>
      <c r="CA25" s="2014" t="str">
        <f>Plantillas!Z$126</f>
        <v>A</v>
      </c>
      <c r="CB25" s="2016">
        <f>Plantillas!AA$126</f>
        <v>22</v>
      </c>
      <c r="CC25" s="2013" t="str">
        <f>Plantillas!Y$127</f>
        <v>6º</v>
      </c>
      <c r="CD25" s="2014" t="str">
        <f>Plantillas!Z$127</f>
        <v>B</v>
      </c>
      <c r="CE25" s="2016">
        <f>Plantillas!AA$127</f>
        <v>21</v>
      </c>
      <c r="CF25" s="2013">
        <f>Plantillas!Y$128</f>
        <v>0</v>
      </c>
      <c r="CG25" s="2014">
        <f>Plantillas!Z$128</f>
        <v>0</v>
      </c>
      <c r="CH25" s="2016">
        <f>Plantillas!AA$128</f>
        <v>0</v>
      </c>
      <c r="CI25" s="2013">
        <f>Plantillas!Y$129</f>
        <v>0</v>
      </c>
      <c r="CJ25" s="2014">
        <f>Plantillas!Z$129</f>
        <v>0</v>
      </c>
      <c r="CK25" s="2016">
        <f>Plantillas!AA$129</f>
        <v>0</v>
      </c>
      <c r="CL25" s="2013">
        <f>Plantillas!Y$130</f>
        <v>0</v>
      </c>
      <c r="CM25" s="2014">
        <f>Plantillas!Z$130</f>
        <v>0</v>
      </c>
      <c r="CN25" s="2016">
        <f>Plantillas!AA$130</f>
        <v>0</v>
      </c>
      <c r="CO25" s="2013">
        <f>Plantillas!Y$131</f>
        <v>0</v>
      </c>
      <c r="CP25" s="2014">
        <f>Plantillas!Z$131</f>
        <v>0</v>
      </c>
      <c r="CQ25" s="2016">
        <f>Plantillas!AA$131</f>
        <v>0</v>
      </c>
      <c r="CR25" s="2013">
        <f>Plantillas!Y$132</f>
        <v>0</v>
      </c>
      <c r="CS25" s="2014">
        <f>Plantillas!Z$132</f>
        <v>0</v>
      </c>
      <c r="CT25" s="2016">
        <f>Plantillas!AA$132</f>
        <v>0</v>
      </c>
      <c r="CU25" s="2013">
        <f>Plantillas!Y$133</f>
        <v>0</v>
      </c>
      <c r="CV25" s="2014">
        <f>Plantillas!Z$133</f>
        <v>0</v>
      </c>
      <c r="CW25" s="2016">
        <f>Plantillas!AA$133</f>
        <v>0</v>
      </c>
      <c r="CX25" s="2013">
        <f>Plantillas!Y$134</f>
        <v>0</v>
      </c>
      <c r="CY25" s="2014">
        <f>Plantillas!Z$134</f>
        <v>0</v>
      </c>
      <c r="CZ25" s="2016">
        <f>Plantillas!AA$134</f>
        <v>0</v>
      </c>
      <c r="DA25" s="2013">
        <f>Plantillas!Y$135</f>
        <v>0</v>
      </c>
      <c r="DB25" s="2014">
        <f>Plantillas!Z$135</f>
        <v>0</v>
      </c>
      <c r="DC25" s="2016">
        <f>Plantillas!AA$135</f>
        <v>0</v>
      </c>
      <c r="DD25" s="2013">
        <f>Plantillas!Y$136</f>
        <v>0</v>
      </c>
      <c r="DE25" s="2014">
        <f>Plantillas!Z$136</f>
        <v>0</v>
      </c>
      <c r="DF25" s="2016">
        <f>Plantillas!AA$136</f>
        <v>0</v>
      </c>
      <c r="DG25" s="2013">
        <f>Plantillas!Y$137</f>
        <v>0</v>
      </c>
      <c r="DH25" s="2014">
        <v>1</v>
      </c>
      <c r="DI25" s="2091" t="str">
        <f>Estadisticas!AA5</f>
        <v>esmerald_96@hotmail.com</v>
      </c>
      <c r="DJ25" s="183">
        <v>3</v>
      </c>
      <c r="DK25" s="84" t="str">
        <f>VLOOKUP(T6,BG2:CA21,4,4)</f>
        <v>AKE QUEB * MARIANA DEL CONSUELO</v>
      </c>
      <c r="DL25" s="2018" t="str">
        <f>VLOOKUP(T6,CB2:CV21,4,4)</f>
        <v>AEQM701008HL2</v>
      </c>
      <c r="DM25" s="2019" t="str">
        <f>VLOOKUP(T6,CW2:DQ21,4,4)</f>
        <v>078312 E028100.0233023</v>
      </c>
      <c r="DN25" s="2020" t="str">
        <f>VLOOKUP(T6,DR2:EL21,4,4)</f>
        <v>DOCENTE</v>
      </c>
      <c r="DO25" s="2021">
        <f>VLOOKUP(T6,DR23:EL42,4,4)</f>
        <v>0</v>
      </c>
      <c r="DP25" s="2022">
        <f>VLOOKUP(T6,EM2:FG21,4,4)</f>
        <v>10</v>
      </c>
      <c r="DQ25" s="84">
        <f>VLOOKUP(T6,EM23:FG42,4,4)</f>
        <v>27</v>
      </c>
      <c r="DR25" s="2023">
        <v>3</v>
      </c>
      <c r="DS25" s="2024" t="str">
        <f>Plantillas!N$117</f>
        <v>23DPR0491L</v>
      </c>
      <c r="DT25" s="2024" t="str">
        <f>Plantillas!N$118</f>
        <v>23DPR055K</v>
      </c>
      <c r="DU25" s="2024" t="str">
        <f>Plantillas!N$119</f>
        <v>23DPR0640C</v>
      </c>
      <c r="DV25" s="2024" t="str">
        <f>Plantillas!N$120</f>
        <v>23DPR0640C</v>
      </c>
      <c r="DW25" s="2024" t="str">
        <f>Plantillas!N$121</f>
        <v>23DPR0640C</v>
      </c>
      <c r="DX25" s="2024" t="str">
        <f>Plantillas!N$122</f>
        <v>23DPR0698C</v>
      </c>
      <c r="DY25" s="2024" t="str">
        <f>Plantillas!N$123</f>
        <v>23DPR0694G</v>
      </c>
      <c r="DZ25" s="2024" t="str">
        <f>Plantillas!N$124</f>
        <v>23DST0491L</v>
      </c>
      <c r="EA25" s="2024" t="str">
        <f>Plantillas!N$125</f>
        <v>23DPR0572W</v>
      </c>
      <c r="EB25" s="2024" t="str">
        <f>Plantillas!N$126</f>
        <v>23DPR0564N</v>
      </c>
      <c r="EC25" s="2024" t="str">
        <f>Plantillas!N$127</f>
        <v>23DPR049IL</v>
      </c>
      <c r="ED25" s="2024" t="str">
        <f>Plantillas!N$128</f>
        <v>23DPR0692I</v>
      </c>
      <c r="EE25" s="2024">
        <f>Plantillas!N$129</f>
        <v>0</v>
      </c>
      <c r="EF25" s="2024">
        <f>Plantillas!N$130</f>
        <v>0</v>
      </c>
      <c r="EG25" s="2024">
        <f>Plantillas!N$131</f>
        <v>0</v>
      </c>
      <c r="EH25" s="2024">
        <f>Plantillas!N$132</f>
        <v>0</v>
      </c>
      <c r="EI25" s="2024">
        <f>Plantillas!N$133</f>
        <v>0</v>
      </c>
      <c r="EJ25" s="2024">
        <f>Plantillas!N$134</f>
        <v>0</v>
      </c>
      <c r="EK25" s="2024">
        <f>Plantillas!N$135</f>
        <v>0</v>
      </c>
      <c r="EL25" s="2024">
        <f>Plantillas!N$136</f>
        <v>0</v>
      </c>
      <c r="EM25" s="779">
        <v>3</v>
      </c>
      <c r="EN25" s="1966">
        <f>Plantillas!AA$117</f>
        <v>0</v>
      </c>
      <c r="EO25" s="1966">
        <f>Plantillas!AA$118</f>
        <v>32</v>
      </c>
      <c r="EP25" s="1966">
        <f>Plantillas!AA$119</f>
        <v>27</v>
      </c>
      <c r="EQ25" s="1966">
        <f>Plantillas!AA$120</f>
        <v>31</v>
      </c>
      <c r="ER25" s="1966">
        <f>Plantillas!AA$121</f>
        <v>27</v>
      </c>
      <c r="ES25" s="1966">
        <f>Plantillas!AA$122</f>
        <v>22</v>
      </c>
      <c r="ET25" s="1966">
        <f>Plantillas!AA$123</f>
        <v>35</v>
      </c>
      <c r="EU25" s="1966">
        <f>Plantillas!AA$124</f>
        <v>23</v>
      </c>
      <c r="EV25" s="1966">
        <f>Plantillas!AA$125</f>
        <v>23</v>
      </c>
      <c r="EW25" s="1966">
        <f>Plantillas!AA$126</f>
        <v>22</v>
      </c>
      <c r="EX25" s="1966">
        <f>Plantillas!AA$127</f>
        <v>21</v>
      </c>
      <c r="EY25" s="1966">
        <f>Plantillas!AA$128</f>
        <v>0</v>
      </c>
      <c r="EZ25" s="1966">
        <f>Plantillas!AA$129</f>
        <v>0</v>
      </c>
      <c r="FA25" s="1966">
        <f>Plantillas!AA$130</f>
        <v>0</v>
      </c>
      <c r="FB25" s="1966">
        <f>Plantillas!AA$131</f>
        <v>0</v>
      </c>
      <c r="FC25" s="1966">
        <f>Plantillas!AA$132</f>
        <v>0</v>
      </c>
      <c r="FD25" s="1966">
        <f>Plantillas!AA$133</f>
        <v>0</v>
      </c>
      <c r="FE25" s="2026">
        <f>Plantillas!AA$134</f>
        <v>0</v>
      </c>
      <c r="FF25" s="1966">
        <f>Plantillas!AA$135</f>
        <v>0</v>
      </c>
      <c r="FG25" s="1967">
        <f>Plantillas!AA$136</f>
        <v>0</v>
      </c>
      <c r="FH25" s="779">
        <v>3</v>
      </c>
      <c r="FI25" s="1959" t="str">
        <f>Plantillas!W$117</f>
        <v xml:space="preserve">01-01-1981 </v>
      </c>
      <c r="FJ25" s="1959">
        <f>Plantillas!W$118</f>
        <v>0</v>
      </c>
      <c r="FK25" s="1959" t="str">
        <f>Plantillas!W$119</f>
        <v>16-08-2005</v>
      </c>
      <c r="FL25" s="1959">
        <f>Plantillas!W$120</f>
        <v>0</v>
      </c>
      <c r="FM25" s="1959" t="str">
        <f>Plantillas!W$121</f>
        <v>01-11-1983</v>
      </c>
      <c r="FN25" s="1959" t="str">
        <f>Plantillas!W$122</f>
        <v>01-10-1993</v>
      </c>
      <c r="FO25" s="1959">
        <f>Plantillas!W$123</f>
        <v>0</v>
      </c>
      <c r="FP25" s="1959">
        <f>Plantillas!W$124</f>
        <v>0</v>
      </c>
      <c r="FQ25" s="1959">
        <f>Plantillas!W$125</f>
        <v>0</v>
      </c>
      <c r="FR25" s="1959">
        <f>Plantillas!W$126</f>
        <v>0</v>
      </c>
      <c r="FS25" s="1959">
        <f>Plantillas!W$127</f>
        <v>0</v>
      </c>
      <c r="FT25" s="1959">
        <f>Plantillas!W$128</f>
        <v>0</v>
      </c>
      <c r="FU25" s="1959">
        <f>Plantillas!W$129</f>
        <v>0</v>
      </c>
      <c r="FV25" s="1959" t="str">
        <f>Plantillas!W$130</f>
        <v>01-11-2000</v>
      </c>
      <c r="FW25" s="1959">
        <f>Plantillas!W$131</f>
        <v>0</v>
      </c>
      <c r="FX25" s="1959">
        <f>Plantillas!W$132</f>
        <v>0</v>
      </c>
      <c r="FY25" s="1959">
        <f>Plantillas!W$133</f>
        <v>0</v>
      </c>
      <c r="FZ25" s="1959">
        <f>Plantillas!W$134</f>
        <v>0</v>
      </c>
      <c r="GA25" s="1959">
        <f>Plantillas!W$135</f>
        <v>0</v>
      </c>
      <c r="GB25" s="2025">
        <f>Plantillas!W$136</f>
        <v>0</v>
      </c>
      <c r="GC25" s="1358">
        <v>3</v>
      </c>
      <c r="GD25" s="1359">
        <f t="shared" ref="GD25:GD41" si="49">JD27+JE27</f>
        <v>1</v>
      </c>
      <c r="GE25" s="1359">
        <f t="shared" si="40"/>
        <v>2</v>
      </c>
      <c r="GF25" s="1359">
        <f t="shared" si="41"/>
        <v>2</v>
      </c>
      <c r="GG25" s="1359">
        <f t="shared" si="42"/>
        <v>1</v>
      </c>
      <c r="GH25" s="1359">
        <f t="shared" si="43"/>
        <v>2</v>
      </c>
      <c r="GI25" s="1359">
        <f t="shared" si="44"/>
        <v>2</v>
      </c>
      <c r="GJ25" s="1359">
        <f t="shared" si="45"/>
        <v>10</v>
      </c>
      <c r="GK25" s="1360">
        <f t="shared" si="46"/>
        <v>263</v>
      </c>
      <c r="GL25" s="1359">
        <v>3</v>
      </c>
      <c r="GM25" s="1933" t="str">
        <f>Plantillas!I$117</f>
        <v>X</v>
      </c>
      <c r="GN25" s="1933">
        <f>Plantillas!I$118</f>
        <v>0</v>
      </c>
      <c r="GO25" s="1933" t="str">
        <f>Plantillas!I$119</f>
        <v>X</v>
      </c>
      <c r="GP25" s="1933" t="str">
        <f>Plantillas!I$120</f>
        <v>X</v>
      </c>
      <c r="GQ25" s="1933">
        <f>Plantillas!I$121</f>
        <v>0</v>
      </c>
      <c r="GR25" s="1933">
        <f>Plantillas!I$122</f>
        <v>0</v>
      </c>
      <c r="GS25" s="1933">
        <f>Plantillas!I$123</f>
        <v>0</v>
      </c>
      <c r="GT25" s="1933" t="str">
        <f>Plantillas!I$124</f>
        <v>X</v>
      </c>
      <c r="GU25" s="1933">
        <f>Plantillas!I$125</f>
        <v>0</v>
      </c>
      <c r="GV25" s="1933" t="str">
        <f>Plantillas!I$126</f>
        <v>X</v>
      </c>
      <c r="GW25" s="1933">
        <f>Plantillas!I$127</f>
        <v>0</v>
      </c>
      <c r="GX25" s="1933" t="str">
        <f>Plantillas!I$128</f>
        <v>X</v>
      </c>
      <c r="GY25" s="1933" t="str">
        <f>Plantillas!I$129</f>
        <v>X</v>
      </c>
      <c r="GZ25" s="1933">
        <f>Plantillas!I$130</f>
        <v>0</v>
      </c>
      <c r="HA25" s="1933">
        <f>Plantillas!I$131</f>
        <v>0</v>
      </c>
      <c r="HB25" s="1933">
        <f>Plantillas!I$132</f>
        <v>0</v>
      </c>
      <c r="HC25" s="1933">
        <f>Plantillas!I$133</f>
        <v>0</v>
      </c>
      <c r="HD25" s="1933">
        <f>Plantillas!I$134</f>
        <v>0</v>
      </c>
      <c r="HE25" s="1933">
        <f>Plantillas!I$135</f>
        <v>0</v>
      </c>
      <c r="HF25" s="1934">
        <f>Plantillas!I$136</f>
        <v>0</v>
      </c>
      <c r="HG25" s="778">
        <v>1</v>
      </c>
      <c r="HH25" s="1355">
        <f>'[1]0055K'!$D$31</f>
        <v>32</v>
      </c>
      <c r="HI25" s="2645">
        <f>'[1]0055K'!$E$31</f>
        <v>25</v>
      </c>
      <c r="HJ25" s="1356">
        <f>'[1]0055K'!$G$31</f>
        <v>39</v>
      </c>
      <c r="HK25" s="2027">
        <f>'[1]0055K'!$H$31</f>
        <v>29</v>
      </c>
      <c r="HL25" s="2644">
        <f>'[1]0055K'!$J$31</f>
        <v>29</v>
      </c>
      <c r="HM25" s="2645">
        <f>'[1]0055K'!$K$31</f>
        <v>33</v>
      </c>
      <c r="HN25" s="1356">
        <f>'[1]0055K'!$M$31</f>
        <v>35</v>
      </c>
      <c r="HO25" s="2027">
        <f>'[1]0055K'!$N$31</f>
        <v>33</v>
      </c>
      <c r="HP25" s="2644">
        <f>'[1]0055K'!$P$31</f>
        <v>45</v>
      </c>
      <c r="HQ25" s="2645">
        <f>'[1]0055K'!$Q$31</f>
        <v>20</v>
      </c>
      <c r="HR25" s="1356">
        <f>'[1]0055K'!$S$31</f>
        <v>39</v>
      </c>
      <c r="HS25" s="2027">
        <f>'[1]0055K'!$T$31</f>
        <v>31</v>
      </c>
      <c r="HT25" s="1355">
        <f>'[1]0055K'!$D$32</f>
        <v>1</v>
      </c>
      <c r="HU25" s="2027">
        <f>'[1]0055K'!$E$32</f>
        <v>4</v>
      </c>
      <c r="HV25" s="2644">
        <f>'[1]0055K'!$G$32</f>
        <v>1</v>
      </c>
      <c r="HW25" s="2645">
        <f>'[1]0055K'!$H$32</f>
        <v>3</v>
      </c>
      <c r="HX25" s="1356">
        <f>'[1]0055K'!$J$32</f>
        <v>0</v>
      </c>
      <c r="HY25" s="2027">
        <f>'[1]0055K'!$K$32</f>
        <v>1</v>
      </c>
      <c r="HZ25" s="2644">
        <f>'[1]0055K'!$M$32</f>
        <v>0</v>
      </c>
      <c r="IA25" s="2645">
        <f>'[1]0055K'!$N$32</f>
        <v>1</v>
      </c>
      <c r="IB25" s="2644">
        <f>'[1]0055K'!$P$32</f>
        <v>1</v>
      </c>
      <c r="IC25" s="2645">
        <f>'[1]0055K'!$Q$32</f>
        <v>1</v>
      </c>
      <c r="ID25" s="1356">
        <f>'[1]0055K'!$S$32</f>
        <v>1</v>
      </c>
      <c r="IE25" s="2028">
        <f>'[1]0055K'!$T$32</f>
        <v>2</v>
      </c>
      <c r="IF25" s="1355">
        <f>'[1]0055K'!$D$34</f>
        <v>3</v>
      </c>
      <c r="IG25" s="2027">
        <f>'[1]0055K'!$E$34</f>
        <v>3</v>
      </c>
      <c r="IH25" s="2644">
        <f>'[1]0055K'!$G$34</f>
        <v>4</v>
      </c>
      <c r="II25" s="2645">
        <f>'[1]0055K'!$H$34</f>
        <v>4</v>
      </c>
      <c r="IJ25" s="1356">
        <f>'[1]0055K'!$J$34</f>
        <v>1</v>
      </c>
      <c r="IK25" s="2027">
        <f>'[1]0055K'!$K$34</f>
        <v>5</v>
      </c>
      <c r="IL25" s="2644">
        <f>'[1]0055K'!$M$34</f>
        <v>6</v>
      </c>
      <c r="IM25" s="2645">
        <f>'[1]0055K'!$N$34</f>
        <v>3</v>
      </c>
      <c r="IN25" s="1356">
        <f>'[1]0055K'!$P$34</f>
        <v>10</v>
      </c>
      <c r="IO25" s="2027">
        <f>'[1]0055K'!$Q$34</f>
        <v>4</v>
      </c>
      <c r="IP25" s="2644">
        <f>'[1]0055K'!$S$34</f>
        <v>10</v>
      </c>
      <c r="IQ25" s="2028">
        <f>'[1]0055K'!$T$34</f>
        <v>3</v>
      </c>
      <c r="IR25" s="1355">
        <f>'[1]0055K'!$D$37</f>
        <v>0</v>
      </c>
      <c r="IS25" s="2027">
        <f>'[1]0055K'!$E$37</f>
        <v>0</v>
      </c>
      <c r="IT25" s="2644">
        <f>'[1]0055K'!$G$37</f>
        <v>0</v>
      </c>
      <c r="IU25" s="2645">
        <f>'[1]0055K'!$H$37</f>
        <v>0</v>
      </c>
      <c r="IV25" s="1356">
        <f>'[1]0055K'!$J$37</f>
        <v>0</v>
      </c>
      <c r="IW25" s="2027">
        <f>'[1]0055K'!$K$37</f>
        <v>0</v>
      </c>
      <c r="IX25" s="2644">
        <f>'[1]0055K'!$M$37</f>
        <v>0</v>
      </c>
      <c r="IY25" s="2645">
        <f>'[1]0055K'!$N$37</f>
        <v>0</v>
      </c>
      <c r="IZ25" s="2644">
        <f>'[1]0055K'!$P$37</f>
        <v>0</v>
      </c>
      <c r="JA25" s="2645">
        <f>'[1]0055K'!$Q$37</f>
        <v>0</v>
      </c>
      <c r="JB25" s="1356">
        <f>'[1]0055K'!$S$37</f>
        <v>0</v>
      </c>
      <c r="JC25" s="2028">
        <f>'[1]0055K'!$T$37</f>
        <v>0</v>
      </c>
      <c r="JD25" s="1355">
        <f>'[1]0055K'!$D$39</f>
        <v>0</v>
      </c>
      <c r="JE25" s="2027">
        <f>'[1]0055K'!$E$39</f>
        <v>2</v>
      </c>
      <c r="JF25" s="2644">
        <f>'[1]0055K'!$G$39</f>
        <v>0</v>
      </c>
      <c r="JG25" s="2645">
        <f>'[1]0055K'!$H$39</f>
        <v>2</v>
      </c>
      <c r="JH25" s="1356">
        <f>'[1]0055K'!$J$39</f>
        <v>0</v>
      </c>
      <c r="JI25" s="2027">
        <f>'[1]0055K'!$K$39</f>
        <v>2</v>
      </c>
      <c r="JJ25" s="2644">
        <f>'[1]0055K'!$M$39</f>
        <v>0</v>
      </c>
      <c r="JK25" s="2645">
        <f>'[1]0055K'!$N$39</f>
        <v>2</v>
      </c>
      <c r="JL25" s="2644">
        <f>'[1]0055K'!$P$39</f>
        <v>1</v>
      </c>
      <c r="JM25" s="2645">
        <f>'[1]0055K'!$Q$39</f>
        <v>1</v>
      </c>
      <c r="JN25" s="1356">
        <f>'[1]0055K'!$S$39</f>
        <v>1</v>
      </c>
      <c r="JO25" s="2027">
        <f>'[1]0055K'!$T$39</f>
        <v>1</v>
      </c>
      <c r="JP25" s="2644">
        <f>'[1]0055K'!$D$28</f>
        <v>0</v>
      </c>
      <c r="JQ25" s="2645">
        <f>'[1]0055K'!$E$28</f>
        <v>0</v>
      </c>
      <c r="JR25" s="2644">
        <f>'[1]0055K'!$G$28</f>
        <v>0</v>
      </c>
      <c r="JS25" s="2645">
        <f>'[1]0055K'!$H$28</f>
        <v>0</v>
      </c>
      <c r="JT25" s="1356">
        <f>'[1]0055K'!$J$28</f>
        <v>0</v>
      </c>
      <c r="JU25" s="2027">
        <f>'[1]0055K'!$K$28</f>
        <v>0</v>
      </c>
      <c r="JV25" s="2644">
        <f>'[1]0055K'!$M$28</f>
        <v>0</v>
      </c>
      <c r="JW25" s="2645">
        <f>'[1]0055K'!$N$28</f>
        <v>0</v>
      </c>
      <c r="JX25" s="2644">
        <f>'[1]0055K'!$P$28</f>
        <v>0</v>
      </c>
      <c r="JY25" s="2645">
        <f>'[1]0055K'!$Q$28</f>
        <v>0</v>
      </c>
      <c r="JZ25" s="1356">
        <f>'[1]0055K'!$S$28</f>
        <v>0</v>
      </c>
      <c r="KA25" s="2027">
        <f>'[1]0055K'!$T$28</f>
        <v>0</v>
      </c>
      <c r="KB25" s="2324">
        <f>JP25+JQ25</f>
        <v>0</v>
      </c>
      <c r="KC25" s="2322">
        <f>JR25+JS25</f>
        <v>0</v>
      </c>
      <c r="KD25" s="2322">
        <f>JT25+JU25</f>
        <v>0</v>
      </c>
      <c r="KE25" s="2322">
        <f>JV25+JW25</f>
        <v>0</v>
      </c>
      <c r="KF25" s="2322">
        <f>JX25+JY25</f>
        <v>0</v>
      </c>
      <c r="KG25" s="2323">
        <f>JZ25+KA25</f>
        <v>0</v>
      </c>
      <c r="KH25" s="1358">
        <v>2</v>
      </c>
      <c r="KI25" s="1931" t="str">
        <f>Plantillas!D72</f>
        <v>8 DE OCTUBRE</v>
      </c>
      <c r="KJ25" s="1931" t="str">
        <f t="shared" si="47"/>
        <v>8 DE OCTUBRE</v>
      </c>
      <c r="KK25" s="1931" t="str">
        <f t="shared" ref="KK25:LA25" si="50">KJ25</f>
        <v>8 DE OCTUBRE</v>
      </c>
      <c r="KL25" s="1931" t="str">
        <f t="shared" si="50"/>
        <v>8 DE OCTUBRE</v>
      </c>
      <c r="KM25" s="1931" t="str">
        <f t="shared" si="50"/>
        <v>8 DE OCTUBRE</v>
      </c>
      <c r="KN25" s="1931" t="str">
        <f t="shared" si="50"/>
        <v>8 DE OCTUBRE</v>
      </c>
      <c r="KO25" s="1931" t="str">
        <f t="shared" si="50"/>
        <v>8 DE OCTUBRE</v>
      </c>
      <c r="KP25" s="1931" t="str">
        <f t="shared" si="50"/>
        <v>8 DE OCTUBRE</v>
      </c>
      <c r="KQ25" s="1931" t="str">
        <f t="shared" si="50"/>
        <v>8 DE OCTUBRE</v>
      </c>
      <c r="KR25" s="1931" t="str">
        <f t="shared" si="50"/>
        <v>8 DE OCTUBRE</v>
      </c>
      <c r="KS25" s="1931" t="str">
        <f t="shared" si="50"/>
        <v>8 DE OCTUBRE</v>
      </c>
      <c r="KT25" s="1931" t="str">
        <f t="shared" si="50"/>
        <v>8 DE OCTUBRE</v>
      </c>
      <c r="KU25" s="1931" t="str">
        <f t="shared" si="50"/>
        <v>8 DE OCTUBRE</v>
      </c>
      <c r="KV25" s="1931" t="str">
        <f t="shared" si="50"/>
        <v>8 DE OCTUBRE</v>
      </c>
      <c r="KW25" s="1931" t="str">
        <f t="shared" si="50"/>
        <v>8 DE OCTUBRE</v>
      </c>
      <c r="KX25" s="1931" t="str">
        <f t="shared" si="50"/>
        <v>8 DE OCTUBRE</v>
      </c>
      <c r="KY25" s="1931" t="str">
        <f t="shared" si="50"/>
        <v>8 DE OCTUBRE</v>
      </c>
      <c r="KZ25" s="1931" t="str">
        <f t="shared" si="50"/>
        <v>8 DE OCTUBRE</v>
      </c>
      <c r="LA25" s="1931" t="str">
        <f t="shared" si="50"/>
        <v>8 DE OCTUBRE</v>
      </c>
      <c r="LB25" s="1932"/>
      <c r="LC25" s="1358">
        <v>2</v>
      </c>
      <c r="LD25" s="2985" t="s">
        <v>100</v>
      </c>
      <c r="LE25" s="2985" t="s">
        <v>100</v>
      </c>
      <c r="LF25" s="2985" t="s">
        <v>100</v>
      </c>
      <c r="LG25" s="2985" t="s">
        <v>100</v>
      </c>
      <c r="LH25" s="2985" t="s">
        <v>100</v>
      </c>
      <c r="LI25" s="2985" t="s">
        <v>100</v>
      </c>
      <c r="LJ25" s="2985" t="s">
        <v>100</v>
      </c>
      <c r="LK25" s="2985" t="s">
        <v>100</v>
      </c>
      <c r="LL25" s="2985" t="s">
        <v>100</v>
      </c>
      <c r="LM25" s="2985" t="s">
        <v>100</v>
      </c>
      <c r="LN25" s="2985" t="s">
        <v>100</v>
      </c>
      <c r="LO25" s="2985" t="s">
        <v>100</v>
      </c>
      <c r="LP25" s="2985" t="s">
        <v>100</v>
      </c>
      <c r="LQ25" s="2985" t="s">
        <v>100</v>
      </c>
      <c r="LR25" s="2985" t="s">
        <v>100</v>
      </c>
      <c r="LS25" s="2985" t="s">
        <v>100</v>
      </c>
      <c r="LT25" s="2985" t="s">
        <v>100</v>
      </c>
      <c r="LU25" s="2985" t="s">
        <v>100</v>
      </c>
      <c r="LV25" s="2985" t="s">
        <v>100</v>
      </c>
      <c r="LW25" s="2986"/>
    </row>
    <row r="26" spans="1:336" ht="12.75" customHeight="1">
      <c r="A26" s="16">
        <v>10</v>
      </c>
      <c r="B26" s="31" t="str">
        <f>VLOOKUP(T6,AX23:DI42,29,29)</f>
        <v>5º</v>
      </c>
      <c r="C26" s="35" t="str">
        <f>VLOOKUP(T6,AX23:DI42,30,30)</f>
        <v>A</v>
      </c>
      <c r="D26" s="29" t="str">
        <f>VLOOKUP(T6,BG2:CA21,11,11)</f>
        <v>XIU VELAZQUEZ * JOSE MANUEL</v>
      </c>
      <c r="E26" s="21"/>
      <c r="F26" s="21"/>
      <c r="G26" s="21"/>
      <c r="H26" s="21"/>
      <c r="I26" s="3360" t="str">
        <f>VLOOKUP(T6,LC24:LW43,11,21)</f>
        <v>042</v>
      </c>
      <c r="J26" s="3780">
        <f>VLOOKUP(T6,AX44:BR63,11,11)</f>
        <v>0</v>
      </c>
      <c r="K26" s="3780"/>
      <c r="L26" s="3780">
        <f>VLOOKUP(T6,BS44:CM63,11,11)</f>
        <v>6.5</v>
      </c>
      <c r="M26" s="3780"/>
      <c r="N26" s="3780">
        <f>VLOOKUP(T6,CN44:DH63,11,11)</f>
        <v>0</v>
      </c>
      <c r="O26" s="3780"/>
      <c r="P26" s="3780">
        <f>VLOOKUP(T6,DI44:EC63,11,11)</f>
        <v>0</v>
      </c>
      <c r="Q26" s="3780"/>
      <c r="R26" s="3780">
        <f>VLOOKUP(T6,ED44:EX63,11,11)</f>
        <v>0</v>
      </c>
      <c r="S26" s="3780"/>
      <c r="T26" s="3780">
        <f>VLOOKUP(T6,EY44:FS63,11,11)</f>
        <v>0</v>
      </c>
      <c r="U26" s="3780"/>
      <c r="V26" s="3781">
        <f t="shared" si="32"/>
        <v>1.625</v>
      </c>
      <c r="W26" s="3782"/>
      <c r="X26" s="3820"/>
      <c r="Y26" s="3821"/>
      <c r="Z26" s="3820"/>
      <c r="AA26" s="3821"/>
      <c r="AB26" s="3783"/>
      <c r="AC26" s="3784"/>
      <c r="AD26" s="3783"/>
      <c r="AE26" s="3784"/>
      <c r="AF26" s="2939" t="str">
        <f t="shared" si="33"/>
        <v>5ºA</v>
      </c>
      <c r="AG26" s="2940">
        <f t="shared" si="34"/>
        <v>27</v>
      </c>
      <c r="AH26" s="3818">
        <f>VLOOKUP(T6,AX23:DI42,31,31)</f>
        <v>27</v>
      </c>
      <c r="AI26" s="3819"/>
      <c r="AJ26" s="3856"/>
      <c r="AK26" s="3857"/>
      <c r="AL26" s="3193" t="str">
        <f>VLOOKUP(T6,GL2:HF21,11,21)</f>
        <v>X</v>
      </c>
      <c r="AM26" s="3194">
        <f>VLOOKUP(T6,GL23:HF42,11,21)</f>
        <v>0</v>
      </c>
      <c r="AN26" s="3195" t="str">
        <f>VLOOKUP(T6,CB2:CV21,11,21)</f>
        <v>XIVM780420LJ4</v>
      </c>
      <c r="AO26" s="3195" t="str">
        <f>VLOOKUP(T6,CW2:DQ21,11,21)</f>
        <v>078312 E028100.0040223</v>
      </c>
      <c r="AP26" s="3195" t="str">
        <f>VLOOKUP(T6,DR2:EL21,11,21)</f>
        <v>DOCENTE</v>
      </c>
      <c r="AQ26" s="3195">
        <f>VLOOKUP(T6,DR23:EL42,11,21)</f>
        <v>0</v>
      </c>
      <c r="AR26" s="3195" t="str">
        <f>VLOOKUP(T6,LC2:LW21,11,21)</f>
        <v>XIVM780420HQR</v>
      </c>
      <c r="AS26" s="3194">
        <f>VLOOKUP(T6,FH2:GB21,11,21)</f>
        <v>0</v>
      </c>
      <c r="AT26" s="3194">
        <f>VLOOKUP(T6,EM2:FG21,11,21)</f>
        <v>10</v>
      </c>
      <c r="AU26" s="3196" t="str">
        <f>VLOOKUP(T6,FH23:GB42,11,21)</f>
        <v>01-10-2004</v>
      </c>
      <c r="AV26" s="3197" t="str">
        <f>VLOOKUP(T6,KH2:LB21,11,21)</f>
        <v>23DPR0055K</v>
      </c>
      <c r="AW26" s="2803" t="str">
        <f>VLOOKUP(T6,KH24:LB43,11,21)</f>
        <v>KABAH</v>
      </c>
      <c r="AX26" s="779">
        <v>4</v>
      </c>
      <c r="AY26" s="2013">
        <f>Plantillas!Y$157</f>
        <v>0</v>
      </c>
      <c r="AZ26" s="2014">
        <f>Plantillas!Z$157</f>
        <v>0</v>
      </c>
      <c r="BA26" s="2015">
        <f>Plantillas!AA$157</f>
        <v>0</v>
      </c>
      <c r="BB26" s="2013" t="str">
        <f>Plantillas!Y$158</f>
        <v>1º</v>
      </c>
      <c r="BC26" s="2014" t="str">
        <f>Plantillas!Z$158</f>
        <v>A</v>
      </c>
      <c r="BD26" s="2016">
        <f>Plantillas!AA$158</f>
        <v>31</v>
      </c>
      <c r="BE26" s="2013" t="str">
        <f>Plantillas!Y$159</f>
        <v>1º</v>
      </c>
      <c r="BF26" s="2014" t="str">
        <f>Plantillas!Z$159</f>
        <v>B</v>
      </c>
      <c r="BG26" s="2016">
        <f>Plantillas!AA$159</f>
        <v>31</v>
      </c>
      <c r="BH26" s="2013" t="str">
        <f>Plantillas!Y$160</f>
        <v>2º</v>
      </c>
      <c r="BI26" s="2014" t="str">
        <f>Plantillas!Z$160</f>
        <v>A</v>
      </c>
      <c r="BJ26" s="2016">
        <f>Plantillas!AA$160</f>
        <v>35</v>
      </c>
      <c r="BK26" s="2013" t="str">
        <f>Plantillas!Y$161</f>
        <v>2º</v>
      </c>
      <c r="BL26" s="2014" t="str">
        <f>Plantillas!Z$161</f>
        <v>B</v>
      </c>
      <c r="BM26" s="2016">
        <f>Plantillas!AA$161</f>
        <v>35</v>
      </c>
      <c r="BN26" s="2013" t="str">
        <f>Plantillas!Y$162</f>
        <v>3º</v>
      </c>
      <c r="BO26" s="2014" t="str">
        <f>Plantillas!Z$162</f>
        <v>A</v>
      </c>
      <c r="BP26" s="2016">
        <f>Plantillas!AA$162</f>
        <v>33</v>
      </c>
      <c r="BQ26" s="2013" t="str">
        <f>Plantillas!Y$163</f>
        <v>3º</v>
      </c>
      <c r="BR26" s="2014" t="str">
        <f>Plantillas!Z$163</f>
        <v>B</v>
      </c>
      <c r="BS26" s="2016">
        <f>Plantillas!AA$163</f>
        <v>30</v>
      </c>
      <c r="BT26" s="2013" t="str">
        <f>Plantillas!Y$164</f>
        <v>4º</v>
      </c>
      <c r="BU26" s="2014" t="str">
        <f>Plantillas!Z$164</f>
        <v>A</v>
      </c>
      <c r="BV26" s="2016">
        <f>Plantillas!AA$164</f>
        <v>28</v>
      </c>
      <c r="BW26" s="2013" t="str">
        <f>Plantillas!Y$165</f>
        <v>4º</v>
      </c>
      <c r="BX26" s="2014" t="str">
        <f>Plantillas!Z$165</f>
        <v>B</v>
      </c>
      <c r="BY26" s="2016">
        <f>Plantillas!AA$165</f>
        <v>28</v>
      </c>
      <c r="BZ26" s="2013" t="str">
        <f>Plantillas!Y$166</f>
        <v>5º</v>
      </c>
      <c r="CA26" s="2014" t="str">
        <f>Plantillas!Z$166</f>
        <v>A</v>
      </c>
      <c r="CB26" s="2016">
        <f>Plantillas!AA$166</f>
        <v>23</v>
      </c>
      <c r="CC26" s="2013" t="str">
        <f>Plantillas!Y$167</f>
        <v>5º</v>
      </c>
      <c r="CD26" s="2014" t="str">
        <f>Plantillas!Z$167</f>
        <v>B</v>
      </c>
      <c r="CE26" s="2016">
        <f>Plantillas!AA$167</f>
        <v>22</v>
      </c>
      <c r="CF26" s="2013" t="str">
        <f>Plantillas!Y$168</f>
        <v>6º</v>
      </c>
      <c r="CG26" s="2014" t="str">
        <f>Plantillas!Z$168</f>
        <v>A</v>
      </c>
      <c r="CH26" s="2016">
        <f>Plantillas!AA$168</f>
        <v>30</v>
      </c>
      <c r="CI26" s="2013" t="str">
        <f>Plantillas!Y$169</f>
        <v>6º</v>
      </c>
      <c r="CJ26" s="2014" t="str">
        <f>Plantillas!Z$169</f>
        <v>B</v>
      </c>
      <c r="CK26" s="2016">
        <f>Plantillas!AA$169</f>
        <v>31</v>
      </c>
      <c r="CL26" s="2013">
        <f>Plantillas!Y$170</f>
        <v>0</v>
      </c>
      <c r="CM26" s="2014">
        <f>Plantillas!Z$170</f>
        <v>0</v>
      </c>
      <c r="CN26" s="2016">
        <f>Plantillas!AA$170</f>
        <v>0</v>
      </c>
      <c r="CO26" s="2013">
        <f>Plantillas!Y$171</f>
        <v>0</v>
      </c>
      <c r="CP26" s="2014">
        <f>Plantillas!Z$171</f>
        <v>0</v>
      </c>
      <c r="CQ26" s="2016">
        <f>Plantillas!AA$171</f>
        <v>0</v>
      </c>
      <c r="CR26" s="2013">
        <f>Plantillas!Y$172</f>
        <v>0</v>
      </c>
      <c r="CS26" s="2014">
        <f>Plantillas!Z$172</f>
        <v>0</v>
      </c>
      <c r="CT26" s="2016">
        <f>Plantillas!AA$172</f>
        <v>0</v>
      </c>
      <c r="CU26" s="2013">
        <f>Plantillas!Y$173</f>
        <v>0</v>
      </c>
      <c r="CV26" s="2014">
        <f>Plantillas!Z$173</f>
        <v>0</v>
      </c>
      <c r="CW26" s="2016">
        <f>Plantillas!AA$173</f>
        <v>0</v>
      </c>
      <c r="CX26" s="2013">
        <f>Plantillas!Y$174</f>
        <v>0</v>
      </c>
      <c r="CY26" s="2014">
        <f>Plantillas!Z$174</f>
        <v>0</v>
      </c>
      <c r="CZ26" s="2016">
        <f>Plantillas!AA$174</f>
        <v>0</v>
      </c>
      <c r="DA26" s="2013">
        <f>Plantillas!Y$175</f>
        <v>0</v>
      </c>
      <c r="DB26" s="2014">
        <f>Plantillas!Z$175</f>
        <v>0</v>
      </c>
      <c r="DC26" s="2016">
        <f>Plantillas!AA$175</f>
        <v>0</v>
      </c>
      <c r="DD26" s="2013">
        <f>Plantillas!Y$176</f>
        <v>0</v>
      </c>
      <c r="DE26" s="2014">
        <f>Plantillas!Z$176</f>
        <v>0</v>
      </c>
      <c r="DF26" s="2016">
        <f>Plantillas!AA$176</f>
        <v>0</v>
      </c>
      <c r="DG26" s="2013">
        <f>Plantillas!Y$177</f>
        <v>0</v>
      </c>
      <c r="DH26" s="2014">
        <v>2</v>
      </c>
      <c r="DI26" s="2091" t="str">
        <f>Estadisticas!AA6</f>
        <v>m.roxana07@hotmail.com</v>
      </c>
      <c r="DJ26" s="183">
        <v>4</v>
      </c>
      <c r="DK26" s="84" t="str">
        <f>VLOOKUP(T6,BG2:CA21,5,5)</f>
        <v>MORENO CARDENAS * IGNACIA</v>
      </c>
      <c r="DL26" s="2018" t="str">
        <f>VLOOKUP(T6,CB2:CV21,5,5)</f>
        <v>MOCI710325EVA</v>
      </c>
      <c r="DM26" s="2019" t="str">
        <f>VLOOKUP(T6,CW2:DQ21,5,5)</f>
        <v>078312 E028100.0232722</v>
      </c>
      <c r="DN26" s="2020" t="str">
        <f>VLOOKUP(T6,DR2:EL21,5,5)</f>
        <v>DOCENTE</v>
      </c>
      <c r="DO26" s="2021">
        <f>VLOOKUP(T6,DR23:EL42,5,5)</f>
        <v>0</v>
      </c>
      <c r="DP26" s="2022">
        <f>VLOOKUP(T6,EM2:FG21,5,5)</f>
        <v>10</v>
      </c>
      <c r="DQ26" s="84">
        <f>VLOOKUP(T6,EM23:FG42,5,5)</f>
        <v>31</v>
      </c>
      <c r="DR26" s="2023">
        <v>4</v>
      </c>
      <c r="DS26" s="2024">
        <f>Plantillas!N$157</f>
        <v>0</v>
      </c>
      <c r="DT26" s="2024">
        <f>Plantillas!N$158</f>
        <v>0</v>
      </c>
      <c r="DU26" s="2024" t="str">
        <f>Plantillas!N$159</f>
        <v>23DPR0760P</v>
      </c>
      <c r="DV26" s="2024" t="str">
        <f>Plantillas!N$160</f>
        <v>23DPR0570Y</v>
      </c>
      <c r="DW26" s="2024" t="str">
        <f>Plantillas!N$161</f>
        <v>23DPR0492K</v>
      </c>
      <c r="DX26" s="2024">
        <f>Plantillas!N$162</f>
        <v>0</v>
      </c>
      <c r="DY26" s="2024">
        <f>Plantillas!N$163</f>
        <v>0</v>
      </c>
      <c r="DZ26" s="2024" t="str">
        <f>Plantillas!N$164</f>
        <v>23DPR0642A</v>
      </c>
      <c r="EA26" s="2024" t="str">
        <f>Plantillas!N$165</f>
        <v>23DPR0570Y</v>
      </c>
      <c r="EB26" s="2024" t="str">
        <f>Plantillas!N$166</f>
        <v>23DPR0570Y</v>
      </c>
      <c r="EC26" s="2024" t="str">
        <f>Plantillas!N$167</f>
        <v>23DPR0570</v>
      </c>
      <c r="ED26" s="2024" t="str">
        <f>Plantillas!N$168</f>
        <v>23DPR0570Y</v>
      </c>
      <c r="EE26" s="2024" t="str">
        <f>Plantillas!N$169</f>
        <v>23DPR0710H</v>
      </c>
      <c r="EF26" s="2024">
        <f>Plantillas!N$170</f>
        <v>0</v>
      </c>
      <c r="EG26" s="2024">
        <f>Plantillas!N$171</f>
        <v>0</v>
      </c>
      <c r="EH26" s="2024">
        <f>Plantillas!N$172</f>
        <v>0</v>
      </c>
      <c r="EI26" s="2024">
        <f>Plantillas!N$173</f>
        <v>0</v>
      </c>
      <c r="EJ26" s="2024">
        <f>Plantillas!N$174</f>
        <v>0</v>
      </c>
      <c r="EK26" s="2024">
        <f>Plantillas!N$175</f>
        <v>0</v>
      </c>
      <c r="EL26" s="2024" t="str">
        <f>Plantillas!N$176</f>
        <v>23DPR0710H</v>
      </c>
      <c r="EM26" s="779">
        <v>4</v>
      </c>
      <c r="EN26" s="2026">
        <f>Plantillas!AA$157</f>
        <v>0</v>
      </c>
      <c r="EO26" s="2026">
        <f>Plantillas!AA$158</f>
        <v>31</v>
      </c>
      <c r="EP26" s="2026">
        <f>Plantillas!AA$159</f>
        <v>31</v>
      </c>
      <c r="EQ26" s="2026">
        <f>Plantillas!AA$160</f>
        <v>35</v>
      </c>
      <c r="ER26" s="2026">
        <f>Plantillas!AA$161</f>
        <v>35</v>
      </c>
      <c r="ES26" s="2026">
        <f>Plantillas!AA$162</f>
        <v>33</v>
      </c>
      <c r="ET26" s="2026">
        <f>Plantillas!AA$163</f>
        <v>30</v>
      </c>
      <c r="EU26" s="2026">
        <f>Plantillas!AA$164</f>
        <v>28</v>
      </c>
      <c r="EV26" s="2026">
        <f>Plantillas!AA$165</f>
        <v>28</v>
      </c>
      <c r="EW26" s="2026">
        <f>Plantillas!AA$166</f>
        <v>23</v>
      </c>
      <c r="EX26" s="2026">
        <f>Plantillas!AA$167</f>
        <v>22</v>
      </c>
      <c r="EY26" s="1966">
        <f>Plantillas!AA$168</f>
        <v>30</v>
      </c>
      <c r="EZ26" s="1966">
        <f>Plantillas!AA$169</f>
        <v>31</v>
      </c>
      <c r="FA26" s="1966">
        <f>Plantillas!AA$170</f>
        <v>0</v>
      </c>
      <c r="FB26" s="1966">
        <f>Plantillas!AA$171</f>
        <v>0</v>
      </c>
      <c r="FC26" s="1966">
        <f>Plantillas!AA$172</f>
        <v>0</v>
      </c>
      <c r="FD26" s="1966">
        <f>Plantillas!AA$173</f>
        <v>0</v>
      </c>
      <c r="FE26" s="1966">
        <f>Plantillas!AA$174</f>
        <v>0</v>
      </c>
      <c r="FF26" s="1966">
        <f>Plantillas!AA$175</f>
        <v>0</v>
      </c>
      <c r="FG26" s="1967">
        <f>Plantillas!AA$176</f>
        <v>0</v>
      </c>
      <c r="FH26" s="779">
        <v>4</v>
      </c>
      <c r="FI26" s="1959">
        <f>Plantillas!W$157</f>
        <v>0</v>
      </c>
      <c r="FJ26" s="1959">
        <f>Plantillas!W$158</f>
        <v>0</v>
      </c>
      <c r="FK26" s="1959">
        <f>Plantillas!W$159</f>
        <v>0</v>
      </c>
      <c r="FL26" s="1959">
        <f>Plantillas!W$160</f>
        <v>0</v>
      </c>
      <c r="FM26" s="1959">
        <f>Plantillas!W$161</f>
        <v>0</v>
      </c>
      <c r="FN26" s="1959">
        <f>Plantillas!W$162</f>
        <v>0</v>
      </c>
      <c r="FO26" s="1959">
        <f>Plantillas!W$163</f>
        <v>0</v>
      </c>
      <c r="FP26" s="1959">
        <f>Plantillas!W$164</f>
        <v>0</v>
      </c>
      <c r="FQ26" s="1959">
        <f>Plantillas!W$165</f>
        <v>0</v>
      </c>
      <c r="FR26" s="1959">
        <f>Plantillas!W$166</f>
        <v>0</v>
      </c>
      <c r="FS26" s="1959">
        <f>Plantillas!W$167</f>
        <v>0</v>
      </c>
      <c r="FT26" s="1959">
        <f>Plantillas!W$168</f>
        <v>0</v>
      </c>
      <c r="FU26" s="1959">
        <f>Plantillas!W$169</f>
        <v>0</v>
      </c>
      <c r="FV26" s="1959">
        <f>Plantillas!W$170</f>
        <v>0</v>
      </c>
      <c r="FW26" s="1959">
        <f>Plantillas!W$171</f>
        <v>0</v>
      </c>
      <c r="FX26" s="1959">
        <f>Plantillas!W$172</f>
        <v>0</v>
      </c>
      <c r="FY26" s="1959">
        <f>Plantillas!W$173</f>
        <v>0</v>
      </c>
      <c r="FZ26" s="1959">
        <f>Plantillas!W$174</f>
        <v>0</v>
      </c>
      <c r="GA26" s="1959">
        <f>Plantillas!W$175</f>
        <v>0</v>
      </c>
      <c r="GB26" s="2025">
        <f>Plantillas!W$176</f>
        <v>0</v>
      </c>
      <c r="GC26" s="1358">
        <v>4</v>
      </c>
      <c r="GD26" s="1359">
        <f t="shared" si="49"/>
        <v>2</v>
      </c>
      <c r="GE26" s="1359">
        <f t="shared" si="40"/>
        <v>2</v>
      </c>
      <c r="GF26" s="1359">
        <f t="shared" si="41"/>
        <v>2</v>
      </c>
      <c r="GG26" s="1359">
        <f t="shared" si="42"/>
        <v>2</v>
      </c>
      <c r="GH26" s="1359">
        <f t="shared" si="43"/>
        <v>2</v>
      </c>
      <c r="GI26" s="1359">
        <f t="shared" si="44"/>
        <v>2</v>
      </c>
      <c r="GJ26" s="1359">
        <f t="shared" si="45"/>
        <v>12</v>
      </c>
      <c r="GK26" s="1360">
        <f t="shared" si="46"/>
        <v>357</v>
      </c>
      <c r="GL26" s="1359">
        <v>4</v>
      </c>
      <c r="GM26" s="1933">
        <f>Plantillas!I$157</f>
        <v>0</v>
      </c>
      <c r="GN26" s="1933" t="str">
        <f>Plantillas!I$158</f>
        <v>X</v>
      </c>
      <c r="GO26" s="1933" t="str">
        <f>Plantillas!I$159</f>
        <v>X</v>
      </c>
      <c r="GP26" s="1933" t="str">
        <f>Plantillas!I$160</f>
        <v>X</v>
      </c>
      <c r="GQ26" s="1933" t="str">
        <f>Plantillas!I$161</f>
        <v>X</v>
      </c>
      <c r="GR26" s="1933" t="str">
        <f>Plantillas!I$162</f>
        <v>X</v>
      </c>
      <c r="GS26" s="1933">
        <f>Plantillas!I$163</f>
        <v>0</v>
      </c>
      <c r="GT26" s="1933">
        <f>Plantillas!I$164</f>
        <v>0</v>
      </c>
      <c r="GU26" s="1933">
        <f>Plantillas!I$165</f>
        <v>0</v>
      </c>
      <c r="GV26" s="1933" t="str">
        <f>Plantillas!I$166</f>
        <v>X</v>
      </c>
      <c r="GW26" s="1933">
        <f>Plantillas!I$167</f>
        <v>0</v>
      </c>
      <c r="GX26" s="1933">
        <f>Plantillas!I$168</f>
        <v>0</v>
      </c>
      <c r="GY26" s="1933" t="str">
        <f>Plantillas!I$169</f>
        <v>X</v>
      </c>
      <c r="GZ26" s="1933">
        <f>Plantillas!I$170</f>
        <v>0</v>
      </c>
      <c r="HA26" s="1933">
        <f>Plantillas!I$171</f>
        <v>0</v>
      </c>
      <c r="HB26" s="1933">
        <f>Plantillas!I$172</f>
        <v>0</v>
      </c>
      <c r="HC26" s="1933">
        <f>Plantillas!I$173</f>
        <v>0</v>
      </c>
      <c r="HD26" s="1933" t="str">
        <f>Plantillas!I$174</f>
        <v>X</v>
      </c>
      <c r="HE26" s="1933" t="str">
        <f>Plantillas!I$175</f>
        <v>X</v>
      </c>
      <c r="HF26" s="1934" t="str">
        <f>Plantillas!I$176</f>
        <v>X</v>
      </c>
      <c r="HG26" s="778">
        <v>2</v>
      </c>
      <c r="HH26" s="1358">
        <f>'[1]0491L'!$D$31</f>
        <v>45</v>
      </c>
      <c r="HI26" s="2647">
        <f>'[1]0491L'!$E$31</f>
        <v>43</v>
      </c>
      <c r="HJ26" s="1359">
        <f>'[1]0491L'!$G$31</f>
        <v>36</v>
      </c>
      <c r="HK26" s="1353">
        <f>'[1]0491L'!$H$31</f>
        <v>33</v>
      </c>
      <c r="HL26" s="2646">
        <f>'[1]0491L'!$J$31</f>
        <v>34</v>
      </c>
      <c r="HM26" s="2647">
        <f>'[1]0491L'!$K$31</f>
        <v>27</v>
      </c>
      <c r="HN26" s="1359">
        <f>'[1]0491L'!$M$31</f>
        <v>52</v>
      </c>
      <c r="HO26" s="1353">
        <f>'[1]0491L'!$N$31</f>
        <v>34</v>
      </c>
      <c r="HP26" s="2646">
        <f>'[1]0491L'!$P$31</f>
        <v>34</v>
      </c>
      <c r="HQ26" s="2647">
        <f>'[1]0491L'!$Q$31</f>
        <v>36</v>
      </c>
      <c r="HR26" s="1359">
        <f>'[1]0491L'!$S$31</f>
        <v>28</v>
      </c>
      <c r="HS26" s="1353">
        <f>'[1]0491L'!$T$31</f>
        <v>37</v>
      </c>
      <c r="HT26" s="1358">
        <f>'[1]0491L'!$D$32</f>
        <v>3</v>
      </c>
      <c r="HU26" s="1353">
        <f>'[1]0491L'!$E$32</f>
        <v>3</v>
      </c>
      <c r="HV26" s="2646">
        <f>'[1]0491L'!$G$32</f>
        <v>2</v>
      </c>
      <c r="HW26" s="2647">
        <f>'[1]0491L'!$H$32</f>
        <v>1</v>
      </c>
      <c r="HX26" s="1359">
        <f>'[1]0491L'!$J$32</f>
        <v>4</v>
      </c>
      <c r="HY26" s="1353">
        <f>'[1]0491L'!$K$32</f>
        <v>2</v>
      </c>
      <c r="HZ26" s="2646">
        <f>'[1]0491L'!$M$32</f>
        <v>3</v>
      </c>
      <c r="IA26" s="2647">
        <f>'[1]0491L'!$N$32</f>
        <v>2</v>
      </c>
      <c r="IB26" s="2646">
        <f>'[1]0491L'!$P$32</f>
        <v>0</v>
      </c>
      <c r="IC26" s="2647">
        <f>'[1]0491L'!$Q$32</f>
        <v>0</v>
      </c>
      <c r="ID26" s="1359">
        <f>'[1]0491L'!$S$32</f>
        <v>0</v>
      </c>
      <c r="IE26" s="1354">
        <f>'[1]0491L'!$T$32</f>
        <v>2</v>
      </c>
      <c r="IF26" s="1358">
        <f>'[1]0491L'!$D$34</f>
        <v>6</v>
      </c>
      <c r="IG26" s="1353">
        <f>'[1]0491L'!$E$34</f>
        <v>1</v>
      </c>
      <c r="IH26" s="2646">
        <f>'[1]0491L'!$G$34</f>
        <v>3</v>
      </c>
      <c r="II26" s="2647">
        <f>'[1]0491L'!$H$34</f>
        <v>3</v>
      </c>
      <c r="IJ26" s="1359">
        <f>'[1]0491L'!$J$34</f>
        <v>3</v>
      </c>
      <c r="IK26" s="1353">
        <f>'[1]0491L'!$K$34</f>
        <v>1</v>
      </c>
      <c r="IL26" s="2646">
        <f>'[1]0491L'!$M$34</f>
        <v>5</v>
      </c>
      <c r="IM26" s="2647">
        <f>'[1]0491L'!$N$34</f>
        <v>2</v>
      </c>
      <c r="IN26" s="1359">
        <f>'[1]0491L'!$P$34</f>
        <v>1</v>
      </c>
      <c r="IO26" s="1353">
        <f>'[1]0491L'!$Q$34</f>
        <v>0</v>
      </c>
      <c r="IP26" s="2646">
        <f>'[1]0491L'!$S$34</f>
        <v>0</v>
      </c>
      <c r="IQ26" s="1354">
        <f>'[1]0491L'!$T$34</f>
        <v>0</v>
      </c>
      <c r="IR26" s="1358">
        <f>'[1]0491L'!$D$37</f>
        <v>0</v>
      </c>
      <c r="IS26" s="1353">
        <f>'[1]0491L'!$E$37</f>
        <v>0</v>
      </c>
      <c r="IT26" s="2646">
        <f>'[1]0491L'!$G$37</f>
        <v>0</v>
      </c>
      <c r="IU26" s="2647">
        <f>'[1]0491L'!$H$37</f>
        <v>0</v>
      </c>
      <c r="IV26" s="1359">
        <f>'[1]0491L'!$J$37</f>
        <v>0</v>
      </c>
      <c r="IW26" s="1353">
        <f>'[1]0491L'!$K$37</f>
        <v>0</v>
      </c>
      <c r="IX26" s="2646">
        <f>'[1]0491L'!$M$37</f>
        <v>0</v>
      </c>
      <c r="IY26" s="2647">
        <f>'[1]0491L'!$N$37</f>
        <v>0</v>
      </c>
      <c r="IZ26" s="2646">
        <f>'[1]0491L'!$P$37</f>
        <v>0</v>
      </c>
      <c r="JA26" s="2647">
        <f>'[1]0491L'!$Q$37</f>
        <v>0</v>
      </c>
      <c r="JB26" s="1359">
        <f>'[1]0491L'!$S$37</f>
        <v>0</v>
      </c>
      <c r="JC26" s="1354">
        <f>'[1]0491L'!$T$37</f>
        <v>0</v>
      </c>
      <c r="JD26" s="1358">
        <f>'[1]0491L'!$D$39</f>
        <v>1</v>
      </c>
      <c r="JE26" s="1353">
        <f>'[1]0491L'!$E$39</f>
        <v>2</v>
      </c>
      <c r="JF26" s="2646">
        <f>'[1]0491L'!$G$39</f>
        <v>0</v>
      </c>
      <c r="JG26" s="2647">
        <f>'[1]0491L'!$H$39</f>
        <v>2</v>
      </c>
      <c r="JH26" s="1359">
        <f>'[1]0491L'!$J$39</f>
        <v>0</v>
      </c>
      <c r="JI26" s="1353">
        <f>'[1]0491L'!$K$39</f>
        <v>2</v>
      </c>
      <c r="JJ26" s="2646">
        <f>'[1]0491L'!$M$39</f>
        <v>0</v>
      </c>
      <c r="JK26" s="2647">
        <f>'[1]0491L'!$N$39</f>
        <v>3</v>
      </c>
      <c r="JL26" s="2646">
        <f>'[1]0491L'!$P$39</f>
        <v>2</v>
      </c>
      <c r="JM26" s="2647">
        <f>'[1]0491L'!$Q$39</f>
        <v>0</v>
      </c>
      <c r="JN26" s="1359">
        <f>'[1]0491L'!$S$39</f>
        <v>1</v>
      </c>
      <c r="JO26" s="1353">
        <f>'[1]0491L'!$T$39</f>
        <v>0</v>
      </c>
      <c r="JP26" s="2646">
        <f>'[1]0491L'!$D$28</f>
        <v>0</v>
      </c>
      <c r="JQ26" s="2647">
        <f>'[1]0491L'!$E$28</f>
        <v>0</v>
      </c>
      <c r="JR26" s="2646">
        <f>'[1]0491L'!$G$28</f>
        <v>0</v>
      </c>
      <c r="JS26" s="2647">
        <f>'[1]0491L'!$H$28</f>
        <v>0</v>
      </c>
      <c r="JT26" s="1359">
        <f>'[1]0491L'!$J$28</f>
        <v>0</v>
      </c>
      <c r="JU26" s="1353">
        <f>'[1]0491L'!$K$28</f>
        <v>0</v>
      </c>
      <c r="JV26" s="2646">
        <f>'[1]0491L'!$M$28</f>
        <v>0</v>
      </c>
      <c r="JW26" s="2647">
        <f>'[1]0491L'!$N$28</f>
        <v>0</v>
      </c>
      <c r="JX26" s="2646">
        <f>'[1]0491L'!$P$28</f>
        <v>0</v>
      </c>
      <c r="JY26" s="2647">
        <f>'[1]0491L'!$Q$28</f>
        <v>0</v>
      </c>
      <c r="JZ26" s="1359">
        <f>'[1]0491L'!$S$28</f>
        <v>0</v>
      </c>
      <c r="KA26" s="1353">
        <f>'[1]0491L'!$T$28</f>
        <v>0</v>
      </c>
      <c r="KB26" s="779">
        <f t="shared" ref="KB26:KB43" si="51">JP26+JQ26</f>
        <v>0</v>
      </c>
      <c r="KC26" s="183">
        <f t="shared" ref="KC26:KC43" si="52">JR26+JS26</f>
        <v>0</v>
      </c>
      <c r="KD26" s="183">
        <f t="shared" ref="KD26:KD43" si="53">JT26+JU26</f>
        <v>0</v>
      </c>
      <c r="KE26" s="183">
        <f t="shared" ref="KE26:KE43" si="54">JV26+JW26</f>
        <v>0</v>
      </c>
      <c r="KF26" s="183">
        <f t="shared" ref="KF26:KF43" si="55">JX26+JY26</f>
        <v>0</v>
      </c>
      <c r="KG26" s="782">
        <f t="shared" ref="KG26:KG43" si="56">JZ26+KA26</f>
        <v>0</v>
      </c>
      <c r="KH26" s="1358">
        <v>3</v>
      </c>
      <c r="KI26" s="1931" t="str">
        <f>Plantillas!D112</f>
        <v>8 DE OCTUBRE</v>
      </c>
      <c r="KJ26" s="1931" t="str">
        <f t="shared" si="47"/>
        <v>8 DE OCTUBRE</v>
      </c>
      <c r="KK26" s="1931" t="str">
        <f t="shared" ref="KK26:KW26" si="57">KJ26</f>
        <v>8 DE OCTUBRE</v>
      </c>
      <c r="KL26" s="1931" t="str">
        <f t="shared" si="57"/>
        <v>8 DE OCTUBRE</v>
      </c>
      <c r="KM26" s="1931" t="str">
        <f t="shared" si="57"/>
        <v>8 DE OCTUBRE</v>
      </c>
      <c r="KN26" s="1931" t="str">
        <f t="shared" si="57"/>
        <v>8 DE OCTUBRE</v>
      </c>
      <c r="KO26" s="1931" t="str">
        <f t="shared" si="57"/>
        <v>8 DE OCTUBRE</v>
      </c>
      <c r="KP26" s="1931" t="str">
        <f t="shared" si="57"/>
        <v>8 DE OCTUBRE</v>
      </c>
      <c r="KQ26" s="1931" t="str">
        <f t="shared" si="57"/>
        <v>8 DE OCTUBRE</v>
      </c>
      <c r="KR26" s="1931" t="str">
        <f t="shared" si="57"/>
        <v>8 DE OCTUBRE</v>
      </c>
      <c r="KS26" s="1931" t="str">
        <f t="shared" si="57"/>
        <v>8 DE OCTUBRE</v>
      </c>
      <c r="KT26" s="1931" t="str">
        <f t="shared" si="57"/>
        <v>8 DE OCTUBRE</v>
      </c>
      <c r="KU26" s="1931" t="str">
        <f t="shared" si="57"/>
        <v>8 DE OCTUBRE</v>
      </c>
      <c r="KV26" s="1931" t="str">
        <f t="shared" si="57"/>
        <v>8 DE OCTUBRE</v>
      </c>
      <c r="KW26" s="1931" t="str">
        <f t="shared" si="57"/>
        <v>8 DE OCTUBRE</v>
      </c>
      <c r="KX26" s="1931"/>
      <c r="KY26" s="1931"/>
      <c r="KZ26" s="1931"/>
      <c r="LA26" s="1931"/>
      <c r="LB26" s="1932"/>
      <c r="LC26" s="1358">
        <v>3</v>
      </c>
      <c r="LD26" s="2985" t="s">
        <v>100</v>
      </c>
      <c r="LE26" s="2985" t="s">
        <v>100</v>
      </c>
      <c r="LF26" s="2985" t="s">
        <v>100</v>
      </c>
      <c r="LG26" s="2985" t="s">
        <v>100</v>
      </c>
      <c r="LH26" s="2985" t="s">
        <v>100</v>
      </c>
      <c r="LI26" s="2985" t="s">
        <v>100</v>
      </c>
      <c r="LJ26" s="2985" t="s">
        <v>100</v>
      </c>
      <c r="LK26" s="2985" t="s">
        <v>100</v>
      </c>
      <c r="LL26" s="2985" t="s">
        <v>100</v>
      </c>
      <c r="LM26" s="2985" t="s">
        <v>100</v>
      </c>
      <c r="LN26" s="2985" t="s">
        <v>100</v>
      </c>
      <c r="LO26" s="2985" t="s">
        <v>100</v>
      </c>
      <c r="LP26" s="2985" t="s">
        <v>100</v>
      </c>
      <c r="LQ26" s="2985" t="s">
        <v>100</v>
      </c>
      <c r="LR26" s="2985" t="s">
        <v>100</v>
      </c>
      <c r="LS26" s="2985"/>
      <c r="LT26" s="2985"/>
      <c r="LU26" s="2985"/>
      <c r="LV26" s="2985"/>
      <c r="LW26" s="2986"/>
    </row>
    <row r="27" spans="1:336" ht="12.75" customHeight="1">
      <c r="A27" s="16">
        <v>11</v>
      </c>
      <c r="B27" s="31" t="str">
        <f>VLOOKUP(T6,AX23:DI42,32,32)</f>
        <v>5º</v>
      </c>
      <c r="C27" s="35" t="str">
        <f>VLOOKUP(T6,AX23:DI42,33,33)</f>
        <v>B</v>
      </c>
      <c r="D27" s="29" t="str">
        <f>VLOOKUP(T6,BG2:CA21,12,12)</f>
        <v>MARTIN QUINTAL * SIHARELI CONCEPCION</v>
      </c>
      <c r="E27" s="21"/>
      <c r="F27" s="21"/>
      <c r="G27" s="21"/>
      <c r="H27" s="21"/>
      <c r="I27" s="3360" t="str">
        <f>VLOOKUP(T6,LC24:LW43,12,21)</f>
        <v>042</v>
      </c>
      <c r="J27" s="3780">
        <f>VLOOKUP(T6,AX44:BR63,12,12)</f>
        <v>0</v>
      </c>
      <c r="K27" s="3780"/>
      <c r="L27" s="3780">
        <f>VLOOKUP(T6,BS44:CM63,12,12)</f>
        <v>7</v>
      </c>
      <c r="M27" s="3780"/>
      <c r="N27" s="3780">
        <f>VLOOKUP(T6,CN44:DH63,12,12)</f>
        <v>0</v>
      </c>
      <c r="O27" s="3780"/>
      <c r="P27" s="3780">
        <f>VLOOKUP(T6,DI44:EC63,12,12)</f>
        <v>0</v>
      </c>
      <c r="Q27" s="3780"/>
      <c r="R27" s="3780">
        <f>VLOOKUP(T6,ED44:EX63,12,12)</f>
        <v>0</v>
      </c>
      <c r="S27" s="3780"/>
      <c r="T27" s="3780">
        <f>VLOOKUP(T6,EY44:FS63,12,12)</f>
        <v>0</v>
      </c>
      <c r="U27" s="3780"/>
      <c r="V27" s="3781">
        <f t="shared" si="32"/>
        <v>1.75</v>
      </c>
      <c r="W27" s="3782"/>
      <c r="X27" s="3820"/>
      <c r="Y27" s="3821"/>
      <c r="Z27" s="3820"/>
      <c r="AA27" s="3821"/>
      <c r="AB27" s="3783"/>
      <c r="AC27" s="3784"/>
      <c r="AD27" s="3783"/>
      <c r="AE27" s="3784"/>
      <c r="AF27" s="2939" t="str">
        <f t="shared" si="33"/>
        <v>5ºB</v>
      </c>
      <c r="AG27" s="2940">
        <f t="shared" si="34"/>
        <v>26</v>
      </c>
      <c r="AH27" s="3818">
        <f>VLOOKUP(T6,AX23:DI42,34,34)</f>
        <v>26</v>
      </c>
      <c r="AI27" s="3819"/>
      <c r="AJ27" s="3856"/>
      <c r="AK27" s="3857"/>
      <c r="AL27" s="3193">
        <f>VLOOKUP(T6,GL2:HF21,12,21)</f>
        <v>0</v>
      </c>
      <c r="AM27" s="3194" t="str">
        <f>VLOOKUP(T6,GL23:HF42,12,21)</f>
        <v>X</v>
      </c>
      <c r="AN27" s="3195" t="str">
        <f>VLOOKUP(T6,CB2:CV21,12,21)</f>
        <v>MAQS911208-BX9</v>
      </c>
      <c r="AO27" s="3195" t="str">
        <f>VLOOKUP(T6,CW2:DQ21,12,21)</f>
        <v>078312E028100.0234567</v>
      </c>
      <c r="AP27" s="3195" t="str">
        <f>VLOOKUP(T6,DR2:EL21,12,21)</f>
        <v>DOCENTE</v>
      </c>
      <c r="AQ27" s="3195">
        <f>VLOOKUP(T6,DR23:EL42,12,21)</f>
        <v>0</v>
      </c>
      <c r="AR27" s="3195">
        <f>VLOOKUP(T6,LC2:LW21,12,21)</f>
        <v>0</v>
      </c>
      <c r="AS27" s="3194">
        <f>VLOOKUP(T6,FH2:GB21,12,21)</f>
        <v>0</v>
      </c>
      <c r="AT27" s="3194">
        <f>VLOOKUP(T6,EM2:FG21,12,21)</f>
        <v>10</v>
      </c>
      <c r="AU27" s="3196" t="str">
        <f>VLOOKUP(T6,FH23:GB42,12,21)</f>
        <v>01-09-1983</v>
      </c>
      <c r="AV27" s="3197" t="str">
        <f>VLOOKUP(T6,KH2:LB21,12,21)</f>
        <v>23DPR0055K</v>
      </c>
      <c r="AW27" s="2803" t="str">
        <f>VLOOKUP(T6,KH24:LB43,12,21)</f>
        <v>KABAH</v>
      </c>
      <c r="AX27" s="779">
        <v>5</v>
      </c>
      <c r="AY27" s="2013">
        <f>Plantillas!Y$197</f>
        <v>0</v>
      </c>
      <c r="AZ27" s="2014">
        <f>Plantillas!Z$197</f>
        <v>0</v>
      </c>
      <c r="BA27" s="2015">
        <f>Plantillas!AA$197</f>
        <v>0</v>
      </c>
      <c r="BB27" s="2013" t="str">
        <f>Plantillas!Y$198</f>
        <v>1º</v>
      </c>
      <c r="BC27" s="2014" t="str">
        <f>Plantillas!Z$198</f>
        <v>A</v>
      </c>
      <c r="BD27" s="2016">
        <f>Plantillas!AA$198</f>
        <v>28</v>
      </c>
      <c r="BE27" s="2013" t="str">
        <f>Plantillas!Y$199</f>
        <v>2º</v>
      </c>
      <c r="BF27" s="2014" t="str">
        <f>Plantillas!Z$199</f>
        <v>A</v>
      </c>
      <c r="BG27" s="2016">
        <f>Plantillas!AA$199</f>
        <v>32</v>
      </c>
      <c r="BH27" s="2013" t="str">
        <f>Plantillas!Y$200</f>
        <v>3º</v>
      </c>
      <c r="BI27" s="2014" t="str">
        <f>Plantillas!Z$200</f>
        <v>A</v>
      </c>
      <c r="BJ27" s="2016">
        <f>Plantillas!AA$200</f>
        <v>28</v>
      </c>
      <c r="BK27" s="2013" t="str">
        <f>Plantillas!Y$201</f>
        <v>4º</v>
      </c>
      <c r="BL27" s="2014" t="str">
        <f>Plantillas!Z$201</f>
        <v>A</v>
      </c>
      <c r="BM27" s="2016">
        <f>Plantillas!AA$201</f>
        <v>26</v>
      </c>
      <c r="BN27" s="2013" t="str">
        <f>Plantillas!Y$202</f>
        <v>5º</v>
      </c>
      <c r="BO27" s="2014" t="str">
        <f>Plantillas!Z$202</f>
        <v>A</v>
      </c>
      <c r="BP27" s="2016">
        <f>Plantillas!AA$202</f>
        <v>31</v>
      </c>
      <c r="BQ27" s="2013" t="str">
        <f>Plantillas!Y$203</f>
        <v>6º</v>
      </c>
      <c r="BR27" s="2014" t="str">
        <f>Plantillas!Z$203</f>
        <v>A</v>
      </c>
      <c r="BS27" s="2016">
        <f>Plantillas!AA$203</f>
        <v>31</v>
      </c>
      <c r="BT27" s="2013" t="str">
        <f>Plantillas!Y$204</f>
        <v>6º</v>
      </c>
      <c r="BU27" s="2014" t="str">
        <f>Plantillas!Z$204</f>
        <v>B</v>
      </c>
      <c r="BV27" s="2016">
        <f>Plantillas!AA$204</f>
        <v>31</v>
      </c>
      <c r="BW27" s="2013">
        <f>Plantillas!Y$205</f>
        <v>0</v>
      </c>
      <c r="BX27" s="2014">
        <f>Plantillas!Z$205</f>
        <v>0</v>
      </c>
      <c r="BY27" s="2016">
        <f>Plantillas!AA$205</f>
        <v>0</v>
      </c>
      <c r="BZ27" s="2013">
        <f>Plantillas!Y$206</f>
        <v>0</v>
      </c>
      <c r="CA27" s="2014">
        <f>Plantillas!Z$206</f>
        <v>0</v>
      </c>
      <c r="CB27" s="2016">
        <f>Plantillas!AA$206</f>
        <v>0</v>
      </c>
      <c r="CC27" s="2013">
        <f>Plantillas!Y$207</f>
        <v>0</v>
      </c>
      <c r="CD27" s="2014">
        <f>Plantillas!Z$207</f>
        <v>0</v>
      </c>
      <c r="CE27" s="2016">
        <f>Plantillas!AA$207</f>
        <v>0</v>
      </c>
      <c r="CF27" s="2013">
        <f>Plantillas!Y$208</f>
        <v>0</v>
      </c>
      <c r="CG27" s="2014">
        <f>Plantillas!Z$208</f>
        <v>0</v>
      </c>
      <c r="CH27" s="2016">
        <f>Plantillas!AA$208</f>
        <v>0</v>
      </c>
      <c r="CI27" s="2013">
        <f>Plantillas!Y$209</f>
        <v>0</v>
      </c>
      <c r="CJ27" s="2014">
        <f>Plantillas!Z$209</f>
        <v>0</v>
      </c>
      <c r="CK27" s="2016">
        <f>Plantillas!AA$209</f>
        <v>0</v>
      </c>
      <c r="CL27" s="2013">
        <f>Plantillas!Y$210</f>
        <v>0</v>
      </c>
      <c r="CM27" s="2014">
        <f>Plantillas!Z$210</f>
        <v>0</v>
      </c>
      <c r="CN27" s="2016">
        <f>Plantillas!AA$210</f>
        <v>0</v>
      </c>
      <c r="CO27" s="2013">
        <f>Plantillas!Y$211</f>
        <v>0</v>
      </c>
      <c r="CP27" s="2014">
        <f>Plantillas!Z$211</f>
        <v>0</v>
      </c>
      <c r="CQ27" s="2016">
        <f>Plantillas!AA$211</f>
        <v>0</v>
      </c>
      <c r="CR27" s="2013">
        <f>Plantillas!Y$212</f>
        <v>0</v>
      </c>
      <c r="CS27" s="2014">
        <f>Plantillas!Z$212</f>
        <v>0</v>
      </c>
      <c r="CT27" s="2016">
        <f>Plantillas!AA$212</f>
        <v>0</v>
      </c>
      <c r="CU27" s="2013">
        <f>Plantillas!Y$213</f>
        <v>0</v>
      </c>
      <c r="CV27" s="2014">
        <f>Plantillas!Z$213</f>
        <v>0</v>
      </c>
      <c r="CW27" s="2016">
        <f>Plantillas!AA$213</f>
        <v>0</v>
      </c>
      <c r="CX27" s="2013">
        <f>Plantillas!Y$214</f>
        <v>0</v>
      </c>
      <c r="CY27" s="2014">
        <f>Plantillas!Z$214</f>
        <v>0</v>
      </c>
      <c r="CZ27" s="2016">
        <f>Plantillas!AA$214</f>
        <v>0</v>
      </c>
      <c r="DA27" s="2013">
        <f>Plantillas!Y$215</f>
        <v>0</v>
      </c>
      <c r="DB27" s="2014">
        <f>Plantillas!Z$215</f>
        <v>0</v>
      </c>
      <c r="DC27" s="2016">
        <f>Plantillas!AA$215</f>
        <v>0</v>
      </c>
      <c r="DD27" s="2013">
        <f>Plantillas!Y$216</f>
        <v>0</v>
      </c>
      <c r="DE27" s="2014">
        <f>Plantillas!Z$216</f>
        <v>0</v>
      </c>
      <c r="DF27" s="2016">
        <f>Plantillas!AA$216</f>
        <v>0</v>
      </c>
      <c r="DG27" s="2013">
        <f>Plantillas!Y$217</f>
        <v>0</v>
      </c>
      <c r="DH27" s="2014">
        <v>2</v>
      </c>
      <c r="DI27" s="2091" t="str">
        <f>Estadisticas!AA7</f>
        <v>carcox_68@hotmail.com</v>
      </c>
      <c r="DJ27" s="183">
        <v>5</v>
      </c>
      <c r="DK27" s="84" t="str">
        <f>VLOOKUP(T6,BG2:CA21,6,6)</f>
        <v>GONGORA SANTOS * GRACIELA</v>
      </c>
      <c r="DL27" s="2018" t="str">
        <f>VLOOKUP(T6,CB2:CV21,6,6)</f>
        <v>GOSG720804RM7</v>
      </c>
      <c r="DM27" s="2019" t="str">
        <f>VLOOKUP(T6,CW2:DQ21,6,6)</f>
        <v>078312 E028100.0233382</v>
      </c>
      <c r="DN27" s="2020" t="str">
        <f>VLOOKUP(T6,DR2:EL21,6,6)</f>
        <v>DOCENTE</v>
      </c>
      <c r="DO27" s="2021">
        <f>VLOOKUP(T6,DR23:EL42,6,6)</f>
        <v>0</v>
      </c>
      <c r="DP27" s="2022">
        <f>VLOOKUP(T6,EM2:FG21,6,6)</f>
        <v>10</v>
      </c>
      <c r="DQ27" s="84">
        <f>VLOOKUP(T6,EM23:FG42,6,6)</f>
        <v>33</v>
      </c>
      <c r="DR27" s="2023">
        <v>5</v>
      </c>
      <c r="DS27" s="2024" t="str">
        <f>Plantillas!N$197</f>
        <v>23DPR0672V</v>
      </c>
      <c r="DT27" s="2024" t="str">
        <f>Plantillas!N$198</f>
        <v>23DPR0503Z</v>
      </c>
      <c r="DU27" s="2024" t="str">
        <f>Plantillas!N$199</f>
        <v>23DPR0564N</v>
      </c>
      <c r="DV27" s="2024" t="str">
        <f>Plantillas!N$200</f>
        <v>23DPR0564N</v>
      </c>
      <c r="DW27" s="2024" t="str">
        <f>Plantillas!N$201</f>
        <v>23DPR0564N</v>
      </c>
      <c r="DX27" s="2024" t="str">
        <f>Plantillas!N$202</f>
        <v>23DPR0564N</v>
      </c>
      <c r="DY27" s="2024" t="str">
        <f>Plantillas!N$203</f>
        <v>23DPR0564N</v>
      </c>
      <c r="DZ27" s="2024">
        <f>Plantillas!N$204</f>
        <v>0</v>
      </c>
      <c r="EA27" s="2024">
        <f>Plantillas!N$205</f>
        <v>0</v>
      </c>
      <c r="EB27" s="2024">
        <f>Plantillas!N$206</f>
        <v>0</v>
      </c>
      <c r="EC27" s="2024">
        <f>Plantillas!N$207</f>
        <v>0</v>
      </c>
      <c r="ED27" s="2024">
        <f>Plantillas!N$208</f>
        <v>0</v>
      </c>
      <c r="EE27" s="2024">
        <f>Plantillas!N$209</f>
        <v>0</v>
      </c>
      <c r="EF27" s="2024">
        <f>Plantillas!N$210</f>
        <v>0</v>
      </c>
      <c r="EG27" s="2024">
        <f>Plantillas!N$211</f>
        <v>0</v>
      </c>
      <c r="EH27" s="2024">
        <f>Plantillas!N$212</f>
        <v>0</v>
      </c>
      <c r="EI27" s="2024">
        <f>Plantillas!N$213</f>
        <v>0</v>
      </c>
      <c r="EJ27" s="2024">
        <f>Plantillas!N$214</f>
        <v>0</v>
      </c>
      <c r="EK27" s="2024">
        <f>Plantillas!N$215</f>
        <v>0</v>
      </c>
      <c r="EL27" s="2024">
        <f>Plantillas!N$216</f>
        <v>0</v>
      </c>
      <c r="EM27" s="779">
        <v>5</v>
      </c>
      <c r="EN27" s="1966">
        <f>Plantillas!AA$197</f>
        <v>0</v>
      </c>
      <c r="EO27" s="1966">
        <f>Plantillas!AA$198</f>
        <v>28</v>
      </c>
      <c r="EP27" s="1966">
        <f>Plantillas!AA$199</f>
        <v>32</v>
      </c>
      <c r="EQ27" s="1966">
        <f>Plantillas!AA$200</f>
        <v>28</v>
      </c>
      <c r="ER27" s="1966">
        <f>Plantillas!AA$201</f>
        <v>26</v>
      </c>
      <c r="ES27" s="1966">
        <f>Plantillas!AA$202</f>
        <v>31</v>
      </c>
      <c r="ET27" s="1966">
        <f>Plantillas!AA$203</f>
        <v>31</v>
      </c>
      <c r="EU27" s="1966">
        <f>Plantillas!AA$204</f>
        <v>31</v>
      </c>
      <c r="EV27" s="1966">
        <f>Plantillas!AA$205</f>
        <v>0</v>
      </c>
      <c r="EW27" s="1966">
        <f>Plantillas!AA$206</f>
        <v>0</v>
      </c>
      <c r="EX27" s="1966">
        <f>Plantillas!AA$207</f>
        <v>0</v>
      </c>
      <c r="EY27" s="1966">
        <f>Plantillas!AA$208</f>
        <v>0</v>
      </c>
      <c r="EZ27" s="1966">
        <f>Plantillas!AA$209</f>
        <v>0</v>
      </c>
      <c r="FA27" s="1966">
        <f>Plantillas!AA$210</f>
        <v>0</v>
      </c>
      <c r="FB27" s="1966">
        <f>Plantillas!AA$211</f>
        <v>0</v>
      </c>
      <c r="FC27" s="1966">
        <f>Plantillas!AA$212</f>
        <v>0</v>
      </c>
      <c r="FD27" s="1966">
        <f>Plantillas!AA$213</f>
        <v>0</v>
      </c>
      <c r="FE27" s="1966">
        <f>Plantillas!AA$214</f>
        <v>0</v>
      </c>
      <c r="FF27" s="1966">
        <f>Plantillas!AA$215</f>
        <v>0</v>
      </c>
      <c r="FG27" s="1967">
        <f>Plantillas!AA$216</f>
        <v>0</v>
      </c>
      <c r="FH27" s="779">
        <v>5</v>
      </c>
      <c r="FI27" s="1959" t="str">
        <f>Plantillas!W$197</f>
        <v>01-09-1991</v>
      </c>
      <c r="FJ27" s="1959" t="str">
        <f>Plantillas!W$198</f>
        <v>01-09-1984</v>
      </c>
      <c r="FK27" s="1959" t="str">
        <f>Plantillas!W$199</f>
        <v>01-10-1988</v>
      </c>
      <c r="FL27" s="1959" t="str">
        <f>Plantillas!W$200</f>
        <v>16-09-1997</v>
      </c>
      <c r="FM27" s="1959">
        <f>Plantillas!W$201</f>
        <v>0</v>
      </c>
      <c r="FN27" s="1959" t="str">
        <f>Plantillas!W$202</f>
        <v>01-09-1988</v>
      </c>
      <c r="FO27" s="1959" t="str">
        <f>Plantillas!W$203</f>
        <v>01-09-1983</v>
      </c>
      <c r="FP27" s="1959">
        <f>Plantillas!W$204</f>
        <v>0</v>
      </c>
      <c r="FQ27" s="1959">
        <f>Plantillas!W$205</f>
        <v>0</v>
      </c>
      <c r="FR27" s="1959">
        <f>Plantillas!W$206</f>
        <v>0</v>
      </c>
      <c r="FS27" s="1959">
        <f>Plantillas!W$207</f>
        <v>0</v>
      </c>
      <c r="FT27" s="1959">
        <f>Plantillas!W$208</f>
        <v>0</v>
      </c>
      <c r="FU27" s="1959">
        <f>Plantillas!W$209</f>
        <v>0</v>
      </c>
      <c r="FV27" s="1959">
        <f>Plantillas!W$210</f>
        <v>0</v>
      </c>
      <c r="FW27" s="1959">
        <f>Plantillas!W$211</f>
        <v>0</v>
      </c>
      <c r="FX27" s="1959">
        <f>Plantillas!W$212</f>
        <v>0</v>
      </c>
      <c r="FY27" s="1959">
        <f>Plantillas!W$213</f>
        <v>0</v>
      </c>
      <c r="FZ27" s="1959">
        <f>Plantillas!W$214</f>
        <v>0</v>
      </c>
      <c r="GA27" s="1959">
        <f>Plantillas!W$215</f>
        <v>0</v>
      </c>
      <c r="GB27" s="2025">
        <f>Plantillas!W$216</f>
        <v>0</v>
      </c>
      <c r="GC27" s="1358">
        <v>5</v>
      </c>
      <c r="GD27" s="1359">
        <f t="shared" si="49"/>
        <v>1</v>
      </c>
      <c r="GE27" s="1359">
        <f t="shared" si="40"/>
        <v>1</v>
      </c>
      <c r="GF27" s="1359">
        <f t="shared" si="41"/>
        <v>1</v>
      </c>
      <c r="GG27" s="1359">
        <f t="shared" si="42"/>
        <v>1</v>
      </c>
      <c r="GH27" s="1359">
        <f t="shared" si="43"/>
        <v>1</v>
      </c>
      <c r="GI27" s="1359">
        <f t="shared" si="44"/>
        <v>2</v>
      </c>
      <c r="GJ27" s="1359">
        <f t="shared" si="45"/>
        <v>7</v>
      </c>
      <c r="GK27" s="1360">
        <f t="shared" si="46"/>
        <v>207</v>
      </c>
      <c r="GL27" s="1359">
        <v>5</v>
      </c>
      <c r="GM27" s="1933">
        <f>Plantillas!I$197</f>
        <v>0</v>
      </c>
      <c r="GN27" s="1933" t="str">
        <f>Plantillas!I$198</f>
        <v>X</v>
      </c>
      <c r="GO27" s="1933" t="str">
        <f>Plantillas!I$199</f>
        <v>X</v>
      </c>
      <c r="GP27" s="1933">
        <f>Plantillas!I$200</f>
        <v>0</v>
      </c>
      <c r="GQ27" s="1933">
        <f>Plantillas!I$201</f>
        <v>0</v>
      </c>
      <c r="GR27" s="1933" t="str">
        <f>Plantillas!I$202</f>
        <v>X</v>
      </c>
      <c r="GS27" s="1933">
        <f>Plantillas!I$203</f>
        <v>0</v>
      </c>
      <c r="GT27" s="1933">
        <f>Plantillas!I$204</f>
        <v>0</v>
      </c>
      <c r="GU27" s="1933">
        <f>Plantillas!I$205</f>
        <v>0</v>
      </c>
      <c r="GV27" s="1933">
        <f>Plantillas!I$206</f>
        <v>0</v>
      </c>
      <c r="GW27" s="1933">
        <f>Plantillas!I$207</f>
        <v>0</v>
      </c>
      <c r="GX27" s="1933">
        <f>Plantillas!I$208</f>
        <v>0</v>
      </c>
      <c r="GY27" s="1933">
        <f>Plantillas!I$209</f>
        <v>0</v>
      </c>
      <c r="GZ27" s="1933">
        <f>Plantillas!I$210</f>
        <v>0</v>
      </c>
      <c r="HA27" s="1933">
        <f>Plantillas!I$211</f>
        <v>0</v>
      </c>
      <c r="HB27" s="1933">
        <f>Plantillas!I$212</f>
        <v>0</v>
      </c>
      <c r="HC27" s="1933">
        <f>Plantillas!I$213</f>
        <v>0</v>
      </c>
      <c r="HD27" s="1933">
        <f>Plantillas!I$214</f>
        <v>0</v>
      </c>
      <c r="HE27" s="1933">
        <f>Plantillas!I$215</f>
        <v>0</v>
      </c>
      <c r="HF27" s="1934">
        <f>Plantillas!I$216</f>
        <v>0</v>
      </c>
      <c r="HG27" s="778">
        <v>3</v>
      </c>
      <c r="HH27" s="1358">
        <f>'[1]0492K'!$D$31</f>
        <v>12</v>
      </c>
      <c r="HI27" s="2647">
        <f>'[1]0492K'!$E$31</f>
        <v>18</v>
      </c>
      <c r="HJ27" s="1359">
        <f>'[1]0492K'!$G$31</f>
        <v>37</v>
      </c>
      <c r="HK27" s="1353">
        <f>'[1]0492K'!$H$31</f>
        <v>28</v>
      </c>
      <c r="HL27" s="2646">
        <f>'[1]0492K'!$J$31</f>
        <v>23</v>
      </c>
      <c r="HM27" s="2647">
        <f>'[1]0492K'!$K$31</f>
        <v>28</v>
      </c>
      <c r="HN27" s="1359">
        <f>'[1]0492K'!$M$31</f>
        <v>17</v>
      </c>
      <c r="HO27" s="1353">
        <f>'[1]0492K'!$N$31</f>
        <v>17</v>
      </c>
      <c r="HP27" s="2646">
        <f>'[1]0492K'!$P$31</f>
        <v>23</v>
      </c>
      <c r="HQ27" s="2647">
        <f>'[1]0492K'!$Q$31</f>
        <v>25</v>
      </c>
      <c r="HR27" s="1359">
        <f>'[1]0492K'!$S$31</f>
        <v>25</v>
      </c>
      <c r="HS27" s="1353">
        <f>'[1]0492K'!$T$31</f>
        <v>21</v>
      </c>
      <c r="HT27" s="1358">
        <f>'[1]0492K'!$D$32</f>
        <v>3</v>
      </c>
      <c r="HU27" s="1353">
        <f>'[1]0492K'!$E$32</f>
        <v>2</v>
      </c>
      <c r="HV27" s="2646">
        <f>'[1]0492K'!$G$32</f>
        <v>2</v>
      </c>
      <c r="HW27" s="2647">
        <f>'[1]0492K'!$H$32</f>
        <v>5</v>
      </c>
      <c r="HX27" s="1359">
        <f>'[1]0492K'!$J$32</f>
        <v>1</v>
      </c>
      <c r="HY27" s="1353">
        <f>'[1]0492K'!$K$32</f>
        <v>5</v>
      </c>
      <c r="HZ27" s="2646">
        <f>'[1]0492K'!$M$32</f>
        <v>1</v>
      </c>
      <c r="IA27" s="2647">
        <f>'[1]0492K'!$N$32</f>
        <v>2</v>
      </c>
      <c r="IB27" s="2646">
        <f>'[1]0492K'!$P$32</f>
        <v>2</v>
      </c>
      <c r="IC27" s="2647">
        <f>'[1]0492K'!$Q$32</f>
        <v>1</v>
      </c>
      <c r="ID27" s="1359">
        <f>'[1]0492K'!$S$32</f>
        <v>1</v>
      </c>
      <c r="IE27" s="1354">
        <f>'[1]0492K'!$T$32</f>
        <v>1</v>
      </c>
      <c r="IF27" s="1358">
        <f>'[1]0492K'!$D$34</f>
        <v>1</v>
      </c>
      <c r="IG27" s="1353">
        <f>'[1]0492K'!$E$34</f>
        <v>2</v>
      </c>
      <c r="IH27" s="2646">
        <f>'[1]0492K'!$G$34</f>
        <v>8</v>
      </c>
      <c r="II27" s="2647">
        <f>'[1]0492K'!$H$34</f>
        <v>6</v>
      </c>
      <c r="IJ27" s="1359">
        <f>'[1]0492K'!$J$34</f>
        <v>5</v>
      </c>
      <c r="IK27" s="1353">
        <f>'[1]0492K'!$K$34</f>
        <v>3</v>
      </c>
      <c r="IL27" s="2646">
        <f>'[1]0492K'!$M$34</f>
        <v>0</v>
      </c>
      <c r="IM27" s="2647">
        <f>'[1]0492K'!$N$34</f>
        <v>2</v>
      </c>
      <c r="IN27" s="1359">
        <f>'[1]0492K'!$P$34</f>
        <v>3</v>
      </c>
      <c r="IO27" s="1353">
        <f>'[1]0492K'!$Q$34</f>
        <v>2</v>
      </c>
      <c r="IP27" s="2646">
        <f>'[1]0492K'!$S$34</f>
        <v>4</v>
      </c>
      <c r="IQ27" s="1354">
        <f>'[1]0492K'!$T$34</f>
        <v>1</v>
      </c>
      <c r="IR27" s="1358">
        <f>'[1]0492K'!$D$37</f>
        <v>0</v>
      </c>
      <c r="IS27" s="1353">
        <f>'[1]0492K'!$E$37</f>
        <v>0</v>
      </c>
      <c r="IT27" s="2646">
        <f>'[1]0492K'!$G$37</f>
        <v>0</v>
      </c>
      <c r="IU27" s="2647">
        <f>'[1]0492K'!$H$37</f>
        <v>0</v>
      </c>
      <c r="IV27" s="1359">
        <f>'[1]0492K'!$J$37</f>
        <v>0</v>
      </c>
      <c r="IW27" s="1353">
        <f>'[1]0492K'!$K$37</f>
        <v>0</v>
      </c>
      <c r="IX27" s="2646">
        <f>'[1]0492K'!$M$37</f>
        <v>0</v>
      </c>
      <c r="IY27" s="2647">
        <f>'[1]0492K'!$N$37</f>
        <v>0</v>
      </c>
      <c r="IZ27" s="2646">
        <f>'[1]0492K'!$P$37</f>
        <v>0</v>
      </c>
      <c r="JA27" s="2647">
        <f>'[1]0492K'!$Q$37</f>
        <v>0</v>
      </c>
      <c r="JB27" s="1359">
        <f>'[1]0492K'!$S$37</f>
        <v>0</v>
      </c>
      <c r="JC27" s="1354">
        <f>'[1]0492K'!$T$37</f>
        <v>0</v>
      </c>
      <c r="JD27" s="1358">
        <f>'[1]0492K'!$D$39</f>
        <v>0</v>
      </c>
      <c r="JE27" s="1353">
        <f>'[1]0492K'!$E$39</f>
        <v>1</v>
      </c>
      <c r="JF27" s="2646">
        <f>'[1]0492K'!$G$39</f>
        <v>0</v>
      </c>
      <c r="JG27" s="2647">
        <f>'[1]0492K'!$H$39</f>
        <v>2</v>
      </c>
      <c r="JH27" s="1359">
        <f>'[1]0492K'!$J$39</f>
        <v>2</v>
      </c>
      <c r="JI27" s="1353">
        <f>'[1]0492K'!$K$39</f>
        <v>0</v>
      </c>
      <c r="JJ27" s="2646">
        <f>'[1]0492K'!$M$39</f>
        <v>1</v>
      </c>
      <c r="JK27" s="2647">
        <f>'[1]0492K'!$N$39</f>
        <v>0</v>
      </c>
      <c r="JL27" s="2646">
        <f>'[1]0492K'!$P$39</f>
        <v>1</v>
      </c>
      <c r="JM27" s="2647">
        <f>'[1]0492K'!$Q$39</f>
        <v>1</v>
      </c>
      <c r="JN27" s="1359">
        <f>'[1]0492K'!$S$39</f>
        <v>1</v>
      </c>
      <c r="JO27" s="1353">
        <f>'[1]0492K'!$T$39</f>
        <v>1</v>
      </c>
      <c r="JP27" s="2646">
        <f>'[1]0492K'!$D$28</f>
        <v>0</v>
      </c>
      <c r="JQ27" s="2647">
        <f>'[1]0492K'!$E$28</f>
        <v>0</v>
      </c>
      <c r="JR27" s="2646">
        <f>'[1]0492K'!$G$28</f>
        <v>0</v>
      </c>
      <c r="JS27" s="2647">
        <f>'[1]0492K'!$H$28</f>
        <v>0</v>
      </c>
      <c r="JT27" s="1359">
        <f>'[1]0492K'!$J$28</f>
        <v>0</v>
      </c>
      <c r="JU27" s="1353">
        <f>'[1]0492K'!$K$28</f>
        <v>0</v>
      </c>
      <c r="JV27" s="2646">
        <f>'[1]0492K'!$M$28</f>
        <v>0</v>
      </c>
      <c r="JW27" s="2647">
        <f>'[1]0492K'!$N$28</f>
        <v>0</v>
      </c>
      <c r="JX27" s="2646">
        <f>'[1]0492K'!$P$28</f>
        <v>0</v>
      </c>
      <c r="JY27" s="2647">
        <f>'[1]0492K'!$Q$28</f>
        <v>0</v>
      </c>
      <c r="JZ27" s="1359">
        <f>'[1]0492K'!$S$28</f>
        <v>0</v>
      </c>
      <c r="KA27" s="1353">
        <f>'[1]0492K'!$T$28</f>
        <v>0</v>
      </c>
      <c r="KB27" s="779">
        <f t="shared" si="51"/>
        <v>0</v>
      </c>
      <c r="KC27" s="183">
        <f t="shared" si="52"/>
        <v>0</v>
      </c>
      <c r="KD27" s="183">
        <f t="shared" si="53"/>
        <v>0</v>
      </c>
      <c r="KE27" s="183">
        <f t="shared" si="54"/>
        <v>0</v>
      </c>
      <c r="KF27" s="183">
        <f t="shared" si="55"/>
        <v>0</v>
      </c>
      <c r="KG27" s="782">
        <f t="shared" si="56"/>
        <v>0</v>
      </c>
      <c r="KH27" s="1358">
        <v>4</v>
      </c>
      <c r="KI27" s="1931" t="str">
        <f>Plantillas!D152</f>
        <v>DERECHOS DEL NIÑO</v>
      </c>
      <c r="KJ27" s="1931" t="str">
        <f t="shared" si="47"/>
        <v>DERECHOS DEL NIÑO</v>
      </c>
      <c r="KK27" s="1931" t="str">
        <f t="shared" ref="KK27:KW28" si="58">KJ27</f>
        <v>DERECHOS DEL NIÑO</v>
      </c>
      <c r="KL27" s="1931" t="str">
        <f t="shared" si="58"/>
        <v>DERECHOS DEL NIÑO</v>
      </c>
      <c r="KM27" s="1931" t="str">
        <f t="shared" si="58"/>
        <v>DERECHOS DEL NIÑO</v>
      </c>
      <c r="KN27" s="1931" t="str">
        <f t="shared" si="58"/>
        <v>DERECHOS DEL NIÑO</v>
      </c>
      <c r="KO27" s="1931" t="str">
        <f t="shared" si="58"/>
        <v>DERECHOS DEL NIÑO</v>
      </c>
      <c r="KP27" s="1931" t="str">
        <f t="shared" si="58"/>
        <v>DERECHOS DEL NIÑO</v>
      </c>
      <c r="KQ27" s="1931" t="str">
        <f t="shared" si="58"/>
        <v>DERECHOS DEL NIÑO</v>
      </c>
      <c r="KR27" s="1931" t="str">
        <f t="shared" si="58"/>
        <v>DERECHOS DEL NIÑO</v>
      </c>
      <c r="KS27" s="1931" t="str">
        <f t="shared" si="58"/>
        <v>DERECHOS DEL NIÑO</v>
      </c>
      <c r="KT27" s="1931" t="str">
        <f t="shared" si="58"/>
        <v>DERECHOS DEL NIÑO</v>
      </c>
      <c r="KU27" s="1931" t="str">
        <f t="shared" si="58"/>
        <v>DERECHOS DEL NIÑO</v>
      </c>
      <c r="KV27" s="1931" t="str">
        <f t="shared" si="58"/>
        <v>DERECHOS DEL NIÑO</v>
      </c>
      <c r="KW27" s="1931" t="str">
        <f t="shared" si="58"/>
        <v>DERECHOS DEL NIÑO</v>
      </c>
      <c r="KX27" s="1931"/>
      <c r="KY27" s="1931"/>
      <c r="KZ27" s="1931"/>
      <c r="LA27" s="1931"/>
      <c r="LB27" s="1932"/>
      <c r="LC27" s="1358">
        <v>4</v>
      </c>
      <c r="LD27" s="2985" t="s">
        <v>100</v>
      </c>
      <c r="LE27" s="2985" t="s">
        <v>100</v>
      </c>
      <c r="LF27" s="2985" t="s">
        <v>100</v>
      </c>
      <c r="LG27" s="2985" t="s">
        <v>100</v>
      </c>
      <c r="LH27" s="2985" t="s">
        <v>100</v>
      </c>
      <c r="LI27" s="2985" t="s">
        <v>100</v>
      </c>
      <c r="LJ27" s="2985" t="s">
        <v>100</v>
      </c>
      <c r="LK27" s="2985" t="s">
        <v>100</v>
      </c>
      <c r="LL27" s="2985" t="s">
        <v>100</v>
      </c>
      <c r="LM27" s="2985" t="s">
        <v>100</v>
      </c>
      <c r="LN27" s="2985" t="s">
        <v>100</v>
      </c>
      <c r="LO27" s="2985" t="s">
        <v>100</v>
      </c>
      <c r="LP27" s="2985" t="s">
        <v>100</v>
      </c>
      <c r="LQ27" s="2985" t="s">
        <v>100</v>
      </c>
      <c r="LR27" s="2985" t="s">
        <v>100</v>
      </c>
      <c r="LS27" s="2985"/>
      <c r="LT27" s="2985"/>
      <c r="LU27" s="2985"/>
      <c r="LV27" s="2985"/>
      <c r="LW27" s="2986"/>
    </row>
    <row r="28" spans="1:336" ht="12.75" customHeight="1">
      <c r="A28" s="16">
        <v>12</v>
      </c>
      <c r="B28" s="31" t="str">
        <f>VLOOKUP(T6,AX23:DI42,35,35)</f>
        <v>6º</v>
      </c>
      <c r="C28" s="35" t="str">
        <f>VLOOKUP(T6,AX23:DI42,36,36)</f>
        <v>A</v>
      </c>
      <c r="D28" s="29" t="str">
        <f>VLOOKUP(T6,BG2:CA21,13,13)</f>
        <v>ALEMAN SANTOS * MIRIAM</v>
      </c>
      <c r="E28" s="21"/>
      <c r="F28" s="21"/>
      <c r="G28" s="21"/>
      <c r="H28" s="21"/>
      <c r="I28" s="3360" t="str">
        <f>VLOOKUP(T6,LC24:LW43,13,21)</f>
        <v>042</v>
      </c>
      <c r="J28" s="3780">
        <f>VLOOKUP(T6,AX44:BR63,13,13)</f>
        <v>0</v>
      </c>
      <c r="K28" s="3780"/>
      <c r="L28" s="3780">
        <f>VLOOKUP(T6,BS44:CM63,13,13)</f>
        <v>6.3</v>
      </c>
      <c r="M28" s="3780"/>
      <c r="N28" s="3780">
        <f>VLOOKUP(T6,CN44:DH63,13,13)</f>
        <v>0</v>
      </c>
      <c r="O28" s="3780"/>
      <c r="P28" s="3780">
        <f>VLOOKUP(T6,DI44:EC63,13,13)</f>
        <v>0</v>
      </c>
      <c r="Q28" s="3780"/>
      <c r="R28" s="3780">
        <f>VLOOKUP(T6,ED44:EX63,13,13)</f>
        <v>0</v>
      </c>
      <c r="S28" s="3780"/>
      <c r="T28" s="3780">
        <f>VLOOKUP(T6,EY44:FS63,13,13)</f>
        <v>0</v>
      </c>
      <c r="U28" s="3780"/>
      <c r="V28" s="3781">
        <f t="shared" si="32"/>
        <v>1.575</v>
      </c>
      <c r="W28" s="3782"/>
      <c r="X28" s="3820"/>
      <c r="Y28" s="3821"/>
      <c r="Z28" s="3820"/>
      <c r="AA28" s="3821"/>
      <c r="AB28" s="3783"/>
      <c r="AC28" s="3784"/>
      <c r="AD28" s="3783"/>
      <c r="AE28" s="3784"/>
      <c r="AF28" s="2939" t="str">
        <f t="shared" si="33"/>
        <v>6ºA</v>
      </c>
      <c r="AG28" s="2940">
        <f t="shared" si="34"/>
        <v>30</v>
      </c>
      <c r="AH28" s="3818">
        <f>VLOOKUP(T6,AX23:DI42,37,37)</f>
        <v>30</v>
      </c>
      <c r="AI28" s="3819"/>
      <c r="AJ28" s="3856"/>
      <c r="AK28" s="3857"/>
      <c r="AL28" s="3193">
        <f>VLOOKUP(T6,GL2:HF21,13,21)</f>
        <v>0</v>
      </c>
      <c r="AM28" s="3194" t="str">
        <f>VLOOKUP(T6,GL23:HF42,13,21)</f>
        <v>X</v>
      </c>
      <c r="AN28" s="3195" t="str">
        <f>VLOOKUP(T6,CB2:CV21,13,21)</f>
        <v>AESM711024QNA</v>
      </c>
      <c r="AO28" s="3195" t="str">
        <f>VLOOKUP(T6,CW2:DQ21,13,21)</f>
        <v>078312 E028100.0233330</v>
      </c>
      <c r="AP28" s="3195" t="str">
        <f>VLOOKUP(T6,DR2:EL21,13,21)</f>
        <v>DOCENTE</v>
      </c>
      <c r="AQ28" s="3195" t="str">
        <f>VLOOKUP(T6,DR23:EL42,13,21)</f>
        <v>23DPR0593I</v>
      </c>
      <c r="AR28" s="3195" t="str">
        <f>VLOOKUP(T6,LC2:LW21,13,21)</f>
        <v>AESM711024MQR</v>
      </c>
      <c r="AS28" s="3194" t="str">
        <f>VLOOKUP(T6,FH2:GB21,13,21)</f>
        <v>7A</v>
      </c>
      <c r="AT28" s="3194">
        <f>VLOOKUP(T6,EM2:FG21,13,21)</f>
        <v>20</v>
      </c>
      <c r="AU28" s="3196" t="str">
        <f>VLOOKUP(T6,FH23:GB42,13,21)</f>
        <v>01-09-1996</v>
      </c>
      <c r="AV28" s="3197" t="str">
        <f>VLOOKUP(T6,KH2:LB21,13,21)</f>
        <v>23DPR0055K</v>
      </c>
      <c r="AW28" s="2803" t="str">
        <f>VLOOKUP(T6,KH24:LB43,13,21)</f>
        <v>KABAH</v>
      </c>
      <c r="AX28" s="779">
        <v>6</v>
      </c>
      <c r="AY28" s="2013">
        <f>Plantillas!Y$237</f>
        <v>0</v>
      </c>
      <c r="AZ28" s="2014">
        <f>Plantillas!Z$237</f>
        <v>0</v>
      </c>
      <c r="BA28" s="2015">
        <f>Plantillas!AA$237</f>
        <v>0</v>
      </c>
      <c r="BB28" s="2013" t="str">
        <f>Plantillas!Y$238</f>
        <v>1º</v>
      </c>
      <c r="BC28" s="2014" t="str">
        <f>Plantillas!Z$238</f>
        <v>A</v>
      </c>
      <c r="BD28" s="2016">
        <f>Plantillas!AA$238</f>
        <v>31</v>
      </c>
      <c r="BE28" s="2013" t="str">
        <f>Plantillas!Y$239</f>
        <v>1º</v>
      </c>
      <c r="BF28" s="2029" t="str">
        <f>Plantillas!Z$239</f>
        <v>B</v>
      </c>
      <c r="BG28" s="2016">
        <f>Plantillas!AA$239</f>
        <v>32</v>
      </c>
      <c r="BH28" s="2013" t="str">
        <f>Plantillas!Y$240</f>
        <v>1º</v>
      </c>
      <c r="BI28" s="2014" t="str">
        <f>Plantillas!Z$240</f>
        <v>C</v>
      </c>
      <c r="BJ28" s="2016">
        <f>Plantillas!AA$240</f>
        <v>32</v>
      </c>
      <c r="BK28" s="2013" t="str">
        <f>Plantillas!Y$241</f>
        <v>2º</v>
      </c>
      <c r="BL28" s="2029" t="str">
        <f>Plantillas!Z$241</f>
        <v>A</v>
      </c>
      <c r="BM28" s="2016">
        <f>Plantillas!AA$241</f>
        <v>27</v>
      </c>
      <c r="BN28" s="2013" t="str">
        <f>Plantillas!Y$242</f>
        <v>2º</v>
      </c>
      <c r="BO28" s="2014" t="str">
        <f>Plantillas!Z$242</f>
        <v>B</v>
      </c>
      <c r="BP28" s="2016">
        <f>Plantillas!AA$242</f>
        <v>29</v>
      </c>
      <c r="BQ28" s="2013" t="str">
        <f>Plantillas!Y$243</f>
        <v>3º</v>
      </c>
      <c r="BR28" s="2029" t="str">
        <f>Plantillas!Z$243</f>
        <v>A</v>
      </c>
      <c r="BS28" s="2016">
        <f>Plantillas!AA$243</f>
        <v>27</v>
      </c>
      <c r="BT28" s="2013" t="str">
        <f>Plantillas!Y$244</f>
        <v>3º</v>
      </c>
      <c r="BU28" s="2014" t="str">
        <f>Plantillas!Z$244</f>
        <v>B</v>
      </c>
      <c r="BV28" s="2016">
        <f>Plantillas!AA$244</f>
        <v>27</v>
      </c>
      <c r="BW28" s="2013" t="str">
        <f>Plantillas!Y$245</f>
        <v>4º</v>
      </c>
      <c r="BX28" s="2029" t="str">
        <f>Plantillas!Z$245</f>
        <v>A</v>
      </c>
      <c r="BY28" s="2016">
        <f>Plantillas!AA$245</f>
        <v>33</v>
      </c>
      <c r="BZ28" s="2013" t="str">
        <f>Plantillas!Y$246</f>
        <v>4º</v>
      </c>
      <c r="CA28" s="2029" t="str">
        <f>Plantillas!Z$246</f>
        <v>B</v>
      </c>
      <c r="CB28" s="2016">
        <f>Plantillas!AA$246</f>
        <v>33</v>
      </c>
      <c r="CC28" s="2013" t="str">
        <f>Plantillas!Y$247</f>
        <v>5º</v>
      </c>
      <c r="CD28" s="2014" t="str">
        <f>Plantillas!Z$247</f>
        <v>A</v>
      </c>
      <c r="CE28" s="2016">
        <f>Plantillas!AA$247</f>
        <v>34</v>
      </c>
      <c r="CF28" s="2013" t="str">
        <f>Plantillas!Y$248</f>
        <v>5º</v>
      </c>
      <c r="CG28" s="2029" t="str">
        <f>Plantillas!Z$248</f>
        <v>B</v>
      </c>
      <c r="CH28" s="2016">
        <f>Plantillas!AA$248</f>
        <v>35</v>
      </c>
      <c r="CI28" s="2013" t="str">
        <f>Plantillas!Y$249</f>
        <v>6º</v>
      </c>
      <c r="CJ28" s="2029" t="str">
        <f>Plantillas!Z$249</f>
        <v>A</v>
      </c>
      <c r="CK28" s="2016">
        <f>Plantillas!AA$249</f>
        <v>35</v>
      </c>
      <c r="CL28" s="2013" t="str">
        <f>Plantillas!Y$250</f>
        <v>6º</v>
      </c>
      <c r="CM28" s="2014" t="str">
        <f>Plantillas!Z$250</f>
        <v>B</v>
      </c>
      <c r="CN28" s="2016">
        <f>Plantillas!AA$250</f>
        <v>35</v>
      </c>
      <c r="CO28" s="2013">
        <f>Plantillas!Y$251</f>
        <v>0</v>
      </c>
      <c r="CP28" s="2029">
        <f>Plantillas!Z$251</f>
        <v>0</v>
      </c>
      <c r="CQ28" s="2016">
        <f>Plantillas!AA$251</f>
        <v>0</v>
      </c>
      <c r="CR28" s="2013">
        <f>Plantillas!Y$252</f>
        <v>0</v>
      </c>
      <c r="CS28" s="2014">
        <f>Plantillas!Z$252</f>
        <v>0</v>
      </c>
      <c r="CT28" s="2016">
        <f>Plantillas!AA$252</f>
        <v>0</v>
      </c>
      <c r="CU28" s="2013">
        <f>Plantillas!Y$253</f>
        <v>0</v>
      </c>
      <c r="CV28" s="2014">
        <f>Plantillas!Z$253</f>
        <v>0</v>
      </c>
      <c r="CW28" s="2016">
        <f>Plantillas!AA$253</f>
        <v>0</v>
      </c>
      <c r="CX28" s="2013">
        <f>Plantillas!Y$254</f>
        <v>0</v>
      </c>
      <c r="CY28" s="2014">
        <f>Plantillas!Z$254</f>
        <v>0</v>
      </c>
      <c r="CZ28" s="2016">
        <f>Plantillas!AA$254</f>
        <v>0</v>
      </c>
      <c r="DA28" s="2013">
        <f>Plantillas!Y$255</f>
        <v>0</v>
      </c>
      <c r="DB28" s="2014">
        <f>Plantillas!Z$255</f>
        <v>0</v>
      </c>
      <c r="DC28" s="2016">
        <f>Plantillas!AA$255</f>
        <v>0</v>
      </c>
      <c r="DD28" s="2013">
        <f>Plantillas!Y$256</f>
        <v>0</v>
      </c>
      <c r="DE28" s="2014">
        <f>Plantillas!Z$256</f>
        <v>0</v>
      </c>
      <c r="DF28" s="2016">
        <f>Plantillas!AA$256</f>
        <v>0</v>
      </c>
      <c r="DG28" s="2013">
        <f>Plantillas!Y$257</f>
        <v>0</v>
      </c>
      <c r="DH28" s="2014">
        <v>2</v>
      </c>
      <c r="DI28" s="2091" t="str">
        <f>Estadisticas!AA8</f>
        <v>neydi_carrillo@hotmail.com</v>
      </c>
      <c r="DJ28" s="183">
        <v>6</v>
      </c>
      <c r="DK28" s="84" t="str">
        <f>VLOOKUP(T6,BG2:CA21,7,7)</f>
        <v>VARGAS GARCIA * DEBRA DORIS DEL SAGRARIO</v>
      </c>
      <c r="DL28" s="2018" t="str">
        <f>VLOOKUP(T6,CB2:CV21,7,7)</f>
        <v>VAGD571220UB2</v>
      </c>
      <c r="DM28" s="2019" t="str">
        <f>VLOOKUP(T6,CW2:DQ21,7,7)</f>
        <v>078312 E028100.0232821</v>
      </c>
      <c r="DN28" s="2020" t="str">
        <f>VLOOKUP(T6,DR2:EL21,7,7)</f>
        <v>DOCENTE</v>
      </c>
      <c r="DO28" s="2021">
        <f>VLOOKUP(T6,DR23:EL42,7,7)</f>
        <v>0</v>
      </c>
      <c r="DP28" s="2022">
        <f>VLOOKUP(T6,EM2:FG21,7,7)</f>
        <v>10</v>
      </c>
      <c r="DQ28" s="84">
        <f>VLOOKUP(T6,EM23:FG42,7,7)</f>
        <v>24</v>
      </c>
      <c r="DR28" s="2023">
        <v>6</v>
      </c>
      <c r="DS28" s="2030" t="str">
        <f>Plantillas!N$237</f>
        <v>23DPR0491L</v>
      </c>
      <c r="DT28" s="2030">
        <f>Plantillas!N$238</f>
        <v>0</v>
      </c>
      <c r="DU28" s="2030">
        <f>Plantillas!N$239</f>
        <v>0</v>
      </c>
      <c r="DV28" s="2030" t="str">
        <f>Plantillas!N$240</f>
        <v>23DPR0599C</v>
      </c>
      <c r="DW28" s="2030">
        <f>Plantillas!N$241</f>
        <v>0</v>
      </c>
      <c r="DX28" s="2030">
        <f>Plantillas!N$242</f>
        <v>0</v>
      </c>
      <c r="DY28" s="2030">
        <f>Plantillas!N$243</f>
        <v>0</v>
      </c>
      <c r="DZ28" s="2030" t="str">
        <f>Plantillas!N$244</f>
        <v>23DPR0710H</v>
      </c>
      <c r="EA28" s="2030">
        <f>Plantillas!N$245</f>
        <v>0</v>
      </c>
      <c r="EB28" s="2030">
        <f>Plantillas!N$246</f>
        <v>0</v>
      </c>
      <c r="EC28" s="2030">
        <f>Plantillas!N$247</f>
        <v>0</v>
      </c>
      <c r="ED28" s="2030" t="str">
        <f>Plantillas!N$248</f>
        <v>23DPR0492K</v>
      </c>
      <c r="EE28" s="2030" t="str">
        <f>Plantillas!N$249</f>
        <v>23DPR0581D</v>
      </c>
      <c r="EF28" s="2030">
        <f>Plantillas!N$250</f>
        <v>0</v>
      </c>
      <c r="EG28" s="2030">
        <f>Plantillas!N$251</f>
        <v>0</v>
      </c>
      <c r="EH28" s="2030">
        <f>Plantillas!N$252</f>
        <v>0</v>
      </c>
      <c r="EI28" s="2030">
        <f>Plantillas!N$253</f>
        <v>0</v>
      </c>
      <c r="EJ28" s="2030">
        <f>Plantillas!N$254</f>
        <v>0</v>
      </c>
      <c r="EK28" s="2030">
        <f>Plantillas!N$255</f>
        <v>0</v>
      </c>
      <c r="EL28" s="2030">
        <f>Plantillas!N$256</f>
        <v>0</v>
      </c>
      <c r="EM28" s="779">
        <v>6</v>
      </c>
      <c r="EN28" s="2026">
        <f>Plantillas!AA$237</f>
        <v>0</v>
      </c>
      <c r="EO28" s="2026">
        <f>Plantillas!AA$238</f>
        <v>31</v>
      </c>
      <c r="EP28" s="2026">
        <f>Plantillas!AA$239</f>
        <v>32</v>
      </c>
      <c r="EQ28" s="2026">
        <f>Plantillas!AA$240</f>
        <v>32</v>
      </c>
      <c r="ER28" s="2026">
        <f>Plantillas!AA$241</f>
        <v>27</v>
      </c>
      <c r="ES28" s="2026">
        <f>Plantillas!AA$242</f>
        <v>29</v>
      </c>
      <c r="ET28" s="2026">
        <f>Plantillas!AA$243</f>
        <v>27</v>
      </c>
      <c r="EU28" s="2026">
        <f>Plantillas!AA$244</f>
        <v>27</v>
      </c>
      <c r="EV28" s="2026">
        <f>Plantillas!AA$245</f>
        <v>33</v>
      </c>
      <c r="EW28" s="2026">
        <f>Plantillas!AA$246</f>
        <v>33</v>
      </c>
      <c r="EX28" s="2026">
        <f>Plantillas!AA$247</f>
        <v>34</v>
      </c>
      <c r="EY28" s="2026">
        <f>Plantillas!AA$248</f>
        <v>35</v>
      </c>
      <c r="EZ28" s="2026">
        <f>Plantillas!AA$249</f>
        <v>35</v>
      </c>
      <c r="FA28" s="2026">
        <f>Plantillas!AA$250</f>
        <v>35</v>
      </c>
      <c r="FB28" s="2026">
        <f>Plantillas!AA$251</f>
        <v>0</v>
      </c>
      <c r="FC28" s="2026">
        <f>Plantillas!AA$252</f>
        <v>0</v>
      </c>
      <c r="FD28" s="2026">
        <f>Plantillas!AA$253</f>
        <v>0</v>
      </c>
      <c r="FE28" s="2026">
        <f>Plantillas!AA$254</f>
        <v>0</v>
      </c>
      <c r="FF28" s="2026">
        <f>Plantillas!AA$255</f>
        <v>0</v>
      </c>
      <c r="FG28" s="2017">
        <f>Plantillas!AA$256</f>
        <v>0</v>
      </c>
      <c r="FH28" s="779">
        <v>6</v>
      </c>
      <c r="FI28" s="1959" t="str">
        <f>Plantillas!W$237</f>
        <v>10-09-1991</v>
      </c>
      <c r="FJ28" s="1959">
        <f>Plantillas!W$238</f>
        <v>0</v>
      </c>
      <c r="FK28" s="1959">
        <f>Plantillas!W$239</f>
        <v>0</v>
      </c>
      <c r="FL28" s="1959" t="str">
        <f>Plantillas!W$240</f>
        <v>01-10-1993</v>
      </c>
      <c r="FM28" s="1959" t="str">
        <f>Plantillas!W$241</f>
        <v>01-10-1996</v>
      </c>
      <c r="FN28" s="1959" t="str">
        <f>Plantillas!W$242</f>
        <v>01-09-1991</v>
      </c>
      <c r="FO28" s="1959">
        <f>Plantillas!W$243</f>
        <v>0</v>
      </c>
      <c r="FP28" s="1959" t="str">
        <f>Plantillas!W$244</f>
        <v>01-09-1994</v>
      </c>
      <c r="FQ28" s="1959">
        <f>Plantillas!W$245</f>
        <v>0</v>
      </c>
      <c r="FR28" s="1959" t="str">
        <f>Plantillas!W$246</f>
        <v>16-10-1994</v>
      </c>
      <c r="FS28" s="1959" t="str">
        <f>Plantillas!W$247</f>
        <v>01-09-1986</v>
      </c>
      <c r="FT28" s="1959">
        <f>Plantillas!W$248</f>
        <v>0</v>
      </c>
      <c r="FU28" s="1959" t="str">
        <f>Plantillas!W$249</f>
        <v>01-01-1981</v>
      </c>
      <c r="FV28" s="1959">
        <f>Plantillas!W$250</f>
        <v>0</v>
      </c>
      <c r="FW28" s="1959">
        <f>Plantillas!W$251</f>
        <v>0</v>
      </c>
      <c r="FX28" s="1959" t="str">
        <f>Plantillas!W$252</f>
        <v>01-10-1997</v>
      </c>
      <c r="FY28" s="1959">
        <f>Plantillas!W$253</f>
        <v>0</v>
      </c>
      <c r="FZ28" s="1959">
        <f>Plantillas!W$254</f>
        <v>0</v>
      </c>
      <c r="GA28" s="1959">
        <f>Plantillas!W$255</f>
        <v>0</v>
      </c>
      <c r="GB28" s="2025">
        <f>Plantillas!W$256</f>
        <v>0</v>
      </c>
      <c r="GC28" s="1358">
        <v>6</v>
      </c>
      <c r="GD28" s="1359">
        <f t="shared" si="49"/>
        <v>3</v>
      </c>
      <c r="GE28" s="1359">
        <f t="shared" si="40"/>
        <v>2</v>
      </c>
      <c r="GF28" s="1359">
        <f t="shared" si="41"/>
        <v>2</v>
      </c>
      <c r="GG28" s="1359">
        <f t="shared" si="42"/>
        <v>2</v>
      </c>
      <c r="GH28" s="1359">
        <f t="shared" si="43"/>
        <v>2</v>
      </c>
      <c r="GI28" s="1359">
        <f t="shared" si="44"/>
        <v>2</v>
      </c>
      <c r="GJ28" s="1359">
        <f t="shared" si="45"/>
        <v>13</v>
      </c>
      <c r="GK28" s="1360">
        <f t="shared" si="46"/>
        <v>410</v>
      </c>
      <c r="GL28" s="1359">
        <v>6</v>
      </c>
      <c r="GM28" s="1933">
        <f>Plantillas!I$237</f>
        <v>0</v>
      </c>
      <c r="GN28" s="1933" t="str">
        <f>Plantillas!I$238</f>
        <v>X</v>
      </c>
      <c r="GO28" s="1933" t="str">
        <f>Plantillas!I$239</f>
        <v>X</v>
      </c>
      <c r="GP28" s="1933" t="str">
        <f>Plantillas!I$240</f>
        <v>X</v>
      </c>
      <c r="GQ28" s="1933">
        <f>Plantillas!I$241</f>
        <v>0</v>
      </c>
      <c r="GR28" s="1933" t="str">
        <f>Plantillas!I$242</f>
        <v>X</v>
      </c>
      <c r="GS28" s="1933">
        <f>Plantillas!I$243</f>
        <v>0</v>
      </c>
      <c r="GT28" s="1933" t="str">
        <f>Plantillas!I$244</f>
        <v>X</v>
      </c>
      <c r="GU28" s="1933" t="str">
        <f>Plantillas!I$245</f>
        <v>X</v>
      </c>
      <c r="GV28" s="1933" t="str">
        <f>Plantillas!I$246</f>
        <v>X</v>
      </c>
      <c r="GW28" s="1933">
        <f>Plantillas!I$247</f>
        <v>0</v>
      </c>
      <c r="GX28" s="1933" t="str">
        <f>Plantillas!I$248</f>
        <v>X</v>
      </c>
      <c r="GY28" s="1933" t="str">
        <f>Plantillas!I$249</f>
        <v>X</v>
      </c>
      <c r="GZ28" s="1933">
        <f>Plantillas!I$250</f>
        <v>0</v>
      </c>
      <c r="HA28" s="1933">
        <f>Plantillas!I$251</f>
        <v>0</v>
      </c>
      <c r="HB28" s="1933" t="str">
        <f>Plantillas!I$252</f>
        <v>X</v>
      </c>
      <c r="HC28" s="1933">
        <f>Plantillas!I$253</f>
        <v>0</v>
      </c>
      <c r="HD28" s="1933">
        <f>Plantillas!I$254</f>
        <v>0</v>
      </c>
      <c r="HE28" s="1933">
        <f>Plantillas!I$255</f>
        <v>0</v>
      </c>
      <c r="HF28" s="1934">
        <f>Plantillas!I$256</f>
        <v>0</v>
      </c>
      <c r="HG28" s="778">
        <v>4</v>
      </c>
      <c r="HH28" s="1358">
        <f>'[1]0564N'!$D$31</f>
        <v>30</v>
      </c>
      <c r="HI28" s="2647">
        <f>'[1]0564N'!$E$31</f>
        <v>37</v>
      </c>
      <c r="HJ28" s="1359">
        <f>'[1]0564N'!$G$31</f>
        <v>34</v>
      </c>
      <c r="HK28" s="1353">
        <f>'[1]0564N'!$H$31</f>
        <v>35</v>
      </c>
      <c r="HL28" s="2646">
        <f>'[1]0564N'!$J$31</f>
        <v>31</v>
      </c>
      <c r="HM28" s="2647">
        <f>'[1]0564N'!$K$31</f>
        <v>36</v>
      </c>
      <c r="HN28" s="1359">
        <f>'[1]0564N'!$M$31</f>
        <v>36</v>
      </c>
      <c r="HO28" s="1353">
        <f>'[1]0564N'!$N$31</f>
        <v>21</v>
      </c>
      <c r="HP28" s="2646">
        <f>'[1]0564N'!$P$31</f>
        <v>28</v>
      </c>
      <c r="HQ28" s="2647">
        <f>'[1]0564N'!$Q$31</f>
        <v>22</v>
      </c>
      <c r="HR28" s="1359">
        <f>'[1]0564N'!$S$31</f>
        <v>33</v>
      </c>
      <c r="HS28" s="1353">
        <f>'[1]0564N'!$T$31</f>
        <v>27</v>
      </c>
      <c r="HT28" s="1358">
        <f>'[1]0564N'!$D$32</f>
        <v>2</v>
      </c>
      <c r="HU28" s="1353">
        <f>'[1]0564N'!$E$32</f>
        <v>1</v>
      </c>
      <c r="HV28" s="2646">
        <f>'[1]0564N'!$G$32</f>
        <v>2</v>
      </c>
      <c r="HW28" s="2647">
        <f>'[1]0564N'!$H$32</f>
        <v>2</v>
      </c>
      <c r="HX28" s="1359">
        <f>'[1]0564N'!$J$32</f>
        <v>1</v>
      </c>
      <c r="HY28" s="1353">
        <f>'[1]0564N'!$K$32</f>
        <v>0</v>
      </c>
      <c r="HZ28" s="2646">
        <f>'[1]0564N'!$M$32</f>
        <v>2</v>
      </c>
      <c r="IA28" s="2647">
        <f>'[1]0564N'!$N$32</f>
        <v>0</v>
      </c>
      <c r="IB28" s="2646">
        <f>'[1]0564N'!$P$32</f>
        <v>0</v>
      </c>
      <c r="IC28" s="2647">
        <f>'[1]0564N'!$Q$32</f>
        <v>0</v>
      </c>
      <c r="ID28" s="1359">
        <f>'[1]0564N'!$S$32</f>
        <v>1</v>
      </c>
      <c r="IE28" s="1354">
        <f>'[1]0564N'!$T$32</f>
        <v>2</v>
      </c>
      <c r="IF28" s="1358">
        <f>'[1]0564N'!$D$34</f>
        <v>3</v>
      </c>
      <c r="IG28" s="1353">
        <f>'[1]0564N'!$E$34</f>
        <v>5</v>
      </c>
      <c r="IH28" s="2646">
        <f>'[1]0564N'!$G$34</f>
        <v>2</v>
      </c>
      <c r="II28" s="2647">
        <f>'[1]0564N'!$H$34</f>
        <v>1</v>
      </c>
      <c r="IJ28" s="1359">
        <f>'[1]0564N'!$J$34</f>
        <v>5</v>
      </c>
      <c r="IK28" s="1353">
        <f>'[1]0564N'!$K$34</f>
        <v>0</v>
      </c>
      <c r="IL28" s="2646">
        <f>'[1]0564N'!$M$34</f>
        <v>2</v>
      </c>
      <c r="IM28" s="2647">
        <f>'[1]0564N'!$N$34</f>
        <v>1</v>
      </c>
      <c r="IN28" s="1359">
        <f>'[1]0564N'!$P$34</f>
        <v>4</v>
      </c>
      <c r="IO28" s="1353">
        <f>'[1]0564N'!$Q$34</f>
        <v>1</v>
      </c>
      <c r="IP28" s="2646">
        <f>'[1]0564N'!$S$34</f>
        <v>0</v>
      </c>
      <c r="IQ28" s="1354">
        <f>'[1]0564N'!$T$34</f>
        <v>2</v>
      </c>
      <c r="IR28" s="1358">
        <f>'[1]0564N'!$D$37</f>
        <v>0</v>
      </c>
      <c r="IS28" s="1353">
        <f>'[1]0564N'!$E$37</f>
        <v>0</v>
      </c>
      <c r="IT28" s="2646">
        <f>'[1]0564N'!$G$37</f>
        <v>0</v>
      </c>
      <c r="IU28" s="2647">
        <f>'[1]0564N'!$H$37</f>
        <v>0</v>
      </c>
      <c r="IV28" s="1359">
        <f>'[1]0564N'!$J$37</f>
        <v>0</v>
      </c>
      <c r="IW28" s="1353">
        <f>'[1]0564N'!$K$37</f>
        <v>0</v>
      </c>
      <c r="IX28" s="2646">
        <f>'[1]0564N'!$M$37</f>
        <v>0</v>
      </c>
      <c r="IY28" s="2647">
        <f>'[1]0564N'!$N$37</f>
        <v>0</v>
      </c>
      <c r="IZ28" s="2646">
        <f>'[1]0564N'!$P$37</f>
        <v>0</v>
      </c>
      <c r="JA28" s="2647">
        <f>'[1]0564N'!$Q$37</f>
        <v>0</v>
      </c>
      <c r="JB28" s="1359">
        <f>'[1]0564N'!$S$37</f>
        <v>0</v>
      </c>
      <c r="JC28" s="1354">
        <f>'[1]0564N'!$T$37</f>
        <v>0</v>
      </c>
      <c r="JD28" s="1358">
        <f>'[1]0564N'!$D$39</f>
        <v>0</v>
      </c>
      <c r="JE28" s="1353">
        <f>'[1]0564N'!$E$39</f>
        <v>2</v>
      </c>
      <c r="JF28" s="2646">
        <f>'[1]0564N'!$G$39</f>
        <v>0</v>
      </c>
      <c r="JG28" s="2647">
        <f>'[1]0564N'!$H$39</f>
        <v>2</v>
      </c>
      <c r="JH28" s="1359">
        <f>'[1]0564N'!$J$39</f>
        <v>1</v>
      </c>
      <c r="JI28" s="1353">
        <f>'[1]0564N'!$K$39</f>
        <v>1</v>
      </c>
      <c r="JJ28" s="2646">
        <f>'[1]0564N'!$M$39</f>
        <v>2</v>
      </c>
      <c r="JK28" s="2647">
        <f>'[1]0564N'!$N$39</f>
        <v>0</v>
      </c>
      <c r="JL28" s="2646">
        <f>'[1]0564N'!$P$39</f>
        <v>1</v>
      </c>
      <c r="JM28" s="2647">
        <f>'[1]0564N'!$Q$39</f>
        <v>1</v>
      </c>
      <c r="JN28" s="1359">
        <f>'[1]0564N'!$S$39</f>
        <v>2</v>
      </c>
      <c r="JO28" s="1353">
        <f>'[1]0564N'!$T$39</f>
        <v>0</v>
      </c>
      <c r="JP28" s="2646">
        <f>'[1]0564N'!$D$28</f>
        <v>0</v>
      </c>
      <c r="JQ28" s="2647">
        <f>'[1]0564N'!$E$28</f>
        <v>0</v>
      </c>
      <c r="JR28" s="2646">
        <f>'[1]0564N'!$G$28</f>
        <v>0</v>
      </c>
      <c r="JS28" s="2647">
        <f>'[1]0564N'!$H$28</f>
        <v>0</v>
      </c>
      <c r="JT28" s="1359">
        <f>'[1]0564N'!$J$28</f>
        <v>0</v>
      </c>
      <c r="JU28" s="1353">
        <f>'[1]0564N'!$K$28</f>
        <v>0</v>
      </c>
      <c r="JV28" s="2646">
        <f>'[1]0564N'!$M$28</f>
        <v>0</v>
      </c>
      <c r="JW28" s="2647">
        <f>'[1]0564N'!$N$28</f>
        <v>0</v>
      </c>
      <c r="JX28" s="2646">
        <f>'[1]0564N'!$P$28</f>
        <v>0</v>
      </c>
      <c r="JY28" s="2647">
        <f>'[1]0564N'!$Q$28</f>
        <v>0</v>
      </c>
      <c r="JZ28" s="1359">
        <f>'[1]0564N'!$S$28</f>
        <v>0</v>
      </c>
      <c r="KA28" s="1353">
        <f>'[1]0564N'!$T$28</f>
        <v>0</v>
      </c>
      <c r="KB28" s="779">
        <f t="shared" si="51"/>
        <v>0</v>
      </c>
      <c r="KC28" s="183">
        <f t="shared" si="52"/>
        <v>0</v>
      </c>
      <c r="KD28" s="183">
        <f t="shared" si="53"/>
        <v>0</v>
      </c>
      <c r="KE28" s="183">
        <f t="shared" si="54"/>
        <v>0</v>
      </c>
      <c r="KF28" s="183">
        <f t="shared" si="55"/>
        <v>0</v>
      </c>
      <c r="KG28" s="782">
        <f t="shared" si="56"/>
        <v>0</v>
      </c>
      <c r="KH28" s="1358">
        <v>5</v>
      </c>
      <c r="KI28" s="1931" t="str">
        <f>Plantillas!D192</f>
        <v>DERECHOS DEL NIÑO</v>
      </c>
      <c r="KJ28" s="1931" t="str">
        <f t="shared" si="47"/>
        <v>DERECHOS DEL NIÑO</v>
      </c>
      <c r="KK28" s="1931" t="str">
        <f t="shared" ref="KK28:KQ28" si="59">KJ28</f>
        <v>DERECHOS DEL NIÑO</v>
      </c>
      <c r="KL28" s="1931" t="str">
        <f t="shared" si="59"/>
        <v>DERECHOS DEL NIÑO</v>
      </c>
      <c r="KM28" s="1931" t="str">
        <f t="shared" si="59"/>
        <v>DERECHOS DEL NIÑO</v>
      </c>
      <c r="KN28" s="1931" t="str">
        <f t="shared" si="59"/>
        <v>DERECHOS DEL NIÑO</v>
      </c>
      <c r="KO28" s="1931" t="str">
        <f t="shared" si="59"/>
        <v>DERECHOS DEL NIÑO</v>
      </c>
      <c r="KP28" s="1931" t="str">
        <f t="shared" si="59"/>
        <v>DERECHOS DEL NIÑO</v>
      </c>
      <c r="KQ28" s="1931" t="str">
        <f t="shared" si="59"/>
        <v>DERECHOS DEL NIÑO</v>
      </c>
      <c r="KR28" s="1931" t="str">
        <f t="shared" si="58"/>
        <v>DERECHOS DEL NIÑO</v>
      </c>
      <c r="KS28" s="1931" t="str">
        <f t="shared" si="58"/>
        <v>DERECHOS DEL NIÑO</v>
      </c>
      <c r="KT28" s="1931" t="str">
        <f t="shared" si="58"/>
        <v>DERECHOS DEL NIÑO</v>
      </c>
      <c r="KU28" s="1931"/>
      <c r="KV28" s="1931"/>
      <c r="KW28" s="1931"/>
      <c r="KX28" s="1931"/>
      <c r="KY28" s="1931"/>
      <c r="KZ28" s="1931"/>
      <c r="LA28" s="1931"/>
      <c r="LB28" s="1932"/>
      <c r="LC28" s="1358">
        <v>5</v>
      </c>
      <c r="LD28" s="2985" t="s">
        <v>100</v>
      </c>
      <c r="LE28" s="2985" t="s">
        <v>100</v>
      </c>
      <c r="LF28" s="2985" t="s">
        <v>100</v>
      </c>
      <c r="LG28" s="2985" t="s">
        <v>100</v>
      </c>
      <c r="LH28" s="2985" t="s">
        <v>100</v>
      </c>
      <c r="LI28" s="2985" t="s">
        <v>100</v>
      </c>
      <c r="LJ28" s="2985" t="s">
        <v>100</v>
      </c>
      <c r="LK28" s="2985" t="s">
        <v>100</v>
      </c>
      <c r="LL28" s="2985" t="s">
        <v>100</v>
      </c>
      <c r="LM28" s="2985" t="s">
        <v>100</v>
      </c>
      <c r="LN28" s="2985" t="s">
        <v>100</v>
      </c>
      <c r="LO28" s="2985" t="s">
        <v>100</v>
      </c>
      <c r="LP28" s="2985"/>
      <c r="LQ28" s="2985"/>
      <c r="LR28" s="2985"/>
      <c r="LS28" s="2985"/>
      <c r="LT28" s="2985"/>
      <c r="LU28" s="2985"/>
      <c r="LV28" s="2985"/>
      <c r="LW28" s="2986"/>
    </row>
    <row r="29" spans="1:336" ht="12.75" customHeight="1">
      <c r="A29" s="16">
        <v>13</v>
      </c>
      <c r="B29" s="31" t="str">
        <f>VLOOKUP(T6,AX23:DI42,38,38)</f>
        <v>6º</v>
      </c>
      <c r="C29" s="35" t="str">
        <f>VLOOKUP(T6,AX23:DI42,39,39)</f>
        <v>B</v>
      </c>
      <c r="D29" s="29" t="str">
        <f>VLOOKUP(T6,BG2:CA21,14,14)</f>
        <v>CRUZ PEREZ * FRANCISCO</v>
      </c>
      <c r="E29" s="21"/>
      <c r="F29" s="21"/>
      <c r="G29" s="21"/>
      <c r="H29" s="21"/>
      <c r="I29" s="3360" t="str">
        <f>VLOOKUP(T6,LC24:LW43,14,21)</f>
        <v>042</v>
      </c>
      <c r="J29" s="3780">
        <f>VLOOKUP(T6,AX44:BR63,14,14)</f>
        <v>0</v>
      </c>
      <c r="K29" s="3780"/>
      <c r="L29" s="3780">
        <f>VLOOKUP(T6,BS44:CM63,14,14)</f>
        <v>6</v>
      </c>
      <c r="M29" s="3780"/>
      <c r="N29" s="3780">
        <f>VLOOKUP(T6,CN44:DH63,14,14)</f>
        <v>0</v>
      </c>
      <c r="O29" s="3780"/>
      <c r="P29" s="3780">
        <f>VLOOKUP(T6,DI44:EC63,14,14)</f>
        <v>0</v>
      </c>
      <c r="Q29" s="3780"/>
      <c r="R29" s="3780">
        <f>VLOOKUP(T6,ED44:EX63,14,14)</f>
        <v>0</v>
      </c>
      <c r="S29" s="3780"/>
      <c r="T29" s="3780">
        <f>VLOOKUP(T6,EY44:FS63,14,14)</f>
        <v>0</v>
      </c>
      <c r="U29" s="3780"/>
      <c r="V29" s="3781">
        <f t="shared" si="32"/>
        <v>1.5</v>
      </c>
      <c r="W29" s="3782"/>
      <c r="X29" s="3820"/>
      <c r="Y29" s="3821"/>
      <c r="Z29" s="3820"/>
      <c r="AA29" s="3821"/>
      <c r="AB29" s="3783"/>
      <c r="AC29" s="3784"/>
      <c r="AD29" s="3783"/>
      <c r="AE29" s="3784"/>
      <c r="AF29" s="2939" t="str">
        <f t="shared" si="33"/>
        <v>6ºB</v>
      </c>
      <c r="AG29" s="2940">
        <f t="shared" si="34"/>
        <v>30</v>
      </c>
      <c r="AH29" s="3818">
        <f>VLOOKUP(T6,AX23:DI42,40,40)</f>
        <v>30</v>
      </c>
      <c r="AI29" s="3819"/>
      <c r="AJ29" s="3856"/>
      <c r="AK29" s="3857"/>
      <c r="AL29" s="3193" t="str">
        <f>VLOOKUP(T6,GL2:HF21,14,21)</f>
        <v>X</v>
      </c>
      <c r="AM29" s="3194">
        <f>VLOOKUP(T6,GL23:HF42,14,21)</f>
        <v>0</v>
      </c>
      <c r="AN29" s="3195" t="str">
        <f>VLOOKUP(T6,CB2:CV21,14,21)</f>
        <v>CUPF7111299H0</v>
      </c>
      <c r="AO29" s="3195" t="str">
        <f>VLOOKUP(T6,CW2:DQ21,14,21)</f>
        <v>078312 E028100.0233698</v>
      </c>
      <c r="AP29" s="3195" t="str">
        <f>VLOOKUP(T6,DR2:EL21,14,21)</f>
        <v>DOCENTE</v>
      </c>
      <c r="AQ29" s="3195" t="str">
        <f>VLOOKUP(T6,DR23:EL42,14,21)</f>
        <v>23DPR0480F</v>
      </c>
      <c r="AR29" s="3195" t="str">
        <f>VLOOKUP(T6,LC2:LW21,14,21)</f>
        <v>CUPF711129HCC</v>
      </c>
      <c r="AS29" s="3194" t="str">
        <f>VLOOKUP(T6,FH2:GB21,14,21)</f>
        <v>7A</v>
      </c>
      <c r="AT29" s="3194">
        <f>VLOOKUP(T6,EM2:FG21,14,21)</f>
        <v>10</v>
      </c>
      <c r="AU29" s="3196" t="str">
        <f>VLOOKUP(T6,FH23:GB42,14,21)</f>
        <v>01-09-1998</v>
      </c>
      <c r="AV29" s="3197" t="str">
        <f>VLOOKUP(T6,KH2:LB21,14,21)</f>
        <v>23DPR0055K</v>
      </c>
      <c r="AW29" s="2803" t="str">
        <f>VLOOKUP(T6,KH24:LB43,14,21)</f>
        <v>KABAH</v>
      </c>
      <c r="AX29" s="779">
        <v>7</v>
      </c>
      <c r="AY29" s="2013">
        <f>Plantillas!Y$277</f>
        <v>0</v>
      </c>
      <c r="AZ29" s="2014">
        <f>Plantillas!Z$277</f>
        <v>0</v>
      </c>
      <c r="BA29" s="2015">
        <f>Plantillas!AA$277</f>
        <v>0</v>
      </c>
      <c r="BB29" s="2013" t="str">
        <f>Plantillas!Y$278</f>
        <v>3º</v>
      </c>
      <c r="BC29" s="2014" t="str">
        <f>Plantillas!Z$278</f>
        <v>A</v>
      </c>
      <c r="BD29" s="2016">
        <f>Plantillas!AA$278</f>
        <v>21</v>
      </c>
      <c r="BE29" s="2013" t="str">
        <f>Plantillas!Y$279</f>
        <v>4º</v>
      </c>
      <c r="BF29" s="2014" t="str">
        <f>Plantillas!Z$279</f>
        <v>A</v>
      </c>
      <c r="BG29" s="2016">
        <f>Plantillas!AA$279</f>
        <v>21</v>
      </c>
      <c r="BH29" s="2013" t="str">
        <f>Plantillas!Y$280</f>
        <v>5º</v>
      </c>
      <c r="BI29" s="2014" t="str">
        <f>Plantillas!Z$280</f>
        <v>A</v>
      </c>
      <c r="BJ29" s="2016">
        <f>Plantillas!AA$280</f>
        <v>25</v>
      </c>
      <c r="BK29" s="2013" t="str">
        <f>Plantillas!Y$281</f>
        <v>6º</v>
      </c>
      <c r="BL29" s="2014" t="str">
        <f>Plantillas!Z$281</f>
        <v>A</v>
      </c>
      <c r="BM29" s="2016">
        <f>Plantillas!AA$281</f>
        <v>22</v>
      </c>
      <c r="BN29" s="2013" t="str">
        <f>Plantillas!Y$282</f>
        <v>6º</v>
      </c>
      <c r="BO29" s="2014" t="str">
        <f>Plantillas!Z$282</f>
        <v>B</v>
      </c>
      <c r="BP29" s="2016">
        <f>Plantillas!AA$282</f>
        <v>20</v>
      </c>
      <c r="BQ29" s="2013">
        <f>Plantillas!Y$283</f>
        <v>0</v>
      </c>
      <c r="BR29" s="2014">
        <f>Plantillas!Z$283</f>
        <v>0</v>
      </c>
      <c r="BS29" s="2016">
        <f>Plantillas!AA$283</f>
        <v>0</v>
      </c>
      <c r="BT29" s="2013">
        <f>Plantillas!Y$284</f>
        <v>0</v>
      </c>
      <c r="BU29" s="2014">
        <f>Plantillas!Z$284</f>
        <v>0</v>
      </c>
      <c r="BV29" s="2016">
        <f>Plantillas!AA$284</f>
        <v>0</v>
      </c>
      <c r="BW29" s="2013">
        <f>Plantillas!Y$285</f>
        <v>0</v>
      </c>
      <c r="BX29" s="2014">
        <f>Plantillas!Z$285</f>
        <v>0</v>
      </c>
      <c r="BY29" s="2016">
        <f>Plantillas!AA$285</f>
        <v>0</v>
      </c>
      <c r="BZ29" s="2013">
        <f>Plantillas!Y$286</f>
        <v>0</v>
      </c>
      <c r="CA29" s="2014">
        <f>Plantillas!Z$286</f>
        <v>0</v>
      </c>
      <c r="CB29" s="2016">
        <f>Plantillas!AA$286</f>
        <v>0</v>
      </c>
      <c r="CC29" s="2013">
        <f>Plantillas!Y$287</f>
        <v>0</v>
      </c>
      <c r="CD29" s="2014">
        <f>Plantillas!Z$287</f>
        <v>0</v>
      </c>
      <c r="CE29" s="2016">
        <f>Plantillas!AA$287</f>
        <v>0</v>
      </c>
      <c r="CF29" s="2013">
        <f>Plantillas!Y$288</f>
        <v>0</v>
      </c>
      <c r="CG29" s="2014">
        <f>Plantillas!Z$288</f>
        <v>0</v>
      </c>
      <c r="CH29" s="2016">
        <f>Plantillas!AA$288</f>
        <v>0</v>
      </c>
      <c r="CI29" s="2013">
        <f>Plantillas!Y$289</f>
        <v>0</v>
      </c>
      <c r="CJ29" s="2014">
        <f>Plantillas!Z$289</f>
        <v>0</v>
      </c>
      <c r="CK29" s="2016">
        <f>Plantillas!AA$289</f>
        <v>0</v>
      </c>
      <c r="CL29" s="2013">
        <f>Plantillas!Y$290</f>
        <v>0</v>
      </c>
      <c r="CM29" s="2014">
        <f>Plantillas!Z$290</f>
        <v>0</v>
      </c>
      <c r="CN29" s="2016">
        <f>Plantillas!AA$290</f>
        <v>0</v>
      </c>
      <c r="CO29" s="2013">
        <f>Plantillas!Y$291</f>
        <v>0</v>
      </c>
      <c r="CP29" s="2014">
        <f>Plantillas!Z$291</f>
        <v>0</v>
      </c>
      <c r="CQ29" s="2016">
        <f>Plantillas!AA$291</f>
        <v>0</v>
      </c>
      <c r="CR29" s="2013">
        <f>Plantillas!Y$292</f>
        <v>0</v>
      </c>
      <c r="CS29" s="2014">
        <f>Plantillas!Z$292</f>
        <v>0</v>
      </c>
      <c r="CT29" s="2016">
        <f>Plantillas!AA$292</f>
        <v>0</v>
      </c>
      <c r="CU29" s="2013">
        <f>Plantillas!Y$293</f>
        <v>0</v>
      </c>
      <c r="CV29" s="2014">
        <f>Plantillas!Z$293</f>
        <v>0</v>
      </c>
      <c r="CW29" s="2016">
        <f>Plantillas!AA$293</f>
        <v>0</v>
      </c>
      <c r="CX29" s="2013">
        <f>Plantillas!Y$294</f>
        <v>0</v>
      </c>
      <c r="CY29" s="2014">
        <f>Plantillas!Z$294</f>
        <v>0</v>
      </c>
      <c r="CZ29" s="2016">
        <f>Plantillas!AA$294</f>
        <v>0</v>
      </c>
      <c r="DA29" s="2013">
        <f>Plantillas!Y$295</f>
        <v>0</v>
      </c>
      <c r="DB29" s="2014">
        <f>Plantillas!Z$295</f>
        <v>0</v>
      </c>
      <c r="DC29" s="2016">
        <f>Plantillas!AA$295</f>
        <v>0</v>
      </c>
      <c r="DD29" s="2013">
        <f>Plantillas!Y$296</f>
        <v>0</v>
      </c>
      <c r="DE29" s="2014">
        <f>Plantillas!Z$296</f>
        <v>0</v>
      </c>
      <c r="DF29" s="2016">
        <f>Plantillas!AA$296</f>
        <v>0</v>
      </c>
      <c r="DG29" s="2013">
        <f>Plantillas!Y$297</f>
        <v>0</v>
      </c>
      <c r="DH29" s="2014">
        <v>2</v>
      </c>
      <c r="DI29" s="2091" t="str">
        <f>Estadisticas!AA9</f>
        <v>gemelamarcar@hotmail.com</v>
      </c>
      <c r="DJ29" s="183">
        <v>7</v>
      </c>
      <c r="DK29" s="84" t="str">
        <f>VLOOKUP(T6,BG2:CA21,8,8)</f>
        <v>CASTRO LOPEZ * SOSIMA PETRA</v>
      </c>
      <c r="DL29" s="2018" t="str">
        <f>VLOOKUP(T6,CB2:CV21,8,8)</f>
        <v>CALS720517BFA</v>
      </c>
      <c r="DM29" s="2019" t="str">
        <f>VLOOKUP(T6,CW2:DQ21,8,8)</f>
        <v>078312 E028100.0232759</v>
      </c>
      <c r="DN29" s="2020" t="str">
        <f>VLOOKUP(T6,DR2:EL21,8,8)</f>
        <v>DOCENTE</v>
      </c>
      <c r="DO29" s="2021">
        <f>VLOOKUP(T6,DR23:EL42,8,8)</f>
        <v>0</v>
      </c>
      <c r="DP29" s="2022">
        <f>VLOOKUP(T6,EM2:FG21,8,8)</f>
        <v>10</v>
      </c>
      <c r="DQ29" s="84">
        <f>VLOOKUP(T6,EM23:FG42,8,8)</f>
        <v>33</v>
      </c>
      <c r="DR29" s="2023">
        <v>7</v>
      </c>
      <c r="DS29" s="2024">
        <f>Plantillas!N$277</f>
        <v>0</v>
      </c>
      <c r="DT29" s="2024">
        <f>Plantillas!N$278</f>
        <v>0</v>
      </c>
      <c r="DU29" s="2024">
        <f>Plantillas!N$279</f>
        <v>0</v>
      </c>
      <c r="DV29" s="2024">
        <f>Plantillas!N$280</f>
        <v>0</v>
      </c>
      <c r="DW29" s="2024">
        <f>Plantillas!N$281</f>
        <v>0</v>
      </c>
      <c r="DX29" s="2024" t="str">
        <f>Plantillas!N$282</f>
        <v>23DPR0574U</v>
      </c>
      <c r="DY29" s="2024" t="str">
        <f>Plantillas!N$283</f>
        <v>23DST0017T</v>
      </c>
      <c r="DZ29" s="2024">
        <f>Plantillas!N$284</f>
        <v>0</v>
      </c>
      <c r="EA29" s="2024">
        <f>Plantillas!N$285</f>
        <v>0</v>
      </c>
      <c r="EB29" s="2024">
        <f>Plantillas!N$286</f>
        <v>0</v>
      </c>
      <c r="EC29" s="2024">
        <f>Plantillas!N$287</f>
        <v>0</v>
      </c>
      <c r="ED29" s="2024">
        <f>Plantillas!N$288</f>
        <v>0</v>
      </c>
      <c r="EE29" s="2024">
        <f>Plantillas!N$289</f>
        <v>0</v>
      </c>
      <c r="EF29" s="2024">
        <f>Plantillas!N$290</f>
        <v>0</v>
      </c>
      <c r="EG29" s="2024">
        <f>Plantillas!N$291</f>
        <v>0</v>
      </c>
      <c r="EH29" s="2024">
        <f>Plantillas!N$292</f>
        <v>0</v>
      </c>
      <c r="EI29" s="2024">
        <f>Plantillas!N$293</f>
        <v>0</v>
      </c>
      <c r="EJ29" s="2024">
        <f>Plantillas!N$294</f>
        <v>0</v>
      </c>
      <c r="EK29" s="2024">
        <f>Plantillas!N$295</f>
        <v>0</v>
      </c>
      <c r="EL29" s="2024">
        <f>Plantillas!N$296</f>
        <v>0</v>
      </c>
      <c r="EM29" s="779">
        <v>7</v>
      </c>
      <c r="EN29" s="1966">
        <f>Plantillas!AA$277</f>
        <v>0</v>
      </c>
      <c r="EO29" s="1966">
        <f>Plantillas!AA$278</f>
        <v>21</v>
      </c>
      <c r="EP29" s="1966">
        <f>Plantillas!AA$279</f>
        <v>21</v>
      </c>
      <c r="EQ29" s="1966">
        <f>Plantillas!AA$280</f>
        <v>25</v>
      </c>
      <c r="ER29" s="1966">
        <f>Plantillas!AA$281</f>
        <v>22</v>
      </c>
      <c r="ES29" s="1966">
        <f>Plantillas!AA$282</f>
        <v>20</v>
      </c>
      <c r="ET29" s="1966">
        <f>Plantillas!AA$283</f>
        <v>0</v>
      </c>
      <c r="EU29" s="1966">
        <f>Plantillas!AA$284</f>
        <v>0</v>
      </c>
      <c r="EV29" s="1966">
        <f>Plantillas!AA$285</f>
        <v>0</v>
      </c>
      <c r="EW29" s="1966">
        <f>Plantillas!AA$286</f>
        <v>0</v>
      </c>
      <c r="EX29" s="1966">
        <f>Plantillas!AA$287</f>
        <v>0</v>
      </c>
      <c r="EY29" s="1966">
        <f>Plantillas!AA$288</f>
        <v>0</v>
      </c>
      <c r="EZ29" s="1966">
        <f>Plantillas!AA$289</f>
        <v>0</v>
      </c>
      <c r="FA29" s="1966">
        <f>Plantillas!AA$290</f>
        <v>0</v>
      </c>
      <c r="FB29" s="1966">
        <f>Plantillas!AA$291</f>
        <v>0</v>
      </c>
      <c r="FC29" s="1966">
        <f>Plantillas!AA$292</f>
        <v>0</v>
      </c>
      <c r="FD29" s="1966">
        <f>Plantillas!AA$293</f>
        <v>0</v>
      </c>
      <c r="FE29" s="1966">
        <f>Plantillas!AA$294</f>
        <v>0</v>
      </c>
      <c r="FF29" s="1966">
        <f>Plantillas!AA$295</f>
        <v>0</v>
      </c>
      <c r="FG29" s="1967">
        <f>Plantillas!AA$296</f>
        <v>0</v>
      </c>
      <c r="FH29" s="779">
        <v>7</v>
      </c>
      <c r="FI29" s="1959" t="str">
        <f>Plantillas!W$277</f>
        <v>01-09-2005</v>
      </c>
      <c r="FJ29" s="1959">
        <f>Plantillas!W$278</f>
        <v>0</v>
      </c>
      <c r="FK29" s="1959" t="str">
        <f>Plantillas!W$279</f>
        <v>01-09-2005</v>
      </c>
      <c r="FL29" s="1959" t="str">
        <f>Plantillas!W$280</f>
        <v>01-09-1990</v>
      </c>
      <c r="FM29" s="1959">
        <f>Plantillas!W$281</f>
        <v>0</v>
      </c>
      <c r="FN29" s="1959" t="str">
        <f>Plantillas!W$282</f>
        <v>01-09-1988</v>
      </c>
      <c r="FO29" s="1959" t="str">
        <f>Plantillas!W$283</f>
        <v>13-09-2007</v>
      </c>
      <c r="FP29" s="1959">
        <f>Plantillas!W$284</f>
        <v>0</v>
      </c>
      <c r="FQ29" s="1959">
        <f>Plantillas!W$285</f>
        <v>0</v>
      </c>
      <c r="FR29" s="1959">
        <f>Plantillas!W$286</f>
        <v>0</v>
      </c>
      <c r="FS29" s="1959">
        <f>Plantillas!W$287</f>
        <v>0</v>
      </c>
      <c r="FT29" s="1959">
        <f>Plantillas!W$288</f>
        <v>0</v>
      </c>
      <c r="FU29" s="1959">
        <f>Plantillas!W$289</f>
        <v>0</v>
      </c>
      <c r="FV29" s="1959">
        <f>Plantillas!W$290</f>
        <v>0</v>
      </c>
      <c r="FW29" s="1959">
        <f>Plantillas!W$291</f>
        <v>0</v>
      </c>
      <c r="FX29" s="1959">
        <f>Plantillas!W$292</f>
        <v>0</v>
      </c>
      <c r="FY29" s="1959">
        <f>Plantillas!W$293</f>
        <v>0</v>
      </c>
      <c r="FZ29" s="1959">
        <f>Plantillas!W$294</f>
        <v>0</v>
      </c>
      <c r="GA29" s="1959">
        <f>Plantillas!W$295</f>
        <v>0</v>
      </c>
      <c r="GB29" s="2025">
        <f>Plantillas!W$296</f>
        <v>0</v>
      </c>
      <c r="GC29" s="1358">
        <v>7</v>
      </c>
      <c r="GD29" s="1359">
        <f t="shared" si="49"/>
        <v>0</v>
      </c>
      <c r="GE29" s="1359">
        <f t="shared" si="40"/>
        <v>0</v>
      </c>
      <c r="GF29" s="1359">
        <f t="shared" si="41"/>
        <v>1</v>
      </c>
      <c r="GG29" s="1359">
        <f t="shared" si="42"/>
        <v>1</v>
      </c>
      <c r="GH29" s="1359">
        <f t="shared" si="43"/>
        <v>1</v>
      </c>
      <c r="GI29" s="1359">
        <f t="shared" si="44"/>
        <v>2</v>
      </c>
      <c r="GJ29" s="1359">
        <f t="shared" si="45"/>
        <v>5</v>
      </c>
      <c r="GK29" s="1360">
        <f t="shared" si="46"/>
        <v>110</v>
      </c>
      <c r="GL29" s="1359">
        <v>7</v>
      </c>
      <c r="GM29" s="1933" t="str">
        <f>Plantillas!I$277</f>
        <v>X</v>
      </c>
      <c r="GN29" s="1933" t="str">
        <f>Plantillas!I$278</f>
        <v>X</v>
      </c>
      <c r="GO29" s="1933" t="str">
        <f>Plantillas!I$279</f>
        <v>X</v>
      </c>
      <c r="GP29" s="1933">
        <f>Plantillas!I$280</f>
        <v>0</v>
      </c>
      <c r="GQ29" s="1933">
        <f>Plantillas!I$281</f>
        <v>0</v>
      </c>
      <c r="GR29" s="1933">
        <f>Plantillas!I$282</f>
        <v>0</v>
      </c>
      <c r="GS29" s="1933">
        <f>Plantillas!I$283</f>
        <v>0</v>
      </c>
      <c r="GT29" s="1933">
        <f>Plantillas!I$284</f>
        <v>0</v>
      </c>
      <c r="GU29" s="1933">
        <f>Plantillas!I$285</f>
        <v>0</v>
      </c>
      <c r="GV29" s="1933">
        <f>Plantillas!I$286</f>
        <v>0</v>
      </c>
      <c r="GW29" s="1933">
        <f>Plantillas!I$287</f>
        <v>0</v>
      </c>
      <c r="GX29" s="1933">
        <f>Plantillas!I$288</f>
        <v>0</v>
      </c>
      <c r="GY29" s="1933">
        <f>Plantillas!I$289</f>
        <v>0</v>
      </c>
      <c r="GZ29" s="1933">
        <f>Plantillas!I$290</f>
        <v>0</v>
      </c>
      <c r="HA29" s="1933">
        <f>Plantillas!I$291</f>
        <v>0</v>
      </c>
      <c r="HB29" s="1933">
        <f>Plantillas!I$292</f>
        <v>0</v>
      </c>
      <c r="HC29" s="1933">
        <f>Plantillas!I$293</f>
        <v>0</v>
      </c>
      <c r="HD29" s="1933">
        <f>Plantillas!I$294</f>
        <v>0</v>
      </c>
      <c r="HE29" s="1933">
        <f>Plantillas!I$295</f>
        <v>0</v>
      </c>
      <c r="HF29" s="1934">
        <f>Plantillas!I$296</f>
        <v>0</v>
      </c>
      <c r="HG29" s="778">
        <v>5</v>
      </c>
      <c r="HH29" s="1358">
        <f>'[1]0570Y'!$D$31</f>
        <v>13</v>
      </c>
      <c r="HI29" s="2647">
        <f>'[1]0570Y'!$E$31</f>
        <v>14</v>
      </c>
      <c r="HJ29" s="1359">
        <f>'[1]0570Y'!$G$31</f>
        <v>21</v>
      </c>
      <c r="HK29" s="1353">
        <f>'[1]0570Y'!$H$31</f>
        <v>14</v>
      </c>
      <c r="HL29" s="2646">
        <f>'[1]0570Y'!$J$31</f>
        <v>19</v>
      </c>
      <c r="HM29" s="2647">
        <f>'[1]0570Y'!$K$31</f>
        <v>12</v>
      </c>
      <c r="HN29" s="1359">
        <f>'[1]0570Y'!$M$31</f>
        <v>13</v>
      </c>
      <c r="HO29" s="1353">
        <f>'[1]0570Y'!$N$31</f>
        <v>10</v>
      </c>
      <c r="HP29" s="2646">
        <f>'[1]0570Y'!$P$31</f>
        <v>18</v>
      </c>
      <c r="HQ29" s="2647">
        <f>'[1]0570Y'!$Q$31</f>
        <v>14</v>
      </c>
      <c r="HR29" s="1359">
        <f>'[1]0570Y'!$S$31</f>
        <v>34</v>
      </c>
      <c r="HS29" s="1353">
        <f>'[1]0570Y'!$T$31</f>
        <v>31</v>
      </c>
      <c r="HT29" s="1358">
        <f>'[1]0570Y'!$D$32</f>
        <v>1</v>
      </c>
      <c r="HU29" s="1353">
        <f>'[1]0570Y'!$E$32</f>
        <v>2</v>
      </c>
      <c r="HV29" s="2646">
        <f>'[1]0570Y'!$G$32</f>
        <v>2</v>
      </c>
      <c r="HW29" s="2647">
        <f>'[1]0570Y'!$H$32</f>
        <v>1</v>
      </c>
      <c r="HX29" s="1359">
        <f>'[1]0570Y'!$J$32</f>
        <v>4</v>
      </c>
      <c r="HY29" s="1353">
        <f>'[1]0570Y'!$K$32</f>
        <v>2</v>
      </c>
      <c r="HZ29" s="2646">
        <f>'[1]0570Y'!$M$32</f>
        <v>4</v>
      </c>
      <c r="IA29" s="2647">
        <f>'[1]0570Y'!$N$32</f>
        <v>2</v>
      </c>
      <c r="IB29" s="2646">
        <f>'[1]0570Y'!$P$32</f>
        <v>1</v>
      </c>
      <c r="IC29" s="2647">
        <f>'[1]0570Y'!$Q$32</f>
        <v>1</v>
      </c>
      <c r="ID29" s="1359">
        <f>'[1]0570Y'!$S$32</f>
        <v>0</v>
      </c>
      <c r="IE29" s="1354">
        <f>'[1]0570Y'!$T$32</f>
        <v>0</v>
      </c>
      <c r="IF29" s="1358">
        <f>'[1]0570Y'!$D$34</f>
        <v>2</v>
      </c>
      <c r="IG29" s="1353">
        <f>'[1]0570Y'!$E$34</f>
        <v>0</v>
      </c>
      <c r="IH29" s="2646">
        <f>'[1]0570Y'!$G$34</f>
        <v>3</v>
      </c>
      <c r="II29" s="2647">
        <f>'[1]0570Y'!$H$34</f>
        <v>3</v>
      </c>
      <c r="IJ29" s="1359">
        <f>'[1]0570Y'!$J$34</f>
        <v>4</v>
      </c>
      <c r="IK29" s="1353">
        <f>'[1]0570Y'!$K$34</f>
        <v>5</v>
      </c>
      <c r="IL29" s="2646">
        <f>'[1]0570Y'!$M$34</f>
        <v>3</v>
      </c>
      <c r="IM29" s="2647">
        <f>'[1]0570Y'!$N$34</f>
        <v>0</v>
      </c>
      <c r="IN29" s="1359">
        <f>'[1]0570Y'!$P$34</f>
        <v>2</v>
      </c>
      <c r="IO29" s="1353">
        <f>'[1]0570Y'!$Q$34</f>
        <v>1</v>
      </c>
      <c r="IP29" s="2646">
        <f>'[1]0570Y'!$S$34</f>
        <v>3</v>
      </c>
      <c r="IQ29" s="1354">
        <f>'[1]0570Y'!$T$34</f>
        <v>0</v>
      </c>
      <c r="IR29" s="1358">
        <f>'[1]0570Y'!$D$37</f>
        <v>0</v>
      </c>
      <c r="IS29" s="1353">
        <f>'[1]0570Y'!$E$37</f>
        <v>0</v>
      </c>
      <c r="IT29" s="2646">
        <f>'[1]0570Y'!$G$37</f>
        <v>0</v>
      </c>
      <c r="IU29" s="2647">
        <f>'[1]0570Y'!$H$37</f>
        <v>0</v>
      </c>
      <c r="IV29" s="1359">
        <f>'[1]0570Y'!$J$37</f>
        <v>0</v>
      </c>
      <c r="IW29" s="1353">
        <f>'[1]0570Y'!$K$37</f>
        <v>0</v>
      </c>
      <c r="IX29" s="2646">
        <f>'[1]0570Y'!$M$37</f>
        <v>0</v>
      </c>
      <c r="IY29" s="2647">
        <f>'[1]0570Y'!$N$37</f>
        <v>0</v>
      </c>
      <c r="IZ29" s="2646">
        <f>'[1]0570Y'!$P$37</f>
        <v>0</v>
      </c>
      <c r="JA29" s="2647">
        <f>'[1]0570Y'!$Q$37</f>
        <v>0</v>
      </c>
      <c r="JB29" s="1359">
        <f>'[1]0570Y'!$S$37</f>
        <v>0</v>
      </c>
      <c r="JC29" s="1354">
        <f>'[1]0570Y'!$T$37</f>
        <v>0</v>
      </c>
      <c r="JD29" s="1358">
        <f>'[1]0570Y'!$D$39</f>
        <v>0</v>
      </c>
      <c r="JE29" s="1353">
        <f>'[1]0570Y'!$E$39</f>
        <v>1</v>
      </c>
      <c r="JF29" s="2646">
        <f>'[1]0570Y'!$G$389</f>
        <v>0</v>
      </c>
      <c r="JG29" s="2647">
        <f>'[1]0570Y'!$H$39</f>
        <v>1</v>
      </c>
      <c r="JH29" s="1359">
        <f>'[1]0570Y'!$J$39</f>
        <v>1</v>
      </c>
      <c r="JI29" s="1353">
        <f>'[1]0570Y'!$K$39</f>
        <v>0</v>
      </c>
      <c r="JJ29" s="2646">
        <f>'[1]0570Y'!$M$39</f>
        <v>1</v>
      </c>
      <c r="JK29" s="2647">
        <f>'[1]0570Y'!$N$39</f>
        <v>0</v>
      </c>
      <c r="JL29" s="2646">
        <f>'[1]0570Y'!$P$39</f>
        <v>0</v>
      </c>
      <c r="JM29" s="2647">
        <f>'[1]0570Y'!$Q$39</f>
        <v>1</v>
      </c>
      <c r="JN29" s="1359">
        <f>'[1]0570Y'!$S$39</f>
        <v>2</v>
      </c>
      <c r="JO29" s="1353">
        <f>'[1]0570Y'!$T$39</f>
        <v>0</v>
      </c>
      <c r="JP29" s="2646">
        <f>'[1]0570Y'!$D$28</f>
        <v>0</v>
      </c>
      <c r="JQ29" s="2647">
        <f>'[1]0570Y'!$E$28</f>
        <v>0</v>
      </c>
      <c r="JR29" s="2646">
        <f>'[1]0570Y'!$G$28</f>
        <v>0</v>
      </c>
      <c r="JS29" s="2647">
        <f>'[1]0570Y'!$H$28</f>
        <v>0</v>
      </c>
      <c r="JT29" s="1359">
        <f>'[1]0570Y'!$J$28</f>
        <v>0</v>
      </c>
      <c r="JU29" s="1353">
        <f>'[1]0570Y'!$K$28</f>
        <v>0</v>
      </c>
      <c r="JV29" s="2646">
        <f>'[1]0570Y'!$M$28</f>
        <v>0</v>
      </c>
      <c r="JW29" s="2647">
        <f>'[1]0570Y'!$N$28</f>
        <v>0</v>
      </c>
      <c r="JX29" s="2646">
        <f>'[1]0570Y'!$P$28</f>
        <v>0</v>
      </c>
      <c r="JY29" s="2647">
        <f>'[1]0570Y'!$Q$28</f>
        <v>0</v>
      </c>
      <c r="JZ29" s="1359">
        <f>'[1]0570Y'!$S$28</f>
        <v>0</v>
      </c>
      <c r="KA29" s="1353">
        <f>'[1]0570Y'!$T$28</f>
        <v>0</v>
      </c>
      <c r="KB29" s="779">
        <f t="shared" si="51"/>
        <v>0</v>
      </c>
      <c r="KC29" s="183">
        <f t="shared" si="52"/>
        <v>0</v>
      </c>
      <c r="KD29" s="183">
        <f t="shared" si="53"/>
        <v>0</v>
      </c>
      <c r="KE29" s="183">
        <f t="shared" si="54"/>
        <v>0</v>
      </c>
      <c r="KF29" s="183">
        <f t="shared" si="55"/>
        <v>0</v>
      </c>
      <c r="KG29" s="782">
        <f t="shared" si="56"/>
        <v>0</v>
      </c>
      <c r="KH29" s="1358">
        <v>6</v>
      </c>
      <c r="KI29" s="1931" t="str">
        <f>Plantillas!D232</f>
        <v>CUITLAHUAC</v>
      </c>
      <c r="KJ29" s="1948" t="str">
        <f t="shared" si="47"/>
        <v>CUITLAHUAC</v>
      </c>
      <c r="KK29" s="1948" t="str">
        <f t="shared" ref="KK29:KX29" si="60">KJ29</f>
        <v>CUITLAHUAC</v>
      </c>
      <c r="KL29" s="1948" t="str">
        <f t="shared" si="60"/>
        <v>CUITLAHUAC</v>
      </c>
      <c r="KM29" s="1948" t="str">
        <f t="shared" si="60"/>
        <v>CUITLAHUAC</v>
      </c>
      <c r="KN29" s="1948" t="str">
        <f t="shared" si="60"/>
        <v>CUITLAHUAC</v>
      </c>
      <c r="KO29" s="1948" t="str">
        <f t="shared" si="60"/>
        <v>CUITLAHUAC</v>
      </c>
      <c r="KP29" s="1948" t="str">
        <f t="shared" si="60"/>
        <v>CUITLAHUAC</v>
      </c>
      <c r="KQ29" s="1948" t="str">
        <f t="shared" si="60"/>
        <v>CUITLAHUAC</v>
      </c>
      <c r="KR29" s="1948" t="str">
        <f t="shared" si="60"/>
        <v>CUITLAHUAC</v>
      </c>
      <c r="KS29" s="1948" t="str">
        <f t="shared" si="60"/>
        <v>CUITLAHUAC</v>
      </c>
      <c r="KT29" s="1948" t="str">
        <f>KS29</f>
        <v>CUITLAHUAC</v>
      </c>
      <c r="KU29" s="1948" t="str">
        <f t="shared" si="60"/>
        <v>CUITLAHUAC</v>
      </c>
      <c r="KV29" s="1948" t="str">
        <f t="shared" si="60"/>
        <v>CUITLAHUAC</v>
      </c>
      <c r="KW29" s="1948" t="str">
        <f t="shared" si="60"/>
        <v>CUITLAHUAC</v>
      </c>
      <c r="KX29" s="1948" t="str">
        <f t="shared" si="60"/>
        <v>CUITLAHUAC</v>
      </c>
      <c r="KY29" s="1948"/>
      <c r="KZ29" s="1948"/>
      <c r="LA29" s="1948"/>
      <c r="LB29" s="1949"/>
      <c r="LC29" s="1358">
        <v>6</v>
      </c>
      <c r="LD29" s="2985" t="s">
        <v>100</v>
      </c>
      <c r="LE29" s="2985" t="s">
        <v>100</v>
      </c>
      <c r="LF29" s="2985" t="s">
        <v>100</v>
      </c>
      <c r="LG29" s="2985" t="s">
        <v>100</v>
      </c>
      <c r="LH29" s="2985" t="s">
        <v>100</v>
      </c>
      <c r="LI29" s="2985" t="s">
        <v>100</v>
      </c>
      <c r="LJ29" s="2985" t="s">
        <v>100</v>
      </c>
      <c r="LK29" s="2985" t="s">
        <v>100</v>
      </c>
      <c r="LL29" s="2985" t="s">
        <v>100</v>
      </c>
      <c r="LM29" s="2985" t="s">
        <v>100</v>
      </c>
      <c r="LN29" s="2985" t="s">
        <v>100</v>
      </c>
      <c r="LO29" s="2985" t="s">
        <v>100</v>
      </c>
      <c r="LP29" s="2985" t="s">
        <v>100</v>
      </c>
      <c r="LQ29" s="2985" t="s">
        <v>100</v>
      </c>
      <c r="LR29" s="2985" t="s">
        <v>100</v>
      </c>
      <c r="LS29" s="2985" t="s">
        <v>100</v>
      </c>
      <c r="LT29" s="2985"/>
      <c r="LU29" s="2985"/>
      <c r="LV29" s="2985"/>
      <c r="LW29" s="2986"/>
    </row>
    <row r="30" spans="1:336" ht="12.75" customHeight="1">
      <c r="A30" s="16">
        <v>14</v>
      </c>
      <c r="B30" s="31">
        <f>VLOOKUP(T6,AX23:DI42,41,41)</f>
        <v>0</v>
      </c>
      <c r="C30" s="35">
        <f>VLOOKUP(T6,AX23:DI42,42,42)</f>
        <v>0</v>
      </c>
      <c r="D30" s="29" t="str">
        <f>VLOOKUP(T6,BG2:CA21,15,15)</f>
        <v>GONGORA * TERESITA DEL CARMEN</v>
      </c>
      <c r="E30" s="21"/>
      <c r="F30" s="21"/>
      <c r="G30" s="21"/>
      <c r="H30" s="21"/>
      <c r="I30" s="3360" t="str">
        <f>VLOOKUP(T6,LC24:LW43,15,21)</f>
        <v>042</v>
      </c>
      <c r="J30" s="3780">
        <f>VLOOKUP(T6,AX44:BR63,15,15)</f>
        <v>0</v>
      </c>
      <c r="K30" s="3780"/>
      <c r="L30" s="3780">
        <f>VLOOKUP(T6,BS44:CM63,15,15)</f>
        <v>0</v>
      </c>
      <c r="M30" s="3780"/>
      <c r="N30" s="3780">
        <f>VLOOKUP(T6,CN44:DH63,15,15)</f>
        <v>0</v>
      </c>
      <c r="O30" s="3780"/>
      <c r="P30" s="3780">
        <f>VLOOKUP(T6,DI44:EC63,15,15)</f>
        <v>0</v>
      </c>
      <c r="Q30" s="3780"/>
      <c r="R30" s="3780">
        <f>VLOOKUP(T6,ED44:EX63,15,15)</f>
        <v>0</v>
      </c>
      <c r="S30" s="3780"/>
      <c r="T30" s="3780">
        <f>VLOOKUP(T6,EY44:FS63,15,15)</f>
        <v>0</v>
      </c>
      <c r="U30" s="3780"/>
      <c r="V30" s="3781">
        <f t="shared" si="32"/>
        <v>0</v>
      </c>
      <c r="W30" s="3782"/>
      <c r="X30" s="3820"/>
      <c r="Y30" s="3821"/>
      <c r="Z30" s="3820"/>
      <c r="AA30" s="3821"/>
      <c r="AB30" s="3783"/>
      <c r="AC30" s="3784"/>
      <c r="AD30" s="3783"/>
      <c r="AE30" s="3784"/>
      <c r="AF30" s="2939" t="str">
        <f t="shared" si="33"/>
        <v>00</v>
      </c>
      <c r="AG30" s="2940">
        <f t="shared" si="34"/>
        <v>0</v>
      </c>
      <c r="AH30" s="3822">
        <f>VLOOKUP(T6,AX23:DI42,43,43)</f>
        <v>0</v>
      </c>
      <c r="AI30" s="3823"/>
      <c r="AJ30" s="3856"/>
      <c r="AK30" s="3857"/>
      <c r="AL30" s="3193">
        <f>VLOOKUP(T6,GL2:HF21,15,21)</f>
        <v>0</v>
      </c>
      <c r="AM30" s="3194" t="str">
        <f>VLOOKUP(T6,GL23:HF42,15,21)</f>
        <v>X</v>
      </c>
      <c r="AN30" s="3195" t="str">
        <f>VLOOKUP(T6,CB2:CV21,15,21)</f>
        <v>GOTE710913H14</v>
      </c>
      <c r="AO30" s="3195" t="str">
        <f>VLOOKUP(T6,CW2:DQ21,15,21)</f>
        <v>072303 S0180700.0300489</v>
      </c>
      <c r="AP30" s="3195" t="str">
        <f>VLOOKUP(T6,DR2:EL21,15,21)</f>
        <v>INTENDENTE</v>
      </c>
      <c r="AQ30" s="3195" t="str">
        <f>VLOOKUP(T6,DR23:EL42,15,21)</f>
        <v>23FUA0031K</v>
      </c>
      <c r="AR30" s="3195" t="str">
        <f>VLOOKUP(T6,LC2:LW21,15,21)</f>
        <v>GOTE710913M</v>
      </c>
      <c r="AS30" s="3194" t="str">
        <f>VLOOKUP(T6,FH2:GB21,15,21)</f>
        <v>7B</v>
      </c>
      <c r="AT30" s="3194">
        <f>VLOOKUP(T6,EM2:FG21,15,21)</f>
        <v>10</v>
      </c>
      <c r="AU30" s="3196" t="str">
        <f>VLOOKUP(T6,FH23:GB42,15,21)</f>
        <v>16-09-1995</v>
      </c>
      <c r="AV30" s="3197" t="str">
        <f>VLOOKUP(T6,KH2:LB21,15,21)</f>
        <v>23DPR0055K</v>
      </c>
      <c r="AW30" s="2803" t="str">
        <f>VLOOKUP(T6,KH24:LB43,15,21)</f>
        <v>KABAH</v>
      </c>
      <c r="AX30" s="779">
        <v>8</v>
      </c>
      <c r="AY30" s="2013" t="str">
        <f>Plantillas!Y$317</f>
        <v>5º</v>
      </c>
      <c r="AZ30" s="2014" t="str">
        <f>Plantillas!Z$317</f>
        <v>A</v>
      </c>
      <c r="BA30" s="2015">
        <f>Plantillas!AA$317</f>
        <v>19</v>
      </c>
      <c r="BB30" s="2013" t="str">
        <f>Plantillas!Y$318</f>
        <v>6º</v>
      </c>
      <c r="BC30" s="2014" t="str">
        <f>Plantillas!Z$318</f>
        <v>A</v>
      </c>
      <c r="BD30" s="2016">
        <f>Plantillas!AA$318</f>
        <v>23</v>
      </c>
      <c r="BE30" s="2013">
        <f>Plantillas!Y$319</f>
        <v>0</v>
      </c>
      <c r="BF30" s="2014">
        <f>Plantillas!Z$319</f>
        <v>0</v>
      </c>
      <c r="BG30" s="2016">
        <f>Plantillas!AA$319</f>
        <v>0</v>
      </c>
      <c r="BH30" s="2013">
        <f>Plantillas!Y$320</f>
        <v>0</v>
      </c>
      <c r="BI30" s="2014">
        <f>Plantillas!Z$320</f>
        <v>0</v>
      </c>
      <c r="BJ30" s="2016">
        <f>Plantillas!AA$320</f>
        <v>0</v>
      </c>
      <c r="BK30" s="2013">
        <f>Plantillas!Y$321</f>
        <v>0</v>
      </c>
      <c r="BL30" s="2014">
        <f>Plantillas!Z$321</f>
        <v>0</v>
      </c>
      <c r="BM30" s="2016">
        <f>Plantillas!AA$321</f>
        <v>0</v>
      </c>
      <c r="BN30" s="2013">
        <f>Plantillas!Y$322</f>
        <v>0</v>
      </c>
      <c r="BO30" s="2014">
        <f>Plantillas!Z$322</f>
        <v>0</v>
      </c>
      <c r="BP30" s="2016">
        <f>Plantillas!AA$322</f>
        <v>0</v>
      </c>
      <c r="BQ30" s="2013">
        <f>Plantillas!Y$323</f>
        <v>0</v>
      </c>
      <c r="BR30" s="2014">
        <f>Plantillas!Z$323</f>
        <v>0</v>
      </c>
      <c r="BS30" s="2016">
        <f>Plantillas!AA$323</f>
        <v>0</v>
      </c>
      <c r="BT30" s="2013">
        <f>Plantillas!Y$324</f>
        <v>0</v>
      </c>
      <c r="BU30" s="2014">
        <f>Plantillas!Z$324</f>
        <v>0</v>
      </c>
      <c r="BV30" s="2016">
        <f>Plantillas!AA$324</f>
        <v>0</v>
      </c>
      <c r="BW30" s="2013">
        <f>Plantillas!Y$325</f>
        <v>0</v>
      </c>
      <c r="BX30" s="2014">
        <f>Plantillas!Z$325</f>
        <v>0</v>
      </c>
      <c r="BY30" s="2016">
        <f>Plantillas!AA$325</f>
        <v>0</v>
      </c>
      <c r="BZ30" s="2013">
        <f>Plantillas!Y$326</f>
        <v>0</v>
      </c>
      <c r="CA30" s="2014">
        <f>Plantillas!Z$326</f>
        <v>0</v>
      </c>
      <c r="CB30" s="2016">
        <f>Plantillas!AA$326</f>
        <v>0</v>
      </c>
      <c r="CC30" s="2013">
        <f>Plantillas!Y$327</f>
        <v>0</v>
      </c>
      <c r="CD30" s="2014">
        <f>Plantillas!Z$327</f>
        <v>0</v>
      </c>
      <c r="CE30" s="2016">
        <f>Plantillas!AA$327</f>
        <v>0</v>
      </c>
      <c r="CF30" s="2013">
        <f>Plantillas!Y$328</f>
        <v>0</v>
      </c>
      <c r="CG30" s="2014">
        <f>Plantillas!Z$328</f>
        <v>0</v>
      </c>
      <c r="CH30" s="2016">
        <f>Plantillas!AA$328</f>
        <v>0</v>
      </c>
      <c r="CI30" s="2013">
        <f>Plantillas!Y$329</f>
        <v>0</v>
      </c>
      <c r="CJ30" s="2014">
        <f>Plantillas!Z$329</f>
        <v>0</v>
      </c>
      <c r="CK30" s="2016">
        <f>Plantillas!AA$329</f>
        <v>0</v>
      </c>
      <c r="CL30" s="2013">
        <f>Plantillas!Y$330</f>
        <v>0</v>
      </c>
      <c r="CM30" s="2014">
        <f>Plantillas!Z$330</f>
        <v>0</v>
      </c>
      <c r="CN30" s="2016">
        <f>Plantillas!AA$330</f>
        <v>0</v>
      </c>
      <c r="CO30" s="2013">
        <f>Plantillas!Y$331</f>
        <v>0</v>
      </c>
      <c r="CP30" s="2014">
        <f>Plantillas!Z$331</f>
        <v>0</v>
      </c>
      <c r="CQ30" s="2016">
        <f>Plantillas!AA$331</f>
        <v>0</v>
      </c>
      <c r="CR30" s="2013">
        <f>Plantillas!Y$332</f>
        <v>0</v>
      </c>
      <c r="CS30" s="2014">
        <f>Plantillas!Z$332</f>
        <v>0</v>
      </c>
      <c r="CT30" s="2016">
        <f>Plantillas!AA$332</f>
        <v>0</v>
      </c>
      <c r="CU30" s="2013">
        <f>Plantillas!Y$333</f>
        <v>0</v>
      </c>
      <c r="CV30" s="2014">
        <f>Plantillas!Z$333</f>
        <v>0</v>
      </c>
      <c r="CW30" s="2016">
        <f>Plantillas!AA$333</f>
        <v>0</v>
      </c>
      <c r="CX30" s="2013">
        <f>Plantillas!Y$334</f>
        <v>0</v>
      </c>
      <c r="CY30" s="2014">
        <f>Plantillas!Z$334</f>
        <v>0</v>
      </c>
      <c r="CZ30" s="2016">
        <f>Plantillas!AA$334</f>
        <v>0</v>
      </c>
      <c r="DA30" s="2013">
        <f>Plantillas!Y$335</f>
        <v>0</v>
      </c>
      <c r="DB30" s="2014">
        <f>Plantillas!Z$335</f>
        <v>0</v>
      </c>
      <c r="DC30" s="2016">
        <f>Plantillas!AA$335</f>
        <v>0</v>
      </c>
      <c r="DD30" s="2013">
        <f>Plantillas!Y$336</f>
        <v>0</v>
      </c>
      <c r="DE30" s="2014">
        <f>Plantillas!Z$336</f>
        <v>0</v>
      </c>
      <c r="DF30" s="2016">
        <f>Plantillas!AA$336</f>
        <v>0</v>
      </c>
      <c r="DG30" s="2013">
        <f>Plantillas!Y$337</f>
        <v>0</v>
      </c>
      <c r="DH30" s="2014">
        <v>2</v>
      </c>
      <c r="DI30" s="2091" t="str">
        <f>Estadisticas!AA10</f>
        <v>manueljesu_95@hotmail.com</v>
      </c>
      <c r="DJ30" s="183">
        <v>8</v>
      </c>
      <c r="DK30" s="84" t="str">
        <f>VLOOKUP(T6,BG2:CA21,9,9)</f>
        <v>SANCHEZ BUSTAMANTE * CONCEPCION</v>
      </c>
      <c r="DL30" s="2018" t="str">
        <f>VLOOKUP(T6,CB2:CV21,9,9)</f>
        <v>SABC641208519</v>
      </c>
      <c r="DM30" s="2019" t="str">
        <f>VLOOKUP(T6,CW2:DQ21,9,9)</f>
        <v>078312 E028100.0233935</v>
      </c>
      <c r="DN30" s="2020" t="str">
        <f>VLOOKUP(T6,DR2:EL21,9,9)</f>
        <v>DOCENTE</v>
      </c>
      <c r="DO30" s="2021" t="str">
        <f>VLOOKUP(T6,DR23:EL42,9,9)</f>
        <v>23DPR0737O</v>
      </c>
      <c r="DP30" s="2022">
        <f>VLOOKUP(T6,EM2:FG21,9,9)</f>
        <v>10</v>
      </c>
      <c r="DQ30" s="84">
        <f>VLOOKUP(T6,EM23:FG42,9,9)</f>
        <v>31</v>
      </c>
      <c r="DR30" s="2023">
        <v>8</v>
      </c>
      <c r="DS30" s="2024" t="str">
        <f>Plantillas!N$317</f>
        <v>23DPR0035X</v>
      </c>
      <c r="DT30" s="2024" t="str">
        <f>Plantillas!N$318</f>
        <v>23DPR0640C</v>
      </c>
      <c r="DU30" s="2024">
        <f>Plantillas!N$319</f>
        <v>0</v>
      </c>
      <c r="DV30" s="2024">
        <f>Plantillas!N$320</f>
        <v>0</v>
      </c>
      <c r="DW30" s="2024">
        <f>Plantillas!N$321</f>
        <v>0</v>
      </c>
      <c r="DX30" s="2024">
        <f>Plantillas!N$322</f>
        <v>0</v>
      </c>
      <c r="DY30" s="2024">
        <f>Plantillas!N$323</f>
        <v>0</v>
      </c>
      <c r="DZ30" s="2024">
        <f>Plantillas!N$324</f>
        <v>0</v>
      </c>
      <c r="EA30" s="2024">
        <f>Plantillas!N$325</f>
        <v>0</v>
      </c>
      <c r="EB30" s="2024">
        <f>Plantillas!N$326</f>
        <v>0</v>
      </c>
      <c r="EC30" s="2024">
        <f>Plantillas!N$327</f>
        <v>0</v>
      </c>
      <c r="ED30" s="2024">
        <f>Plantillas!N$328</f>
        <v>0</v>
      </c>
      <c r="EE30" s="2024">
        <f>Plantillas!N$329</f>
        <v>0</v>
      </c>
      <c r="EF30" s="2024">
        <f>Plantillas!N$330</f>
        <v>0</v>
      </c>
      <c r="EG30" s="2024">
        <f>Plantillas!N$331</f>
        <v>0</v>
      </c>
      <c r="EH30" s="2024">
        <f>Plantillas!N$332</f>
        <v>0</v>
      </c>
      <c r="EI30" s="2024">
        <f>Plantillas!N$333</f>
        <v>0</v>
      </c>
      <c r="EJ30" s="2024">
        <f>Plantillas!N$334</f>
        <v>0</v>
      </c>
      <c r="EK30" s="2024">
        <f>Plantillas!N$335</f>
        <v>0</v>
      </c>
      <c r="EL30" s="2024">
        <f>Plantillas!N$336</f>
        <v>0</v>
      </c>
      <c r="EM30" s="779">
        <v>8</v>
      </c>
      <c r="EN30" s="1966">
        <f>Plantillas!AA$317</f>
        <v>19</v>
      </c>
      <c r="EO30" s="1966">
        <f>Plantillas!AA$318</f>
        <v>23</v>
      </c>
      <c r="EP30" s="1966">
        <f>Plantillas!AA$319</f>
        <v>0</v>
      </c>
      <c r="EQ30" s="1966">
        <f>Plantillas!AA$320</f>
        <v>0</v>
      </c>
      <c r="ER30" s="1966">
        <f>Plantillas!AA$321</f>
        <v>0</v>
      </c>
      <c r="ES30" s="1966">
        <f>Plantillas!AA$322</f>
        <v>0</v>
      </c>
      <c r="ET30" s="1966">
        <f>Plantillas!AA$323</f>
        <v>0</v>
      </c>
      <c r="EU30" s="1966">
        <f>Plantillas!AA$324</f>
        <v>0</v>
      </c>
      <c r="EV30" s="1966">
        <f>Plantillas!AA$325</f>
        <v>0</v>
      </c>
      <c r="EW30" s="1966">
        <f>Plantillas!AA$326</f>
        <v>0</v>
      </c>
      <c r="EX30" s="1966">
        <f>Plantillas!AA$327</f>
        <v>0</v>
      </c>
      <c r="EY30" s="1966">
        <f>Plantillas!AA$328</f>
        <v>0</v>
      </c>
      <c r="EZ30" s="1966">
        <f>Plantillas!AA$329</f>
        <v>0</v>
      </c>
      <c r="FA30" s="1966">
        <f>Plantillas!AA$330</f>
        <v>0</v>
      </c>
      <c r="FB30" s="1966">
        <f>Plantillas!AA$331</f>
        <v>0</v>
      </c>
      <c r="FC30" s="1966">
        <f>Plantillas!AA$332</f>
        <v>0</v>
      </c>
      <c r="FD30" s="1966">
        <f>Plantillas!AA$333</f>
        <v>0</v>
      </c>
      <c r="FE30" s="1966">
        <f>Plantillas!AA$334</f>
        <v>0</v>
      </c>
      <c r="FF30" s="1966">
        <f>Plantillas!AA$335</f>
        <v>0</v>
      </c>
      <c r="FG30" s="1967">
        <f>Plantillas!AA$336</f>
        <v>0</v>
      </c>
      <c r="FH30" s="779">
        <v>8</v>
      </c>
      <c r="FI30" s="1959" t="str">
        <f>Plantillas!W$317</f>
        <v>01-09-1991</v>
      </c>
      <c r="FJ30" s="1959" t="str">
        <f>Plantillas!W$318</f>
        <v>01-09-1992</v>
      </c>
      <c r="FK30" s="1959" t="str">
        <f>Plantillas!W$319</f>
        <v>01-09-1998</v>
      </c>
      <c r="FL30" s="1959">
        <f>Plantillas!W$320</f>
        <v>0</v>
      </c>
      <c r="FM30" s="1959">
        <f>Plantillas!W$321</f>
        <v>0</v>
      </c>
      <c r="FN30" s="1959">
        <f>Plantillas!W$322</f>
        <v>0</v>
      </c>
      <c r="FO30" s="1959">
        <f>Plantillas!W$323</f>
        <v>0</v>
      </c>
      <c r="FP30" s="1959">
        <f>Plantillas!W$324</f>
        <v>0</v>
      </c>
      <c r="FQ30" s="1959">
        <f>Plantillas!W$325</f>
        <v>0</v>
      </c>
      <c r="FR30" s="1959">
        <f>Plantillas!W$326</f>
        <v>0</v>
      </c>
      <c r="FS30" s="1959">
        <f>Plantillas!W$327</f>
        <v>0</v>
      </c>
      <c r="FT30" s="1959">
        <f>Plantillas!W$328</f>
        <v>0</v>
      </c>
      <c r="FU30" s="1959">
        <f>Plantillas!W$329</f>
        <v>0</v>
      </c>
      <c r="FV30" s="1959">
        <f>Plantillas!W$330</f>
        <v>0</v>
      </c>
      <c r="FW30" s="1959">
        <f>Plantillas!W$331</f>
        <v>0</v>
      </c>
      <c r="FX30" s="1959">
        <f>Plantillas!W$332</f>
        <v>0</v>
      </c>
      <c r="FY30" s="1959">
        <f>Plantillas!W$333</f>
        <v>0</v>
      </c>
      <c r="FZ30" s="1959">
        <f>Plantillas!W$334</f>
        <v>0</v>
      </c>
      <c r="GA30" s="1959">
        <f>Plantillas!W$335</f>
        <v>0</v>
      </c>
      <c r="GB30" s="2025">
        <f>Plantillas!W$336</f>
        <v>0</v>
      </c>
      <c r="GC30" s="1358">
        <v>8</v>
      </c>
      <c r="GD30" s="1359">
        <f t="shared" si="49"/>
        <v>0</v>
      </c>
      <c r="GE30" s="1359">
        <f t="shared" si="40"/>
        <v>0</v>
      </c>
      <c r="GF30" s="1359">
        <f t="shared" si="41"/>
        <v>0</v>
      </c>
      <c r="GG30" s="1359">
        <f t="shared" si="42"/>
        <v>0</v>
      </c>
      <c r="GH30" s="1359">
        <f t="shared" si="43"/>
        <v>1</v>
      </c>
      <c r="GI30" s="1359">
        <f t="shared" si="44"/>
        <v>1</v>
      </c>
      <c r="GJ30" s="1359">
        <f t="shared" si="45"/>
        <v>2</v>
      </c>
      <c r="GK30" s="1360">
        <f t="shared" si="46"/>
        <v>42</v>
      </c>
      <c r="GL30" s="1359">
        <v>8</v>
      </c>
      <c r="GM30" s="1933">
        <f>Plantillas!I$317</f>
        <v>0</v>
      </c>
      <c r="GN30" s="1933" t="str">
        <f>Plantillas!I$318</f>
        <v>X</v>
      </c>
      <c r="GO30" s="1933">
        <f>Plantillas!I$319</f>
        <v>0</v>
      </c>
      <c r="GP30" s="1933" t="str">
        <f>Plantillas!I$320</f>
        <v>X</v>
      </c>
      <c r="GQ30" s="1933">
        <f>Plantillas!I$321</f>
        <v>0</v>
      </c>
      <c r="GR30" s="1933">
        <f>Plantillas!I$322</f>
        <v>0</v>
      </c>
      <c r="GS30" s="1933">
        <f>Plantillas!I$323</f>
        <v>0</v>
      </c>
      <c r="GT30" s="1933">
        <f>Plantillas!I$324</f>
        <v>0</v>
      </c>
      <c r="GU30" s="1933">
        <f>Plantillas!I$325</f>
        <v>0</v>
      </c>
      <c r="GV30" s="1933">
        <f>Plantillas!I$326</f>
        <v>0</v>
      </c>
      <c r="GW30" s="1933">
        <f>Plantillas!I$327</f>
        <v>0</v>
      </c>
      <c r="GX30" s="1933">
        <f>Plantillas!I$328</f>
        <v>0</v>
      </c>
      <c r="GY30" s="1933">
        <f>Plantillas!I$329</f>
        <v>0</v>
      </c>
      <c r="GZ30" s="1933">
        <f>Plantillas!I$330</f>
        <v>0</v>
      </c>
      <c r="HA30" s="1933">
        <f>Plantillas!I$331</f>
        <v>0</v>
      </c>
      <c r="HB30" s="1933">
        <f>Plantillas!I$332</f>
        <v>0</v>
      </c>
      <c r="HC30" s="1933">
        <f>Plantillas!I$333</f>
        <v>0</v>
      </c>
      <c r="HD30" s="1933">
        <f>Plantillas!I$334</f>
        <v>0</v>
      </c>
      <c r="HE30" s="1933">
        <f>Plantillas!I$335</f>
        <v>0</v>
      </c>
      <c r="HF30" s="1934">
        <f>Plantillas!I$336</f>
        <v>0</v>
      </c>
      <c r="HG30" s="778">
        <v>6</v>
      </c>
      <c r="HH30" s="1358">
        <f>'[1]0572W'!$D$31</f>
        <v>47</v>
      </c>
      <c r="HI30" s="2647">
        <f>'[1]0572W'!$E$31</f>
        <v>49</v>
      </c>
      <c r="HJ30" s="1359">
        <f>'[1]0572W'!$G$31</f>
        <v>28</v>
      </c>
      <c r="HK30" s="1353">
        <f>'[1]0572W'!$H$31</f>
        <v>34</v>
      </c>
      <c r="HL30" s="2646">
        <f>'[1]0572W'!$J$31</f>
        <v>23</v>
      </c>
      <c r="HM30" s="2647">
        <f>'[1]0572W'!$K$31</f>
        <v>30</v>
      </c>
      <c r="HN30" s="1359">
        <f>'[1]0572W'!$M$31</f>
        <v>33</v>
      </c>
      <c r="HO30" s="1353">
        <f>'[1]0572W'!$N$31</f>
        <v>33</v>
      </c>
      <c r="HP30" s="2646">
        <f>'[1]0572W'!$P$31</f>
        <v>25</v>
      </c>
      <c r="HQ30" s="2647">
        <f>'[1]0572W'!$Q$31</f>
        <v>43</v>
      </c>
      <c r="HR30" s="1359">
        <f>'[1]0572W'!$S$31</f>
        <v>38</v>
      </c>
      <c r="HS30" s="1353">
        <f>'[1]0572W'!$T$31</f>
        <v>30</v>
      </c>
      <c r="HT30" s="1358">
        <f>'[1]0572W'!$D$32</f>
        <v>6</v>
      </c>
      <c r="HU30" s="1353">
        <f>'[1]0572W'!$E$32</f>
        <v>2</v>
      </c>
      <c r="HV30" s="2646">
        <f>'[1]0572W'!$G$32</f>
        <v>3</v>
      </c>
      <c r="HW30" s="2647">
        <f>'[1]0572W'!$H$32</f>
        <v>0</v>
      </c>
      <c r="HX30" s="1359">
        <f>'[1]0572W'!$J$32</f>
        <v>4</v>
      </c>
      <c r="HY30" s="1353">
        <f>'[1]0572W'!$K$32</f>
        <v>3</v>
      </c>
      <c r="HZ30" s="2646">
        <f>'[1]0572W'!$M$32</f>
        <v>1</v>
      </c>
      <c r="IA30" s="2647">
        <f>'[1]0572W'!$N$32</f>
        <v>2</v>
      </c>
      <c r="IB30" s="2646">
        <f>'[1]0572W'!$P$32</f>
        <v>2</v>
      </c>
      <c r="IC30" s="2647">
        <f>'[1]0572W'!$Q$32</f>
        <v>2</v>
      </c>
      <c r="ID30" s="1359">
        <f>'[1]0572W'!$S$32</f>
        <v>0</v>
      </c>
      <c r="IE30" s="1354">
        <f>'[1]0572W'!$T$32</f>
        <v>2</v>
      </c>
      <c r="IF30" s="1358">
        <f>'[1]0572W'!$D$34</f>
        <v>3</v>
      </c>
      <c r="IG30" s="1353">
        <f>'[1]0572W'!$E$34</f>
        <v>6</v>
      </c>
      <c r="IH30" s="2646">
        <f>'[1]0572W'!$G$34</f>
        <v>4</v>
      </c>
      <c r="II30" s="2647">
        <f>'[1]0572W'!$H$34</f>
        <v>5</v>
      </c>
      <c r="IJ30" s="1359">
        <f>'[1]0572W'!$J$34</f>
        <v>4</v>
      </c>
      <c r="IK30" s="1353">
        <f>'[1]0572W'!$K$34</f>
        <v>2</v>
      </c>
      <c r="IL30" s="2646">
        <f>'[1]0572W'!$M$34</f>
        <v>2</v>
      </c>
      <c r="IM30" s="2647">
        <f>'[1]0572W'!$N$34</f>
        <v>1</v>
      </c>
      <c r="IN30" s="1359">
        <f>'[1]0572W'!$P$34</f>
        <v>1</v>
      </c>
      <c r="IO30" s="1353">
        <f>'[1]0572W'!$Q$34</f>
        <v>2</v>
      </c>
      <c r="IP30" s="2646">
        <f>'[1]0572W'!$S$34</f>
        <v>0</v>
      </c>
      <c r="IQ30" s="1354">
        <f>'[1]0572W'!$T$34</f>
        <v>0</v>
      </c>
      <c r="IR30" s="1358">
        <f>'[1]0572W'!$D$37</f>
        <v>0</v>
      </c>
      <c r="IS30" s="1353">
        <f>'[1]0572W'!$E$37</f>
        <v>0</v>
      </c>
      <c r="IT30" s="2646">
        <f>'[1]0572W'!$G$37</f>
        <v>0</v>
      </c>
      <c r="IU30" s="2647">
        <f>'[1]0572W'!$H$37</f>
        <v>0</v>
      </c>
      <c r="IV30" s="1359">
        <f>'[1]0572W'!$J$37</f>
        <v>0</v>
      </c>
      <c r="IW30" s="1353">
        <f>'[1]0572W'!$K$37</f>
        <v>0</v>
      </c>
      <c r="IX30" s="2646">
        <f>'[1]0572W'!$M$37</f>
        <v>0</v>
      </c>
      <c r="IY30" s="2647">
        <f>'[1]0572W'!$N$37</f>
        <v>0</v>
      </c>
      <c r="IZ30" s="2646">
        <f>'[1]0572W'!$P$37</f>
        <v>0</v>
      </c>
      <c r="JA30" s="2647">
        <f>'[1]0572W'!$Q$37</f>
        <v>0</v>
      </c>
      <c r="JB30" s="1359">
        <f>'[1]0572W'!$S$37</f>
        <v>0</v>
      </c>
      <c r="JC30" s="1354">
        <f>'[1]0572W'!$T$37</f>
        <v>0</v>
      </c>
      <c r="JD30" s="1358">
        <f>'[1]0572W'!$D$39</f>
        <v>0</v>
      </c>
      <c r="JE30" s="1353">
        <f>'[1]0572W'!$E$39</f>
        <v>3</v>
      </c>
      <c r="JF30" s="2646">
        <f>'[1]0572W'!$G$39</f>
        <v>0</v>
      </c>
      <c r="JG30" s="2647">
        <f>'[1]0572W'!$H$39</f>
        <v>2</v>
      </c>
      <c r="JH30" s="1359">
        <f>'[1]0572W'!$J$39</f>
        <v>0</v>
      </c>
      <c r="JI30" s="1353">
        <f>'[1]0572W'!$K$39</f>
        <v>2</v>
      </c>
      <c r="JJ30" s="2646">
        <f>'[1]0572W'!$M$39</f>
        <v>0</v>
      </c>
      <c r="JK30" s="2647">
        <f>'[1]0572W'!$N$39</f>
        <v>2</v>
      </c>
      <c r="JL30" s="2646">
        <f>'[1]0572W'!$P$39</f>
        <v>2</v>
      </c>
      <c r="JM30" s="2647">
        <f>'[1]0572W'!$Q$39</f>
        <v>0</v>
      </c>
      <c r="JN30" s="1359">
        <f>'[1]0572W'!$S$39</f>
        <v>2</v>
      </c>
      <c r="JO30" s="1353">
        <f>'[1]0572W'!$T$39</f>
        <v>0</v>
      </c>
      <c r="JP30" s="2646">
        <f>'[1]0572W'!$D$28</f>
        <v>0</v>
      </c>
      <c r="JQ30" s="2647">
        <f>'[1]0572W'!$E$28</f>
        <v>0</v>
      </c>
      <c r="JR30" s="2646">
        <f>'[1]0572W'!$G$28</f>
        <v>0</v>
      </c>
      <c r="JS30" s="2647">
        <f>'[1]0572W'!$H$28</f>
        <v>0</v>
      </c>
      <c r="JT30" s="1359">
        <f>'[1]0572W'!$J$28</f>
        <v>0</v>
      </c>
      <c r="JU30" s="1353">
        <f>'[1]0572W'!$K$28</f>
        <v>0</v>
      </c>
      <c r="JV30" s="2646">
        <f>'[1]0572W'!$M$28</f>
        <v>0</v>
      </c>
      <c r="JW30" s="2647">
        <f>'[1]0572W'!$N$28</f>
        <v>0</v>
      </c>
      <c r="JX30" s="2646">
        <f>'[1]0572W'!$P$28</f>
        <v>0</v>
      </c>
      <c r="JY30" s="2647">
        <f>'[1]0572W'!$Q$28</f>
        <v>0</v>
      </c>
      <c r="JZ30" s="1359">
        <f>'[1]0572W'!$S$28</f>
        <v>0</v>
      </c>
      <c r="KA30" s="1353">
        <f>'[1]0572W'!$T$28</f>
        <v>0</v>
      </c>
      <c r="KB30" s="779">
        <f t="shared" si="51"/>
        <v>0</v>
      </c>
      <c r="KC30" s="183">
        <f t="shared" si="52"/>
        <v>0</v>
      </c>
      <c r="KD30" s="183">
        <f t="shared" si="53"/>
        <v>0</v>
      </c>
      <c r="KE30" s="183">
        <f t="shared" si="54"/>
        <v>0</v>
      </c>
      <c r="KF30" s="183">
        <f t="shared" si="55"/>
        <v>0</v>
      </c>
      <c r="KG30" s="782">
        <f t="shared" si="56"/>
        <v>0</v>
      </c>
      <c r="KH30" s="1358">
        <v>7</v>
      </c>
      <c r="KI30" s="1931" t="str">
        <f>Plantillas!D272</f>
        <v>CUITLAHUAC</v>
      </c>
      <c r="KJ30" s="1931" t="str">
        <f t="shared" si="47"/>
        <v>CUITLAHUAC</v>
      </c>
      <c r="KK30" s="1931" t="str">
        <f t="shared" ref="KK30:KQ30" si="61">KJ30</f>
        <v>CUITLAHUAC</v>
      </c>
      <c r="KL30" s="1931" t="str">
        <f t="shared" si="61"/>
        <v>CUITLAHUAC</v>
      </c>
      <c r="KM30" s="1931" t="str">
        <f t="shared" si="61"/>
        <v>CUITLAHUAC</v>
      </c>
      <c r="KN30" s="1931" t="str">
        <f t="shared" si="61"/>
        <v>CUITLAHUAC</v>
      </c>
      <c r="KO30" s="1931" t="str">
        <f t="shared" si="61"/>
        <v>CUITLAHUAC</v>
      </c>
      <c r="KP30" s="1931" t="str">
        <f t="shared" si="61"/>
        <v>CUITLAHUAC</v>
      </c>
      <c r="KQ30" s="1931" t="str">
        <f t="shared" si="61"/>
        <v>CUITLAHUAC</v>
      </c>
      <c r="KR30" s="1931"/>
      <c r="KS30" s="1931"/>
      <c r="KT30" s="1931"/>
      <c r="KU30" s="1931"/>
      <c r="KV30" s="1931"/>
      <c r="KW30" s="1931"/>
      <c r="KX30" s="1931"/>
      <c r="KY30" s="1931"/>
      <c r="KZ30" s="1931"/>
      <c r="LA30" s="1931"/>
      <c r="LB30" s="1932"/>
      <c r="LC30" s="1358">
        <v>7</v>
      </c>
      <c r="LD30" s="2985" t="s">
        <v>100</v>
      </c>
      <c r="LE30" s="2985" t="s">
        <v>100</v>
      </c>
      <c r="LF30" s="2985" t="s">
        <v>100</v>
      </c>
      <c r="LG30" s="2985" t="s">
        <v>100</v>
      </c>
      <c r="LH30" s="2985" t="s">
        <v>100</v>
      </c>
      <c r="LI30" s="2985" t="s">
        <v>100</v>
      </c>
      <c r="LJ30" s="2985" t="s">
        <v>100</v>
      </c>
      <c r="LK30" s="2985" t="s">
        <v>100</v>
      </c>
      <c r="LL30" s="2985" t="s">
        <v>100</v>
      </c>
      <c r="LM30" s="2985"/>
      <c r="LN30" s="2985"/>
      <c r="LO30" s="2985"/>
      <c r="LP30" s="2985"/>
      <c r="LQ30" s="2985"/>
      <c r="LR30" s="2985"/>
      <c r="LS30" s="2985"/>
      <c r="LT30" s="2985"/>
      <c r="LU30" s="2985"/>
      <c r="LV30" s="2985"/>
      <c r="LW30" s="2986"/>
    </row>
    <row r="31" spans="1:336" ht="12.75" customHeight="1">
      <c r="A31" s="16">
        <v>15</v>
      </c>
      <c r="B31" s="31">
        <f>VLOOKUP(T6,AX23:DI42,44,44)</f>
        <v>0</v>
      </c>
      <c r="C31" s="35">
        <f>VLOOKUP(T6,AX23:DI42,45,45)</f>
        <v>0</v>
      </c>
      <c r="D31" s="3689" t="str">
        <f>VLOOKUP(T6,BG2:CA21,16,16)</f>
        <v>ARGUELLES GARCIA * MAYRA LUCELY</v>
      </c>
      <c r="E31" s="21"/>
      <c r="F31" s="21"/>
      <c r="G31" s="21"/>
      <c r="H31" s="21"/>
      <c r="I31" s="3360" t="str">
        <f>VLOOKUP(T6,LC24:LW43,16,21)</f>
        <v>042</v>
      </c>
      <c r="J31" s="3780">
        <f>VLOOKUP(T6,AX44:BR63,16,16)</f>
        <v>0</v>
      </c>
      <c r="K31" s="3780"/>
      <c r="L31" s="3780">
        <f>VLOOKUP(T6,BS44:CM63,16,16)</f>
        <v>0</v>
      </c>
      <c r="M31" s="3780"/>
      <c r="N31" s="3780">
        <f>VLOOKUP(T6,CN44:DH63,16,16)</f>
        <v>0</v>
      </c>
      <c r="O31" s="3780"/>
      <c r="P31" s="3780">
        <f>VLOOKUP(T6,DI44:EC63,16,16)</f>
        <v>0</v>
      </c>
      <c r="Q31" s="3780"/>
      <c r="R31" s="3780">
        <f>VLOOKUP(T6,ED44:EX63,16,16)</f>
        <v>0</v>
      </c>
      <c r="S31" s="3780"/>
      <c r="T31" s="3780">
        <f>VLOOKUP(T6,EY44:FS63,16,16)</f>
        <v>0</v>
      </c>
      <c r="U31" s="3780"/>
      <c r="V31" s="3781">
        <f t="shared" si="32"/>
        <v>0</v>
      </c>
      <c r="W31" s="3782"/>
      <c r="X31" s="3820"/>
      <c r="Y31" s="3821"/>
      <c r="Z31" s="3820"/>
      <c r="AA31" s="3821"/>
      <c r="AB31" s="3783"/>
      <c r="AC31" s="3784"/>
      <c r="AD31" s="3783"/>
      <c r="AE31" s="3784"/>
      <c r="AF31" s="2939" t="str">
        <f t="shared" si="33"/>
        <v>00</v>
      </c>
      <c r="AG31" s="2940">
        <f t="shared" si="34"/>
        <v>0</v>
      </c>
      <c r="AH31" s="3822">
        <f>VLOOKUP(T6,AX23:DI42,46,46)</f>
        <v>0</v>
      </c>
      <c r="AI31" s="3823"/>
      <c r="AJ31" s="3856"/>
      <c r="AK31" s="3857"/>
      <c r="AL31" s="3193">
        <f>VLOOKUP(T6,GL2:HF21,16,21)</f>
        <v>0</v>
      </c>
      <c r="AM31" s="3194" t="str">
        <f>VLOOKUP(T6,GL23:HF42,16,21)</f>
        <v>X</v>
      </c>
      <c r="AN31" s="3195" t="str">
        <f>VLOOKUP(T6,CB2:CV21,16,21)</f>
        <v>AUGM7601167K6</v>
      </c>
      <c r="AO31" s="3195" t="str">
        <f>VLOOKUP(T6,CW2:DQ21,16,21)</f>
        <v>074823 E076302.0230140</v>
      </c>
      <c r="AP31" s="3195" t="str">
        <f>VLOOKUP(T6,DR2:EL21,16,21)</f>
        <v>E. FISICA</v>
      </c>
      <c r="AQ31" s="3195">
        <f>VLOOKUP(T6,DR23:EL42,16,21)</f>
        <v>0</v>
      </c>
      <c r="AR31" s="3195" t="str">
        <f>VLOOKUP(T6,LC2:LW21,16,21)</f>
        <v>AUGM760116M</v>
      </c>
      <c r="AS31" s="3194">
        <f>VLOOKUP(T6,FH2:GB21,16,21)</f>
        <v>0</v>
      </c>
      <c r="AT31" s="3194">
        <f>VLOOKUP(T6,EM2:FG21,16,21)</f>
        <v>10</v>
      </c>
      <c r="AU31" s="3196" t="str">
        <f>VLOOKUP(T6,FH23:GB42,16,21)</f>
        <v>01-07-2010</v>
      </c>
      <c r="AV31" s="3197" t="str">
        <f>VLOOKUP(T6,KH2:LB21,16,21)</f>
        <v>23DPR0055K</v>
      </c>
      <c r="AW31" s="2803" t="str">
        <f>VLOOKUP(T6,KH24:LB43,16,21)</f>
        <v>KABAH</v>
      </c>
      <c r="AX31" s="779">
        <v>9</v>
      </c>
      <c r="AY31" s="2013">
        <f>Plantillas!Y$357</f>
        <v>0</v>
      </c>
      <c r="AZ31" s="2014">
        <f>Plantillas!Z$357</f>
        <v>0</v>
      </c>
      <c r="BA31" s="2015">
        <f>Plantillas!AA$357</f>
        <v>0</v>
      </c>
      <c r="BB31" s="2013" t="str">
        <f>Plantillas!Y$358</f>
        <v>1º</v>
      </c>
      <c r="BC31" s="2014" t="str">
        <f>Plantillas!Z$358</f>
        <v>A</v>
      </c>
      <c r="BD31" s="2016">
        <f>Plantillas!AA$358</f>
        <v>26</v>
      </c>
      <c r="BE31" s="2013" t="str">
        <f>Plantillas!Y$359</f>
        <v>1º</v>
      </c>
      <c r="BF31" s="2014" t="str">
        <f>Plantillas!Z$359</f>
        <v>B</v>
      </c>
      <c r="BG31" s="2016">
        <f>Plantillas!AA$359</f>
        <v>22</v>
      </c>
      <c r="BH31" s="2013" t="str">
        <f>Plantillas!Y$360</f>
        <v>2º</v>
      </c>
      <c r="BI31" s="2014" t="str">
        <f>Plantillas!Z$360</f>
        <v>A</v>
      </c>
      <c r="BJ31" s="2016">
        <f>Plantillas!AA$360</f>
        <v>24</v>
      </c>
      <c r="BK31" s="2013" t="str">
        <f>Plantillas!Y$361</f>
        <v>2º</v>
      </c>
      <c r="BL31" s="2014" t="str">
        <f>Plantillas!Z$361</f>
        <v>B</v>
      </c>
      <c r="BM31" s="2016">
        <f>Plantillas!AA$361</f>
        <v>28</v>
      </c>
      <c r="BN31" s="2013" t="str">
        <f>Plantillas!Y$362</f>
        <v>3º</v>
      </c>
      <c r="BO31" s="2014" t="str">
        <f>Plantillas!Z$362</f>
        <v>A</v>
      </c>
      <c r="BP31" s="2016">
        <f>Plantillas!AA$362</f>
        <v>24</v>
      </c>
      <c r="BQ31" s="2013" t="str">
        <f>Plantillas!Y$363</f>
        <v>3º</v>
      </c>
      <c r="BR31" s="2014" t="str">
        <f>Plantillas!Z$363</f>
        <v>B</v>
      </c>
      <c r="BS31" s="2016">
        <f>Plantillas!AA$363</f>
        <v>23</v>
      </c>
      <c r="BT31" s="2013" t="str">
        <f>Plantillas!Y$364</f>
        <v>4º</v>
      </c>
      <c r="BU31" s="2014" t="str">
        <f>Plantillas!Z$364</f>
        <v>A</v>
      </c>
      <c r="BV31" s="2016">
        <f>Plantillas!AA$364</f>
        <v>33</v>
      </c>
      <c r="BW31" s="2013" t="str">
        <f>Plantillas!Y$365</f>
        <v>4º</v>
      </c>
      <c r="BX31" s="2014" t="str">
        <f>Plantillas!Z$365</f>
        <v>B</v>
      </c>
      <c r="BY31" s="2016">
        <f>Plantillas!AA$365</f>
        <v>32</v>
      </c>
      <c r="BZ31" s="2013" t="str">
        <f>Plantillas!Y$366</f>
        <v>5º</v>
      </c>
      <c r="CA31" s="2014" t="str">
        <f>Plantillas!Z$366</f>
        <v>A</v>
      </c>
      <c r="CB31" s="2016">
        <f>Plantillas!AA$366</f>
        <v>32</v>
      </c>
      <c r="CC31" s="2013" t="str">
        <f>Plantillas!Y$367</f>
        <v>5º</v>
      </c>
      <c r="CD31" s="2014" t="str">
        <f>Plantillas!Z$367</f>
        <v>B</v>
      </c>
      <c r="CE31" s="2016">
        <f>Plantillas!AA$367</f>
        <v>31</v>
      </c>
      <c r="CF31" s="2013" t="str">
        <f>Plantillas!Y$368</f>
        <v>6º</v>
      </c>
      <c r="CG31" s="2014" t="str">
        <f>Plantillas!Z$368</f>
        <v>A</v>
      </c>
      <c r="CH31" s="2016">
        <f>Plantillas!AA$368</f>
        <v>32</v>
      </c>
      <c r="CI31" s="2013" t="str">
        <f>Plantillas!Y$369</f>
        <v>6º</v>
      </c>
      <c r="CJ31" s="2014" t="str">
        <f>Plantillas!Z$369</f>
        <v>B</v>
      </c>
      <c r="CK31" s="2016">
        <f>Plantillas!AA$369</f>
        <v>33</v>
      </c>
      <c r="CL31" s="2013">
        <f>Plantillas!Y$370</f>
        <v>0</v>
      </c>
      <c r="CM31" s="2014">
        <f>Plantillas!Z$370</f>
        <v>0</v>
      </c>
      <c r="CN31" s="2016">
        <f>Plantillas!AA$370</f>
        <v>0</v>
      </c>
      <c r="CO31" s="2013">
        <f>Plantillas!Y$371</f>
        <v>0</v>
      </c>
      <c r="CP31" s="2014">
        <f>Plantillas!Z$371</f>
        <v>0</v>
      </c>
      <c r="CQ31" s="2016">
        <f>Plantillas!AA$371</f>
        <v>0</v>
      </c>
      <c r="CR31" s="2013">
        <f>Plantillas!Y$372</f>
        <v>0</v>
      </c>
      <c r="CS31" s="2014">
        <f>Plantillas!Z$372</f>
        <v>0</v>
      </c>
      <c r="CT31" s="2016">
        <f>Plantillas!AA$372</f>
        <v>0</v>
      </c>
      <c r="CU31" s="2013">
        <f>Plantillas!Y$373</f>
        <v>0</v>
      </c>
      <c r="CV31" s="2014">
        <f>Plantillas!Z$373</f>
        <v>0</v>
      </c>
      <c r="CW31" s="2016">
        <f>Plantillas!AA$373</f>
        <v>0</v>
      </c>
      <c r="CX31" s="2013">
        <f>Plantillas!Y$374</f>
        <v>0</v>
      </c>
      <c r="CY31" s="2014">
        <f>Plantillas!Z$374</f>
        <v>0</v>
      </c>
      <c r="CZ31" s="2016">
        <f>Plantillas!AA$374</f>
        <v>0</v>
      </c>
      <c r="DA31" s="2013">
        <f>Plantillas!Y$375</f>
        <v>0</v>
      </c>
      <c r="DB31" s="2014">
        <f>Plantillas!Z$375</f>
        <v>0</v>
      </c>
      <c r="DC31" s="2016">
        <f>Plantillas!AA$375</f>
        <v>0</v>
      </c>
      <c r="DD31" s="2013">
        <f>Plantillas!Y$376</f>
        <v>0</v>
      </c>
      <c r="DE31" s="2014">
        <f>Plantillas!Z$376</f>
        <v>0</v>
      </c>
      <c r="DF31" s="2016">
        <f>Plantillas!AA$376</f>
        <v>0</v>
      </c>
      <c r="DG31" s="2013">
        <f>Plantillas!Y$377</f>
        <v>0</v>
      </c>
      <c r="DH31" s="2014">
        <v>2</v>
      </c>
      <c r="DI31" s="2091" t="str">
        <f>Estadisticas!AA11</f>
        <v>arjonasantoyo@hotmail.com</v>
      </c>
      <c r="DJ31" s="183">
        <v>9</v>
      </c>
      <c r="DK31" s="84" t="str">
        <f>VLOOKUP(T6,BG2:CA21,10,10)</f>
        <v>VIVEROS SALAZAR *NORA</v>
      </c>
      <c r="DL31" s="2018" t="str">
        <f>VLOOKUP(T6,CB2:CV21,10,10)</f>
        <v>VISN610207QM0</v>
      </c>
      <c r="DM31" s="2019" t="str">
        <f>VLOOKUP(T6,CW2:DQ21,10,10)</f>
        <v>078312 E028100.0232459</v>
      </c>
      <c r="DN31" s="2020" t="str">
        <f>VLOOKUP(T6,DR2:EL21,10,10)</f>
        <v>DOCENTE</v>
      </c>
      <c r="DO31" s="2021" t="str">
        <f>VLOOKUP(T6,DR23:EL42,10,10)</f>
        <v>23DPR0710H</v>
      </c>
      <c r="DP31" s="2022">
        <f>VLOOKUP(T6,EM2:FG21,10,10)</f>
        <v>10</v>
      </c>
      <c r="DQ31" s="84">
        <f>VLOOKUP(T6,EM23:FG42,10,10)</f>
        <v>29</v>
      </c>
      <c r="DR31" s="2023">
        <v>9</v>
      </c>
      <c r="DS31" s="2024" t="str">
        <f>Plantillas!N$357</f>
        <v>23DPR0710H</v>
      </c>
      <c r="DT31" s="2024" t="str">
        <f>Plantillas!N$358</f>
        <v>23DPR0570Y</v>
      </c>
      <c r="DU31" s="2024">
        <f>Plantillas!N$359</f>
        <v>0</v>
      </c>
      <c r="DV31" s="2024">
        <f>Plantillas!N$360</f>
        <v>0</v>
      </c>
      <c r="DW31" s="2024">
        <f>Plantillas!N$361</f>
        <v>0</v>
      </c>
      <c r="DX31" s="2024">
        <f>Plantillas!N$362</f>
        <v>0</v>
      </c>
      <c r="DY31" s="2024" t="str">
        <f>Plantillas!N$363</f>
        <v>23DPR0691J</v>
      </c>
      <c r="DZ31" s="2024" t="str">
        <f>Plantillas!N$364</f>
        <v>23DPR0593I</v>
      </c>
      <c r="EA31" s="2024" t="str">
        <f>Plantillas!N$365</f>
        <v>23DPR0593I</v>
      </c>
      <c r="EB31" s="2024">
        <f>Plantillas!N$366</f>
        <v>0</v>
      </c>
      <c r="EC31" s="2024" t="str">
        <f>Plantillas!N$367</f>
        <v>23DPR0541C</v>
      </c>
      <c r="ED31" s="2024" t="str">
        <f>Plantillas!N$368</f>
        <v>23DPR0492K</v>
      </c>
      <c r="EE31" s="2024">
        <f>Plantillas!N$369</f>
        <v>0</v>
      </c>
      <c r="EF31" s="2024">
        <f>Plantillas!N$370</f>
        <v>0</v>
      </c>
      <c r="EG31" s="2024" t="str">
        <f>Plantillas!N$371</f>
        <v>23FUA0027Y</v>
      </c>
      <c r="EH31" s="2024">
        <f>Plantillas!N$372</f>
        <v>0</v>
      </c>
      <c r="EI31" s="2024">
        <f>Plantillas!N$373</f>
        <v>0</v>
      </c>
      <c r="EJ31" s="2024">
        <f>Plantillas!N$374</f>
        <v>0</v>
      </c>
      <c r="EK31" s="2024">
        <f>Plantillas!N$375</f>
        <v>0</v>
      </c>
      <c r="EL31" s="2024">
        <f>Plantillas!N$376</f>
        <v>0</v>
      </c>
      <c r="EM31" s="779">
        <v>9</v>
      </c>
      <c r="EN31" s="1966">
        <f>Plantillas!AA$357</f>
        <v>0</v>
      </c>
      <c r="EO31" s="1966">
        <f>Plantillas!AA$358</f>
        <v>26</v>
      </c>
      <c r="EP31" s="1966">
        <f>Plantillas!AA$359</f>
        <v>22</v>
      </c>
      <c r="EQ31" s="1966">
        <f>Plantillas!AA$360</f>
        <v>24</v>
      </c>
      <c r="ER31" s="1966">
        <f>Plantillas!AA$361</f>
        <v>28</v>
      </c>
      <c r="ES31" s="1966">
        <f>Plantillas!AA$362</f>
        <v>24</v>
      </c>
      <c r="ET31" s="1966">
        <f>Plantillas!AA$363</f>
        <v>23</v>
      </c>
      <c r="EU31" s="1966">
        <f>Plantillas!AA$364</f>
        <v>33</v>
      </c>
      <c r="EV31" s="1966">
        <f>Plantillas!AA$365</f>
        <v>32</v>
      </c>
      <c r="EW31" s="1966">
        <f>Plantillas!AA$366</f>
        <v>32</v>
      </c>
      <c r="EX31" s="1966">
        <f>Plantillas!AA$367</f>
        <v>31</v>
      </c>
      <c r="EY31" s="1966">
        <f>Plantillas!AA$368</f>
        <v>32</v>
      </c>
      <c r="EZ31" s="1966">
        <f>Plantillas!AA$369</f>
        <v>33</v>
      </c>
      <c r="FA31" s="1966">
        <f>Plantillas!AA$370</f>
        <v>0</v>
      </c>
      <c r="FB31" s="1966">
        <f>Plantillas!AA$371</f>
        <v>0</v>
      </c>
      <c r="FC31" s="1966">
        <f>Plantillas!AA$372</f>
        <v>0</v>
      </c>
      <c r="FD31" s="1966">
        <f>Plantillas!AA$373</f>
        <v>0</v>
      </c>
      <c r="FE31" s="1966">
        <f>Plantillas!AA$374</f>
        <v>0</v>
      </c>
      <c r="FF31" s="1966">
        <f>Plantillas!AA$375</f>
        <v>0</v>
      </c>
      <c r="FG31" s="1967">
        <f>Plantillas!AA$376</f>
        <v>0</v>
      </c>
      <c r="FH31" s="779">
        <v>9</v>
      </c>
      <c r="FI31" s="1959" t="str">
        <f>Plantillas!W$357</f>
        <v>01-09-1982</v>
      </c>
      <c r="FJ31" s="1959" t="str">
        <f>Plantillas!W$358</f>
        <v>01-09-1991</v>
      </c>
      <c r="FK31" s="1959" t="str">
        <f>Plantillas!W$359</f>
        <v>16-01-1996</v>
      </c>
      <c r="FL31" s="1959" t="str">
        <f>Plantillas!W$360</f>
        <v>16-08-2002</v>
      </c>
      <c r="FM31" s="1959" t="str">
        <f>Plantillas!W$361</f>
        <v>01-01-2002</v>
      </c>
      <c r="FN31" s="1959" t="str">
        <f>Plantillas!W$362</f>
        <v>16-09-1993</v>
      </c>
      <c r="FO31" s="1959" t="str">
        <f>Plantillas!W$363</f>
        <v>01-09-2006</v>
      </c>
      <c r="FP31" s="1959">
        <f>Plantillas!W$364</f>
        <v>0</v>
      </c>
      <c r="FQ31" s="1959" t="str">
        <f>Plantillas!W$365</f>
        <v>01-09-1994</v>
      </c>
      <c r="FR31" s="1959" t="str">
        <f>Plantillas!W$366</f>
        <v>01-01-2006</v>
      </c>
      <c r="FS31" s="1959" t="str">
        <f>Plantillas!W$367</f>
        <v>01-09-1984</v>
      </c>
      <c r="FT31" s="1959" t="str">
        <f>Plantillas!W$368</f>
        <v>01-09-1996</v>
      </c>
      <c r="FU31" s="1959" t="str">
        <f>Plantillas!W$369</f>
        <v>01-09-1995</v>
      </c>
      <c r="FV31" s="1959" t="str">
        <f>Plantillas!W$370</f>
        <v>01-01-2001</v>
      </c>
      <c r="FW31" s="1959" t="str">
        <f>Plantillas!W$371</f>
        <v>16-04-1999</v>
      </c>
      <c r="FX31" s="1959" t="str">
        <f>Plantillas!W$372</f>
        <v>16-08-2006</v>
      </c>
      <c r="FY31" s="1959">
        <f>Plantillas!W$373</f>
        <v>0</v>
      </c>
      <c r="FZ31" s="1959">
        <f>Plantillas!W$374</f>
        <v>0</v>
      </c>
      <c r="GA31" s="1959">
        <f>Plantillas!W$375</f>
        <v>0</v>
      </c>
      <c r="GB31" s="2025">
        <f>Plantillas!W$376</f>
        <v>0</v>
      </c>
      <c r="GC31" s="1358">
        <v>9</v>
      </c>
      <c r="GD31" s="1359">
        <f t="shared" si="49"/>
        <v>2</v>
      </c>
      <c r="GE31" s="1359">
        <f t="shared" si="40"/>
        <v>2</v>
      </c>
      <c r="GF31" s="1359">
        <f t="shared" si="41"/>
        <v>2</v>
      </c>
      <c r="GG31" s="1359">
        <f t="shared" si="42"/>
        <v>2</v>
      </c>
      <c r="GH31" s="1359">
        <f t="shared" si="43"/>
        <v>2</v>
      </c>
      <c r="GI31" s="1359">
        <f t="shared" si="44"/>
        <v>2</v>
      </c>
      <c r="GJ31" s="1359">
        <f t="shared" si="45"/>
        <v>12</v>
      </c>
      <c r="GK31" s="1360">
        <f t="shared" si="46"/>
        <v>345</v>
      </c>
      <c r="GL31" s="1359">
        <v>9</v>
      </c>
      <c r="GM31" s="1933">
        <f>Plantillas!I$357</f>
        <v>0</v>
      </c>
      <c r="GN31" s="1933">
        <f>Plantillas!I$358</f>
        <v>0</v>
      </c>
      <c r="GO31" s="1933" t="str">
        <f>Plantillas!I$359</f>
        <v>X</v>
      </c>
      <c r="GP31" s="1933" t="str">
        <f>Plantillas!I$360</f>
        <v>X</v>
      </c>
      <c r="GQ31" s="1933" t="str">
        <f>Plantillas!I$361</f>
        <v>X</v>
      </c>
      <c r="GR31" s="1933" t="str">
        <f>Plantillas!I$362</f>
        <v>X</v>
      </c>
      <c r="GS31" s="1933" t="str">
        <f>Plantillas!I$363</f>
        <v>X</v>
      </c>
      <c r="GT31" s="1933" t="str">
        <f>Plantillas!I$364</f>
        <v>X</v>
      </c>
      <c r="GU31" s="1933" t="str">
        <f>Plantillas!I$365</f>
        <v>X</v>
      </c>
      <c r="GV31" s="1933" t="str">
        <f>Plantillas!I$366</f>
        <v>X</v>
      </c>
      <c r="GW31" s="1933" t="str">
        <f>Plantillas!I$367</f>
        <v>X</v>
      </c>
      <c r="GX31" s="1933">
        <f>Plantillas!I$368</f>
        <v>0</v>
      </c>
      <c r="GY31" s="1933">
        <f>Plantillas!I$369</f>
        <v>0</v>
      </c>
      <c r="GZ31" s="1933">
        <f>Plantillas!I$370</f>
        <v>0</v>
      </c>
      <c r="HA31" s="1933" t="str">
        <f>Plantillas!I$371</f>
        <v>X</v>
      </c>
      <c r="HB31" s="1933">
        <f>Plantillas!I$372</f>
        <v>0</v>
      </c>
      <c r="HC31" s="1933">
        <f>Plantillas!I$373</f>
        <v>0</v>
      </c>
      <c r="HD31" s="1933">
        <f>Plantillas!I$374</f>
        <v>0</v>
      </c>
      <c r="HE31" s="1933">
        <f>Plantillas!I$375</f>
        <v>0</v>
      </c>
      <c r="HF31" s="1934">
        <f>Plantillas!I$376</f>
        <v>0</v>
      </c>
      <c r="HG31" s="778">
        <v>7</v>
      </c>
      <c r="HH31" s="1358">
        <f>'[1]0581D'!$D$31</f>
        <v>0</v>
      </c>
      <c r="HI31" s="2647">
        <f>'[1]0581D'!$E$31</f>
        <v>0</v>
      </c>
      <c r="HJ31" s="1359">
        <f>'[1]0581D'!$G$31</f>
        <v>0</v>
      </c>
      <c r="HK31" s="1353">
        <f>'[1]0581D'!$H$31</f>
        <v>0</v>
      </c>
      <c r="HL31" s="2646">
        <f>'[1]0581D'!$J$31</f>
        <v>13</v>
      </c>
      <c r="HM31" s="2647">
        <f>'[1]0581D'!$K$31</f>
        <v>9</v>
      </c>
      <c r="HN31" s="1359">
        <f>'[1]0581D'!$M$31</f>
        <v>12</v>
      </c>
      <c r="HO31" s="1353">
        <f>'[1]0581D'!$N$31</f>
        <v>10</v>
      </c>
      <c r="HP31" s="2646">
        <f>'[1]0581D'!$P$31</f>
        <v>16</v>
      </c>
      <c r="HQ31" s="2647">
        <f>'[1]0581D'!$Q$31</f>
        <v>11</v>
      </c>
      <c r="HR31" s="1359">
        <f>'[1]0581D'!$S$31</f>
        <v>22</v>
      </c>
      <c r="HS31" s="1353">
        <f>'[1]0581D'!$T$31</f>
        <v>22</v>
      </c>
      <c r="HT31" s="1358">
        <f>'[1]0581D'!$D$32</f>
        <v>0</v>
      </c>
      <c r="HU31" s="1353">
        <f>'[1]0581D'!$E$32</f>
        <v>0</v>
      </c>
      <c r="HV31" s="2646">
        <f>'[1]0581D'!$G$32</f>
        <v>0</v>
      </c>
      <c r="HW31" s="2647">
        <f>'[1]0581D'!$H$32</f>
        <v>0</v>
      </c>
      <c r="HX31" s="1359">
        <f>'[1]0581D'!$J$32</f>
        <v>1</v>
      </c>
      <c r="HY31" s="1353">
        <f>'[1]0581D'!$K$32</f>
        <v>1</v>
      </c>
      <c r="HZ31" s="2646">
        <f>'[1]0581D'!$M$32</f>
        <v>1</v>
      </c>
      <c r="IA31" s="2647">
        <f>'[1]0581D'!$N$32</f>
        <v>0</v>
      </c>
      <c r="IB31" s="2646">
        <f>'[1]0581D'!$P$32</f>
        <v>1</v>
      </c>
      <c r="IC31" s="2647">
        <f>'[1]0581D'!$Q$32</f>
        <v>0</v>
      </c>
      <c r="ID31" s="1359">
        <f>'[1]0581D'!$S$32</f>
        <v>1</v>
      </c>
      <c r="IE31" s="1354">
        <f>'[1]0581D'!$T$32</f>
        <v>0</v>
      </c>
      <c r="IF31" s="1358">
        <f>'[1]0581D'!$D$34</f>
        <v>0</v>
      </c>
      <c r="IG31" s="1353">
        <f>'[1]0581D'!$E$34</f>
        <v>0</v>
      </c>
      <c r="IH31" s="2646">
        <f>'[1]0581D'!$G$34</f>
        <v>0</v>
      </c>
      <c r="II31" s="2647">
        <f>'[1]0581D'!$H$34</f>
        <v>0</v>
      </c>
      <c r="IJ31" s="1359">
        <f>'[1]0581D'!$J$34</f>
        <v>2</v>
      </c>
      <c r="IK31" s="1353">
        <f>'[1]0581D'!$K$34</f>
        <v>0</v>
      </c>
      <c r="IL31" s="2646">
        <f>'[1]0581D'!$M$34</f>
        <v>2</v>
      </c>
      <c r="IM31" s="2647">
        <f>'[1]0581D'!$N$34</f>
        <v>0</v>
      </c>
      <c r="IN31" s="1359">
        <f>'[1]0581D'!$P$34</f>
        <v>1</v>
      </c>
      <c r="IO31" s="1353">
        <f>'[1]0581D'!$Q$34</f>
        <v>3</v>
      </c>
      <c r="IP31" s="2646">
        <f>'[1]0581D'!$S$34</f>
        <v>1</v>
      </c>
      <c r="IQ31" s="1354">
        <f>'[1]0581D'!$T$34</f>
        <v>1</v>
      </c>
      <c r="IR31" s="1358">
        <f>'[1]0581D'!$D$37</f>
        <v>0</v>
      </c>
      <c r="IS31" s="1353">
        <f>'[1]0581D'!$E$37</f>
        <v>0</v>
      </c>
      <c r="IT31" s="2646">
        <f>'[1]0581D'!$G$37</f>
        <v>0</v>
      </c>
      <c r="IU31" s="2647">
        <f>'[1]0581D'!$H$37</f>
        <v>0</v>
      </c>
      <c r="IV31" s="1359">
        <f>'[1]0581D'!$J$37</f>
        <v>0</v>
      </c>
      <c r="IW31" s="1353">
        <f>'[1]0581D'!$K$37</f>
        <v>0</v>
      </c>
      <c r="IX31" s="2646">
        <f>'[1]0581D'!$M$37</f>
        <v>0</v>
      </c>
      <c r="IY31" s="2647">
        <f>'[1]0581D'!$N$37</f>
        <v>0</v>
      </c>
      <c r="IZ31" s="2646">
        <f>'[1]0581D'!$P$37</f>
        <v>0</v>
      </c>
      <c r="JA31" s="2647">
        <f>'[1]0581D'!$Q$37</f>
        <v>0</v>
      </c>
      <c r="JB31" s="1359">
        <f>'[1]0581D'!$S$37</f>
        <v>0</v>
      </c>
      <c r="JC31" s="1354">
        <f>'[1]0581D'!$T$37</f>
        <v>0</v>
      </c>
      <c r="JD31" s="1358">
        <f>'[1]0581D'!$D$39</f>
        <v>0</v>
      </c>
      <c r="JE31" s="1353">
        <f>'[1]0581D'!$E$39</f>
        <v>0</v>
      </c>
      <c r="JF31" s="2646">
        <f>'[1]0581D'!$G$39</f>
        <v>0</v>
      </c>
      <c r="JG31" s="2647">
        <f>'[1]0581D'!$H$39</f>
        <v>0</v>
      </c>
      <c r="JH31" s="1359">
        <f>'[1]0581D'!$J$39</f>
        <v>0</v>
      </c>
      <c r="JI31" s="1353">
        <f>'[1]0581D'!$K$39</f>
        <v>1</v>
      </c>
      <c r="JJ31" s="2646">
        <f>'[1]0581D'!$M$39</f>
        <v>0</v>
      </c>
      <c r="JK31" s="2647">
        <f>'[1]0581D'!$N$39</f>
        <v>1</v>
      </c>
      <c r="JL31" s="2646">
        <f>'[1]0581D'!$P$39</f>
        <v>1</v>
      </c>
      <c r="JM31" s="2647">
        <f>'[1]0581D'!$Q$39</f>
        <v>0</v>
      </c>
      <c r="JN31" s="1359">
        <f>'[1]0581D'!$S$39</f>
        <v>2</v>
      </c>
      <c r="JO31" s="1353">
        <f>'[1]0581D'!$T$39</f>
        <v>0</v>
      </c>
      <c r="JP31" s="2646">
        <f>'[1]0581D'!$D$28</f>
        <v>0</v>
      </c>
      <c r="JQ31" s="2647">
        <f>'[1]0581D'!$E$28</f>
        <v>0</v>
      </c>
      <c r="JR31" s="2646">
        <f>'[1]0581D'!$G$28</f>
        <v>0</v>
      </c>
      <c r="JS31" s="2647">
        <f>'[1]0581D'!$H$28</f>
        <v>0</v>
      </c>
      <c r="JT31" s="1359">
        <f>'[1]0581D'!$J$28</f>
        <v>0</v>
      </c>
      <c r="JU31" s="1353">
        <f>'[1]0581D'!$K$28</f>
        <v>0</v>
      </c>
      <c r="JV31" s="2646">
        <f>'[1]0581D'!$M$28</f>
        <v>0</v>
      </c>
      <c r="JW31" s="2647">
        <f>'[1]0581D'!$N$28</f>
        <v>0</v>
      </c>
      <c r="JX31" s="2646">
        <f>'[1]0581D'!$P$28</f>
        <v>0</v>
      </c>
      <c r="JY31" s="2647">
        <f>'[1]0581D'!$Q$28</f>
        <v>0</v>
      </c>
      <c r="JZ31" s="1359">
        <f>'[1]0581D'!$S$28</f>
        <v>0</v>
      </c>
      <c r="KA31" s="1353">
        <f>'[1]0581D'!$T$28</f>
        <v>0</v>
      </c>
      <c r="KB31" s="779">
        <f t="shared" si="51"/>
        <v>0</v>
      </c>
      <c r="KC31" s="183">
        <f t="shared" si="52"/>
        <v>0</v>
      </c>
      <c r="KD31" s="183">
        <f t="shared" si="53"/>
        <v>0</v>
      </c>
      <c r="KE31" s="183">
        <f t="shared" si="54"/>
        <v>0</v>
      </c>
      <c r="KF31" s="183">
        <f t="shared" si="55"/>
        <v>0</v>
      </c>
      <c r="KG31" s="782">
        <f t="shared" si="56"/>
        <v>0</v>
      </c>
      <c r="KH31" s="1361">
        <v>8</v>
      </c>
      <c r="KI31" s="1931" t="str">
        <f>Plantillas!D312</f>
        <v>KABAH</v>
      </c>
      <c r="KJ31" s="1956" t="str">
        <f t="shared" si="47"/>
        <v>KABAH</v>
      </c>
      <c r="KK31" s="1956" t="str">
        <f t="shared" ref="KK31:KN31" si="62">KJ31</f>
        <v>KABAH</v>
      </c>
      <c r="KL31" s="1956" t="str">
        <f t="shared" si="62"/>
        <v>KABAH</v>
      </c>
      <c r="KM31" s="1956" t="str">
        <f t="shared" si="62"/>
        <v>KABAH</v>
      </c>
      <c r="KN31" s="1956" t="str">
        <f t="shared" si="62"/>
        <v>KABAH</v>
      </c>
      <c r="KO31" s="1956"/>
      <c r="KP31" s="1956"/>
      <c r="KQ31" s="1956"/>
      <c r="KR31" s="1956"/>
      <c r="KS31" s="1956"/>
      <c r="KT31" s="1956"/>
      <c r="KU31" s="1956"/>
      <c r="KV31" s="1956"/>
      <c r="KW31" s="1956"/>
      <c r="KX31" s="1956"/>
      <c r="KY31" s="1956"/>
      <c r="KZ31" s="1956"/>
      <c r="LA31" s="1956"/>
      <c r="LB31" s="1957"/>
      <c r="LC31" s="1361">
        <v>8</v>
      </c>
      <c r="LD31" s="2985" t="s">
        <v>100</v>
      </c>
      <c r="LE31" s="2985" t="s">
        <v>100</v>
      </c>
      <c r="LF31" s="2985" t="s">
        <v>100</v>
      </c>
      <c r="LG31" s="2985" t="s">
        <v>100</v>
      </c>
      <c r="LH31" s="2985" t="s">
        <v>100</v>
      </c>
      <c r="LI31" s="2985" t="s">
        <v>100</v>
      </c>
      <c r="LJ31" s="2985"/>
      <c r="LK31" s="2985"/>
      <c r="LL31" s="2985"/>
      <c r="LM31" s="2985"/>
      <c r="LN31" s="2985"/>
      <c r="LO31" s="2985"/>
      <c r="LP31" s="2985"/>
      <c r="LQ31" s="2985"/>
      <c r="LR31" s="2985"/>
      <c r="LS31" s="2985"/>
      <c r="LT31" s="2985"/>
      <c r="LU31" s="2985"/>
      <c r="LV31" s="2985"/>
      <c r="LW31" s="2986"/>
    </row>
    <row r="32" spans="1:336" ht="12.75" customHeight="1">
      <c r="A32" s="16">
        <v>16</v>
      </c>
      <c r="B32" s="31">
        <f>VLOOKUP(T6,AX23:DI42,47,47)</f>
        <v>0</v>
      </c>
      <c r="C32" s="35">
        <f>VLOOKUP(T6,AX23:DI42,48,48)</f>
        <v>0</v>
      </c>
      <c r="D32" s="29">
        <f>VLOOKUP(T6,BG2:CA21,17,17)</f>
        <v>0</v>
      </c>
      <c r="E32" s="21"/>
      <c r="F32" s="21"/>
      <c r="G32" s="21"/>
      <c r="H32" s="21"/>
      <c r="I32" s="3360" t="str">
        <f>VLOOKUP(T6,LC24:LW43,17,21)</f>
        <v>042</v>
      </c>
      <c r="J32" s="3780">
        <f>VLOOKUP(T6,AX44:BR63,17,17)</f>
        <v>0</v>
      </c>
      <c r="K32" s="3780"/>
      <c r="L32" s="3780">
        <f>VLOOKUP(T6,BS44:CM63,17,17)</f>
        <v>0</v>
      </c>
      <c r="M32" s="3780"/>
      <c r="N32" s="3780">
        <f>VLOOKUP(T6,CN44:DH63,17,17)</f>
        <v>0</v>
      </c>
      <c r="O32" s="3780"/>
      <c r="P32" s="3780">
        <f>VLOOKUP(T6,DI44:EC63,17,17)</f>
        <v>0</v>
      </c>
      <c r="Q32" s="3780"/>
      <c r="R32" s="3780">
        <f>VLOOKUP(T6,ED44:EX63,17,17)</f>
        <v>0</v>
      </c>
      <c r="S32" s="3780"/>
      <c r="T32" s="3780">
        <f>VLOOKUP(T6,EY44:FS63,17,17)</f>
        <v>0</v>
      </c>
      <c r="U32" s="3780"/>
      <c r="V32" s="3781">
        <f t="shared" si="32"/>
        <v>0</v>
      </c>
      <c r="W32" s="3782"/>
      <c r="X32" s="3820"/>
      <c r="Y32" s="3821"/>
      <c r="Z32" s="3820"/>
      <c r="AA32" s="3821"/>
      <c r="AB32" s="3783"/>
      <c r="AC32" s="3784"/>
      <c r="AD32" s="3783"/>
      <c r="AE32" s="3784"/>
      <c r="AF32" s="2939" t="str">
        <f t="shared" si="33"/>
        <v>00</v>
      </c>
      <c r="AG32" s="2940">
        <f t="shared" si="34"/>
        <v>0</v>
      </c>
      <c r="AH32" s="3822">
        <f>VLOOKUP(T6,AX23:DI42,49,49)</f>
        <v>0</v>
      </c>
      <c r="AI32" s="3823"/>
      <c r="AJ32" s="3856"/>
      <c r="AK32" s="3857"/>
      <c r="AL32" s="3193">
        <f>VLOOKUP(T6,GL2:HF21,17,21)</f>
        <v>0</v>
      </c>
      <c r="AM32" s="3194">
        <f>VLOOKUP(T6,GL23:HF42,17,21)</f>
        <v>0</v>
      </c>
      <c r="AN32" s="3195">
        <f>VLOOKUP(T6,CB2:CV21,17,21)</f>
        <v>0</v>
      </c>
      <c r="AO32" s="3195">
        <f>VLOOKUP(T6,CW2:DQ21,17,21)</f>
        <v>0</v>
      </c>
      <c r="AP32" s="3195">
        <f>VLOOKUP(T6,DR2:EL21,17,21)</f>
        <v>0</v>
      </c>
      <c r="AQ32" s="3195">
        <f>VLOOKUP(T6,DR23:EL42,17,21)</f>
        <v>0</v>
      </c>
      <c r="AR32" s="3195" t="str">
        <f>VLOOKUP(T6,LC2:LW21,17,21)</f>
        <v>MASA730502HQR</v>
      </c>
      <c r="AS32" s="3194">
        <f>VLOOKUP(T6,FH2:GB21,17,21)</f>
        <v>0</v>
      </c>
      <c r="AT32" s="3194">
        <f>VLOOKUP(T6,EM2:FG21,17,21)</f>
        <v>0</v>
      </c>
      <c r="AU32" s="3196">
        <f>VLOOKUP(T6,FH23:GB42,17,21)</f>
        <v>0</v>
      </c>
      <c r="AV32" s="3197" t="str">
        <f>VLOOKUP(T6,KH2:LB21,17,21)</f>
        <v>23DPR0055K</v>
      </c>
      <c r="AW32" s="2803" t="str">
        <f>VLOOKUP(T6,KH24:LB43,17,21)</f>
        <v>KABAH</v>
      </c>
      <c r="AX32" s="779">
        <v>10</v>
      </c>
      <c r="AY32" s="2013">
        <f>Plantillas!Y$397</f>
        <v>0</v>
      </c>
      <c r="AZ32" s="2014">
        <f>Plantillas!Z$397</f>
        <v>0</v>
      </c>
      <c r="BA32" s="2015">
        <f>Plantillas!AA$397</f>
        <v>0</v>
      </c>
      <c r="BB32" s="2013" t="str">
        <f>Plantillas!Y$398</f>
        <v>1º</v>
      </c>
      <c r="BC32" s="2014" t="str">
        <f>Plantillas!Z$398</f>
        <v>A</v>
      </c>
      <c r="BD32" s="2016">
        <f>Plantillas!AA$398</f>
        <v>35</v>
      </c>
      <c r="BE32" s="2013" t="str">
        <f>Plantillas!Y$399</f>
        <v>2º</v>
      </c>
      <c r="BF32" s="2014" t="str">
        <f>Plantillas!Z$399</f>
        <v>A</v>
      </c>
      <c r="BG32" s="2016">
        <f>Plantillas!AA$399</f>
        <v>34</v>
      </c>
      <c r="BH32" s="2013" t="str">
        <f>Plantillas!Y$400</f>
        <v>3º</v>
      </c>
      <c r="BI32" s="2014" t="str">
        <f>Plantillas!Z$400</f>
        <v>A</v>
      </c>
      <c r="BJ32" s="2016">
        <f>Plantillas!AA$400</f>
        <v>35</v>
      </c>
      <c r="BK32" s="2013" t="str">
        <f>Plantillas!Y$401</f>
        <v>4º</v>
      </c>
      <c r="BL32" s="2014" t="str">
        <f>Plantillas!Z$401</f>
        <v>A</v>
      </c>
      <c r="BM32" s="2016">
        <f>Plantillas!AA$401</f>
        <v>34</v>
      </c>
      <c r="BN32" s="2013" t="str">
        <f>Plantillas!Y$402</f>
        <v>5º</v>
      </c>
      <c r="BO32" s="2014" t="str">
        <f>Plantillas!Z$402</f>
        <v>A</v>
      </c>
      <c r="BP32" s="2016">
        <f>Plantillas!AA$402</f>
        <v>26</v>
      </c>
      <c r="BQ32" s="2013" t="str">
        <f>Plantillas!Y$403</f>
        <v>5º</v>
      </c>
      <c r="BR32" s="2014" t="str">
        <f>Plantillas!Z$403</f>
        <v>B</v>
      </c>
      <c r="BS32" s="2016">
        <f>Plantillas!AA$403</f>
        <v>29</v>
      </c>
      <c r="BT32" s="2013" t="str">
        <f>Plantillas!Y$404</f>
        <v>6º</v>
      </c>
      <c r="BU32" s="2014" t="str">
        <f>Plantillas!Z$404</f>
        <v>A</v>
      </c>
      <c r="BV32" s="2016">
        <f>Plantillas!AA$404</f>
        <v>33</v>
      </c>
      <c r="BW32" s="2013">
        <f>Plantillas!Y$405</f>
        <v>0</v>
      </c>
      <c r="BX32" s="2014">
        <f>Plantillas!Z$405</f>
        <v>0</v>
      </c>
      <c r="BY32" s="2016">
        <f>Plantillas!AA$405</f>
        <v>0</v>
      </c>
      <c r="BZ32" s="2013">
        <f>Plantillas!Y$406</f>
        <v>0</v>
      </c>
      <c r="CA32" s="2014">
        <f>Plantillas!Z$406</f>
        <v>0</v>
      </c>
      <c r="CB32" s="2016">
        <f>Plantillas!AA$406</f>
        <v>0</v>
      </c>
      <c r="CC32" s="2013">
        <f>Plantillas!Y$407</f>
        <v>0</v>
      </c>
      <c r="CD32" s="2014">
        <f>Plantillas!Z$407</f>
        <v>0</v>
      </c>
      <c r="CE32" s="2016">
        <f>Plantillas!AA$407</f>
        <v>0</v>
      </c>
      <c r="CF32" s="2013">
        <f>Plantillas!Y$408</f>
        <v>0</v>
      </c>
      <c r="CG32" s="2014">
        <f>Plantillas!Z$408</f>
        <v>0</v>
      </c>
      <c r="CH32" s="2016">
        <f>Plantillas!AA$408</f>
        <v>0</v>
      </c>
      <c r="CI32" s="2013">
        <f>Plantillas!Y$409</f>
        <v>0</v>
      </c>
      <c r="CJ32" s="2014">
        <f>Plantillas!Z$409</f>
        <v>0</v>
      </c>
      <c r="CK32" s="2016">
        <f>Plantillas!AA$409</f>
        <v>0</v>
      </c>
      <c r="CL32" s="2013">
        <f>Plantillas!Y$410</f>
        <v>0</v>
      </c>
      <c r="CM32" s="2014">
        <f>Plantillas!Z$410</f>
        <v>0</v>
      </c>
      <c r="CN32" s="2016">
        <f>Plantillas!AA$410</f>
        <v>0</v>
      </c>
      <c r="CO32" s="2013">
        <f>Plantillas!Y$411</f>
        <v>0</v>
      </c>
      <c r="CP32" s="2014">
        <f>Plantillas!Z$411</f>
        <v>0</v>
      </c>
      <c r="CQ32" s="2016">
        <f>Plantillas!AA$411</f>
        <v>0</v>
      </c>
      <c r="CR32" s="2013">
        <f>Plantillas!Y$412</f>
        <v>0</v>
      </c>
      <c r="CS32" s="2014">
        <f>Plantillas!Z$412</f>
        <v>0</v>
      </c>
      <c r="CT32" s="2016">
        <f>Plantillas!AA$412</f>
        <v>0</v>
      </c>
      <c r="CU32" s="2013">
        <f>Plantillas!Y$413</f>
        <v>0</v>
      </c>
      <c r="CV32" s="2014">
        <f>Plantillas!Z$413</f>
        <v>0</v>
      </c>
      <c r="CW32" s="2016">
        <f>Plantillas!AA$413</f>
        <v>0</v>
      </c>
      <c r="CX32" s="2013">
        <f>Plantillas!Y$414</f>
        <v>0</v>
      </c>
      <c r="CY32" s="2014">
        <f>Plantillas!Z$414</f>
        <v>0</v>
      </c>
      <c r="CZ32" s="2016">
        <f>Plantillas!AA$414</f>
        <v>0</v>
      </c>
      <c r="DA32" s="2013">
        <f>Plantillas!Y$415</f>
        <v>0</v>
      </c>
      <c r="DB32" s="2014">
        <f>Plantillas!Z$415</f>
        <v>0</v>
      </c>
      <c r="DC32" s="2016">
        <f>Plantillas!AA$415</f>
        <v>0</v>
      </c>
      <c r="DD32" s="2013">
        <f>Plantillas!Y$416</f>
        <v>0</v>
      </c>
      <c r="DE32" s="2014">
        <f>Plantillas!Z$416</f>
        <v>0</v>
      </c>
      <c r="DF32" s="2016">
        <f>Plantillas!AA$416</f>
        <v>0</v>
      </c>
      <c r="DG32" s="2013">
        <f>Plantillas!Y$417</f>
        <v>0</v>
      </c>
      <c r="DH32" s="2014">
        <v>1</v>
      </c>
      <c r="DI32" s="2091" t="str">
        <f>Estadisticas!AA12</f>
        <v>esc.manuelcrescenciorejon.tm@hotmail.com</v>
      </c>
      <c r="DJ32" s="183">
        <v>10</v>
      </c>
      <c r="DK32" s="84" t="str">
        <f>VLOOKUP(T6,BG2:CA21,11,11)</f>
        <v>XIU VELAZQUEZ * JOSE MANUEL</v>
      </c>
      <c r="DL32" s="2018" t="str">
        <f>VLOOKUP(T6,CB2:CV21,11,11)</f>
        <v>XIVM780420LJ4</v>
      </c>
      <c r="DM32" s="2019" t="str">
        <f>VLOOKUP(T6,CW2:DQ21,11,11)</f>
        <v>078312 E028100.0040223</v>
      </c>
      <c r="DN32" s="2020" t="str">
        <f>VLOOKUP(T6,DR2:EL21,11,11)</f>
        <v>DOCENTE</v>
      </c>
      <c r="DO32" s="2021">
        <f>VLOOKUP(T6,DR23:EL42,11,11)</f>
        <v>0</v>
      </c>
      <c r="DP32" s="2022">
        <f>VLOOKUP(T6,EM2:FG21,11,11)</f>
        <v>10</v>
      </c>
      <c r="DQ32" s="84">
        <f>VLOOKUP(T6,EM23:FG42,11,11)</f>
        <v>27</v>
      </c>
      <c r="DR32" s="2023">
        <v>10</v>
      </c>
      <c r="DS32" s="2024" t="str">
        <f>Plantillas!N$397</f>
        <v>23DPR0731U</v>
      </c>
      <c r="DT32" s="2024">
        <f>Plantillas!N$398</f>
        <v>0</v>
      </c>
      <c r="DU32" s="2024" t="str">
        <f>Plantillas!N$399</f>
        <v>23DPR0731U</v>
      </c>
      <c r="DV32" s="2024">
        <f>Plantillas!N$400</f>
        <v>0</v>
      </c>
      <c r="DW32" s="2024">
        <f>Plantillas!N$401</f>
        <v>0</v>
      </c>
      <c r="DX32" s="2024" t="str">
        <f>Plantillas!N$402</f>
        <v>23DPR0593I</v>
      </c>
      <c r="DY32" s="2024">
        <f>Plantillas!N$403</f>
        <v>0</v>
      </c>
      <c r="DZ32" s="2024" t="str">
        <f>Plantillas!N$404</f>
        <v>23DPR0737O</v>
      </c>
      <c r="EA32" s="2024">
        <f>Plantillas!N$405</f>
        <v>0</v>
      </c>
      <c r="EB32" s="2024">
        <f>Plantillas!N$406</f>
        <v>0</v>
      </c>
      <c r="EC32" s="2024">
        <f>Plantillas!N$407</f>
        <v>0</v>
      </c>
      <c r="ED32" s="2024">
        <f>Plantillas!N$408</f>
        <v>0</v>
      </c>
      <c r="EE32" s="2024">
        <f>Plantillas!N$409</f>
        <v>0</v>
      </c>
      <c r="EF32" s="2024">
        <f>Plantillas!N$410</f>
        <v>0</v>
      </c>
      <c r="EG32" s="2024">
        <f>Plantillas!N$411</f>
        <v>0</v>
      </c>
      <c r="EH32" s="2024">
        <f>Plantillas!N$412</f>
        <v>0</v>
      </c>
      <c r="EI32" s="2024">
        <f>Plantillas!N$413</f>
        <v>0</v>
      </c>
      <c r="EJ32" s="2024">
        <f>Plantillas!N$414</f>
        <v>0</v>
      </c>
      <c r="EK32" s="2024">
        <f>Plantillas!N$415</f>
        <v>0</v>
      </c>
      <c r="EL32" s="2024">
        <f>Plantillas!N$416</f>
        <v>0</v>
      </c>
      <c r="EM32" s="779">
        <v>10</v>
      </c>
      <c r="EN32" s="2026">
        <f>Plantillas!AA$397</f>
        <v>0</v>
      </c>
      <c r="EO32" s="1966">
        <f>Plantillas!AA90</f>
        <v>33</v>
      </c>
      <c r="EP32" s="2026">
        <f>Plantillas!AA$399</f>
        <v>34</v>
      </c>
      <c r="EQ32" s="2026">
        <f>Plantillas!AA$400</f>
        <v>35</v>
      </c>
      <c r="ER32" s="2026">
        <f>Plantillas!AA$401</f>
        <v>34</v>
      </c>
      <c r="ES32" s="2026">
        <f>Plantillas!AA$402</f>
        <v>26</v>
      </c>
      <c r="ET32" s="2026">
        <f>Plantillas!AA$403</f>
        <v>29</v>
      </c>
      <c r="EU32" s="2026">
        <f>Plantillas!AA$404</f>
        <v>33</v>
      </c>
      <c r="EV32" s="2026">
        <f>Plantillas!AA$405</f>
        <v>0</v>
      </c>
      <c r="EW32" s="2026">
        <f>Plantillas!AA$406</f>
        <v>0</v>
      </c>
      <c r="EX32" s="2026">
        <f>Plantillas!AA$407</f>
        <v>0</v>
      </c>
      <c r="EY32" s="2026">
        <f>Plantillas!AA$408</f>
        <v>0</v>
      </c>
      <c r="EZ32" s="2026">
        <f>Plantillas!AA$409</f>
        <v>0</v>
      </c>
      <c r="FA32" s="2026">
        <f>Plantillas!AA$410</f>
        <v>0</v>
      </c>
      <c r="FB32" s="1966">
        <f>Plantillas!AA$411</f>
        <v>0</v>
      </c>
      <c r="FC32" s="1966">
        <f>Plantillas!AA$412</f>
        <v>0</v>
      </c>
      <c r="FD32" s="1966">
        <f>Plantillas!AA$413</f>
        <v>0</v>
      </c>
      <c r="FE32" s="1966">
        <f>Plantillas!AA$414</f>
        <v>0</v>
      </c>
      <c r="FF32" s="1966">
        <f>Plantillas!AA$415</f>
        <v>0</v>
      </c>
      <c r="FG32" s="1967">
        <f>Plantillas!AA$416</f>
        <v>0</v>
      </c>
      <c r="FH32" s="779">
        <v>10</v>
      </c>
      <c r="FI32" s="1959" t="str">
        <f>Plantillas!W$397</f>
        <v>01-10-1985</v>
      </c>
      <c r="FJ32" s="1959">
        <f>Plantillas!W$398</f>
        <v>0</v>
      </c>
      <c r="FK32" s="1959" t="str">
        <f>Plantillas!W$399</f>
        <v>01-09-2006</v>
      </c>
      <c r="FL32" s="1959" t="str">
        <f>Plantillas!W$400</f>
        <v>16-09-1995</v>
      </c>
      <c r="FM32" s="1959">
        <f>Plantillas!W$401</f>
        <v>0</v>
      </c>
      <c r="FN32" s="1959" t="str">
        <f>Plantillas!W$402</f>
        <v>01-01-2002</v>
      </c>
      <c r="FO32" s="1959" t="str">
        <f>Plantillas!W$403</f>
        <v>01-09-2004</v>
      </c>
      <c r="FP32" s="1959" t="str">
        <f>Plantillas!W$404</f>
        <v>01-09-1998</v>
      </c>
      <c r="FQ32" s="1959">
        <f>Plantillas!W$405</f>
        <v>0</v>
      </c>
      <c r="FR32" s="1959" t="str">
        <f>Plantillas!W$406</f>
        <v>16-02-1997</v>
      </c>
      <c r="FS32" s="1959">
        <f>Plantillas!W$407</f>
        <v>0</v>
      </c>
      <c r="FT32" s="1959">
        <f>Plantillas!W$408</f>
        <v>0</v>
      </c>
      <c r="FU32" s="1959">
        <f>Plantillas!W$409</f>
        <v>0</v>
      </c>
      <c r="FV32" s="1959">
        <f>Plantillas!W$410</f>
        <v>0</v>
      </c>
      <c r="FW32" s="1959">
        <f>Plantillas!W$411</f>
        <v>0</v>
      </c>
      <c r="FX32" s="1959">
        <f>Plantillas!W$412</f>
        <v>0</v>
      </c>
      <c r="FY32" s="1959">
        <f>Plantillas!W$413</f>
        <v>0</v>
      </c>
      <c r="FZ32" s="1959">
        <f>Plantillas!W$414</f>
        <v>0</v>
      </c>
      <c r="GA32" s="1959">
        <f>Plantillas!W$415</f>
        <v>0</v>
      </c>
      <c r="GB32" s="2025">
        <f>Plantillas!W$416</f>
        <v>0</v>
      </c>
      <c r="GC32" s="1358">
        <v>10</v>
      </c>
      <c r="GD32" s="1359">
        <f t="shared" si="49"/>
        <v>1</v>
      </c>
      <c r="GE32" s="1359">
        <f t="shared" si="40"/>
        <v>1</v>
      </c>
      <c r="GF32" s="1359">
        <f t="shared" si="41"/>
        <v>1</v>
      </c>
      <c r="GG32" s="1359">
        <f t="shared" si="42"/>
        <v>1</v>
      </c>
      <c r="GH32" s="1359">
        <f t="shared" si="43"/>
        <v>2</v>
      </c>
      <c r="GI32" s="1359">
        <f t="shared" si="44"/>
        <v>1</v>
      </c>
      <c r="GJ32" s="1359">
        <f t="shared" si="45"/>
        <v>7</v>
      </c>
      <c r="GK32" s="1360">
        <f t="shared" si="46"/>
        <v>229</v>
      </c>
      <c r="GL32" s="1359">
        <v>10</v>
      </c>
      <c r="GM32" s="1933" t="str">
        <f>Plantillas!I$397</f>
        <v>X</v>
      </c>
      <c r="GN32" s="1933">
        <f>Plantillas!I$398</f>
        <v>0</v>
      </c>
      <c r="GO32" s="1933">
        <f>Plantillas!I$399</f>
        <v>0</v>
      </c>
      <c r="GP32" s="1933" t="str">
        <f>Plantillas!I$400</f>
        <v>X</v>
      </c>
      <c r="GQ32" s="1933" t="str">
        <f>Plantillas!I$401</f>
        <v>X</v>
      </c>
      <c r="GR32" s="1933">
        <f>Plantillas!I$402</f>
        <v>0</v>
      </c>
      <c r="GS32" s="1933">
        <f>Plantillas!I$403</f>
        <v>0</v>
      </c>
      <c r="GT32" s="1933" t="str">
        <f>Plantillas!I$404</f>
        <v>X</v>
      </c>
      <c r="GU32" s="1933" t="str">
        <f>Plantillas!I$405</f>
        <v>X</v>
      </c>
      <c r="GV32" s="1933">
        <f>Plantillas!I$406</f>
        <v>0</v>
      </c>
      <c r="GW32" s="1933">
        <f>Plantillas!I$407</f>
        <v>0</v>
      </c>
      <c r="GX32" s="1933">
        <f>Plantillas!I$408</f>
        <v>0</v>
      </c>
      <c r="GY32" s="1933">
        <f>Plantillas!I$409</f>
        <v>0</v>
      </c>
      <c r="GZ32" s="1933">
        <f>Plantillas!I$410</f>
        <v>0</v>
      </c>
      <c r="HA32" s="1933">
        <f>Plantillas!I$411</f>
        <v>0</v>
      </c>
      <c r="HB32" s="1933">
        <f>Plantillas!I$412</f>
        <v>0</v>
      </c>
      <c r="HC32" s="1933">
        <f>Plantillas!I$413</f>
        <v>0</v>
      </c>
      <c r="HD32" s="1933">
        <f>Plantillas!I$414</f>
        <v>0</v>
      </c>
      <c r="HE32" s="1933">
        <f>Plantillas!I$415</f>
        <v>0</v>
      </c>
      <c r="HF32" s="1934">
        <f>Plantillas!I$416</f>
        <v>0</v>
      </c>
      <c r="HG32" s="778">
        <v>8</v>
      </c>
      <c r="HH32" s="1358">
        <f>'[1]0593I'!$D$31</f>
        <v>0</v>
      </c>
      <c r="HI32" s="2647">
        <f>'[1]0593I'!$E$31</f>
        <v>0</v>
      </c>
      <c r="HJ32" s="1359">
        <f>'[1]0593I'!$G$31</f>
        <v>0</v>
      </c>
      <c r="HK32" s="1353">
        <f>'[1]0593I'!$H$31</f>
        <v>0</v>
      </c>
      <c r="HL32" s="2646">
        <f>'[1]0593I'!$J$31</f>
        <v>0</v>
      </c>
      <c r="HM32" s="2647">
        <f>'[1]0593I'!$K$31</f>
        <v>0</v>
      </c>
      <c r="HN32" s="1359">
        <f>'[1]0593I'!$M$31</f>
        <v>0</v>
      </c>
      <c r="HO32" s="1353">
        <f>'[1]0593I'!$N$31</f>
        <v>0</v>
      </c>
      <c r="HP32" s="2646">
        <f>'[1]0593I'!$P$31</f>
        <v>9</v>
      </c>
      <c r="HQ32" s="2647">
        <f>'[1]0593I'!$Q$31</f>
        <v>11</v>
      </c>
      <c r="HR32" s="1359">
        <f>'[1]0593I'!$S$31</f>
        <v>16</v>
      </c>
      <c r="HS32" s="1353">
        <f>'[1]0593I'!$T$31</f>
        <v>12</v>
      </c>
      <c r="HT32" s="1358">
        <f>'[1]0593I'!$D$32</f>
        <v>0</v>
      </c>
      <c r="HU32" s="1353">
        <f>'[1]0593I'!$E$32</f>
        <v>0</v>
      </c>
      <c r="HV32" s="2646">
        <f>'[1]0593I'!$G$32</f>
        <v>0</v>
      </c>
      <c r="HW32" s="2647">
        <f>'[1]0593I'!$H$32</f>
        <v>0</v>
      </c>
      <c r="HX32" s="1359">
        <f>'[1]0593I'!$J$32</f>
        <v>0</v>
      </c>
      <c r="HY32" s="1353">
        <f>'[1]0593I'!$K$32</f>
        <v>0</v>
      </c>
      <c r="HZ32" s="2646">
        <f>'[1]0593I'!$M$32</f>
        <v>0</v>
      </c>
      <c r="IA32" s="2647">
        <f>'[1]0593I'!$N$32</f>
        <v>0</v>
      </c>
      <c r="IB32" s="2646">
        <f>'[1]0593I'!$P$32</f>
        <v>0</v>
      </c>
      <c r="IC32" s="2647">
        <f>'[1]0593I'!$Q$32</f>
        <v>1</v>
      </c>
      <c r="ID32" s="1359">
        <f>'[1]0593I'!$S$32</f>
        <v>1</v>
      </c>
      <c r="IE32" s="1354">
        <f>'[1]0593I'!$T$32</f>
        <v>0</v>
      </c>
      <c r="IF32" s="1358">
        <f>'[1]0593I'!$D$34</f>
        <v>0</v>
      </c>
      <c r="IG32" s="1353">
        <f>'[1]0593I'!$E$34</f>
        <v>0</v>
      </c>
      <c r="IH32" s="2646">
        <f>'[1]0593I'!$G$34</f>
        <v>0</v>
      </c>
      <c r="II32" s="2647">
        <f>'[1]0593I'!$H$34</f>
        <v>0</v>
      </c>
      <c r="IJ32" s="1359">
        <f>'[1]0593I'!$J$34</f>
        <v>0</v>
      </c>
      <c r="IK32" s="1353">
        <f>'[1]0593I'!$K$34</f>
        <v>0</v>
      </c>
      <c r="IL32" s="2646">
        <f>'[1]0593I'!$M$34</f>
        <v>0</v>
      </c>
      <c r="IM32" s="2647">
        <f>'[1]0593I'!$N$34</f>
        <v>0</v>
      </c>
      <c r="IN32" s="1359">
        <f>'[1]0593I'!$P$34</f>
        <v>1</v>
      </c>
      <c r="IO32" s="1353">
        <f>'[1]0593I'!$Q$34</f>
        <v>1</v>
      </c>
      <c r="IP32" s="2646">
        <f>'[1]0593I'!$S$34</f>
        <v>4</v>
      </c>
      <c r="IQ32" s="1354">
        <f>'[1]0593I'!$T$34</f>
        <v>2</v>
      </c>
      <c r="IR32" s="1358">
        <f>'[1]0593I'!$D$37</f>
        <v>0</v>
      </c>
      <c r="IS32" s="1353">
        <f>'[1]0593I'!$E$37</f>
        <v>0</v>
      </c>
      <c r="IT32" s="2646">
        <f>'[1]0593I'!$G$37</f>
        <v>0</v>
      </c>
      <c r="IU32" s="2647">
        <f>'[1]0593I'!$H$37</f>
        <v>0</v>
      </c>
      <c r="IV32" s="1359">
        <f>'[1]0593I'!$J$37</f>
        <v>0</v>
      </c>
      <c r="IW32" s="1353">
        <f>'[1]0593I'!$K$37</f>
        <v>0</v>
      </c>
      <c r="IX32" s="2646">
        <f>'[1]0593I'!$M$37</f>
        <v>0</v>
      </c>
      <c r="IY32" s="2647">
        <f>'[1]0593I'!$N$37</f>
        <v>0</v>
      </c>
      <c r="IZ32" s="2646">
        <f>'[1]0593I'!$P$37</f>
        <v>0</v>
      </c>
      <c r="JA32" s="2647">
        <f>'[1]0593I'!$Q$37</f>
        <v>0</v>
      </c>
      <c r="JB32" s="1359">
        <f>'[1]0593I'!$S$37</f>
        <v>0</v>
      </c>
      <c r="JC32" s="1354">
        <f>'[1]0593I'!$T$37</f>
        <v>0</v>
      </c>
      <c r="JD32" s="1358">
        <f>'[1]0593I'!$D$39</f>
        <v>0</v>
      </c>
      <c r="JE32" s="1353">
        <f>'[1]0593I'!$E$39</f>
        <v>0</v>
      </c>
      <c r="JF32" s="2646">
        <f>'[1]0593I'!$G$39</f>
        <v>0</v>
      </c>
      <c r="JG32" s="2647">
        <f>'[1]0593I'!$H$39</f>
        <v>0</v>
      </c>
      <c r="JH32" s="1359">
        <f>'[1]0593I'!$J$39</f>
        <v>0</v>
      </c>
      <c r="JI32" s="1353">
        <f>'[1]0593I'!$K$39</f>
        <v>0</v>
      </c>
      <c r="JJ32" s="2646">
        <f>'[1]0593I'!$M$39</f>
        <v>0</v>
      </c>
      <c r="JK32" s="2647">
        <f>'[1]0593I'!$N$39</f>
        <v>0</v>
      </c>
      <c r="JL32" s="2646">
        <f>'[1]0593I'!$P$39</f>
        <v>1</v>
      </c>
      <c r="JM32" s="2647">
        <f>'[1]0593I'!$Q$39</f>
        <v>0</v>
      </c>
      <c r="JN32" s="1359">
        <f>'[1]0593I'!$S$39</f>
        <v>0</v>
      </c>
      <c r="JO32" s="1353">
        <f>'[1]0593I'!$T$39</f>
        <v>1</v>
      </c>
      <c r="JP32" s="2646">
        <f>'[1]0593I'!$D$28</f>
        <v>0</v>
      </c>
      <c r="JQ32" s="2647">
        <f>'[1]0593I'!$E$28</f>
        <v>0</v>
      </c>
      <c r="JR32" s="2646">
        <f>'[1]0593I'!$G$28</f>
        <v>0</v>
      </c>
      <c r="JS32" s="2647">
        <f>'[1]0593I'!$H$28</f>
        <v>0</v>
      </c>
      <c r="JT32" s="1359">
        <f>'[1]0593I'!$J$28</f>
        <v>0</v>
      </c>
      <c r="JU32" s="1353">
        <f>'[1]0593I'!$K$28</f>
        <v>0</v>
      </c>
      <c r="JV32" s="2646">
        <f>'[1]0593I'!$M$28</f>
        <v>0</v>
      </c>
      <c r="JW32" s="2647">
        <f>'[1]0593I'!$N$28</f>
        <v>0</v>
      </c>
      <c r="JX32" s="2646">
        <f>'[1]0593I'!$P$28</f>
        <v>0</v>
      </c>
      <c r="JY32" s="2647">
        <f>'[1]0593I'!$Q$28</f>
        <v>0</v>
      </c>
      <c r="JZ32" s="1359">
        <f>'[1]0593I'!$S$28</f>
        <v>0</v>
      </c>
      <c r="KA32" s="1353">
        <f>'[1]0593I'!$T$28</f>
        <v>0</v>
      </c>
      <c r="KB32" s="779">
        <f t="shared" si="51"/>
        <v>0</v>
      </c>
      <c r="KC32" s="183">
        <f t="shared" si="52"/>
        <v>0</v>
      </c>
      <c r="KD32" s="183">
        <f t="shared" si="53"/>
        <v>0</v>
      </c>
      <c r="KE32" s="183">
        <f t="shared" si="54"/>
        <v>0</v>
      </c>
      <c r="KF32" s="183">
        <f t="shared" si="55"/>
        <v>0</v>
      </c>
      <c r="KG32" s="782">
        <f t="shared" si="56"/>
        <v>0</v>
      </c>
      <c r="KH32" s="1358">
        <v>9</v>
      </c>
      <c r="KI32" s="1931" t="str">
        <f>Plantillas!D352</f>
        <v>ANTONIO MEDIZ BOLIO</v>
      </c>
      <c r="KJ32" s="1931" t="str">
        <f t="shared" si="47"/>
        <v>ANTONIO MEDIZ BOLIO</v>
      </c>
      <c r="KK32" s="1931" t="str">
        <f t="shared" ref="KK32:KX32" si="63">KJ32</f>
        <v>ANTONIO MEDIZ BOLIO</v>
      </c>
      <c r="KL32" s="1931" t="str">
        <f t="shared" si="63"/>
        <v>ANTONIO MEDIZ BOLIO</v>
      </c>
      <c r="KM32" s="1931" t="str">
        <f t="shared" si="63"/>
        <v>ANTONIO MEDIZ BOLIO</v>
      </c>
      <c r="KN32" s="1931" t="str">
        <f t="shared" si="63"/>
        <v>ANTONIO MEDIZ BOLIO</v>
      </c>
      <c r="KO32" s="1931" t="str">
        <f t="shared" si="63"/>
        <v>ANTONIO MEDIZ BOLIO</v>
      </c>
      <c r="KP32" s="1931" t="str">
        <f t="shared" si="63"/>
        <v>ANTONIO MEDIZ BOLIO</v>
      </c>
      <c r="KQ32" s="1931" t="str">
        <f t="shared" si="63"/>
        <v>ANTONIO MEDIZ BOLIO</v>
      </c>
      <c r="KR32" s="1931" t="str">
        <f t="shared" si="63"/>
        <v>ANTONIO MEDIZ BOLIO</v>
      </c>
      <c r="KS32" s="1931" t="str">
        <f t="shared" si="63"/>
        <v>ANTONIO MEDIZ BOLIO</v>
      </c>
      <c r="KT32" s="1931" t="str">
        <f t="shared" si="63"/>
        <v>ANTONIO MEDIZ BOLIO</v>
      </c>
      <c r="KU32" s="1931" t="str">
        <f t="shared" si="63"/>
        <v>ANTONIO MEDIZ BOLIO</v>
      </c>
      <c r="KV32" s="1931" t="str">
        <f t="shared" si="63"/>
        <v>ANTONIO MEDIZ BOLIO</v>
      </c>
      <c r="KW32" s="1931" t="str">
        <f t="shared" si="63"/>
        <v>ANTONIO MEDIZ BOLIO</v>
      </c>
      <c r="KX32" s="1931" t="str">
        <f t="shared" si="63"/>
        <v>ANTONIO MEDIZ BOLIO</v>
      </c>
      <c r="KY32" s="1931"/>
      <c r="KZ32" s="1931"/>
      <c r="LA32" s="1931"/>
      <c r="LB32" s="1932"/>
      <c r="LC32" s="1358">
        <v>9</v>
      </c>
      <c r="LD32" s="2985" t="s">
        <v>100</v>
      </c>
      <c r="LE32" s="2985" t="s">
        <v>100</v>
      </c>
      <c r="LF32" s="2985" t="s">
        <v>100</v>
      </c>
      <c r="LG32" s="2985" t="s">
        <v>100</v>
      </c>
      <c r="LH32" s="2985" t="s">
        <v>100</v>
      </c>
      <c r="LI32" s="2985" t="s">
        <v>100</v>
      </c>
      <c r="LJ32" s="2985" t="s">
        <v>100</v>
      </c>
      <c r="LK32" s="2985" t="s">
        <v>100</v>
      </c>
      <c r="LL32" s="2985" t="s">
        <v>100</v>
      </c>
      <c r="LM32" s="2985" t="s">
        <v>100</v>
      </c>
      <c r="LN32" s="2985" t="s">
        <v>100</v>
      </c>
      <c r="LO32" s="2985" t="s">
        <v>100</v>
      </c>
      <c r="LP32" s="2985" t="s">
        <v>100</v>
      </c>
      <c r="LQ32" s="2985" t="s">
        <v>100</v>
      </c>
      <c r="LR32" s="2985" t="s">
        <v>100</v>
      </c>
      <c r="LS32" s="2985" t="s">
        <v>100</v>
      </c>
      <c r="LT32" s="2985"/>
      <c r="LU32" s="2985"/>
      <c r="LV32" s="2985"/>
      <c r="LW32" s="2986"/>
    </row>
    <row r="33" spans="1:335" ht="12.75" customHeight="1">
      <c r="A33" s="16">
        <v>17</v>
      </c>
      <c r="B33" s="31">
        <f>VLOOKUP(T6,AX23:DI42,50,50)</f>
        <v>0</v>
      </c>
      <c r="C33" s="35">
        <f>VLOOKUP(T6,AX23:DI42,51,51)</f>
        <v>0</v>
      </c>
      <c r="D33" s="29">
        <f>VLOOKUP(T6,BG2:CA21,18,18)</f>
        <v>0</v>
      </c>
      <c r="E33" s="21"/>
      <c r="F33" s="21"/>
      <c r="G33" s="21"/>
      <c r="H33" s="21"/>
      <c r="I33" s="3360">
        <f>VLOOKUP(T6,LC24:LW43,18,21)</f>
        <v>0</v>
      </c>
      <c r="J33" s="3780">
        <f>VLOOKUP(T6,AX44:BR63,18,18)</f>
        <v>0</v>
      </c>
      <c r="K33" s="3780"/>
      <c r="L33" s="3780">
        <f>VLOOKUP(T6,BS44:CM63,18,18)</f>
        <v>0</v>
      </c>
      <c r="M33" s="3780"/>
      <c r="N33" s="3780">
        <f>VLOOKUP(T6,CN44:DH63,18,18)</f>
        <v>0</v>
      </c>
      <c r="O33" s="3780"/>
      <c r="P33" s="3780">
        <f>VLOOKUP(T6,DI44:EC63,18,18)</f>
        <v>0</v>
      </c>
      <c r="Q33" s="3780"/>
      <c r="R33" s="3780">
        <f>VLOOKUP(T6,ED44:EX63,18,18)</f>
        <v>0</v>
      </c>
      <c r="S33" s="3780"/>
      <c r="T33" s="3780">
        <f>VLOOKUP(T6,EY44:FS63,18,18)</f>
        <v>0</v>
      </c>
      <c r="U33" s="3780"/>
      <c r="V33" s="3781">
        <f t="shared" si="32"/>
        <v>0</v>
      </c>
      <c r="W33" s="3782"/>
      <c r="X33" s="3787"/>
      <c r="Y33" s="3788"/>
      <c r="Z33" s="3787"/>
      <c r="AA33" s="3788"/>
      <c r="AB33" s="3783"/>
      <c r="AC33" s="3784"/>
      <c r="AD33" s="3783"/>
      <c r="AE33" s="3784"/>
      <c r="AF33" s="2939" t="str">
        <f t="shared" si="33"/>
        <v>00</v>
      </c>
      <c r="AG33" s="2940">
        <f t="shared" si="34"/>
        <v>0</v>
      </c>
      <c r="AH33" s="3822">
        <f>VLOOKUP(T6,AX23:DI42,52,52)</f>
        <v>0</v>
      </c>
      <c r="AI33" s="3823"/>
      <c r="AJ33" s="3856"/>
      <c r="AK33" s="3857"/>
      <c r="AL33" s="3193">
        <f>VLOOKUP(T6,GL2:HF21,18,21)</f>
        <v>0</v>
      </c>
      <c r="AM33" s="3194">
        <f>VLOOKUP(T6,GL23:HF42,18,21)</f>
        <v>0</v>
      </c>
      <c r="AN33" s="3195">
        <f>VLOOKUP(T6,CB2:CV21,18,21)</f>
        <v>0</v>
      </c>
      <c r="AO33" s="3195">
        <f>VLOOKUP(T6,CW2:DQ21,18,21)</f>
        <v>0</v>
      </c>
      <c r="AP33" s="3195">
        <f>VLOOKUP(T6,DR2:EL21,18,21)</f>
        <v>0</v>
      </c>
      <c r="AQ33" s="3195">
        <f>VLOOKUP(T6,DR23:EL42,18,21)</f>
        <v>0</v>
      </c>
      <c r="AR33" s="3195">
        <f>VLOOKUP(T6,LC2:LW21,18,21)</f>
        <v>0</v>
      </c>
      <c r="AS33" s="3194">
        <f>VLOOKUP(T6,FH2:GB21,18,21)</f>
        <v>0</v>
      </c>
      <c r="AT33" s="3194">
        <f>VLOOKUP(T6,EM2:FG21,18,21)</f>
        <v>0</v>
      </c>
      <c r="AU33" s="3196">
        <f>VLOOKUP(T6,FH23:GB42,18,21)</f>
        <v>0</v>
      </c>
      <c r="AV33" s="3197">
        <f>VLOOKUP(T6,KH2:LB21,18,21)</f>
        <v>0</v>
      </c>
      <c r="AW33" s="2803">
        <f>VLOOKUP(T6,KH24:LB43,18,21)</f>
        <v>0</v>
      </c>
      <c r="AX33" s="779">
        <v>11</v>
      </c>
      <c r="AY33" s="2013" t="str">
        <f>Plantillas!Y$437</f>
        <v>6º</v>
      </c>
      <c r="AZ33" s="2014" t="str">
        <f>Plantillas!Z$437</f>
        <v>A</v>
      </c>
      <c r="BA33" s="2015">
        <f>Plantillas!AA$437</f>
        <v>16</v>
      </c>
      <c r="BB33" s="2013" t="str">
        <f>Plantillas!Y$438</f>
        <v>1º</v>
      </c>
      <c r="BC33" s="2014" t="str">
        <f>Plantillas!Z$438</f>
        <v>A</v>
      </c>
      <c r="BD33" s="2016">
        <f>Plantillas!AA$438</f>
        <v>9</v>
      </c>
      <c r="BE33" s="2013" t="str">
        <f>Plantillas!Y$439</f>
        <v>2º</v>
      </c>
      <c r="BF33" s="2014" t="str">
        <f>Plantillas!Z$439</f>
        <v>A</v>
      </c>
      <c r="BG33" s="2016">
        <f>Plantillas!AA$439</f>
        <v>15</v>
      </c>
      <c r="BH33" s="2013" t="str">
        <f>Plantillas!Y$440</f>
        <v>3º</v>
      </c>
      <c r="BI33" s="2014" t="str">
        <f>Plantillas!Z$440</f>
        <v>A</v>
      </c>
      <c r="BJ33" s="2016">
        <f>Plantillas!AA$440</f>
        <v>11</v>
      </c>
      <c r="BK33" s="2013" t="str">
        <f>Plantillas!Y$441</f>
        <v>4º</v>
      </c>
      <c r="BL33" s="2014" t="str">
        <f>Plantillas!Z$441</f>
        <v>A</v>
      </c>
      <c r="BM33" s="2016">
        <f>Plantillas!AA$441</f>
        <v>13</v>
      </c>
      <c r="BN33" s="2013" t="str">
        <f>Plantillas!Y$442</f>
        <v>5º</v>
      </c>
      <c r="BO33" s="2014" t="str">
        <f>Plantillas!Z$442</f>
        <v>A</v>
      </c>
      <c r="BP33" s="2016">
        <f>Plantillas!AA$442</f>
        <v>19</v>
      </c>
      <c r="BQ33" s="2013">
        <f>Plantillas!Y$443</f>
        <v>0</v>
      </c>
      <c r="BR33" s="2014">
        <f>Plantillas!Z$443</f>
        <v>0</v>
      </c>
      <c r="BS33" s="2016">
        <f>Plantillas!AA$443</f>
        <v>0</v>
      </c>
      <c r="BT33" s="2013">
        <f>Plantillas!Y$444</f>
        <v>0</v>
      </c>
      <c r="BU33" s="2014">
        <f>Plantillas!Z$444</f>
        <v>0</v>
      </c>
      <c r="BV33" s="2016">
        <f>Plantillas!AA$444</f>
        <v>0</v>
      </c>
      <c r="BW33" s="2013">
        <f>Plantillas!Y$445</f>
        <v>0</v>
      </c>
      <c r="BX33" s="2014">
        <f>Plantillas!Z$445</f>
        <v>0</v>
      </c>
      <c r="BY33" s="2016">
        <f>Plantillas!AA$445</f>
        <v>0</v>
      </c>
      <c r="BZ33" s="2013">
        <f>Plantillas!Y$446</f>
        <v>0</v>
      </c>
      <c r="CA33" s="2014">
        <f>Plantillas!Z$446</f>
        <v>0</v>
      </c>
      <c r="CB33" s="2016">
        <f>Plantillas!AA$446</f>
        <v>0</v>
      </c>
      <c r="CC33" s="2013">
        <f>Plantillas!Y$447</f>
        <v>0</v>
      </c>
      <c r="CD33" s="2014">
        <f>Plantillas!Z$447</f>
        <v>0</v>
      </c>
      <c r="CE33" s="2016">
        <f>Plantillas!AA$447</f>
        <v>0</v>
      </c>
      <c r="CF33" s="2013">
        <f>Plantillas!Y$448</f>
        <v>0</v>
      </c>
      <c r="CG33" s="2014">
        <f>Plantillas!Z$448</f>
        <v>0</v>
      </c>
      <c r="CH33" s="2016">
        <f>Plantillas!AA$448</f>
        <v>0</v>
      </c>
      <c r="CI33" s="2013">
        <f>Plantillas!Y$449</f>
        <v>0</v>
      </c>
      <c r="CJ33" s="2014">
        <f>Plantillas!Z$449</f>
        <v>0</v>
      </c>
      <c r="CK33" s="2016">
        <f>Plantillas!AA$449</f>
        <v>0</v>
      </c>
      <c r="CL33" s="2013">
        <f>Plantillas!Y$450</f>
        <v>0</v>
      </c>
      <c r="CM33" s="2014">
        <f>Plantillas!Z$450</f>
        <v>0</v>
      </c>
      <c r="CN33" s="2016">
        <f>Plantillas!AA$450</f>
        <v>0</v>
      </c>
      <c r="CO33" s="2013">
        <f>Plantillas!Y$451</f>
        <v>0</v>
      </c>
      <c r="CP33" s="2014">
        <f>Plantillas!Z$451</f>
        <v>0</v>
      </c>
      <c r="CQ33" s="2016">
        <f>Plantillas!AA$451</f>
        <v>0</v>
      </c>
      <c r="CR33" s="2013">
        <f>Plantillas!Y$452</f>
        <v>0</v>
      </c>
      <c r="CS33" s="2014">
        <f>Plantillas!Z$452</f>
        <v>0</v>
      </c>
      <c r="CT33" s="2016">
        <f>Plantillas!AA$452</f>
        <v>0</v>
      </c>
      <c r="CU33" s="2013">
        <f>Plantillas!Y$453</f>
        <v>0</v>
      </c>
      <c r="CV33" s="2014">
        <f>Plantillas!Z$453</f>
        <v>0</v>
      </c>
      <c r="CW33" s="2016">
        <f>Plantillas!AA$453</f>
        <v>0</v>
      </c>
      <c r="CX33" s="2013">
        <f>Plantillas!Y$454</f>
        <v>0</v>
      </c>
      <c r="CY33" s="2014">
        <f>Plantillas!Z$454</f>
        <v>0</v>
      </c>
      <c r="CZ33" s="2016">
        <f>Plantillas!AA$454</f>
        <v>0</v>
      </c>
      <c r="DA33" s="2013">
        <f>Plantillas!Y$455</f>
        <v>0</v>
      </c>
      <c r="DB33" s="2014">
        <f>Plantillas!Z$455</f>
        <v>0</v>
      </c>
      <c r="DC33" s="2016">
        <f>Plantillas!AA$455</f>
        <v>0</v>
      </c>
      <c r="DD33" s="2013">
        <f>Plantillas!Y$456</f>
        <v>0</v>
      </c>
      <c r="DE33" s="2014">
        <f>Plantillas!Z$456</f>
        <v>0</v>
      </c>
      <c r="DF33" s="2016">
        <f>Plantillas!AA$456</f>
        <v>0</v>
      </c>
      <c r="DG33" s="2013">
        <f>Plantillas!Y$457</f>
        <v>0</v>
      </c>
      <c r="DH33" s="2014">
        <v>1</v>
      </c>
      <c r="DI33" s="2091">
        <f>Estadisticas!AA13</f>
        <v>0</v>
      </c>
      <c r="DJ33" s="183">
        <v>11</v>
      </c>
      <c r="DK33" s="84" t="str">
        <f>VLOOKUP(T6,BG2:CA21,12,12)</f>
        <v>MARTIN QUINTAL * SIHARELI CONCEPCION</v>
      </c>
      <c r="DL33" s="2018" t="str">
        <f>VLOOKUP(T6,CB2:CV21,12,12)</f>
        <v>MAQS911208-BX9</v>
      </c>
      <c r="DM33" s="2019" t="str">
        <f>VLOOKUP(T6,CW2:DQ21,12,12)</f>
        <v>078312E028100.0234567</v>
      </c>
      <c r="DN33" s="2020" t="str">
        <f>VLOOKUP(T6,DR2:EL21,12,12)</f>
        <v>DOCENTE</v>
      </c>
      <c r="DO33" s="2021">
        <f>VLOOKUP(T6,DR23:EL42,12,12)</f>
        <v>0</v>
      </c>
      <c r="DP33" s="2022">
        <f>VLOOKUP(T6,EM2:FG21,12,12)</f>
        <v>10</v>
      </c>
      <c r="DQ33" s="84">
        <f>VLOOKUP(T6,EM23:FG42,12,12)</f>
        <v>26</v>
      </c>
      <c r="DR33" s="2023">
        <v>11</v>
      </c>
      <c r="DS33" s="2024">
        <f>Plantillas!N$437</f>
        <v>0</v>
      </c>
      <c r="DT33" s="2024">
        <f>Plantillas!N$438</f>
        <v>0</v>
      </c>
      <c r="DU33" s="2024">
        <f>Plantillas!N$439</f>
        <v>0</v>
      </c>
      <c r="DV33" s="2024">
        <f>Plantillas!N$440</f>
        <v>0</v>
      </c>
      <c r="DW33" s="2024">
        <f>Plantillas!N$441</f>
        <v>0</v>
      </c>
      <c r="DX33" s="2024">
        <f>Plantillas!N$442</f>
        <v>0</v>
      </c>
      <c r="DY33" s="2024" t="str">
        <f>Plantillas!N$443</f>
        <v>23DPR711G</v>
      </c>
      <c r="DZ33" s="2024">
        <f>Plantillas!N$444</f>
        <v>0</v>
      </c>
      <c r="EA33" s="2024">
        <f>Plantillas!N$445</f>
        <v>0</v>
      </c>
      <c r="EB33" s="2024">
        <f>Plantillas!N$446</f>
        <v>0</v>
      </c>
      <c r="EC33" s="2024">
        <f>Plantillas!N$447</f>
        <v>0</v>
      </c>
      <c r="ED33" s="2024">
        <f>Plantillas!N$448</f>
        <v>0</v>
      </c>
      <c r="EE33" s="2024">
        <f>Plantillas!N$449</f>
        <v>0</v>
      </c>
      <c r="EF33" s="2024">
        <f>Plantillas!N$450</f>
        <v>0</v>
      </c>
      <c r="EG33" s="2024">
        <f>Plantillas!N$451</f>
        <v>0</v>
      </c>
      <c r="EH33" s="2024">
        <f>Plantillas!N$452</f>
        <v>0</v>
      </c>
      <c r="EI33" s="2024">
        <f>Plantillas!N$453</f>
        <v>0</v>
      </c>
      <c r="EJ33" s="2024">
        <f>Plantillas!N$454</f>
        <v>0</v>
      </c>
      <c r="EK33" s="2024">
        <f>Plantillas!N$455</f>
        <v>0</v>
      </c>
      <c r="EL33" s="2024">
        <f>Plantillas!N$456</f>
        <v>0</v>
      </c>
      <c r="EM33" s="779">
        <v>11</v>
      </c>
      <c r="EN33" s="1966">
        <f>Plantillas!AA$437</f>
        <v>16</v>
      </c>
      <c r="EO33" s="1966">
        <f>Plantillas!AA$438</f>
        <v>9</v>
      </c>
      <c r="EP33" s="1966">
        <f>Plantillas!AA$439</f>
        <v>15</v>
      </c>
      <c r="EQ33" s="1966">
        <f>Plantillas!AA$440</f>
        <v>11</v>
      </c>
      <c r="ER33" s="1966">
        <f>Plantillas!AA$441</f>
        <v>13</v>
      </c>
      <c r="ES33" s="1966">
        <f>Plantillas!AA$442</f>
        <v>19</v>
      </c>
      <c r="ET33" s="1966">
        <f>Plantillas!AA$443</f>
        <v>0</v>
      </c>
      <c r="EU33" s="1966">
        <f>Plantillas!AA$444</f>
        <v>0</v>
      </c>
      <c r="EV33" s="1966">
        <f>Plantillas!AA$445</f>
        <v>0</v>
      </c>
      <c r="EW33" s="1966">
        <f>Plantillas!AA$446</f>
        <v>0</v>
      </c>
      <c r="EX33" s="1966">
        <f>Plantillas!AA$447</f>
        <v>0</v>
      </c>
      <c r="EY33" s="1966">
        <f>Plantillas!AA$448</f>
        <v>0</v>
      </c>
      <c r="EZ33" s="1966">
        <f>Plantillas!AA$449</f>
        <v>0</v>
      </c>
      <c r="FA33" s="1966">
        <f>Plantillas!AA$450</f>
        <v>0</v>
      </c>
      <c r="FB33" s="1966">
        <f>Plantillas!AA$451</f>
        <v>0</v>
      </c>
      <c r="FC33" s="1966">
        <f>Plantillas!AA$452</f>
        <v>0</v>
      </c>
      <c r="FD33" s="1966">
        <f>Plantillas!AA$453</f>
        <v>0</v>
      </c>
      <c r="FE33" s="1966">
        <f>Plantillas!AA$454</f>
        <v>0</v>
      </c>
      <c r="FF33" s="1966">
        <f>Plantillas!AA$455</f>
        <v>0</v>
      </c>
      <c r="FG33" s="1967">
        <f>Plantillas!AA$456</f>
        <v>0</v>
      </c>
      <c r="FH33" s="779">
        <v>11</v>
      </c>
      <c r="FI33" s="1959" t="str">
        <f>Plantillas!W$437</f>
        <v>08-02-2011</v>
      </c>
      <c r="FJ33" s="1959" t="str">
        <f>Plantillas!W$438</f>
        <v>08-02-2011</v>
      </c>
      <c r="FK33" s="1959">
        <f>Plantillas!W$439</f>
        <v>0</v>
      </c>
      <c r="FL33" s="1959" t="str">
        <f>Plantillas!W$440</f>
        <v>08-02-2011</v>
      </c>
      <c r="FM33" s="1959">
        <f>Plantillas!W$441</f>
        <v>0</v>
      </c>
      <c r="FN33" s="1959" t="str">
        <f>Plantillas!W$442</f>
        <v>08-02-2011</v>
      </c>
      <c r="FO33" s="1959" t="str">
        <f>Plantillas!W$443</f>
        <v>08-02-2011</v>
      </c>
      <c r="FP33" s="1959" t="str">
        <f>Plantillas!W$444</f>
        <v>08-02-2011</v>
      </c>
      <c r="FQ33" s="1959" t="str">
        <f>Plantillas!W$445</f>
        <v>08-02-2011</v>
      </c>
      <c r="FR33" s="1959" t="str">
        <f>Plantillas!W$446</f>
        <v>08-02-2011</v>
      </c>
      <c r="FS33" s="1959" t="str">
        <f>Plantillas!W$447</f>
        <v>08-02-2011</v>
      </c>
      <c r="FT33" s="1959" t="str">
        <f>Plantillas!W$448</f>
        <v>08-02-2011</v>
      </c>
      <c r="FU33" s="1959" t="str">
        <f>Plantillas!W$449</f>
        <v>08-02-2011</v>
      </c>
      <c r="FV33" s="1959">
        <f>Plantillas!W$450</f>
        <v>0</v>
      </c>
      <c r="FW33" s="1959">
        <f>Plantillas!W$451</f>
        <v>0</v>
      </c>
      <c r="FX33" s="1959">
        <f>Plantillas!W$452</f>
        <v>0</v>
      </c>
      <c r="FY33" s="1959">
        <f>Plantillas!W$453</f>
        <v>0</v>
      </c>
      <c r="FZ33" s="1959">
        <f>Plantillas!W$454</f>
        <v>0</v>
      </c>
      <c r="GA33" s="1959">
        <f>Plantillas!W$455</f>
        <v>0</v>
      </c>
      <c r="GB33" s="2025">
        <f>Plantillas!W$456</f>
        <v>0</v>
      </c>
      <c r="GC33" s="1358">
        <v>11</v>
      </c>
      <c r="GD33" s="1359">
        <f t="shared" si="49"/>
        <v>0</v>
      </c>
      <c r="GE33" s="1359">
        <f t="shared" si="40"/>
        <v>0</v>
      </c>
      <c r="GF33" s="1359">
        <f t="shared" si="41"/>
        <v>0</v>
      </c>
      <c r="GG33" s="1359">
        <f t="shared" si="42"/>
        <v>0</v>
      </c>
      <c r="GH33" s="1359">
        <f t="shared" si="43"/>
        <v>0</v>
      </c>
      <c r="GI33" s="1359">
        <f t="shared" si="44"/>
        <v>0</v>
      </c>
      <c r="GJ33" s="1359">
        <f t="shared" si="45"/>
        <v>0</v>
      </c>
      <c r="GK33" s="1360">
        <f t="shared" si="46"/>
        <v>0</v>
      </c>
      <c r="GL33" s="1359">
        <v>11</v>
      </c>
      <c r="GM33" s="1933" t="str">
        <f>Plantillas!I$437</f>
        <v>X</v>
      </c>
      <c r="GN33" s="1933" t="str">
        <f>Plantillas!I$438</f>
        <v>X</v>
      </c>
      <c r="GO33" s="1933">
        <f>Plantillas!I$439</f>
        <v>0</v>
      </c>
      <c r="GP33" s="1933">
        <f>Plantillas!I$440</f>
        <v>0</v>
      </c>
      <c r="GQ33" s="1933">
        <f>Plantillas!I$441</f>
        <v>0</v>
      </c>
      <c r="GR33" s="1933" t="str">
        <f>Plantillas!I$442</f>
        <v>X</v>
      </c>
      <c r="GS33" s="1933">
        <f>Plantillas!I$443</f>
        <v>0</v>
      </c>
      <c r="GT33" s="1933" t="str">
        <f>Plantillas!I$444</f>
        <v>X</v>
      </c>
      <c r="GU33" s="1933" t="str">
        <f>Plantillas!I$445</f>
        <v>X</v>
      </c>
      <c r="GV33" s="1933" t="str">
        <f>Plantillas!I$446</f>
        <v>X</v>
      </c>
      <c r="GW33" s="1933">
        <f>Plantillas!I$447</f>
        <v>0</v>
      </c>
      <c r="GX33" s="1933">
        <f>Plantillas!I$448</f>
        <v>0</v>
      </c>
      <c r="GY33" s="1933">
        <f>Plantillas!I$449</f>
        <v>0</v>
      </c>
      <c r="GZ33" s="1933">
        <f>Plantillas!I$450</f>
        <v>0</v>
      </c>
      <c r="HA33" s="1933">
        <f>Plantillas!I$451</f>
        <v>0</v>
      </c>
      <c r="HB33" s="1933">
        <f>Plantillas!I$452</f>
        <v>0</v>
      </c>
      <c r="HC33" s="1933">
        <f>Plantillas!I$453</f>
        <v>0</v>
      </c>
      <c r="HD33" s="1933">
        <f>Plantillas!I$454</f>
        <v>0</v>
      </c>
      <c r="HE33" s="1933">
        <f>Plantillas!I$455</f>
        <v>0</v>
      </c>
      <c r="HF33" s="1934">
        <f>Plantillas!I$456</f>
        <v>0</v>
      </c>
      <c r="HG33" s="778">
        <v>9</v>
      </c>
      <c r="HH33" s="1358">
        <f>'[1]0640C'!$D$31</f>
        <v>30</v>
      </c>
      <c r="HI33" s="2647">
        <f>'[1]0640C'!$E$31</f>
        <v>24</v>
      </c>
      <c r="HJ33" s="1359">
        <f>'[1]0640C'!$G$31</f>
        <v>37</v>
      </c>
      <c r="HK33" s="1353">
        <f>'[1]0640C'!$H$31</f>
        <v>22</v>
      </c>
      <c r="HL33" s="2646">
        <f>'[1]0640C'!$J$31</f>
        <v>42</v>
      </c>
      <c r="HM33" s="2647">
        <f>'[1]0640C'!$K$31</f>
        <v>25</v>
      </c>
      <c r="HN33" s="1359">
        <f>'[1]0640C'!$M$31</f>
        <v>26</v>
      </c>
      <c r="HO33" s="1353">
        <f>'[1]0640C'!$N$31</f>
        <v>39</v>
      </c>
      <c r="HP33" s="2646">
        <f>'[1]0640C'!$P$31</f>
        <v>36</v>
      </c>
      <c r="HQ33" s="2647">
        <f>'[1]0640C'!$Q$31</f>
        <v>32</v>
      </c>
      <c r="HR33" s="1359">
        <f>'[1]0640C'!$S$31</f>
        <v>40</v>
      </c>
      <c r="HS33" s="1353">
        <f>'[1]0640C'!$T$31</f>
        <v>30</v>
      </c>
      <c r="HT33" s="1358">
        <f>'[1]0640C'!$D$32</f>
        <v>4</v>
      </c>
      <c r="HU33" s="1353">
        <f>'[1]0640C'!$E$32</f>
        <v>4</v>
      </c>
      <c r="HV33" s="2646">
        <f>'[1]0640C'!$G$32</f>
        <v>4</v>
      </c>
      <c r="HW33" s="2647">
        <f>'[1]0640C'!$H$32</f>
        <v>3</v>
      </c>
      <c r="HX33" s="1359">
        <f>'[1]0640C'!$J$32</f>
        <v>3</v>
      </c>
      <c r="HY33" s="1353">
        <f>'[1]0640C'!$K$32</f>
        <v>1</v>
      </c>
      <c r="HZ33" s="2646">
        <f>'[1]0640C'!$M$32</f>
        <v>2</v>
      </c>
      <c r="IA33" s="2647">
        <f>'[1]0640C'!$N$32</f>
        <v>3</v>
      </c>
      <c r="IB33" s="2646">
        <f>'[1]0640C'!$P$32</f>
        <v>3</v>
      </c>
      <c r="IC33" s="2647">
        <f>'[1]0640C'!$Q$32</f>
        <v>3</v>
      </c>
      <c r="ID33" s="1359">
        <f>'[1]0640C'!$S$32</f>
        <v>1</v>
      </c>
      <c r="IE33" s="1354">
        <f>'[1]0640C'!$T$32</f>
        <v>3</v>
      </c>
      <c r="IF33" s="1358">
        <f>'[1]0640C'!$D$34</f>
        <v>3</v>
      </c>
      <c r="IG33" s="1353">
        <f>'[1]0640C'!$E$34</f>
        <v>8</v>
      </c>
      <c r="IH33" s="2646">
        <f>'[1]0640C'!$G$34</f>
        <v>10</v>
      </c>
      <c r="II33" s="2647">
        <f>'[1]0640C'!$H$34</f>
        <v>3</v>
      </c>
      <c r="IJ33" s="1359">
        <f>'[1]0640C'!$J$34</f>
        <v>13</v>
      </c>
      <c r="IK33" s="1353">
        <f>'[1]0640C'!$K$34</f>
        <v>11</v>
      </c>
      <c r="IL33" s="2646">
        <f>'[1]0640C'!$M$34</f>
        <v>2</v>
      </c>
      <c r="IM33" s="2647">
        <f>'[1]0640C'!$N$34</f>
        <v>4</v>
      </c>
      <c r="IN33" s="1359">
        <f>'[1]0640C'!$P$34</f>
        <v>3</v>
      </c>
      <c r="IO33" s="1353">
        <f>'[1]0640C'!$Q$34</f>
        <v>7</v>
      </c>
      <c r="IP33" s="2646">
        <f>'[1]0640C'!$S$34</f>
        <v>7</v>
      </c>
      <c r="IQ33" s="1354">
        <f>'[1]0640C'!$T$34</f>
        <v>1</v>
      </c>
      <c r="IR33" s="1358">
        <f>'[1]0640C'!$D$37</f>
        <v>0</v>
      </c>
      <c r="IS33" s="1353">
        <f>'[1]0640C'!$E$37</f>
        <v>0</v>
      </c>
      <c r="IT33" s="2646">
        <f>'[1]0640C'!$G$37</f>
        <v>0</v>
      </c>
      <c r="IU33" s="2647">
        <f>'[1]0640C'!$H$37</f>
        <v>0</v>
      </c>
      <c r="IV33" s="1359">
        <f>'[1]0640C'!$J$37</f>
        <v>0</v>
      </c>
      <c r="IW33" s="1353">
        <f>'[1]0640C'!$K$37</f>
        <v>0</v>
      </c>
      <c r="IX33" s="2646">
        <f>'[1]0640C'!$M$37</f>
        <v>0</v>
      </c>
      <c r="IY33" s="2647">
        <f>'[1]0640C'!$N$37</f>
        <v>0</v>
      </c>
      <c r="IZ33" s="2646">
        <f>'[1]0640C'!$P$37</f>
        <v>0</v>
      </c>
      <c r="JA33" s="2647">
        <f>'[1]0640C'!$Q$37</f>
        <v>0</v>
      </c>
      <c r="JB33" s="1359">
        <f>'[1]0640C'!$S$37</f>
        <v>0</v>
      </c>
      <c r="JC33" s="1354">
        <f>'[1]0640C'!$T$37</f>
        <v>0</v>
      </c>
      <c r="JD33" s="1358">
        <f>'[1]0640C'!$D$39</f>
        <v>1</v>
      </c>
      <c r="JE33" s="1353">
        <f>'[1]0640C'!$E$39</f>
        <v>1</v>
      </c>
      <c r="JF33" s="2646">
        <f>'[1]0640C'!$G$39</f>
        <v>0</v>
      </c>
      <c r="JG33" s="2647">
        <f>'[1]0640C'!$H$39</f>
        <v>2</v>
      </c>
      <c r="JH33" s="1359">
        <f>'[1]0640C'!$J$39</f>
        <v>0</v>
      </c>
      <c r="JI33" s="1353">
        <f>'[1]0640C'!$K$39</f>
        <v>2</v>
      </c>
      <c r="JJ33" s="2646">
        <f>'[1]0640C'!$M$39</f>
        <v>0</v>
      </c>
      <c r="JK33" s="2647">
        <f>'[1]0640C'!$N$39</f>
        <v>2</v>
      </c>
      <c r="JL33" s="2646">
        <f>'[1]0640C'!$P$39</f>
        <v>0</v>
      </c>
      <c r="JM33" s="2647">
        <f>'[1]0640C'!$Q$39</f>
        <v>2</v>
      </c>
      <c r="JN33" s="1359">
        <f>'[1]0640C'!$S$39</f>
        <v>2</v>
      </c>
      <c r="JO33" s="1353">
        <f>'[1]0640C'!$T$39</f>
        <v>0</v>
      </c>
      <c r="JP33" s="2646">
        <f>'[1]0640C'!$D$28</f>
        <v>0</v>
      </c>
      <c r="JQ33" s="2647">
        <f>'[1]0640C'!$E$28</f>
        <v>0</v>
      </c>
      <c r="JR33" s="2646">
        <f>'[1]0640C'!$G$28</f>
        <v>0</v>
      </c>
      <c r="JS33" s="2647">
        <f>'[1]0640C'!$H$28</f>
        <v>0</v>
      </c>
      <c r="JT33" s="1359">
        <f>'[1]0640C'!$J$28</f>
        <v>0</v>
      </c>
      <c r="JU33" s="1353">
        <f>'[1]0640C'!$K$28</f>
        <v>0</v>
      </c>
      <c r="JV33" s="2646">
        <f>'[1]0640C'!$M$28</f>
        <v>0</v>
      </c>
      <c r="JW33" s="2647">
        <f>'[1]0640C'!$N$28</f>
        <v>0</v>
      </c>
      <c r="JX33" s="2646">
        <f>'[1]0640C'!$P$28</f>
        <v>0</v>
      </c>
      <c r="JY33" s="2647">
        <f>'[1]0640C'!$Q$28</f>
        <v>0</v>
      </c>
      <c r="JZ33" s="1359">
        <f>'[1]0640C'!$S$28</f>
        <v>0</v>
      </c>
      <c r="KA33" s="1353">
        <f>'[1]0640C'!$T$28</f>
        <v>0</v>
      </c>
      <c r="KB33" s="779">
        <f t="shared" si="51"/>
        <v>0</v>
      </c>
      <c r="KC33" s="183">
        <f t="shared" si="52"/>
        <v>0</v>
      </c>
      <c r="KD33" s="183">
        <f t="shared" si="53"/>
        <v>0</v>
      </c>
      <c r="KE33" s="183">
        <f t="shared" si="54"/>
        <v>0</v>
      </c>
      <c r="KF33" s="183">
        <f t="shared" si="55"/>
        <v>0</v>
      </c>
      <c r="KG33" s="782">
        <f t="shared" si="56"/>
        <v>0</v>
      </c>
      <c r="KH33" s="1358">
        <v>10</v>
      </c>
      <c r="KI33" s="1931" t="str">
        <f>Plantillas!D392</f>
        <v>MANUEL CRESCENCIO REJON</v>
      </c>
      <c r="KJ33" s="1931" t="str">
        <f t="shared" si="47"/>
        <v>MANUEL CRESCENCIO REJON</v>
      </c>
      <c r="KK33" s="1931" t="str">
        <f t="shared" ref="KK33:KR34" si="64">KJ33</f>
        <v>MANUEL CRESCENCIO REJON</v>
      </c>
      <c r="KL33" s="1931" t="str">
        <f t="shared" si="64"/>
        <v>MANUEL CRESCENCIO REJON</v>
      </c>
      <c r="KM33" s="1931" t="str">
        <f t="shared" si="64"/>
        <v>MANUEL CRESCENCIO REJON</v>
      </c>
      <c r="KN33" s="1931" t="str">
        <f t="shared" si="64"/>
        <v>MANUEL CRESCENCIO REJON</v>
      </c>
      <c r="KO33" s="1931" t="str">
        <f t="shared" si="64"/>
        <v>MANUEL CRESCENCIO REJON</v>
      </c>
      <c r="KP33" s="1931" t="str">
        <f t="shared" si="64"/>
        <v>MANUEL CRESCENCIO REJON</v>
      </c>
      <c r="KQ33" s="1931" t="str">
        <f t="shared" si="64"/>
        <v>MANUEL CRESCENCIO REJON</v>
      </c>
      <c r="KR33" s="1931" t="str">
        <f t="shared" si="64"/>
        <v>MANUEL CRESCENCIO REJON</v>
      </c>
      <c r="KS33" s="1931"/>
      <c r="KT33" s="1931"/>
      <c r="KU33" s="1931"/>
      <c r="KV33" s="1931"/>
      <c r="KW33" s="1931"/>
      <c r="KX33" s="1931"/>
      <c r="KY33" s="1931"/>
      <c r="KZ33" s="1931"/>
      <c r="LA33" s="1931"/>
      <c r="LB33" s="1932"/>
      <c r="LC33" s="1358">
        <v>10</v>
      </c>
      <c r="LD33" s="2985" t="s">
        <v>100</v>
      </c>
      <c r="LE33" s="2985" t="s">
        <v>100</v>
      </c>
      <c r="LF33" s="2985" t="s">
        <v>100</v>
      </c>
      <c r="LG33" s="2985" t="s">
        <v>100</v>
      </c>
      <c r="LH33" s="2985" t="s">
        <v>100</v>
      </c>
      <c r="LI33" s="2985" t="s">
        <v>100</v>
      </c>
      <c r="LJ33" s="2985" t="s">
        <v>100</v>
      </c>
      <c r="LK33" s="2985" t="s">
        <v>100</v>
      </c>
      <c r="LL33" s="2985" t="s">
        <v>100</v>
      </c>
      <c r="LM33" s="2985" t="s">
        <v>100</v>
      </c>
      <c r="LN33" s="2985"/>
      <c r="LO33" s="2985"/>
      <c r="LP33" s="2985"/>
      <c r="LQ33" s="2985"/>
      <c r="LR33" s="2985"/>
      <c r="LS33" s="2985"/>
      <c r="LT33" s="2985"/>
      <c r="LU33" s="2985"/>
      <c r="LV33" s="2985"/>
      <c r="LW33" s="2986"/>
    </row>
    <row r="34" spans="1:335" ht="12.75" customHeight="1">
      <c r="A34" s="16">
        <v>18</v>
      </c>
      <c r="B34" s="31">
        <f>VLOOKUP(T6,AX23:DI42,53,53)</f>
        <v>0</v>
      </c>
      <c r="C34" s="35">
        <f>VLOOKUP(T6,AX23:DI42,54,54)</f>
        <v>0</v>
      </c>
      <c r="D34" s="29" t="str">
        <f>VLOOKUP(T6,BG2:CA21,19,19)</f>
        <v>GARDUÑO CASTILLO * MERLI ROCIO</v>
      </c>
      <c r="E34" s="21"/>
      <c r="F34" s="21"/>
      <c r="G34" s="21"/>
      <c r="H34" s="21"/>
      <c r="I34" s="3360">
        <f>VLOOKUP(T6,LC24:LW43,19,21)</f>
        <v>0</v>
      </c>
      <c r="J34" s="3780">
        <f>VLOOKUP(T6,AX44:BR63,19,19)</f>
        <v>0</v>
      </c>
      <c r="K34" s="3780"/>
      <c r="L34" s="3780">
        <f>VLOOKUP(T6,BS44:CM63,19,19)</f>
        <v>0</v>
      </c>
      <c r="M34" s="3780"/>
      <c r="N34" s="3780">
        <f>VLOOKUP(T6,CN44:DH63,19,19)</f>
        <v>0</v>
      </c>
      <c r="O34" s="3780"/>
      <c r="P34" s="3780">
        <f>VLOOKUP(T6,DI44:EC63,19,19)</f>
        <v>0</v>
      </c>
      <c r="Q34" s="3780"/>
      <c r="R34" s="3780">
        <f>VLOOKUP(T6,ED44:EX63,19,19)</f>
        <v>0</v>
      </c>
      <c r="S34" s="3780"/>
      <c r="T34" s="3780">
        <f>VLOOKUP(T6,EY44:FS63,19,19)</f>
        <v>0</v>
      </c>
      <c r="U34" s="3780"/>
      <c r="V34" s="3781">
        <f t="shared" si="32"/>
        <v>0</v>
      </c>
      <c r="W34" s="3782"/>
      <c r="X34" s="3787"/>
      <c r="Y34" s="3788"/>
      <c r="Z34" s="3787"/>
      <c r="AA34" s="3788"/>
      <c r="AB34" s="3783"/>
      <c r="AC34" s="3784"/>
      <c r="AD34" s="3783"/>
      <c r="AE34" s="3784"/>
      <c r="AF34" s="2939" t="str">
        <f t="shared" si="33"/>
        <v>00</v>
      </c>
      <c r="AG34" s="2940">
        <f t="shared" si="34"/>
        <v>0</v>
      </c>
      <c r="AH34" s="3822">
        <f>VLOOKUP(T6,AX23:DI42,55,55)</f>
        <v>0</v>
      </c>
      <c r="AI34" s="3823"/>
      <c r="AJ34" s="3856"/>
      <c r="AK34" s="3857"/>
      <c r="AL34" s="3193">
        <f>VLOOKUP(T6,GL2:HF21,19,21)</f>
        <v>0</v>
      </c>
      <c r="AM34" s="3194">
        <f>VLOOKUP(T6,GL23:HF42,19,21)</f>
        <v>0</v>
      </c>
      <c r="AN34" s="3195">
        <f>VLOOKUP(T6,CB2:CV21,19,21)</f>
        <v>0</v>
      </c>
      <c r="AO34" s="3195">
        <f>VLOOKUP(T6,CW2:DQ21,19,21)</f>
        <v>0</v>
      </c>
      <c r="AP34" s="3195">
        <f>VLOOKUP(T6,DR2:EL21,19,21)</f>
        <v>0</v>
      </c>
      <c r="AQ34" s="3195">
        <f>VLOOKUP(T6,DR23:EL42,19,21)</f>
        <v>0</v>
      </c>
      <c r="AR34" s="3195">
        <f>VLOOKUP(T6,LC2:LW21,19,21)</f>
        <v>0</v>
      </c>
      <c r="AS34" s="3194">
        <f>VLOOKUP(T6,FH2:GB21,19,21)</f>
        <v>0</v>
      </c>
      <c r="AT34" s="3194">
        <f>VLOOKUP(T6,EM2:FG21,19,21)</f>
        <v>0</v>
      </c>
      <c r="AU34" s="3196">
        <f>VLOOKUP(T6,FH23:GB42,19,21)</f>
        <v>0</v>
      </c>
      <c r="AV34" s="3197">
        <f>VLOOKUP(T6,KH2:LB21,19,21)</f>
        <v>0</v>
      </c>
      <c r="AW34" s="2803">
        <f>VLOOKUP(T6,KH24:LB43,19,21)</f>
        <v>0</v>
      </c>
      <c r="AX34" s="779">
        <v>12</v>
      </c>
      <c r="AY34" s="2013" t="str">
        <f>Plantillas!Y$477</f>
        <v>1º</v>
      </c>
      <c r="AZ34" s="2014" t="str">
        <f>Plantillas!Z$477</f>
        <v>A</v>
      </c>
      <c r="BA34" s="2015">
        <f>Plantillas!AA$477</f>
        <v>17</v>
      </c>
      <c r="BB34" s="2013" t="str">
        <f>Plantillas!Y$478</f>
        <v>2º</v>
      </c>
      <c r="BC34" s="2014" t="str">
        <f>Plantillas!Z$478</f>
        <v>A</v>
      </c>
      <c r="BD34" s="2016">
        <f>Plantillas!AA$478</f>
        <v>21</v>
      </c>
      <c r="BE34" s="2013" t="str">
        <f>Plantillas!Y$479</f>
        <v>3º</v>
      </c>
      <c r="BF34" s="2014" t="str">
        <f>Plantillas!Z$479</f>
        <v>A</v>
      </c>
      <c r="BG34" s="2016">
        <f>Plantillas!AA$479</f>
        <v>26</v>
      </c>
      <c r="BH34" s="2013" t="str">
        <f>Plantillas!Y$480</f>
        <v>4º</v>
      </c>
      <c r="BI34" s="2014" t="str">
        <f>Plantillas!Z$480</f>
        <v>A</v>
      </c>
      <c r="BJ34" s="2016">
        <f>Plantillas!AA$480</f>
        <v>15</v>
      </c>
      <c r="BK34" s="2013" t="str">
        <f>Plantillas!Y$481</f>
        <v>5º</v>
      </c>
      <c r="BL34" s="2014" t="str">
        <f>Plantillas!Z$481</f>
        <v>A</v>
      </c>
      <c r="BM34" s="2016">
        <f>Plantillas!AA$481</f>
        <v>23</v>
      </c>
      <c r="BN34" s="2013" t="str">
        <f>Plantillas!Y$482</f>
        <v>6º</v>
      </c>
      <c r="BO34" s="2014" t="str">
        <f>Plantillas!Z$482</f>
        <v>A</v>
      </c>
      <c r="BP34" s="2016">
        <f>Plantillas!AA$482</f>
        <v>26</v>
      </c>
      <c r="BQ34" s="2013">
        <f>Plantillas!Y$483</f>
        <v>0</v>
      </c>
      <c r="BR34" s="2014">
        <f>Plantillas!Z$483</f>
        <v>0</v>
      </c>
      <c r="BS34" s="2016">
        <f>Plantillas!AA$483</f>
        <v>0</v>
      </c>
      <c r="BT34" s="2013">
        <f>Plantillas!Y$484</f>
        <v>0</v>
      </c>
      <c r="BU34" s="2014">
        <f>Plantillas!Z$484</f>
        <v>0</v>
      </c>
      <c r="BV34" s="2016">
        <f>Plantillas!AA$484</f>
        <v>0</v>
      </c>
      <c r="BW34" s="2013">
        <f>Plantillas!Y$485</f>
        <v>0</v>
      </c>
      <c r="BX34" s="2014">
        <f>Plantillas!Z$485</f>
        <v>0</v>
      </c>
      <c r="BY34" s="2016">
        <f>Plantillas!AA$485</f>
        <v>0</v>
      </c>
      <c r="BZ34" s="2013">
        <f>Plantillas!Y$486</f>
        <v>0</v>
      </c>
      <c r="CA34" s="2014">
        <f>Plantillas!Z$486</f>
        <v>0</v>
      </c>
      <c r="CB34" s="2016">
        <f>Plantillas!AA$486</f>
        <v>0</v>
      </c>
      <c r="CC34" s="2013">
        <f>Plantillas!Y$487</f>
        <v>0</v>
      </c>
      <c r="CD34" s="2014">
        <f>Plantillas!Z$487</f>
        <v>0</v>
      </c>
      <c r="CE34" s="2016">
        <f>Plantillas!AA$487</f>
        <v>0</v>
      </c>
      <c r="CF34" s="2013">
        <f>Plantillas!Y$488</f>
        <v>0</v>
      </c>
      <c r="CG34" s="2014">
        <f>Plantillas!Z$488</f>
        <v>0</v>
      </c>
      <c r="CH34" s="2016">
        <f>Plantillas!AA$488</f>
        <v>0</v>
      </c>
      <c r="CI34" s="2013">
        <f>Plantillas!Y$489</f>
        <v>0</v>
      </c>
      <c r="CJ34" s="2014">
        <f>Plantillas!Z$489</f>
        <v>0</v>
      </c>
      <c r="CK34" s="2016">
        <f>Plantillas!AA$489</f>
        <v>0</v>
      </c>
      <c r="CL34" s="2013">
        <f>Plantillas!Y$490</f>
        <v>0</v>
      </c>
      <c r="CM34" s="2014">
        <f>Plantillas!Z$490</f>
        <v>0</v>
      </c>
      <c r="CN34" s="2016">
        <f>Plantillas!AA$490</f>
        <v>0</v>
      </c>
      <c r="CO34" s="2013">
        <f>Plantillas!Y$491</f>
        <v>0</v>
      </c>
      <c r="CP34" s="2014">
        <f>Plantillas!Z$491</f>
        <v>0</v>
      </c>
      <c r="CQ34" s="2016">
        <f>Plantillas!AA$491</f>
        <v>0</v>
      </c>
      <c r="CR34" s="2013">
        <f>Plantillas!Y$492</f>
        <v>0</v>
      </c>
      <c r="CS34" s="2014">
        <f>Plantillas!Z$492</f>
        <v>0</v>
      </c>
      <c r="CT34" s="2016">
        <f>Plantillas!AA$492</f>
        <v>0</v>
      </c>
      <c r="CU34" s="2013">
        <f>Plantillas!Y$493</f>
        <v>0</v>
      </c>
      <c r="CV34" s="2014">
        <f>Plantillas!Z$493</f>
        <v>0</v>
      </c>
      <c r="CW34" s="2016">
        <f>Plantillas!AA$493</f>
        <v>0</v>
      </c>
      <c r="CX34" s="2013">
        <f>Plantillas!Y$494</f>
        <v>0</v>
      </c>
      <c r="CY34" s="2014">
        <f>Plantillas!Z$494</f>
        <v>0</v>
      </c>
      <c r="CZ34" s="2016">
        <f>Plantillas!AA$494</f>
        <v>0</v>
      </c>
      <c r="DA34" s="2013">
        <f>Plantillas!Y$495</f>
        <v>0</v>
      </c>
      <c r="DB34" s="2014">
        <f>Plantillas!Z$495</f>
        <v>0</v>
      </c>
      <c r="DC34" s="2016">
        <f>Plantillas!AA$495</f>
        <v>0</v>
      </c>
      <c r="DD34" s="2013">
        <f>Plantillas!Y$496</f>
        <v>0</v>
      </c>
      <c r="DE34" s="2014">
        <f>Plantillas!Z$496</f>
        <v>0</v>
      </c>
      <c r="DF34" s="2016">
        <f>Plantillas!AA$496</f>
        <v>0</v>
      </c>
      <c r="DG34" s="2013">
        <f>Plantillas!Y$497</f>
        <v>0</v>
      </c>
      <c r="DH34" s="2014">
        <v>1</v>
      </c>
      <c r="DI34" s="2091" t="str">
        <f>Estadisticas!AA14</f>
        <v>manantialcedu@hotmail.com</v>
      </c>
      <c r="DJ34" s="183">
        <v>12</v>
      </c>
      <c r="DK34" s="84" t="str">
        <f>VLOOKUP(T6,BG2:CA21,13,13)</f>
        <v>ALEMAN SANTOS * MIRIAM</v>
      </c>
      <c r="DL34" s="2018" t="str">
        <f>VLOOKUP(T6,CB2:CV21,13,13)</f>
        <v>AESM711024QNA</v>
      </c>
      <c r="DM34" s="2019" t="str">
        <f>VLOOKUP(T6,CW2:DQ21,13,13)</f>
        <v>078312 E028100.0233330</v>
      </c>
      <c r="DN34" s="2020" t="str">
        <f>VLOOKUP(T6,DR2:EL21,13,13)</f>
        <v>DOCENTE</v>
      </c>
      <c r="DO34" s="2021" t="str">
        <f>VLOOKUP(T6,DR23:EL42,13,13)</f>
        <v>23DPR0593I</v>
      </c>
      <c r="DP34" s="2022">
        <f>VLOOKUP(T6,EM2:FG21,13,13)</f>
        <v>20</v>
      </c>
      <c r="DQ34" s="84">
        <f>VLOOKUP(T6,EM23:FG42,13,13)</f>
        <v>30</v>
      </c>
      <c r="DR34" s="1361">
        <v>12</v>
      </c>
      <c r="DS34" s="1954">
        <f>Plantillas!N$477</f>
        <v>0</v>
      </c>
      <c r="DT34" s="1954">
        <f>Plantillas!N$478</f>
        <v>0</v>
      </c>
      <c r="DU34" s="1954">
        <f>Plantillas!N$479</f>
        <v>0</v>
      </c>
      <c r="DV34" s="1954">
        <f>Plantillas!N$480</f>
        <v>0</v>
      </c>
      <c r="DW34" s="1954">
        <f>Plantillas!N$481</f>
        <v>0</v>
      </c>
      <c r="DX34" s="1954">
        <f>Plantillas!N$482</f>
        <v>0</v>
      </c>
      <c r="DY34" s="1954">
        <f>Plantillas!N$483</f>
        <v>0</v>
      </c>
      <c r="DZ34" s="1954">
        <f>Plantillas!N$484</f>
        <v>0</v>
      </c>
      <c r="EA34" s="1954">
        <f>Plantillas!N$485</f>
        <v>0</v>
      </c>
      <c r="EB34" s="1954">
        <f>Plantillas!N$486</f>
        <v>0</v>
      </c>
      <c r="EC34" s="1954">
        <f>Plantillas!N$487</f>
        <v>0</v>
      </c>
      <c r="ED34" s="1954">
        <f>Plantillas!N$488</f>
        <v>0</v>
      </c>
      <c r="EE34" s="1954">
        <f>Plantillas!N$489</f>
        <v>0</v>
      </c>
      <c r="EF34" s="1954">
        <f>Plantillas!N$490</f>
        <v>0</v>
      </c>
      <c r="EG34" s="1954">
        <f>Plantillas!N$491</f>
        <v>0</v>
      </c>
      <c r="EH34" s="1954">
        <f>Plantillas!N$492</f>
        <v>0</v>
      </c>
      <c r="EI34" s="1954">
        <f>Plantillas!N$493</f>
        <v>0</v>
      </c>
      <c r="EJ34" s="1954">
        <f>Plantillas!N$494</f>
        <v>0</v>
      </c>
      <c r="EK34" s="1954">
        <f>Plantillas!N$495</f>
        <v>0</v>
      </c>
      <c r="EL34" s="1954">
        <f>Plantillas!N$496</f>
        <v>0</v>
      </c>
      <c r="EM34" s="779">
        <v>12</v>
      </c>
      <c r="EN34" s="2026">
        <f>Plantillas!AA$477</f>
        <v>17</v>
      </c>
      <c r="EO34" s="2026">
        <f>Plantillas!AA$478</f>
        <v>21</v>
      </c>
      <c r="EP34" s="2026">
        <f>Plantillas!AA$479</f>
        <v>26</v>
      </c>
      <c r="EQ34" s="2026">
        <f>Plantillas!AA$480</f>
        <v>15</v>
      </c>
      <c r="ER34" s="2026">
        <f>Plantillas!AA$481</f>
        <v>23</v>
      </c>
      <c r="ES34" s="2026">
        <f>Plantillas!AA$482</f>
        <v>26</v>
      </c>
      <c r="ET34" s="2026">
        <f>Plantillas!AA$483</f>
        <v>0</v>
      </c>
      <c r="EU34" s="2026">
        <f>Plantillas!AA$484</f>
        <v>0</v>
      </c>
      <c r="EV34" s="2026">
        <f>Plantillas!AA$485</f>
        <v>0</v>
      </c>
      <c r="EW34" s="2026">
        <f>Plantillas!AA$486</f>
        <v>0</v>
      </c>
      <c r="EX34" s="2026">
        <f>Plantillas!AA$487</f>
        <v>0</v>
      </c>
      <c r="EY34" s="2026">
        <f>Plantillas!AA$488</f>
        <v>0</v>
      </c>
      <c r="EZ34" s="2026">
        <f>Plantillas!AA$489</f>
        <v>0</v>
      </c>
      <c r="FA34" s="2026">
        <f>Plantillas!AA$490</f>
        <v>0</v>
      </c>
      <c r="FB34" s="2026">
        <f>Plantillas!AA$491</f>
        <v>0</v>
      </c>
      <c r="FC34" s="2026">
        <f>Plantillas!AA$492</f>
        <v>0</v>
      </c>
      <c r="FD34" s="2026">
        <f>Plantillas!AA$493</f>
        <v>0</v>
      </c>
      <c r="FE34" s="1966">
        <f>Plantillas!AA$494</f>
        <v>0</v>
      </c>
      <c r="FF34" s="1966">
        <f>Plantillas!AA$495</f>
        <v>0</v>
      </c>
      <c r="FG34" s="1967">
        <f>Plantillas!AA$496</f>
        <v>0</v>
      </c>
      <c r="FH34" s="779">
        <v>12</v>
      </c>
      <c r="FI34" s="1959">
        <f>Plantillas!W$477</f>
        <v>0</v>
      </c>
      <c r="FJ34" s="1959">
        <f>Plantillas!W$478</f>
        <v>0</v>
      </c>
      <c r="FK34" s="1959">
        <f>Plantillas!W$479</f>
        <v>0</v>
      </c>
      <c r="FL34" s="1959" t="str">
        <f>Plantillas!W$480</f>
        <v>29-09-2001</v>
      </c>
      <c r="FM34" s="1959">
        <f>Plantillas!W$481</f>
        <v>0</v>
      </c>
      <c r="FN34" s="1959" t="str">
        <f>Plantillas!W$482</f>
        <v>01-09-2012</v>
      </c>
      <c r="FO34" s="1959" t="str">
        <f>Plantillas!W$483</f>
        <v>03-02-2001</v>
      </c>
      <c r="FP34" s="1959" t="str">
        <f>Plantillas!W$484</f>
        <v>02-02-2001</v>
      </c>
      <c r="FQ34" s="1959" t="str">
        <f>Plantillas!W$485</f>
        <v>02-02-2001</v>
      </c>
      <c r="FR34" s="1959" t="str">
        <f>Plantillas!W$486</f>
        <v>02-02-2001</v>
      </c>
      <c r="FS34" s="1959" t="str">
        <f>Plantillas!W$487</f>
        <v>02-02-2001</v>
      </c>
      <c r="FT34" s="1959" t="str">
        <f>Plantillas!W$488</f>
        <v>02-02-2001</v>
      </c>
      <c r="FU34" s="1959" t="str">
        <f>Plantillas!W$489</f>
        <v>02-02-2001</v>
      </c>
      <c r="FV34" s="1959" t="str">
        <f>Plantillas!W$490</f>
        <v>02-02-2001</v>
      </c>
      <c r="FW34" s="1959">
        <f>Plantillas!W$491</f>
        <v>0</v>
      </c>
      <c r="FX34" s="1959">
        <f>Plantillas!W$492</f>
        <v>0</v>
      </c>
      <c r="FY34" s="1959">
        <f>Plantillas!W$493</f>
        <v>0</v>
      </c>
      <c r="FZ34" s="1959">
        <f>Plantillas!W$494</f>
        <v>0</v>
      </c>
      <c r="GA34" s="1959">
        <f>Plantillas!W$495</f>
        <v>0</v>
      </c>
      <c r="GB34" s="2025">
        <f>Plantillas!W$496</f>
        <v>0</v>
      </c>
      <c r="GC34" s="1361">
        <v>12</v>
      </c>
      <c r="GD34" s="1353">
        <f t="shared" si="49"/>
        <v>1</v>
      </c>
      <c r="GE34" s="1353">
        <f t="shared" si="40"/>
        <v>0</v>
      </c>
      <c r="GF34" s="1353">
        <f t="shared" si="41"/>
        <v>1</v>
      </c>
      <c r="GG34" s="1353">
        <f t="shared" si="42"/>
        <v>0</v>
      </c>
      <c r="GH34" s="1353">
        <f t="shared" si="43"/>
        <v>1</v>
      </c>
      <c r="GI34" s="1353">
        <f t="shared" si="44"/>
        <v>1</v>
      </c>
      <c r="GJ34" s="1353">
        <f t="shared" si="45"/>
        <v>4</v>
      </c>
      <c r="GK34" s="1354">
        <f t="shared" si="46"/>
        <v>83</v>
      </c>
      <c r="GL34" s="1353">
        <v>12</v>
      </c>
      <c r="GM34" s="2388" t="str">
        <f>Plantillas!I$477</f>
        <v>X</v>
      </c>
      <c r="GN34" s="2388">
        <f>Plantillas!I$478</f>
        <v>0</v>
      </c>
      <c r="GO34" s="2388">
        <f>Plantillas!I$479</f>
        <v>0</v>
      </c>
      <c r="GP34" s="2388" t="str">
        <f>Plantillas!I$480</f>
        <v>X</v>
      </c>
      <c r="GQ34" s="2388" t="str">
        <f>Plantillas!I$481</f>
        <v>X</v>
      </c>
      <c r="GR34" s="2388" t="str">
        <f>Plantillas!I$482</f>
        <v>X</v>
      </c>
      <c r="GS34" s="2388" t="str">
        <f>Plantillas!I$483</f>
        <v>X</v>
      </c>
      <c r="GT34" s="2388" t="str">
        <f>Plantillas!I$484</f>
        <v>X</v>
      </c>
      <c r="GU34" s="2388" t="str">
        <f>Plantillas!I$485</f>
        <v>X</v>
      </c>
      <c r="GV34" s="2388" t="str">
        <f>Plantillas!I$486</f>
        <v>X</v>
      </c>
      <c r="GW34" s="2388" t="str">
        <f>Plantillas!I$487</f>
        <v>X</v>
      </c>
      <c r="GX34" s="2388" t="str">
        <f>Plantillas!I$488</f>
        <v>X</v>
      </c>
      <c r="GY34" s="2388" t="str">
        <f>Plantillas!I$489</f>
        <v>X</v>
      </c>
      <c r="GZ34" s="2388">
        <f>Plantillas!I$490</f>
        <v>0</v>
      </c>
      <c r="HA34" s="2388">
        <f>Plantillas!I$491</f>
        <v>0</v>
      </c>
      <c r="HB34" s="2388">
        <f>Plantillas!I$492</f>
        <v>0</v>
      </c>
      <c r="HC34" s="2388">
        <f>Plantillas!I$493</f>
        <v>0</v>
      </c>
      <c r="HD34" s="2388">
        <f>Plantillas!I$494</f>
        <v>0</v>
      </c>
      <c r="HE34" s="2388">
        <f>Plantillas!I$495</f>
        <v>0</v>
      </c>
      <c r="HF34" s="2389">
        <f>Plantillas!I$496</f>
        <v>0</v>
      </c>
      <c r="HG34" s="778">
        <v>10</v>
      </c>
      <c r="HH34" s="1358">
        <f>'[1]0681C'!$D$31</f>
        <v>19</v>
      </c>
      <c r="HI34" s="2647">
        <f>'[1]0681C'!$E$31</f>
        <v>15</v>
      </c>
      <c r="HJ34" s="1359">
        <f>'[1]0681C'!$G$31</f>
        <v>23</v>
      </c>
      <c r="HK34" s="1353">
        <f>'[1]0681C'!$H$31</f>
        <v>12</v>
      </c>
      <c r="HL34" s="2646">
        <f>'[1]0681C'!$J$31</f>
        <v>20</v>
      </c>
      <c r="HM34" s="2647">
        <f>'[1]0681C'!$K$31</f>
        <v>14</v>
      </c>
      <c r="HN34" s="1359">
        <f>'[1]0681C'!$M$31</f>
        <v>20</v>
      </c>
      <c r="HO34" s="1353">
        <f>'[1]0681C'!$N$31</f>
        <v>14</v>
      </c>
      <c r="HP34" s="2646">
        <f>'[1]0681C'!$P$31</f>
        <v>34</v>
      </c>
      <c r="HQ34" s="2647">
        <f>'[1]0681C'!$Q$31</f>
        <v>24</v>
      </c>
      <c r="HR34" s="1359">
        <f>'[1]0681C'!$S$31</f>
        <v>21</v>
      </c>
      <c r="HS34" s="1353">
        <f>'[1]0681C'!$T$31</f>
        <v>13</v>
      </c>
      <c r="HT34" s="1358">
        <f>'[1]0681C'!$D$32</f>
        <v>0</v>
      </c>
      <c r="HU34" s="1353">
        <f>'[1]0681C'!$E$32</f>
        <v>1</v>
      </c>
      <c r="HV34" s="2646">
        <f>'[1]0681C'!$G$32</f>
        <v>0</v>
      </c>
      <c r="HW34" s="2647">
        <f>'[1]0681C'!$H$32</f>
        <v>1</v>
      </c>
      <c r="HX34" s="1359">
        <f>'[1]0681C'!$J$32</f>
        <v>2</v>
      </c>
      <c r="HY34" s="1353">
        <f>'[1]0681C'!$K$32</f>
        <v>1</v>
      </c>
      <c r="HZ34" s="2646">
        <f>'[1]0681C'!$M$32</f>
        <v>1</v>
      </c>
      <c r="IA34" s="2647">
        <f>'[1]0681C'!$N$32</f>
        <v>2</v>
      </c>
      <c r="IB34" s="2646">
        <f>'[1]0681C'!$P$32</f>
        <v>3</v>
      </c>
      <c r="IC34" s="2647">
        <f>'[1]0681C'!$Q$32</f>
        <v>3</v>
      </c>
      <c r="ID34" s="1359">
        <f>'[1]0681C'!$S$32</f>
        <v>1</v>
      </c>
      <c r="IE34" s="1354">
        <f>'[1]0681C'!$T$32</f>
        <v>1</v>
      </c>
      <c r="IF34" s="1358">
        <f>'[1]0681C'!$D$34</f>
        <v>0</v>
      </c>
      <c r="IG34" s="1353">
        <f>'[1]0681C'!$E$34</f>
        <v>0</v>
      </c>
      <c r="IH34" s="2646">
        <f>'[1]0681C'!$G$34</f>
        <v>0</v>
      </c>
      <c r="II34" s="2647">
        <f>'[1]0681C'!$H$34</f>
        <v>3</v>
      </c>
      <c r="IJ34" s="1359">
        <f>'[1]0681C'!$J$34</f>
        <v>1</v>
      </c>
      <c r="IK34" s="1353">
        <f>'[1]0681C'!$K$34</f>
        <v>1</v>
      </c>
      <c r="IL34" s="2646">
        <f>'[1]0681C'!$M$34</f>
        <v>1</v>
      </c>
      <c r="IM34" s="2647">
        <f>'[1]0681C'!$N$34</f>
        <v>1</v>
      </c>
      <c r="IN34" s="1359">
        <f>'[1]0681C'!$P$34</f>
        <v>4</v>
      </c>
      <c r="IO34" s="1353">
        <f>'[1]0681C'!$Q$34</f>
        <v>3</v>
      </c>
      <c r="IP34" s="2646">
        <f>'[1]0681C'!$S$34</f>
        <v>2</v>
      </c>
      <c r="IQ34" s="1354">
        <f>'[1]0681C'!$T$34</f>
        <v>0</v>
      </c>
      <c r="IR34" s="1358">
        <f>'[1]0681C'!$D$37</f>
        <v>0</v>
      </c>
      <c r="IS34" s="1353">
        <f>'[1]0681C'!$E$37</f>
        <v>0</v>
      </c>
      <c r="IT34" s="2646">
        <f>'[1]0681C'!$G$37</f>
        <v>0</v>
      </c>
      <c r="IU34" s="2647">
        <f>'[1]0681C'!$H$37</f>
        <v>0</v>
      </c>
      <c r="IV34" s="1359">
        <f>'[1]0681C'!$J$37</f>
        <v>0</v>
      </c>
      <c r="IW34" s="1353">
        <f>'[1]0681C'!$K$37</f>
        <v>0</v>
      </c>
      <c r="IX34" s="2646">
        <f>'[1]0681C'!$M$37</f>
        <v>0</v>
      </c>
      <c r="IY34" s="2647">
        <f>'[1]0681C'!$N$37</f>
        <v>0</v>
      </c>
      <c r="IZ34" s="2646">
        <f>'[1]0681C'!$P$37</f>
        <v>0</v>
      </c>
      <c r="JA34" s="2647">
        <f>'[1]0681C'!$Q$37</f>
        <v>0</v>
      </c>
      <c r="JB34" s="1359">
        <f>'[1]0681C'!$S$37</f>
        <v>0</v>
      </c>
      <c r="JC34" s="1354">
        <f>'[1]0681C'!$T$37</f>
        <v>0</v>
      </c>
      <c r="JD34" s="1358">
        <f>'[1]0681C'!$D$39</f>
        <v>1</v>
      </c>
      <c r="JE34" s="1353">
        <f>'[1]0681C'!$E$39</f>
        <v>0</v>
      </c>
      <c r="JF34" s="2646">
        <f>'[1]0681C'!$G$39</f>
        <v>0</v>
      </c>
      <c r="JG34" s="2647">
        <f>'[1]0681C'!$H$39</f>
        <v>1</v>
      </c>
      <c r="JH34" s="1359">
        <f>'[1]0681C'!$J$39</f>
        <v>0</v>
      </c>
      <c r="JI34" s="1353">
        <f>'[1]0681C'!$K$39</f>
        <v>1</v>
      </c>
      <c r="JJ34" s="2646">
        <f>'[1]0681C'!$M$39</f>
        <v>0</v>
      </c>
      <c r="JK34" s="2647">
        <f>'[1]0681C'!$N$39</f>
        <v>1</v>
      </c>
      <c r="JL34" s="2646">
        <f>'[1]0681C'!$P$39</f>
        <v>2</v>
      </c>
      <c r="JM34" s="2647">
        <f>'[1]0681C'!$Q$39</f>
        <v>0</v>
      </c>
      <c r="JN34" s="1359">
        <f>'[1]0681C'!$S$39</f>
        <v>0</v>
      </c>
      <c r="JO34" s="1353">
        <f>'[1]0681C'!$T$39</f>
        <v>1</v>
      </c>
      <c r="JP34" s="2646">
        <f>'[1]0681C'!$D$28</f>
        <v>0</v>
      </c>
      <c r="JQ34" s="2647">
        <f>'[1]0681C'!$E$28</f>
        <v>0</v>
      </c>
      <c r="JR34" s="2646">
        <f>'[1]0681C'!$G$28</f>
        <v>0</v>
      </c>
      <c r="JS34" s="2647">
        <f>'[1]0681C'!$H$28</f>
        <v>0</v>
      </c>
      <c r="JT34" s="1359">
        <f>'[1]0681C'!$J$28</f>
        <v>0</v>
      </c>
      <c r="JU34" s="1353">
        <f>'[1]0681C'!$K$28</f>
        <v>0</v>
      </c>
      <c r="JV34" s="2646">
        <f>'[1]0681C'!$M$28</f>
        <v>0</v>
      </c>
      <c r="JW34" s="2647">
        <f>'[1]0681C'!$N$28</f>
        <v>0</v>
      </c>
      <c r="JX34" s="2646">
        <f>'[1]0681C'!$P$28</f>
        <v>0</v>
      </c>
      <c r="JY34" s="2647">
        <f>'[1]0681C'!$Q$28</f>
        <v>0</v>
      </c>
      <c r="JZ34" s="1359">
        <f>'[1]0681C'!$S$28</f>
        <v>0</v>
      </c>
      <c r="KA34" s="1353">
        <f>'[1]0681C'!$T$28</f>
        <v>0</v>
      </c>
      <c r="KB34" s="779">
        <f t="shared" si="51"/>
        <v>0</v>
      </c>
      <c r="KC34" s="183">
        <f t="shared" si="52"/>
        <v>0</v>
      </c>
      <c r="KD34" s="183">
        <f t="shared" si="53"/>
        <v>0</v>
      </c>
      <c r="KE34" s="183">
        <f t="shared" si="54"/>
        <v>0</v>
      </c>
      <c r="KF34" s="183">
        <f t="shared" si="55"/>
        <v>0</v>
      </c>
      <c r="KG34" s="782">
        <f t="shared" si="56"/>
        <v>0</v>
      </c>
      <c r="KH34" s="1358">
        <v>11</v>
      </c>
      <c r="KI34" s="1931" t="str">
        <f>Plantillas!D432</f>
        <v>CENTRO EDUCATIVO EL MANANTIAL</v>
      </c>
      <c r="KJ34" s="1931" t="str">
        <f t="shared" si="47"/>
        <v>CENTRO EDUCATIVO EL MANANTIAL</v>
      </c>
      <c r="KK34" s="1931" t="str">
        <f t="shared" ref="KK34:KO34" si="65">KJ34</f>
        <v>CENTRO EDUCATIVO EL MANANTIAL</v>
      </c>
      <c r="KL34" s="1931" t="str">
        <f t="shared" si="65"/>
        <v>CENTRO EDUCATIVO EL MANANTIAL</v>
      </c>
      <c r="KM34" s="1931" t="str">
        <f t="shared" si="65"/>
        <v>CENTRO EDUCATIVO EL MANANTIAL</v>
      </c>
      <c r="KN34" s="1931" t="str">
        <f t="shared" si="65"/>
        <v>CENTRO EDUCATIVO EL MANANTIAL</v>
      </c>
      <c r="KO34" s="1931" t="str">
        <f t="shared" si="65"/>
        <v>CENTRO EDUCATIVO EL MANANTIAL</v>
      </c>
      <c r="KP34" s="1931" t="str">
        <f t="shared" si="64"/>
        <v>CENTRO EDUCATIVO EL MANANTIAL</v>
      </c>
      <c r="KQ34" s="1931" t="str">
        <f t="shared" si="64"/>
        <v>CENTRO EDUCATIVO EL MANANTIAL</v>
      </c>
      <c r="KR34" s="1931" t="str">
        <f t="shared" si="64"/>
        <v>CENTRO EDUCATIVO EL MANANTIAL</v>
      </c>
      <c r="KS34" s="1931" t="str">
        <f t="shared" ref="KS34" si="66">KR34</f>
        <v>CENTRO EDUCATIVO EL MANANTIAL</v>
      </c>
      <c r="KT34" s="1931" t="str">
        <f t="shared" ref="KT34" si="67">KS34</f>
        <v>CENTRO EDUCATIVO EL MANANTIAL</v>
      </c>
      <c r="KU34" s="1931" t="str">
        <f t="shared" ref="KU34" si="68">KT34</f>
        <v>CENTRO EDUCATIVO EL MANANTIAL</v>
      </c>
      <c r="KV34" s="1931"/>
      <c r="KW34" s="1931"/>
      <c r="KX34" s="1931"/>
      <c r="KY34" s="1931"/>
      <c r="KZ34" s="1931"/>
      <c r="LA34" s="1931"/>
      <c r="LB34" s="1932"/>
      <c r="LC34" s="1358">
        <v>11</v>
      </c>
      <c r="LD34" s="2985" t="s">
        <v>100</v>
      </c>
      <c r="LE34" s="2985" t="s">
        <v>100</v>
      </c>
      <c r="LF34" s="2985" t="s">
        <v>100</v>
      </c>
      <c r="LG34" s="2985" t="s">
        <v>100</v>
      </c>
      <c r="LH34" s="2985" t="s">
        <v>100</v>
      </c>
      <c r="LI34" s="2985" t="s">
        <v>100</v>
      </c>
      <c r="LJ34" s="2985" t="s">
        <v>100</v>
      </c>
      <c r="LK34" s="2985" t="s">
        <v>100</v>
      </c>
      <c r="LL34" s="2985" t="s">
        <v>100</v>
      </c>
      <c r="LM34" s="2985" t="s">
        <v>100</v>
      </c>
      <c r="LN34" s="2985" t="s">
        <v>100</v>
      </c>
      <c r="LO34" s="2985" t="s">
        <v>100</v>
      </c>
      <c r="LP34" s="2985" t="s">
        <v>100</v>
      </c>
      <c r="LQ34" s="2985"/>
      <c r="LR34" s="2985"/>
      <c r="LS34" s="2985"/>
      <c r="LT34" s="2985"/>
      <c r="LU34" s="2985"/>
      <c r="LV34" s="2985"/>
      <c r="LW34" s="2986"/>
    </row>
    <row r="35" spans="1:335" ht="12.75" customHeight="1" thickBot="1">
      <c r="A35" s="16">
        <v>19</v>
      </c>
      <c r="B35" s="31">
        <f>VLOOKUP(T6,AX23:DI42,56,56)</f>
        <v>0</v>
      </c>
      <c r="C35" s="35">
        <f>VLOOKUP(T6,AX23:DI42,57,57)</f>
        <v>0</v>
      </c>
      <c r="D35" s="29" t="str">
        <f>VLOOKUP(T6,BG2:CA21,20,20)</f>
        <v>POOT QUEB *LUIS ARMANDO</v>
      </c>
      <c r="E35" s="21"/>
      <c r="F35" s="21"/>
      <c r="G35" s="21"/>
      <c r="H35" s="21"/>
      <c r="I35" s="3360">
        <f>VLOOKUP(T6,LC24:LW43,20,21)</f>
        <v>0</v>
      </c>
      <c r="J35" s="3780">
        <f>VLOOKUP(T6,AX44:BR63,20,20)</f>
        <v>0</v>
      </c>
      <c r="K35" s="3780"/>
      <c r="L35" s="3780">
        <f>VLOOKUP(T6,BS44:CM63,20,20)</f>
        <v>0</v>
      </c>
      <c r="M35" s="3780"/>
      <c r="N35" s="3780">
        <f>VLOOKUP(T6,CN44:DH63,20,20)</f>
        <v>0</v>
      </c>
      <c r="O35" s="3780"/>
      <c r="P35" s="3780">
        <f>VLOOKUP(T6,DI44:EC63,20,20)</f>
        <v>0</v>
      </c>
      <c r="Q35" s="3780"/>
      <c r="R35" s="3780">
        <f>VLOOKUP(T6,ED44:EX63,20,20)</f>
        <v>0</v>
      </c>
      <c r="S35" s="3780"/>
      <c r="T35" s="3780">
        <f>VLOOKUP(T6,EY44:FS63,20,20)</f>
        <v>0</v>
      </c>
      <c r="U35" s="3780"/>
      <c r="V35" s="3781">
        <f t="shared" si="32"/>
        <v>0</v>
      </c>
      <c r="W35" s="3782"/>
      <c r="X35" s="3787"/>
      <c r="Y35" s="3788"/>
      <c r="Z35" s="3787"/>
      <c r="AA35" s="3788"/>
      <c r="AB35" s="3783"/>
      <c r="AC35" s="3784"/>
      <c r="AD35" s="3783"/>
      <c r="AE35" s="3784"/>
      <c r="AF35" s="2939" t="str">
        <f t="shared" si="33"/>
        <v>00</v>
      </c>
      <c r="AG35" s="2940">
        <f t="shared" si="34"/>
        <v>0</v>
      </c>
      <c r="AH35" s="3822">
        <f>VLOOKUP(T6,AX23:DI42,58,58)</f>
        <v>0</v>
      </c>
      <c r="AI35" s="3823"/>
      <c r="AJ35" s="3856"/>
      <c r="AK35" s="3857"/>
      <c r="AL35" s="3193">
        <f>VLOOKUP(T6,GL2:HF21,20,21)</f>
        <v>0</v>
      </c>
      <c r="AM35" s="3194">
        <f>VLOOKUP(T6,GL23:HF42,20,21)</f>
        <v>0</v>
      </c>
      <c r="AN35" s="3195">
        <f>VLOOKUP(T6,CB2:CV21,20,21)</f>
        <v>0</v>
      </c>
      <c r="AO35" s="3195">
        <f>VLOOKUP(T6,CW2:DQ21,20,21)</f>
        <v>0</v>
      </c>
      <c r="AP35" s="3195">
        <f>VLOOKUP(T6,DR2:EL21,20,21)</f>
        <v>0</v>
      </c>
      <c r="AQ35" s="3195">
        <f>VLOOKUP(T6,DR23:EL42,20,21)</f>
        <v>0</v>
      </c>
      <c r="AR35" s="3195">
        <f>VLOOKUP(T6,LC2:LW21,20,21)</f>
        <v>0</v>
      </c>
      <c r="AS35" s="3194">
        <f>VLOOKUP(T6,FH2:GB21,20,21)</f>
        <v>0</v>
      </c>
      <c r="AT35" s="3194">
        <f>VLOOKUP(T6,EM2:FG21,20,21)</f>
        <v>0</v>
      </c>
      <c r="AU35" s="3196">
        <f>VLOOKUP(T6,FH23:GB42,20,21)</f>
        <v>0</v>
      </c>
      <c r="AV35" s="3197">
        <f>VLOOKUP(T6,KH2:LB21,20,21)</f>
        <v>0</v>
      </c>
      <c r="AW35" s="2803">
        <f>VLOOKUP(T6,KH24:LB43,20,21)</f>
        <v>0</v>
      </c>
      <c r="AX35" s="779">
        <v>13</v>
      </c>
      <c r="AY35" s="2013">
        <f>Plantillas!Y$517</f>
        <v>0</v>
      </c>
      <c r="AZ35" s="2014">
        <f>Plantillas!Z$517</f>
        <v>0</v>
      </c>
      <c r="BA35" s="2015">
        <f>Plantillas!AA$517</f>
        <v>0</v>
      </c>
      <c r="BB35" s="2013" t="str">
        <f>Plantillas!Y$518</f>
        <v>1º</v>
      </c>
      <c r="BC35" s="2014" t="str">
        <f>Plantillas!Z$518</f>
        <v>A</v>
      </c>
      <c r="BD35" s="2016">
        <f>Plantillas!AA$518</f>
        <v>8</v>
      </c>
      <c r="BE35" s="2013" t="str">
        <f>Plantillas!Y$519</f>
        <v>2º</v>
      </c>
      <c r="BF35" s="2014" t="str">
        <f>Plantillas!Z$519</f>
        <v>A</v>
      </c>
      <c r="BG35" s="2016">
        <f>Plantillas!AA$519</f>
        <v>10</v>
      </c>
      <c r="BH35" s="2013" t="str">
        <f>Plantillas!Y$520</f>
        <v>3º</v>
      </c>
      <c r="BI35" s="2014" t="str">
        <f>Plantillas!Z$520</f>
        <v>A</v>
      </c>
      <c r="BJ35" s="2016">
        <f>Plantillas!AA$520</f>
        <v>13</v>
      </c>
      <c r="BK35" s="2013" t="str">
        <f>Plantillas!Y$521</f>
        <v>4º</v>
      </c>
      <c r="BL35" s="2014" t="str">
        <f>Plantillas!Z$521</f>
        <v>A</v>
      </c>
      <c r="BM35" s="2016">
        <f>Plantillas!AA$521</f>
        <v>11</v>
      </c>
      <c r="BN35" s="2013" t="str">
        <f>Plantillas!Y$522</f>
        <v>5º</v>
      </c>
      <c r="BO35" s="2014" t="str">
        <f>Plantillas!Z$522</f>
        <v>A</v>
      </c>
      <c r="BP35" s="2016">
        <f>Plantillas!AA$522</f>
        <v>11</v>
      </c>
      <c r="BQ35" s="2013" t="str">
        <f>Plantillas!Y$523</f>
        <v>6º</v>
      </c>
      <c r="BR35" s="2014" t="str">
        <f>Plantillas!Z$523</f>
        <v>A</v>
      </c>
      <c r="BS35" s="2016">
        <f>Plantillas!AA$523</f>
        <v>8</v>
      </c>
      <c r="BT35" s="2013">
        <f>Plantillas!Y$524</f>
        <v>0</v>
      </c>
      <c r="BU35" s="2014">
        <f>Plantillas!Z$524</f>
        <v>0</v>
      </c>
      <c r="BV35" s="2016">
        <f>Plantillas!AA$524</f>
        <v>0</v>
      </c>
      <c r="BW35" s="2013">
        <f>Plantillas!Y$525</f>
        <v>0</v>
      </c>
      <c r="BX35" s="2014">
        <f>Plantillas!Z$525</f>
        <v>0</v>
      </c>
      <c r="BY35" s="2016">
        <f>Plantillas!AA$525</f>
        <v>0</v>
      </c>
      <c r="BZ35" s="2013">
        <f>Plantillas!Y$526</f>
        <v>0</v>
      </c>
      <c r="CA35" s="2014">
        <f>Plantillas!Z$526</f>
        <v>0</v>
      </c>
      <c r="CB35" s="2016">
        <f>Plantillas!AA$526</f>
        <v>0</v>
      </c>
      <c r="CC35" s="2013">
        <f>Plantillas!Y$527</f>
        <v>0</v>
      </c>
      <c r="CD35" s="2014">
        <f>Plantillas!Z$527</f>
        <v>0</v>
      </c>
      <c r="CE35" s="2016">
        <f>Plantillas!AA$527</f>
        <v>0</v>
      </c>
      <c r="CF35" s="2013">
        <f>Plantillas!Y$528</f>
        <v>0</v>
      </c>
      <c r="CG35" s="2014">
        <f>Plantillas!Z$528</f>
        <v>0</v>
      </c>
      <c r="CH35" s="2016">
        <f>Plantillas!AA$528</f>
        <v>0</v>
      </c>
      <c r="CI35" s="2013">
        <f>Plantillas!Y$529</f>
        <v>0</v>
      </c>
      <c r="CJ35" s="2014">
        <f>Plantillas!Z$529</f>
        <v>0</v>
      </c>
      <c r="CK35" s="2016">
        <f>Plantillas!AA$529</f>
        <v>0</v>
      </c>
      <c r="CL35" s="2013">
        <f>Plantillas!Y$530</f>
        <v>0</v>
      </c>
      <c r="CM35" s="2014">
        <f>Plantillas!Z$530</f>
        <v>0</v>
      </c>
      <c r="CN35" s="2016">
        <f>Plantillas!AA$530</f>
        <v>0</v>
      </c>
      <c r="CO35" s="2013">
        <f>Plantillas!Y$531</f>
        <v>0</v>
      </c>
      <c r="CP35" s="2014">
        <f>Plantillas!Z$531</f>
        <v>0</v>
      </c>
      <c r="CQ35" s="2016">
        <f>Plantillas!AA$531</f>
        <v>0</v>
      </c>
      <c r="CR35" s="2013">
        <f>Plantillas!Y$532</f>
        <v>0</v>
      </c>
      <c r="CS35" s="2014">
        <f>Plantillas!Z$532</f>
        <v>0</v>
      </c>
      <c r="CT35" s="2016">
        <f>Plantillas!AA$532</f>
        <v>0</v>
      </c>
      <c r="CU35" s="2013">
        <f>Plantillas!Y$533</f>
        <v>0</v>
      </c>
      <c r="CV35" s="2014">
        <f>Plantillas!Z$533</f>
        <v>0</v>
      </c>
      <c r="CW35" s="2016">
        <f>Plantillas!AA$533</f>
        <v>0</v>
      </c>
      <c r="CX35" s="2013">
        <f>Plantillas!Y$534</f>
        <v>0</v>
      </c>
      <c r="CY35" s="2014">
        <f>Plantillas!Z$534</f>
        <v>0</v>
      </c>
      <c r="CZ35" s="2016">
        <f>Plantillas!AA$534</f>
        <v>0</v>
      </c>
      <c r="DA35" s="2013">
        <f>Plantillas!Y$535</f>
        <v>0</v>
      </c>
      <c r="DB35" s="2014">
        <f>Plantillas!Z$535</f>
        <v>0</v>
      </c>
      <c r="DC35" s="2016">
        <f>Plantillas!AA$535</f>
        <v>0</v>
      </c>
      <c r="DD35" s="2013">
        <f>Plantillas!Y$536</f>
        <v>0</v>
      </c>
      <c r="DE35" s="2014">
        <f>Plantillas!Z$536</f>
        <v>0</v>
      </c>
      <c r="DF35" s="2016">
        <f>Plantillas!AA$536</f>
        <v>0</v>
      </c>
      <c r="DG35" s="2013">
        <f>Plantillas!Y$537</f>
        <v>0</v>
      </c>
      <c r="DH35" s="2014">
        <f>Plantillas!Z$537</f>
        <v>0</v>
      </c>
      <c r="DI35" s="2091" t="str">
        <f>Estadisticas!AA15</f>
        <v>centroescolarhispano@hotmail.com</v>
      </c>
      <c r="DJ35" s="183">
        <v>13</v>
      </c>
      <c r="DK35" s="84" t="str">
        <f>VLOOKUP(T6,BG2:CA21,14,14)</f>
        <v>CRUZ PEREZ * FRANCISCO</v>
      </c>
      <c r="DL35" s="2018" t="str">
        <f>VLOOKUP(T6,CB2:CV21,14,14)</f>
        <v>CUPF7111299H0</v>
      </c>
      <c r="DM35" s="2019" t="str">
        <f>VLOOKUP(T6,CW2:DQ21,14,14)</f>
        <v>078312 E028100.0233698</v>
      </c>
      <c r="DN35" s="2020" t="str">
        <f>VLOOKUP(T6,DR2:EL21,14,14)</f>
        <v>DOCENTE</v>
      </c>
      <c r="DO35" s="2021" t="str">
        <f>VLOOKUP(T6,DR23:EL42,14,14)</f>
        <v>23DPR0480F</v>
      </c>
      <c r="DP35" s="2022">
        <f>VLOOKUP(T6,EM2:FG21,14,14)</f>
        <v>10</v>
      </c>
      <c r="DQ35" s="84">
        <f>VLOOKUP(T6,EM23:FG42,14,14)</f>
        <v>30</v>
      </c>
      <c r="DR35" s="1361">
        <v>13</v>
      </c>
      <c r="DS35" s="1954">
        <f>Plantillas!N$517</f>
        <v>0</v>
      </c>
      <c r="DT35" s="1954">
        <f>Plantillas!N$518</f>
        <v>0</v>
      </c>
      <c r="DU35" s="1954">
        <f>Plantillas!N$519</f>
        <v>0</v>
      </c>
      <c r="DV35" s="1954">
        <f>Plantillas!N$520</f>
        <v>0</v>
      </c>
      <c r="DW35" s="1954">
        <f>Plantillas!N$521</f>
        <v>0</v>
      </c>
      <c r="DX35" s="1954">
        <f>Plantillas!N$522</f>
        <v>0</v>
      </c>
      <c r="DY35" s="1954">
        <f>Plantillas!N$523</f>
        <v>0</v>
      </c>
      <c r="DZ35" s="1954">
        <f>Plantillas!N$524</f>
        <v>0</v>
      </c>
      <c r="EA35" s="1954">
        <f>Plantillas!N$525</f>
        <v>0</v>
      </c>
      <c r="EB35" s="1954">
        <f>Plantillas!N$526</f>
        <v>0</v>
      </c>
      <c r="EC35" s="1954">
        <f>Plantillas!N$527</f>
        <v>0</v>
      </c>
      <c r="ED35" s="1954">
        <f>Plantillas!N$528</f>
        <v>0</v>
      </c>
      <c r="EE35" s="1954">
        <f>Plantillas!N$529</f>
        <v>0</v>
      </c>
      <c r="EF35" s="1954">
        <f>Plantillas!N$530</f>
        <v>0</v>
      </c>
      <c r="EG35" s="1954">
        <f>Plantillas!N$531</f>
        <v>0</v>
      </c>
      <c r="EH35" s="1954">
        <f>Plantillas!N$532</f>
        <v>0</v>
      </c>
      <c r="EI35" s="1954">
        <f>Plantillas!N$533</f>
        <v>0</v>
      </c>
      <c r="EJ35" s="1954">
        <f>Plantillas!N$534</f>
        <v>0</v>
      </c>
      <c r="EK35" s="1954">
        <f>Plantillas!N$535</f>
        <v>0</v>
      </c>
      <c r="EL35" s="1954">
        <f>Plantillas!N$536</f>
        <v>0</v>
      </c>
      <c r="EM35" s="779">
        <v>13</v>
      </c>
      <c r="EN35" s="1966">
        <f>Plantillas!AA$517</f>
        <v>0</v>
      </c>
      <c r="EO35" s="1966">
        <f>Plantillas!AA$518</f>
        <v>8</v>
      </c>
      <c r="EP35" s="1966">
        <f>Plantillas!AA$519</f>
        <v>10</v>
      </c>
      <c r="EQ35" s="1966">
        <f>Plantillas!AA$520</f>
        <v>13</v>
      </c>
      <c r="ER35" s="1966">
        <f>Plantillas!AA$521</f>
        <v>11</v>
      </c>
      <c r="ES35" s="1966">
        <f>Plantillas!AA$522</f>
        <v>11</v>
      </c>
      <c r="ET35" s="1966">
        <f>Plantillas!AA$523</f>
        <v>8</v>
      </c>
      <c r="EU35" s="1966">
        <f>Plantillas!AA$524</f>
        <v>0</v>
      </c>
      <c r="EV35" s="1966">
        <f>Plantillas!AA$525</f>
        <v>0</v>
      </c>
      <c r="EW35" s="1966">
        <f>Plantillas!AA$526</f>
        <v>0</v>
      </c>
      <c r="EX35" s="1966">
        <f>Plantillas!AA$527</f>
        <v>0</v>
      </c>
      <c r="EY35" s="1966">
        <f>Plantillas!AA$528</f>
        <v>0</v>
      </c>
      <c r="EZ35" s="1966">
        <f>Plantillas!AA$529</f>
        <v>0</v>
      </c>
      <c r="FA35" s="1966">
        <f>Plantillas!AA$530</f>
        <v>0</v>
      </c>
      <c r="FB35" s="1966">
        <f>Plantillas!AA$531</f>
        <v>0</v>
      </c>
      <c r="FC35" s="1966">
        <f>Plantillas!AA$532</f>
        <v>0</v>
      </c>
      <c r="FD35" s="1966">
        <f>Plantillas!AA$533</f>
        <v>0</v>
      </c>
      <c r="FE35" s="1966">
        <f>Plantillas!AA$534</f>
        <v>0</v>
      </c>
      <c r="FF35" s="1966">
        <f>Plantillas!AA$535</f>
        <v>0</v>
      </c>
      <c r="FG35" s="1967">
        <f>Plantillas!AA$536</f>
        <v>0</v>
      </c>
      <c r="FH35" s="779">
        <v>13</v>
      </c>
      <c r="FI35" s="1959" t="str">
        <f>Plantillas!W$517</f>
        <v>12-10-2010</v>
      </c>
      <c r="FJ35" s="1959">
        <f>Plantillas!W$518</f>
        <v>0</v>
      </c>
      <c r="FK35" s="1959">
        <f>Plantillas!W$519</f>
        <v>0</v>
      </c>
      <c r="FL35" s="1959" t="str">
        <f>Plantillas!W$520</f>
        <v>03-06-2011</v>
      </c>
      <c r="FM35" s="1959" t="str">
        <f>Plantillas!W$521</f>
        <v>01-09-2012</v>
      </c>
      <c r="FN35" s="1959">
        <f>Plantillas!W$522</f>
        <v>0</v>
      </c>
      <c r="FO35" s="1959">
        <f>Plantillas!W$523</f>
        <v>0</v>
      </c>
      <c r="FP35" s="1959" t="str">
        <f>Plantillas!W$524</f>
        <v>12-07-2011</v>
      </c>
      <c r="FQ35" s="1959" t="str">
        <f>Plantillas!W$525</f>
        <v>12-07-2011</v>
      </c>
      <c r="FR35" s="1959">
        <f>Plantillas!W$526</f>
        <v>0</v>
      </c>
      <c r="FS35" s="1959">
        <f>Plantillas!W$527</f>
        <v>0</v>
      </c>
      <c r="FT35" s="1959">
        <f>Plantillas!W$528</f>
        <v>0</v>
      </c>
      <c r="FU35" s="1959">
        <f>Plantillas!W$529</f>
        <v>0</v>
      </c>
      <c r="FV35" s="1959">
        <f>Plantillas!W$530</f>
        <v>0</v>
      </c>
      <c r="FW35" s="1959">
        <f>Plantillas!W$531</f>
        <v>0</v>
      </c>
      <c r="FX35" s="1959">
        <f>Plantillas!W$532</f>
        <v>0</v>
      </c>
      <c r="FY35" s="1959">
        <f>Plantillas!W$533</f>
        <v>0</v>
      </c>
      <c r="FZ35" s="1959">
        <f>Plantillas!W$534</f>
        <v>0</v>
      </c>
      <c r="GA35" s="1959">
        <f>Plantillas!W$535</f>
        <v>0</v>
      </c>
      <c r="GB35" s="2025">
        <f>Plantillas!W$536</f>
        <v>0</v>
      </c>
      <c r="GC35" s="1361">
        <v>13</v>
      </c>
      <c r="GD35" s="1353">
        <f t="shared" si="49"/>
        <v>1</v>
      </c>
      <c r="GE35" s="1353">
        <f t="shared" si="40"/>
        <v>1</v>
      </c>
      <c r="GF35" s="1353">
        <f t="shared" si="41"/>
        <v>1</v>
      </c>
      <c r="GG35" s="1353">
        <f t="shared" si="42"/>
        <v>1</v>
      </c>
      <c r="GH35" s="1353">
        <f t="shared" si="43"/>
        <v>1</v>
      </c>
      <c r="GI35" s="1353">
        <f t="shared" si="44"/>
        <v>1</v>
      </c>
      <c r="GJ35" s="1353">
        <f t="shared" si="45"/>
        <v>6</v>
      </c>
      <c r="GK35" s="1354">
        <f t="shared" si="46"/>
        <v>129</v>
      </c>
      <c r="GL35" s="1353">
        <v>13</v>
      </c>
      <c r="GM35" s="2388" t="str">
        <f>Plantillas!I$517</f>
        <v>X</v>
      </c>
      <c r="GN35" s="2388" t="str">
        <f>Plantillas!I$518</f>
        <v>X</v>
      </c>
      <c r="GO35" s="2388">
        <f>Plantillas!I$519</f>
        <v>0</v>
      </c>
      <c r="GP35" s="2388" t="str">
        <f>Plantillas!I$520</f>
        <v>X</v>
      </c>
      <c r="GQ35" s="2388" t="str">
        <f>Plantillas!I$521</f>
        <v>X</v>
      </c>
      <c r="GR35" s="2388" t="str">
        <f>Plantillas!I$522</f>
        <v>X</v>
      </c>
      <c r="GS35" s="2388">
        <f>Plantillas!I$523</f>
        <v>0</v>
      </c>
      <c r="GT35" s="2388">
        <f>Plantillas!I$524</f>
        <v>0</v>
      </c>
      <c r="GU35" s="2388" t="str">
        <f>Plantillas!I$525</f>
        <v>X</v>
      </c>
      <c r="GV35" s="2388">
        <f>Plantillas!I$526</f>
        <v>0</v>
      </c>
      <c r="GW35" s="2388">
        <f>Plantillas!I$527</f>
        <v>0</v>
      </c>
      <c r="GX35" s="2388">
        <f>Plantillas!I$528</f>
        <v>0</v>
      </c>
      <c r="GY35" s="2388">
        <f>Plantillas!I$529</f>
        <v>0</v>
      </c>
      <c r="GZ35" s="2388">
        <f>Plantillas!I$530</f>
        <v>0</v>
      </c>
      <c r="HA35" s="2388">
        <f>Plantillas!I$531</f>
        <v>0</v>
      </c>
      <c r="HB35" s="2388">
        <f>Plantillas!I$532</f>
        <v>0</v>
      </c>
      <c r="HC35" s="2388">
        <f>Plantillas!I$533</f>
        <v>0</v>
      </c>
      <c r="HD35" s="2388">
        <f>Plantillas!I$534</f>
        <v>0</v>
      </c>
      <c r="HE35" s="2388">
        <f>Plantillas!I$535</f>
        <v>0</v>
      </c>
      <c r="HF35" s="2389">
        <f>Plantillas!I$536</f>
        <v>0</v>
      </c>
      <c r="HG35" s="778">
        <v>11</v>
      </c>
      <c r="HH35" s="2368">
        <f>'[1]0688W'!$D$31</f>
        <v>0</v>
      </c>
      <c r="HI35" s="2649">
        <f>'[1]0688W'!$E$31</f>
        <v>0</v>
      </c>
      <c r="HJ35" s="2370">
        <f>'[1]0688W'!$G$31</f>
        <v>0</v>
      </c>
      <c r="HK35" s="2369">
        <f>'[1]0688W'!$H$31</f>
        <v>0</v>
      </c>
      <c r="HL35" s="2648">
        <f>'[1]0688W'!$J$31</f>
        <v>0</v>
      </c>
      <c r="HM35" s="2649">
        <f>'[1]0688W'!$K$31</f>
        <v>0</v>
      </c>
      <c r="HN35" s="2370">
        <f>'[1]0688W'!$M$31</f>
        <v>0</v>
      </c>
      <c r="HO35" s="2369">
        <f>'[1]0688W'!$N$31</f>
        <v>0</v>
      </c>
      <c r="HP35" s="2648">
        <f>'[1]0688W'!$P$31</f>
        <v>0</v>
      </c>
      <c r="HQ35" s="2649">
        <f>'[1]0688W'!$Q$31</f>
        <v>0</v>
      </c>
      <c r="HR35" s="2370">
        <f>'[1]0688W'!$S$31</f>
        <v>0</v>
      </c>
      <c r="HS35" s="2369">
        <f>'[1]0688W'!$T$31</f>
        <v>0</v>
      </c>
      <c r="HT35" s="2368">
        <f>'[1]0688W'!$D$32</f>
        <v>0</v>
      </c>
      <c r="HU35" s="2369">
        <f>'[1]0688W'!$E$32</f>
        <v>0</v>
      </c>
      <c r="HV35" s="2648">
        <f>'[1]0688W'!$G$32</f>
        <v>0</v>
      </c>
      <c r="HW35" s="2649">
        <f>'[1]0688W'!$H$32</f>
        <v>0</v>
      </c>
      <c r="HX35" s="2370">
        <f>'[1]0688W'!$J$32</f>
        <v>0</v>
      </c>
      <c r="HY35" s="2369">
        <f>'[1]0688W'!$K$32</f>
        <v>0</v>
      </c>
      <c r="HZ35" s="2648">
        <f>'[1]0688W'!$M$32</f>
        <v>0</v>
      </c>
      <c r="IA35" s="2649">
        <f>'[1]0688W'!$N$32</f>
        <v>0</v>
      </c>
      <c r="IB35" s="2648">
        <f>'[1]0688W'!$P$32</f>
        <v>0</v>
      </c>
      <c r="IC35" s="2649">
        <f>'[1]0688W'!$Q$32</f>
        <v>0</v>
      </c>
      <c r="ID35" s="2370">
        <f>'[1]0688W'!$S$32</f>
        <v>0</v>
      </c>
      <c r="IE35" s="2371">
        <f>'[1]0688W'!$T$32</f>
        <v>0</v>
      </c>
      <c r="IF35" s="2368">
        <f>'[1]0688W'!$D$34</f>
        <v>0</v>
      </c>
      <c r="IG35" s="2369">
        <f>'[1]0688W'!$E$34</f>
        <v>0</v>
      </c>
      <c r="IH35" s="2648">
        <f>'[1]0688W'!$G$34</f>
        <v>0</v>
      </c>
      <c r="II35" s="2649">
        <f>'[1]0688W'!$H$34</f>
        <v>0</v>
      </c>
      <c r="IJ35" s="2370">
        <f>'[1]0688W'!$J$34</f>
        <v>0</v>
      </c>
      <c r="IK35" s="2369">
        <f>'[1]0688W'!$K$34</f>
        <v>0</v>
      </c>
      <c r="IL35" s="2648">
        <f>'[1]0688W'!$M$34</f>
        <v>0</v>
      </c>
      <c r="IM35" s="2649">
        <f>'[1]0688W'!$N$34</f>
        <v>0</v>
      </c>
      <c r="IN35" s="2370">
        <f>'[1]0688W'!$P$34</f>
        <v>0</v>
      </c>
      <c r="IO35" s="2369">
        <f>'[1]0688W'!$Q$34</f>
        <v>0</v>
      </c>
      <c r="IP35" s="2648">
        <f>'[1]0688W'!$S$34</f>
        <v>0</v>
      </c>
      <c r="IQ35" s="2371">
        <f>'[1]0688W'!$T$34</f>
        <v>0</v>
      </c>
      <c r="IR35" s="2368">
        <f>'[1]0688W'!$D$37</f>
        <v>0</v>
      </c>
      <c r="IS35" s="2369">
        <f>'[1]0688W'!$E$37</f>
        <v>0</v>
      </c>
      <c r="IT35" s="2648">
        <f>'[1]0688W'!$G$37</f>
        <v>0</v>
      </c>
      <c r="IU35" s="2649">
        <f>'[1]0688W'!$H$37</f>
        <v>0</v>
      </c>
      <c r="IV35" s="2370">
        <f>'[1]0688W'!$J$37</f>
        <v>0</v>
      </c>
      <c r="IW35" s="2369">
        <f>'[1]0688W'!$K$37</f>
        <v>0</v>
      </c>
      <c r="IX35" s="2648">
        <f>'[1]0688W'!$M$37</f>
        <v>0</v>
      </c>
      <c r="IY35" s="2649">
        <f>'[1]0688W'!$N$37</f>
        <v>0</v>
      </c>
      <c r="IZ35" s="2648">
        <f>'[1]0688W'!$P$37</f>
        <v>0</v>
      </c>
      <c r="JA35" s="2649">
        <f>'[1]0688W'!$Q$37</f>
        <v>0</v>
      </c>
      <c r="JB35" s="2370">
        <f>'[1]0688W'!$S$37</f>
        <v>0</v>
      </c>
      <c r="JC35" s="2371">
        <f>'[1]0688W'!$T$37</f>
        <v>0</v>
      </c>
      <c r="JD35" s="2368">
        <f>'[1]0688W'!$D$39</f>
        <v>0</v>
      </c>
      <c r="JE35" s="2369">
        <f>'[1]0688W'!$E$39</f>
        <v>0</v>
      </c>
      <c r="JF35" s="2648">
        <f>'[1]0688W'!$G$39</f>
        <v>0</v>
      </c>
      <c r="JG35" s="2649">
        <f>'[1]0688W'!$H$39</f>
        <v>0</v>
      </c>
      <c r="JH35" s="2370">
        <f>'[1]0688W'!$J$39</f>
        <v>0</v>
      </c>
      <c r="JI35" s="2369">
        <f>'[1]0688W'!$K$39</f>
        <v>0</v>
      </c>
      <c r="JJ35" s="2648">
        <f>'[1]0688W'!$M$39</f>
        <v>0</v>
      </c>
      <c r="JK35" s="2649">
        <f>'[1]0688W'!$N$39</f>
        <v>0</v>
      </c>
      <c r="JL35" s="2648">
        <f>'[1]0688W'!$P$39</f>
        <v>0</v>
      </c>
      <c r="JM35" s="2649">
        <f>'[1]0688W'!$Q$39</f>
        <v>0</v>
      </c>
      <c r="JN35" s="2370">
        <f>'[1]0688W'!$S$39</f>
        <v>0</v>
      </c>
      <c r="JO35" s="2369">
        <f>'[1]0688W'!$T$39</f>
        <v>0</v>
      </c>
      <c r="JP35" s="2648">
        <f>'[1]0688W'!$D$28</f>
        <v>0</v>
      </c>
      <c r="JQ35" s="2649">
        <f>'[1]0688W'!$E$28</f>
        <v>0</v>
      </c>
      <c r="JR35" s="2648">
        <f>'[1]0688W'!$G$28</f>
        <v>0</v>
      </c>
      <c r="JS35" s="2649">
        <f>'[1]0688W'!$H$28</f>
        <v>0</v>
      </c>
      <c r="JT35" s="2370">
        <f>'[1]0688W'!$J$28</f>
        <v>0</v>
      </c>
      <c r="JU35" s="2369">
        <f>'[1]0688W'!$K$28</f>
        <v>0</v>
      </c>
      <c r="JV35" s="2648">
        <f>'[1]0688W'!$M$28</f>
        <v>0</v>
      </c>
      <c r="JW35" s="2649">
        <f>'[1]0688W'!$N$28</f>
        <v>0</v>
      </c>
      <c r="JX35" s="2648">
        <f>'[1]0688W'!$P$28</f>
        <v>0</v>
      </c>
      <c r="JY35" s="2649">
        <f>'[1]0688W'!$Q$28</f>
        <v>0</v>
      </c>
      <c r="JZ35" s="2370">
        <f>'[1]0688W'!$S$28</f>
        <v>0</v>
      </c>
      <c r="KA35" s="2369">
        <f>'[1]0688W'!$T$28</f>
        <v>0</v>
      </c>
      <c r="KB35" s="2372">
        <f t="shared" si="51"/>
        <v>0</v>
      </c>
      <c r="KC35" s="2373">
        <f t="shared" si="52"/>
        <v>0</v>
      </c>
      <c r="KD35" s="2373">
        <f t="shared" si="53"/>
        <v>0</v>
      </c>
      <c r="KE35" s="2373">
        <f t="shared" si="54"/>
        <v>0</v>
      </c>
      <c r="KF35" s="2373">
        <f t="shared" si="55"/>
        <v>0</v>
      </c>
      <c r="KG35" s="2374">
        <f t="shared" si="56"/>
        <v>0</v>
      </c>
      <c r="KH35" s="1361">
        <v>12</v>
      </c>
      <c r="KI35" s="1929" t="str">
        <f>Plantillas!D472</f>
        <v>COLEGIO HISPANOAMERICANO LA LUNA</v>
      </c>
      <c r="KJ35" s="1954" t="str">
        <f t="shared" si="47"/>
        <v>COLEGIO HISPANOAMERICANO LA LUNA</v>
      </c>
      <c r="KK35" s="1954" t="str">
        <f t="shared" ref="KK35:KU35" si="69">KJ35</f>
        <v>COLEGIO HISPANOAMERICANO LA LUNA</v>
      </c>
      <c r="KL35" s="1954" t="str">
        <f t="shared" si="69"/>
        <v>COLEGIO HISPANOAMERICANO LA LUNA</v>
      </c>
      <c r="KM35" s="1954" t="str">
        <f t="shared" si="69"/>
        <v>COLEGIO HISPANOAMERICANO LA LUNA</v>
      </c>
      <c r="KN35" s="1954" t="str">
        <f t="shared" si="69"/>
        <v>COLEGIO HISPANOAMERICANO LA LUNA</v>
      </c>
      <c r="KO35" s="1954" t="str">
        <f t="shared" si="69"/>
        <v>COLEGIO HISPANOAMERICANO LA LUNA</v>
      </c>
      <c r="KP35" s="1954" t="str">
        <f t="shared" si="69"/>
        <v>COLEGIO HISPANOAMERICANO LA LUNA</v>
      </c>
      <c r="KQ35" s="1954" t="str">
        <f t="shared" si="69"/>
        <v>COLEGIO HISPANOAMERICANO LA LUNA</v>
      </c>
      <c r="KR35" s="1954" t="str">
        <f t="shared" si="69"/>
        <v>COLEGIO HISPANOAMERICANO LA LUNA</v>
      </c>
      <c r="KS35" s="1954" t="str">
        <f t="shared" si="69"/>
        <v>COLEGIO HISPANOAMERICANO LA LUNA</v>
      </c>
      <c r="KT35" s="1954" t="str">
        <f t="shared" si="69"/>
        <v>COLEGIO HISPANOAMERICANO LA LUNA</v>
      </c>
      <c r="KU35" s="1954" t="str">
        <f t="shared" si="69"/>
        <v>COLEGIO HISPANOAMERICANO LA LUNA</v>
      </c>
      <c r="KV35" s="1954" t="str">
        <f t="shared" ref="KV35" si="70">KU35</f>
        <v>COLEGIO HISPANOAMERICANO LA LUNA</v>
      </c>
      <c r="KW35" s="1954" t="str">
        <f t="shared" ref="KW35" si="71">KV35</f>
        <v>COLEGIO HISPANOAMERICANO LA LUNA</v>
      </c>
      <c r="KX35" s="1956"/>
      <c r="KY35" s="1956"/>
      <c r="KZ35" s="1956"/>
      <c r="LA35" s="1956"/>
      <c r="LB35" s="1957"/>
      <c r="LC35" s="1361">
        <v>12</v>
      </c>
      <c r="LD35" s="2985" t="s">
        <v>100</v>
      </c>
      <c r="LE35" s="2985" t="s">
        <v>100</v>
      </c>
      <c r="LF35" s="2985" t="s">
        <v>100</v>
      </c>
      <c r="LG35" s="2985" t="s">
        <v>100</v>
      </c>
      <c r="LH35" s="2985" t="s">
        <v>100</v>
      </c>
      <c r="LI35" s="2985" t="s">
        <v>100</v>
      </c>
      <c r="LJ35" s="2985" t="s">
        <v>100</v>
      </c>
      <c r="LK35" s="2985" t="s">
        <v>100</v>
      </c>
      <c r="LL35" s="2985" t="s">
        <v>100</v>
      </c>
      <c r="LM35" s="2985" t="s">
        <v>100</v>
      </c>
      <c r="LN35" s="2985" t="s">
        <v>100</v>
      </c>
      <c r="LO35" s="2985" t="s">
        <v>100</v>
      </c>
      <c r="LP35" s="2985" t="s">
        <v>100</v>
      </c>
      <c r="LQ35" s="2985" t="s">
        <v>100</v>
      </c>
      <c r="LR35" s="2985" t="s">
        <v>100</v>
      </c>
      <c r="LS35" s="2985"/>
      <c r="LT35" s="2985"/>
      <c r="LU35" s="2985"/>
      <c r="LV35" s="2985"/>
      <c r="LW35" s="2986"/>
    </row>
    <row r="36" spans="1:335" ht="12.75" customHeight="1" thickBot="1">
      <c r="A36" s="16">
        <v>20</v>
      </c>
      <c r="B36" s="33">
        <f>VLOOKUP(T6,AX23:DI42,59,59)</f>
        <v>0</v>
      </c>
      <c r="C36" s="36">
        <f>VLOOKUP(T6,AX23:DI42,60,60)</f>
        <v>0</v>
      </c>
      <c r="D36" s="30">
        <f>VLOOKUP(T6,BG2:CA21,21,21)</f>
        <v>0</v>
      </c>
      <c r="E36" s="22"/>
      <c r="F36" s="22"/>
      <c r="G36" s="22"/>
      <c r="H36" s="22"/>
      <c r="I36" s="3361">
        <f>VLOOKUP(T6,LC24:LW43,21,21)</f>
        <v>0</v>
      </c>
      <c r="J36" s="3779">
        <f>VLOOKUP(T6,AX44:BR63,21,21)</f>
        <v>0</v>
      </c>
      <c r="K36" s="3779"/>
      <c r="L36" s="3779">
        <f>VLOOKUP(T6,BS44:CM63,21,21)</f>
        <v>0</v>
      </c>
      <c r="M36" s="3779"/>
      <c r="N36" s="3779">
        <f>VLOOKUP(T6,CN44:DH63,21,21)</f>
        <v>0</v>
      </c>
      <c r="O36" s="3779"/>
      <c r="P36" s="3779">
        <f>VLOOKUP(T6,DI44:EC63,21,21)</f>
        <v>0</v>
      </c>
      <c r="Q36" s="3779"/>
      <c r="R36" s="3779">
        <f>VLOOKUP(T6,ED44:EX63,21,21)</f>
        <v>0</v>
      </c>
      <c r="S36" s="3779"/>
      <c r="T36" s="3779">
        <f>VLOOKUP(T6,EY44:FS63,21,21)</f>
        <v>0</v>
      </c>
      <c r="U36" s="3779"/>
      <c r="V36" s="3785">
        <f t="shared" si="32"/>
        <v>0</v>
      </c>
      <c r="W36" s="3786"/>
      <c r="X36" s="3789"/>
      <c r="Y36" s="3790"/>
      <c r="Z36" s="3789"/>
      <c r="AA36" s="3790"/>
      <c r="AB36" s="3799"/>
      <c r="AC36" s="3800"/>
      <c r="AD36" s="3799"/>
      <c r="AE36" s="3800"/>
      <c r="AF36" s="3364" t="str">
        <f t="shared" si="33"/>
        <v>00</v>
      </c>
      <c r="AG36" s="3365">
        <f t="shared" si="34"/>
        <v>0</v>
      </c>
      <c r="AH36" s="3874">
        <f>VLOOKUP(T6,AX23:DI42,61,61)</f>
        <v>0</v>
      </c>
      <c r="AI36" s="3875"/>
      <c r="AJ36" s="3870"/>
      <c r="AK36" s="3871"/>
      <c r="AL36" s="3198">
        <f>VLOOKUP(T6,GL2:HF21,21,21)</f>
        <v>0</v>
      </c>
      <c r="AM36" s="3199">
        <f>VLOOKUP(T6,GL23:HF42,21,21)</f>
        <v>0</v>
      </c>
      <c r="AN36" s="3200">
        <f>VLOOKUP(T6,CB2:CV21,21,21)</f>
        <v>0</v>
      </c>
      <c r="AO36" s="3200">
        <f>VLOOKUP(T6,CW2:DQ21,21,21)</f>
        <v>0</v>
      </c>
      <c r="AP36" s="3200">
        <f>VLOOKUP(T6,DR2:EL21,21,21)</f>
        <v>0</v>
      </c>
      <c r="AQ36" s="3200">
        <f>VLOOKUP(T6,DR23:EL42,21,21)</f>
        <v>0</v>
      </c>
      <c r="AR36" s="3200">
        <f>VLOOKUP(T6,LC2:LW21,21,21)</f>
        <v>0</v>
      </c>
      <c r="AS36" s="3199">
        <f>VLOOKUP(T6,FH2:GB21,21,21)</f>
        <v>0</v>
      </c>
      <c r="AT36" s="3199">
        <f>VLOOKUP(T6,EM2:FG21,21,21)</f>
        <v>0</v>
      </c>
      <c r="AU36" s="3201">
        <f>VLOOKUP(T6,FH23:GB42,21,21)</f>
        <v>0</v>
      </c>
      <c r="AV36" s="3202">
        <f>VLOOKUP(T6,KH2:LB21,21,21)</f>
        <v>0</v>
      </c>
      <c r="AW36" s="2803">
        <f>VLOOKUP(T6,KH24:LB43,21,21)</f>
        <v>0</v>
      </c>
      <c r="AX36" s="779">
        <v>14</v>
      </c>
      <c r="AY36" s="2013">
        <f>Plantillas!Y$557</f>
        <v>0</v>
      </c>
      <c r="AZ36" s="2014">
        <f>Plantillas!Z$557</f>
        <v>0</v>
      </c>
      <c r="BA36" s="2015">
        <f>Plantillas!AA$557</f>
        <v>0</v>
      </c>
      <c r="BB36" s="2013" t="str">
        <f>Plantillas!Y$558</f>
        <v>1º</v>
      </c>
      <c r="BC36" s="2014" t="str">
        <f>Plantillas!Z$558</f>
        <v>A</v>
      </c>
      <c r="BD36" s="2016">
        <f>Plantillas!AA$558</f>
        <v>15</v>
      </c>
      <c r="BE36" s="2013" t="str">
        <f>Plantillas!Y$559</f>
        <v>2º</v>
      </c>
      <c r="BF36" s="2014" t="str">
        <f>Plantillas!Z$559</f>
        <v>A</v>
      </c>
      <c r="BG36" s="2016">
        <f>Plantillas!AA$559</f>
        <v>13</v>
      </c>
      <c r="BH36" s="2013" t="str">
        <f>Plantillas!Y$560</f>
        <v>3º</v>
      </c>
      <c r="BI36" s="2014" t="str">
        <f>Plantillas!Z$560</f>
        <v>A</v>
      </c>
      <c r="BJ36" s="2016">
        <f>Plantillas!AA$560</f>
        <v>10</v>
      </c>
      <c r="BK36" s="2013" t="str">
        <f>Plantillas!Y$561</f>
        <v>4º</v>
      </c>
      <c r="BL36" s="2014" t="str">
        <f>Plantillas!Z$561</f>
        <v>A</v>
      </c>
      <c r="BM36" s="2016">
        <f>Plantillas!AA$561</f>
        <v>11</v>
      </c>
      <c r="BN36" s="2013">
        <f>Plantillas!Y$562</f>
        <v>0</v>
      </c>
      <c r="BO36" s="2014">
        <f>Plantillas!Z$562</f>
        <v>0</v>
      </c>
      <c r="BP36" s="2016">
        <f>Plantillas!AA$562</f>
        <v>0</v>
      </c>
      <c r="BQ36" s="2013">
        <f>Plantillas!Y$563</f>
        <v>0</v>
      </c>
      <c r="BR36" s="2014">
        <f>Plantillas!Z$563</f>
        <v>0</v>
      </c>
      <c r="BS36" s="2016">
        <f>Plantillas!AA$563</f>
        <v>0</v>
      </c>
      <c r="BT36" s="2013">
        <f>Plantillas!Y$564</f>
        <v>0</v>
      </c>
      <c r="BU36" s="2014">
        <f>Plantillas!Z$564</f>
        <v>0</v>
      </c>
      <c r="BV36" s="2016">
        <f>Plantillas!AA$564</f>
        <v>0</v>
      </c>
      <c r="BW36" s="2013">
        <f>Plantillas!Y$565</f>
        <v>0</v>
      </c>
      <c r="BX36" s="2014">
        <f>Plantillas!Z$565</f>
        <v>0</v>
      </c>
      <c r="BY36" s="2016">
        <f>Plantillas!AA$565</f>
        <v>0</v>
      </c>
      <c r="BZ36" s="2013">
        <f>Plantillas!Y$566</f>
        <v>0</v>
      </c>
      <c r="CA36" s="2014">
        <f>Plantillas!Z$566</f>
        <v>0</v>
      </c>
      <c r="CB36" s="2016">
        <f>Plantillas!AA$566</f>
        <v>0</v>
      </c>
      <c r="CC36" s="2013">
        <f>Plantillas!Y$567</f>
        <v>0</v>
      </c>
      <c r="CD36" s="2014">
        <f>Plantillas!Z$567</f>
        <v>0</v>
      </c>
      <c r="CE36" s="2016">
        <f>Plantillas!AA$567</f>
        <v>0</v>
      </c>
      <c r="CF36" s="2013">
        <f>Plantillas!Y$568</f>
        <v>0</v>
      </c>
      <c r="CG36" s="2014">
        <f>Plantillas!Z$568</f>
        <v>0</v>
      </c>
      <c r="CH36" s="2016">
        <f>Plantillas!AA$568</f>
        <v>0</v>
      </c>
      <c r="CI36" s="2013">
        <f>Plantillas!Y$569</f>
        <v>0</v>
      </c>
      <c r="CJ36" s="2014">
        <f>Plantillas!Z$569</f>
        <v>0</v>
      </c>
      <c r="CK36" s="2016">
        <f>Plantillas!AA$569</f>
        <v>0</v>
      </c>
      <c r="CL36" s="2013">
        <f>Plantillas!Y$570</f>
        <v>0</v>
      </c>
      <c r="CM36" s="2014">
        <f>Plantillas!Z$570</f>
        <v>0</v>
      </c>
      <c r="CN36" s="2016">
        <f>Plantillas!AA$570</f>
        <v>0</v>
      </c>
      <c r="CO36" s="2013">
        <f>Plantillas!Y$571</f>
        <v>0</v>
      </c>
      <c r="CP36" s="2014">
        <f>Plantillas!Z$571</f>
        <v>0</v>
      </c>
      <c r="CQ36" s="2016">
        <f>Plantillas!AA$571</f>
        <v>0</v>
      </c>
      <c r="CR36" s="2013">
        <f>Plantillas!Y$572</f>
        <v>0</v>
      </c>
      <c r="CS36" s="2014">
        <f>Plantillas!Z$572</f>
        <v>0</v>
      </c>
      <c r="CT36" s="2016">
        <f>Plantillas!AA$572</f>
        <v>0</v>
      </c>
      <c r="CU36" s="2013">
        <f>Plantillas!Y$573</f>
        <v>0</v>
      </c>
      <c r="CV36" s="2014">
        <f>Plantillas!Z$573</f>
        <v>0</v>
      </c>
      <c r="CW36" s="2016">
        <f>Plantillas!AA$573</f>
        <v>0</v>
      </c>
      <c r="CX36" s="2013">
        <f>Plantillas!Y$574</f>
        <v>0</v>
      </c>
      <c r="CY36" s="2014">
        <f>Plantillas!Z$574</f>
        <v>0</v>
      </c>
      <c r="CZ36" s="2016">
        <f>Plantillas!AA$574</f>
        <v>0</v>
      </c>
      <c r="DA36" s="2013">
        <f>Plantillas!Y$575</f>
        <v>0</v>
      </c>
      <c r="DB36" s="2014">
        <f>Plantillas!Z$575</f>
        <v>0</v>
      </c>
      <c r="DC36" s="2016">
        <f>Plantillas!AA$575</f>
        <v>0</v>
      </c>
      <c r="DD36" s="2013">
        <f>Plantillas!Y$576</f>
        <v>0</v>
      </c>
      <c r="DE36" s="2014">
        <f>Plantillas!Z$576</f>
        <v>0</v>
      </c>
      <c r="DF36" s="2016">
        <f>Plantillas!AA$576</f>
        <v>0</v>
      </c>
      <c r="DG36" s="2013">
        <f>Plantillas!Y$577</f>
        <v>0</v>
      </c>
      <c r="DH36" s="2014">
        <f>Plantillas!Z$577</f>
        <v>0</v>
      </c>
      <c r="DI36" s="2091" t="str">
        <f>Estadisticas!AA16</f>
        <v>pspatriciarv@hotmail.com</v>
      </c>
      <c r="DJ36" s="183">
        <v>14</v>
      </c>
      <c r="DK36" s="84" t="str">
        <f>VLOOKUP(T6,BG2:CA21,15,15)</f>
        <v>GONGORA * TERESITA DEL CARMEN</v>
      </c>
      <c r="DL36" s="2018" t="str">
        <f>VLOOKUP(T6,CB2:CV21,15,15)</f>
        <v>GOTE710913H14</v>
      </c>
      <c r="DM36" s="2019" t="str">
        <f>VLOOKUP(T6,CW2:DQ21,15,15)</f>
        <v>072303 S0180700.0300489</v>
      </c>
      <c r="DN36" s="2020" t="str">
        <f>VLOOKUP(T6,DR2:EL21,15,15)</f>
        <v>INTENDENTE</v>
      </c>
      <c r="DO36" s="2021" t="str">
        <f>VLOOKUP(T6,DR23:EL42,15,15)</f>
        <v>23FUA0031K</v>
      </c>
      <c r="DP36" s="2022">
        <f>VLOOKUP(T6,EM2:FG21,15,15)</f>
        <v>10</v>
      </c>
      <c r="DQ36" s="84">
        <f>VLOOKUP(T6,EM23:FG42,15,15)</f>
        <v>0</v>
      </c>
      <c r="DR36" s="1361">
        <v>14</v>
      </c>
      <c r="DS36" s="1954">
        <f>Plantillas!N$557</f>
        <v>0</v>
      </c>
      <c r="DT36" s="1954">
        <f>Plantillas!N$558</f>
        <v>0</v>
      </c>
      <c r="DU36" s="1954">
        <f>Plantillas!N$559</f>
        <v>0</v>
      </c>
      <c r="DV36" s="1954">
        <f>Plantillas!N$560</f>
        <v>0</v>
      </c>
      <c r="DW36" s="1954">
        <f>Plantillas!N$561</f>
        <v>0</v>
      </c>
      <c r="DX36" s="1954">
        <f>Plantillas!N$562</f>
        <v>0</v>
      </c>
      <c r="DY36" s="1954">
        <f>Plantillas!N$563</f>
        <v>0</v>
      </c>
      <c r="DZ36" s="1954">
        <f>Plantillas!N$564</f>
        <v>0</v>
      </c>
      <c r="EA36" s="1954">
        <f>Plantillas!N$565</f>
        <v>0</v>
      </c>
      <c r="EB36" s="1954">
        <f>Plantillas!N$566</f>
        <v>0</v>
      </c>
      <c r="EC36" s="1954">
        <f>Plantillas!N$567</f>
        <v>0</v>
      </c>
      <c r="ED36" s="1954">
        <f>Plantillas!N$568</f>
        <v>0</v>
      </c>
      <c r="EE36" s="1954">
        <f>Plantillas!N$569</f>
        <v>0</v>
      </c>
      <c r="EF36" s="1954">
        <f>Plantillas!N$570</f>
        <v>0</v>
      </c>
      <c r="EG36" s="1954">
        <f>Plantillas!N$571</f>
        <v>0</v>
      </c>
      <c r="EH36" s="1954">
        <f>Plantillas!N$572</f>
        <v>0</v>
      </c>
      <c r="EI36" s="1954">
        <f>Plantillas!N$573</f>
        <v>0</v>
      </c>
      <c r="EJ36" s="1954">
        <f>Plantillas!N$574</f>
        <v>0</v>
      </c>
      <c r="EK36" s="1954">
        <f>Plantillas!N$575</f>
        <v>0</v>
      </c>
      <c r="EL36" s="1954">
        <f>Plantillas!N$576</f>
        <v>0</v>
      </c>
      <c r="EM36" s="779">
        <v>14</v>
      </c>
      <c r="EN36" s="1966">
        <f>Plantillas!AA$557</f>
        <v>0</v>
      </c>
      <c r="EO36" s="1966">
        <f>Plantillas!AA$558</f>
        <v>15</v>
      </c>
      <c r="EP36" s="1966">
        <f>Plantillas!AA$559</f>
        <v>13</v>
      </c>
      <c r="EQ36" s="1966">
        <f>Plantillas!AA$560</f>
        <v>10</v>
      </c>
      <c r="ER36" s="1966">
        <f>Plantillas!AA$561</f>
        <v>11</v>
      </c>
      <c r="ES36" s="1966">
        <f>Plantillas!AA$562</f>
        <v>0</v>
      </c>
      <c r="ET36" s="1966">
        <f>Plantillas!AA$563</f>
        <v>0</v>
      </c>
      <c r="EU36" s="1966">
        <f>Plantillas!AA$564</f>
        <v>0</v>
      </c>
      <c r="EV36" s="1966">
        <f>Plantillas!AA$565</f>
        <v>0</v>
      </c>
      <c r="EW36" s="1966">
        <f>Plantillas!AA$566</f>
        <v>0</v>
      </c>
      <c r="EX36" s="1966">
        <f>Plantillas!AA$567</f>
        <v>0</v>
      </c>
      <c r="EY36" s="1966">
        <f>Plantillas!AA$568</f>
        <v>0</v>
      </c>
      <c r="EZ36" s="1966">
        <f>Plantillas!AA$569</f>
        <v>0</v>
      </c>
      <c r="FA36" s="1966">
        <f>Plantillas!AA$570</f>
        <v>0</v>
      </c>
      <c r="FB36" s="1966">
        <f>Plantillas!AA$571</f>
        <v>0</v>
      </c>
      <c r="FC36" s="1966">
        <f>Plantillas!AA$572</f>
        <v>0</v>
      </c>
      <c r="FD36" s="1966">
        <f>Plantillas!AA$573</f>
        <v>0</v>
      </c>
      <c r="FE36" s="1966">
        <f>Plantillas!AA$574</f>
        <v>0</v>
      </c>
      <c r="FF36" s="1966">
        <f>Plantillas!AA$575</f>
        <v>0</v>
      </c>
      <c r="FG36" s="1967">
        <f>Plantillas!AA$576</f>
        <v>0</v>
      </c>
      <c r="FH36" s="779">
        <v>14</v>
      </c>
      <c r="FI36" s="1959" t="str">
        <f>Plantillas!W$557</f>
        <v>01-09-2012</v>
      </c>
      <c r="FJ36" s="1959">
        <f>Plantillas!W$558</f>
        <v>0</v>
      </c>
      <c r="FK36" s="1959">
        <f>Plantillas!W$559</f>
        <v>0</v>
      </c>
      <c r="FL36" s="1959">
        <f>Plantillas!W$560</f>
        <v>0</v>
      </c>
      <c r="FM36" s="1959">
        <f>Plantillas!W$561</f>
        <v>0</v>
      </c>
      <c r="FN36" s="1959" t="str">
        <f>Plantillas!W$562</f>
        <v>03-02-2011</v>
      </c>
      <c r="FO36" s="1959" t="str">
        <f>Plantillas!W$563</f>
        <v>03-10-2011</v>
      </c>
      <c r="FP36" s="1959" t="str">
        <f>Plantillas!W$564</f>
        <v>03-10-2011</v>
      </c>
      <c r="FQ36" s="1959">
        <f>Plantillas!W$565</f>
        <v>0</v>
      </c>
      <c r="FR36" s="1959">
        <f>Plantillas!W$566</f>
        <v>0</v>
      </c>
      <c r="FS36" s="1959">
        <f>Plantillas!W$567</f>
        <v>0</v>
      </c>
      <c r="FT36" s="1959">
        <f>Plantillas!W$568</f>
        <v>0</v>
      </c>
      <c r="FU36" s="1959">
        <f>Plantillas!W$569</f>
        <v>0</v>
      </c>
      <c r="FV36" s="1959">
        <f>Plantillas!W$570</f>
        <v>0</v>
      </c>
      <c r="FW36" s="1959">
        <f>Plantillas!W$571</f>
        <v>0</v>
      </c>
      <c r="FX36" s="1959">
        <f>Plantillas!W$572</f>
        <v>0</v>
      </c>
      <c r="FY36" s="1959">
        <f>Plantillas!W$573</f>
        <v>0</v>
      </c>
      <c r="FZ36" s="1959">
        <f>Plantillas!W$574</f>
        <v>0</v>
      </c>
      <c r="GA36" s="1959">
        <f>Plantillas!W$575</f>
        <v>0</v>
      </c>
      <c r="GB36" s="2025">
        <f>Plantillas!W$576</f>
        <v>0</v>
      </c>
      <c r="GC36" s="1361">
        <v>14</v>
      </c>
      <c r="GD36" s="1353">
        <f t="shared" si="49"/>
        <v>1</v>
      </c>
      <c r="GE36" s="1353">
        <f t="shared" si="40"/>
        <v>0</v>
      </c>
      <c r="GF36" s="1353">
        <f t="shared" si="41"/>
        <v>1</v>
      </c>
      <c r="GG36" s="1353">
        <f t="shared" si="42"/>
        <v>1</v>
      </c>
      <c r="GH36" s="1353">
        <f t="shared" si="43"/>
        <v>1</v>
      </c>
      <c r="GI36" s="1353">
        <f t="shared" si="44"/>
        <v>0</v>
      </c>
      <c r="GJ36" s="1353">
        <f t="shared" si="45"/>
        <v>4</v>
      </c>
      <c r="GK36" s="1354">
        <f t="shared" si="46"/>
        <v>61</v>
      </c>
      <c r="GL36" s="1353">
        <v>14</v>
      </c>
      <c r="GM36" s="2388" t="str">
        <f>Plantillas!I$557</f>
        <v>X</v>
      </c>
      <c r="GN36" s="2388" t="str">
        <f>Plantillas!I$558</f>
        <v>X</v>
      </c>
      <c r="GO36" s="2388">
        <f>Plantillas!I$559</f>
        <v>0</v>
      </c>
      <c r="GP36" s="2388" t="str">
        <f>Plantillas!I$560</f>
        <v>X</v>
      </c>
      <c r="GQ36" s="2388">
        <f>Plantillas!I$561</f>
        <v>0</v>
      </c>
      <c r="GR36" s="2388">
        <f>Plantillas!I$562</f>
        <v>0</v>
      </c>
      <c r="GS36" s="2388" t="str">
        <f>Plantillas!I$563</f>
        <v>X</v>
      </c>
      <c r="GT36" s="2388" t="str">
        <f>Plantillas!I$564</f>
        <v>X</v>
      </c>
      <c r="GU36" s="2388">
        <f>Plantillas!I$565</f>
        <v>0</v>
      </c>
      <c r="GV36" s="2388">
        <f>Plantillas!I$566</f>
        <v>0</v>
      </c>
      <c r="GW36" s="2388">
        <f>Plantillas!I$567</f>
        <v>0</v>
      </c>
      <c r="GX36" s="2388">
        <f>Plantillas!I$568</f>
        <v>0</v>
      </c>
      <c r="GY36" s="2388">
        <f>Plantillas!I$569</f>
        <v>0</v>
      </c>
      <c r="GZ36" s="2388">
        <f>Plantillas!I$570</f>
        <v>0</v>
      </c>
      <c r="HA36" s="2388">
        <f>Plantillas!I$571</f>
        <v>0</v>
      </c>
      <c r="HB36" s="2388">
        <f>Plantillas!I$572</f>
        <v>0</v>
      </c>
      <c r="HC36" s="2388">
        <f>Plantillas!I$573</f>
        <v>0</v>
      </c>
      <c r="HD36" s="2388">
        <f>Plantillas!I$574</f>
        <v>0</v>
      </c>
      <c r="HE36" s="2388">
        <f>Plantillas!I$575</f>
        <v>0</v>
      </c>
      <c r="HF36" s="2389">
        <f>Plantillas!I$576</f>
        <v>0</v>
      </c>
      <c r="HG36" s="778">
        <v>12</v>
      </c>
      <c r="HH36" s="1358">
        <f>'[1]0099M'!$D$31</f>
        <v>6</v>
      </c>
      <c r="HI36" s="2647">
        <f>'[1]0099M'!$E$31</f>
        <v>3</v>
      </c>
      <c r="HJ36" s="1359">
        <f>'[1]0099M'!$G$31</f>
        <v>7</v>
      </c>
      <c r="HK36" s="1353">
        <f>'[1]0099M'!$H$31</f>
        <v>6</v>
      </c>
      <c r="HL36" s="2646">
        <f>'[1]0099M'!$J$31</f>
        <v>4</v>
      </c>
      <c r="HM36" s="2647">
        <f>'[1]0099M'!$K$31</f>
        <v>4</v>
      </c>
      <c r="HN36" s="1359">
        <f>'[1]0099M'!$M$31</f>
        <v>10</v>
      </c>
      <c r="HO36" s="1353">
        <f>'[1]0099M'!$N$31</f>
        <v>3</v>
      </c>
      <c r="HP36" s="2646">
        <f>'[1]0099M'!$P$31</f>
        <v>10</v>
      </c>
      <c r="HQ36" s="2647">
        <f>'[1]0099M'!$Q$31</f>
        <v>7</v>
      </c>
      <c r="HR36" s="1359">
        <f>'[1]0099M'!$S$31</f>
        <v>5</v>
      </c>
      <c r="HS36" s="1353">
        <f>'[1]0099M'!$T$31</f>
        <v>8</v>
      </c>
      <c r="HT36" s="1358">
        <f>'[1]0099M'!$D$32</f>
        <v>0</v>
      </c>
      <c r="HU36" s="1353">
        <f>'[1]0099M'!$E$32</f>
        <v>1</v>
      </c>
      <c r="HV36" s="2646">
        <f>'[1]0099M'!$G$32</f>
        <v>1</v>
      </c>
      <c r="HW36" s="2647">
        <f>'[1]0099M'!$H$32</f>
        <v>3</v>
      </c>
      <c r="HX36" s="1359">
        <f>'[1]0099M'!$J$32</f>
        <v>0</v>
      </c>
      <c r="HY36" s="1353">
        <f>'[1]0099M'!$K$32</f>
        <v>3</v>
      </c>
      <c r="HZ36" s="2646">
        <f>'[1]0099M'!$M$32</f>
        <v>1</v>
      </c>
      <c r="IA36" s="2647">
        <f>'[1]0099M'!$N$32</f>
        <v>0</v>
      </c>
      <c r="IB36" s="2646">
        <f>'[1]0099M'!$P$32</f>
        <v>0</v>
      </c>
      <c r="IC36" s="2647">
        <f>'[1]0099M'!$Q$32</f>
        <v>3</v>
      </c>
      <c r="ID36" s="1359">
        <f>'[1]0099M'!$S$32</f>
        <v>2</v>
      </c>
      <c r="IE36" s="1354">
        <f>'[1]0099M'!$T$32</f>
        <v>1</v>
      </c>
      <c r="IF36" s="1358">
        <f>'[1]0099M'!$D$34</f>
        <v>0</v>
      </c>
      <c r="IG36" s="1353">
        <f>'[1]0099M'!$E$34</f>
        <v>1</v>
      </c>
      <c r="IH36" s="2646">
        <f>'[1]0099M'!$G$34</f>
        <v>1</v>
      </c>
      <c r="II36" s="2647">
        <f>'[1]0099M'!$H$34</f>
        <v>1</v>
      </c>
      <c r="IJ36" s="1359">
        <f>'[1]0099M'!$J$34</f>
        <v>0</v>
      </c>
      <c r="IK36" s="1353">
        <f>'[1]0099M'!$K$34</f>
        <v>0</v>
      </c>
      <c r="IL36" s="2646">
        <f>'[1]0099M'!$M$34</f>
        <v>1</v>
      </c>
      <c r="IM36" s="2647">
        <f>'[1]0099M'!$N$34</f>
        <v>0</v>
      </c>
      <c r="IN36" s="1359">
        <f>'[1]0099M'!$P$34</f>
        <v>0</v>
      </c>
      <c r="IO36" s="1353">
        <f>'[1]0099M'!$Q$34</f>
        <v>1</v>
      </c>
      <c r="IP36" s="2646">
        <f>'[1]0099M'!$S$34</f>
        <v>0</v>
      </c>
      <c r="IQ36" s="1354">
        <f>'[1]0099M'!$T$34</f>
        <v>0</v>
      </c>
      <c r="IR36" s="1358">
        <f>'[1]0099M'!$D$37</f>
        <v>0</v>
      </c>
      <c r="IS36" s="1353">
        <f>'[1]0099M'!$E$37</f>
        <v>0</v>
      </c>
      <c r="IT36" s="2646">
        <f>'[1]0099M'!$G$37</f>
        <v>0</v>
      </c>
      <c r="IU36" s="2647">
        <f>'[1]0099M'!$H$37</f>
        <v>0</v>
      </c>
      <c r="IV36" s="1359">
        <f>'[1]0099M'!$J$37</f>
        <v>0</v>
      </c>
      <c r="IW36" s="1353">
        <f>'[1]0099M'!$K$37</f>
        <v>0</v>
      </c>
      <c r="IX36" s="2646">
        <f>'[1]0099M'!$M$37</f>
        <v>0</v>
      </c>
      <c r="IY36" s="2647">
        <f>'[1]0099M'!$N$37</f>
        <v>0</v>
      </c>
      <c r="IZ36" s="2646">
        <f>'[1]0099M'!$P$37</f>
        <v>0</v>
      </c>
      <c r="JA36" s="2647">
        <f>'[1]0099M'!$Q$37</f>
        <v>0</v>
      </c>
      <c r="JB36" s="1359">
        <f>'[1]0099M'!$S$37</f>
        <v>0</v>
      </c>
      <c r="JC36" s="1354">
        <f>'[1]0099M'!$T$37</f>
        <v>0</v>
      </c>
      <c r="JD36" s="1358">
        <f>'[1]0099M'!$D$39</f>
        <v>0</v>
      </c>
      <c r="JE36" s="1353">
        <f>'[1]0099M'!$E$39</f>
        <v>1</v>
      </c>
      <c r="JF36" s="2646">
        <f>'[1]0099M'!$G$39</f>
        <v>0</v>
      </c>
      <c r="JG36" s="2647">
        <f>'[1]0099M'!$H$39</f>
        <v>0</v>
      </c>
      <c r="JH36" s="1359">
        <f>'[1]0099M'!$J$39</f>
        <v>1</v>
      </c>
      <c r="JI36" s="1353">
        <f>'[1]0099M'!$K$39</f>
        <v>0</v>
      </c>
      <c r="JJ36" s="2646">
        <f>'[1]0099M'!$M$39</f>
        <v>0</v>
      </c>
      <c r="JK36" s="2647">
        <f>'[1]0099M'!$N$39</f>
        <v>0</v>
      </c>
      <c r="JL36" s="2646">
        <f>'[1]0099M'!$P$39</f>
        <v>1</v>
      </c>
      <c r="JM36" s="2647">
        <f>'[1]0099M'!$Q$39</f>
        <v>0</v>
      </c>
      <c r="JN36" s="1359">
        <f>'[1]0099M'!$S$39</f>
        <v>0</v>
      </c>
      <c r="JO36" s="1353">
        <f>'[1]0099M'!$T$39</f>
        <v>1</v>
      </c>
      <c r="JP36" s="2646">
        <f>'[1]0099M'!$D$28</f>
        <v>0</v>
      </c>
      <c r="JQ36" s="2647">
        <f>'[1]0099M'!$E$28</f>
        <v>0</v>
      </c>
      <c r="JR36" s="2646">
        <f>'[1]0099M'!$G$28</f>
        <v>0</v>
      </c>
      <c r="JS36" s="2647">
        <f>'[1]0099M'!$H$28</f>
        <v>0</v>
      </c>
      <c r="JT36" s="1359">
        <f>'[1]0099M'!$J$28</f>
        <v>0</v>
      </c>
      <c r="JU36" s="1353">
        <f>'[1]0099M'!$K$28</f>
        <v>0</v>
      </c>
      <c r="JV36" s="2646">
        <f>'[1]0099M'!$M$28</f>
        <v>0</v>
      </c>
      <c r="JW36" s="2647">
        <f>'[1]0099M'!$N$28</f>
        <v>0</v>
      </c>
      <c r="JX36" s="2646">
        <f>'[1]0099M'!$P$28</f>
        <v>0</v>
      </c>
      <c r="JY36" s="2647">
        <f>'[1]0099M'!$Q$28</f>
        <v>0</v>
      </c>
      <c r="JZ36" s="1359">
        <f>'[1]0099M'!$S$28</f>
        <v>0</v>
      </c>
      <c r="KA36" s="1353">
        <f>'[1]0099M'!$T$28</f>
        <v>0</v>
      </c>
      <c r="KB36" s="779">
        <f t="shared" si="51"/>
        <v>0</v>
      </c>
      <c r="KC36" s="183">
        <f t="shared" si="52"/>
        <v>0</v>
      </c>
      <c r="KD36" s="183">
        <f t="shared" si="53"/>
        <v>0</v>
      </c>
      <c r="KE36" s="183">
        <f t="shared" si="54"/>
        <v>0</v>
      </c>
      <c r="KF36" s="183">
        <f t="shared" si="55"/>
        <v>0</v>
      </c>
      <c r="KG36" s="782">
        <f t="shared" si="56"/>
        <v>0</v>
      </c>
      <c r="KH36" s="1361">
        <v>13</v>
      </c>
      <c r="KI36" s="1929" t="str">
        <f>Plantillas!D512</f>
        <v>JOSE VASCONCELOS</v>
      </c>
      <c r="KJ36" s="1954" t="str">
        <f t="shared" si="47"/>
        <v>JOSE VASCONCELOS</v>
      </c>
      <c r="KK36" s="1954" t="str">
        <f t="shared" ref="KK36:KQ36" si="72">KJ36</f>
        <v>JOSE VASCONCELOS</v>
      </c>
      <c r="KL36" s="1954" t="str">
        <f t="shared" si="72"/>
        <v>JOSE VASCONCELOS</v>
      </c>
      <c r="KM36" s="1954" t="str">
        <f t="shared" si="72"/>
        <v>JOSE VASCONCELOS</v>
      </c>
      <c r="KN36" s="1954" t="str">
        <f t="shared" si="72"/>
        <v>JOSE VASCONCELOS</v>
      </c>
      <c r="KO36" s="1954" t="str">
        <f t="shared" si="72"/>
        <v>JOSE VASCONCELOS</v>
      </c>
      <c r="KP36" s="1954" t="str">
        <f t="shared" si="72"/>
        <v>JOSE VASCONCELOS</v>
      </c>
      <c r="KQ36" s="1954" t="str">
        <f t="shared" si="72"/>
        <v>JOSE VASCONCELOS</v>
      </c>
      <c r="KR36" s="1954"/>
      <c r="KS36" s="1954"/>
      <c r="KT36" s="1954"/>
      <c r="KU36" s="1954"/>
      <c r="KV36" s="1954"/>
      <c r="KW36" s="1954"/>
      <c r="KX36" s="1956"/>
      <c r="KY36" s="1956"/>
      <c r="KZ36" s="1956"/>
      <c r="LA36" s="1956"/>
      <c r="LB36" s="1957"/>
      <c r="LC36" s="1361">
        <v>13</v>
      </c>
      <c r="LD36" s="2985" t="s">
        <v>100</v>
      </c>
      <c r="LE36" s="2985" t="s">
        <v>100</v>
      </c>
      <c r="LF36" s="2985" t="s">
        <v>100</v>
      </c>
      <c r="LG36" s="2985" t="s">
        <v>100</v>
      </c>
      <c r="LH36" s="2985" t="s">
        <v>100</v>
      </c>
      <c r="LI36" s="2985" t="s">
        <v>100</v>
      </c>
      <c r="LJ36" s="2985" t="s">
        <v>100</v>
      </c>
      <c r="LK36" s="2985" t="s">
        <v>100</v>
      </c>
      <c r="LL36" s="2985" t="s">
        <v>100</v>
      </c>
      <c r="LM36" s="2985"/>
      <c r="LN36" s="2985"/>
      <c r="LO36" s="2985"/>
      <c r="LP36" s="2985"/>
      <c r="LQ36" s="2985"/>
      <c r="LR36" s="2985"/>
      <c r="LS36" s="2985"/>
      <c r="LT36" s="2985"/>
      <c r="LU36" s="2985"/>
      <c r="LV36" s="2985"/>
      <c r="LW36" s="2986"/>
    </row>
    <row r="37" spans="1:335" ht="12" customHeight="1" thickBot="1">
      <c r="A37" s="16"/>
      <c r="B37" s="1709"/>
      <c r="C37" s="3037">
        <v>5</v>
      </c>
      <c r="D37" s="3038" t="str">
        <f>VLOOKUP(C37,A17:AG36,32,33)</f>
        <v>2ºB</v>
      </c>
      <c r="E37" s="3038">
        <f>VLOOKUP(C37,A17:AG36,33,33)</f>
        <v>33</v>
      </c>
      <c r="F37" s="993"/>
      <c r="G37" s="993"/>
      <c r="H37" s="993"/>
      <c r="I37" s="993"/>
      <c r="J37" s="3828">
        <f>SUM(J17:K36)</f>
        <v>33</v>
      </c>
      <c r="K37" s="3829"/>
      <c r="L37" s="3816">
        <f>SUM(L17:M36)</f>
        <v>78</v>
      </c>
      <c r="M37" s="3817"/>
      <c r="N37" s="3816">
        <f>SUM(N17:O36)</f>
        <v>0</v>
      </c>
      <c r="O37" s="3817"/>
      <c r="P37" s="3816">
        <f>SUM(P17:Q36)</f>
        <v>0</v>
      </c>
      <c r="Q37" s="3817"/>
      <c r="R37" s="3816">
        <f>SUM(R17:S36)</f>
        <v>0</v>
      </c>
      <c r="S37" s="3817"/>
      <c r="T37" s="3816">
        <f>SUM(T17:U36)</f>
        <v>0</v>
      </c>
      <c r="U37" s="3817"/>
      <c r="V37" s="3830">
        <f>SUM(V17:W36)</f>
        <v>19.5</v>
      </c>
      <c r="W37" s="3817"/>
      <c r="X37" s="3816">
        <f>SUM(X17:Y36)</f>
        <v>0</v>
      </c>
      <c r="Y37" s="3817"/>
      <c r="Z37" s="3816">
        <f>SUM(Z17:AA36)</f>
        <v>0</v>
      </c>
      <c r="AA37" s="3817"/>
      <c r="AB37" s="3816">
        <f>SUM(AB17:AC36)</f>
        <v>0</v>
      </c>
      <c r="AC37" s="3824"/>
      <c r="AD37" s="3816">
        <f>SUM(AD17:AE36)</f>
        <v>0</v>
      </c>
      <c r="AE37" s="3824"/>
      <c r="AF37" s="2938"/>
      <c r="AG37" s="2938"/>
      <c r="AH37" s="3872">
        <f>SUM(AH17:AI36)</f>
        <v>350</v>
      </c>
      <c r="AI37" s="3873"/>
      <c r="AJ37" s="3872">
        <f>AH37-(SUM(AJ17:AK36))</f>
        <v>350</v>
      </c>
      <c r="AK37" s="3873"/>
      <c r="AL37" s="2820"/>
      <c r="AM37" s="2821"/>
      <c r="AN37" s="1500"/>
      <c r="AO37" s="1501"/>
      <c r="AP37" s="1502"/>
      <c r="AQ37" s="1502"/>
      <c r="AR37" s="1502"/>
      <c r="AS37" s="1502"/>
      <c r="AT37" s="1502"/>
      <c r="AU37" s="1503"/>
      <c r="AV37" s="1504"/>
      <c r="AW37" s="2805" t="s">
        <v>79</v>
      </c>
      <c r="AX37" s="779">
        <v>15</v>
      </c>
      <c r="AY37" s="2013" t="str">
        <f>Plantillas!Y$597</f>
        <v>1º</v>
      </c>
      <c r="AZ37" s="2014" t="str">
        <f>Plantillas!Z$597</f>
        <v>A</v>
      </c>
      <c r="BA37" s="2015">
        <f>Plantillas!AA$597</f>
        <v>21</v>
      </c>
      <c r="BB37" s="2013" t="str">
        <f>Plantillas!Y$598</f>
        <v>1º</v>
      </c>
      <c r="BC37" s="2014" t="str">
        <f>Plantillas!Z$598</f>
        <v>B</v>
      </c>
      <c r="BD37" s="2016">
        <f>Plantillas!AA$598</f>
        <v>21</v>
      </c>
      <c r="BE37" s="2013" t="str">
        <f>Plantillas!Y$599</f>
        <v>2º</v>
      </c>
      <c r="BF37" s="2014" t="str">
        <f>Plantillas!Z$599</f>
        <v>A</v>
      </c>
      <c r="BG37" s="2016">
        <f>Plantillas!AA$599</f>
        <v>14</v>
      </c>
      <c r="BH37" s="2013" t="str">
        <f>Plantillas!Y$600</f>
        <v>2º</v>
      </c>
      <c r="BI37" s="2014" t="str">
        <f>Plantillas!Z$600</f>
        <v>B</v>
      </c>
      <c r="BJ37" s="2016">
        <f>Plantillas!AA$600</f>
        <v>15</v>
      </c>
      <c r="BK37" s="2013" t="str">
        <f>Plantillas!Y$601</f>
        <v>3º</v>
      </c>
      <c r="BL37" s="2014" t="str">
        <f>Plantillas!Z$601</f>
        <v>A</v>
      </c>
      <c r="BM37" s="2016">
        <f>Plantillas!AA$601</f>
        <v>13</v>
      </c>
      <c r="BN37" s="2013" t="str">
        <f>Plantillas!Y$602</f>
        <v>3º</v>
      </c>
      <c r="BO37" s="2014" t="str">
        <f>Plantillas!Z$602</f>
        <v>B</v>
      </c>
      <c r="BP37" s="2016">
        <f>Plantillas!AA$602</f>
        <v>12</v>
      </c>
      <c r="BQ37" s="2013" t="str">
        <f>Plantillas!Y$603</f>
        <v>4º</v>
      </c>
      <c r="BR37" s="2014" t="str">
        <f>Plantillas!Z$603</f>
        <v>A</v>
      </c>
      <c r="BS37" s="2016">
        <f>Plantillas!AA$603</f>
        <v>23</v>
      </c>
      <c r="BT37" s="2013" t="str">
        <f>Plantillas!Y$604</f>
        <v>5º</v>
      </c>
      <c r="BU37" s="2014" t="str">
        <f>Plantillas!Z$604</f>
        <v>A</v>
      </c>
      <c r="BV37" s="2016">
        <f>Plantillas!AA$604</f>
        <v>16</v>
      </c>
      <c r="BW37" s="2013" t="str">
        <f>Plantillas!Y$605</f>
        <v>5º</v>
      </c>
      <c r="BX37" s="2014" t="str">
        <f>Plantillas!Z$605</f>
        <v>B</v>
      </c>
      <c r="BY37" s="2016">
        <f>Plantillas!AA$605</f>
        <v>16</v>
      </c>
      <c r="BZ37" s="2013" t="str">
        <f>Plantillas!Y$606</f>
        <v>6º</v>
      </c>
      <c r="CA37" s="2014" t="str">
        <f>Plantillas!Z$606</f>
        <v>A</v>
      </c>
      <c r="CB37" s="2016">
        <f>Plantillas!AA$606</f>
        <v>10</v>
      </c>
      <c r="CC37" s="2013">
        <f>Plantillas!Y$607</f>
        <v>0</v>
      </c>
      <c r="CD37" s="2014">
        <f>Plantillas!Z$607</f>
        <v>0</v>
      </c>
      <c r="CE37" s="2016">
        <f>Plantillas!AA$607</f>
        <v>0</v>
      </c>
      <c r="CF37" s="2013">
        <f>Plantillas!Y$608</f>
        <v>0</v>
      </c>
      <c r="CG37" s="2014">
        <f>Plantillas!Z$608</f>
        <v>0</v>
      </c>
      <c r="CH37" s="2016">
        <f>Plantillas!AA$608</f>
        <v>0</v>
      </c>
      <c r="CI37" s="2013">
        <f>Plantillas!Y$609</f>
        <v>0</v>
      </c>
      <c r="CJ37" s="2014">
        <f>Plantillas!Z$609</f>
        <v>0</v>
      </c>
      <c r="CK37" s="2016">
        <f>Plantillas!AA$609</f>
        <v>0</v>
      </c>
      <c r="CL37" s="2013">
        <f>Plantillas!Y$610</f>
        <v>0</v>
      </c>
      <c r="CM37" s="2014">
        <f>Plantillas!Z$610</f>
        <v>0</v>
      </c>
      <c r="CN37" s="2016">
        <f>Plantillas!AA$610</f>
        <v>0</v>
      </c>
      <c r="CO37" s="2013">
        <f>Plantillas!Y$611</f>
        <v>0</v>
      </c>
      <c r="CP37" s="2014">
        <f>Plantillas!Z$611</f>
        <v>0</v>
      </c>
      <c r="CQ37" s="2016">
        <f>Plantillas!AA$611</f>
        <v>0</v>
      </c>
      <c r="CR37" s="2013">
        <f>Plantillas!Y$612</f>
        <v>0</v>
      </c>
      <c r="CS37" s="2014">
        <f>Plantillas!Z$612</f>
        <v>0</v>
      </c>
      <c r="CT37" s="2016">
        <f>Plantillas!AA$612</f>
        <v>0</v>
      </c>
      <c r="CU37" s="2013">
        <f>Plantillas!Y$613</f>
        <v>0</v>
      </c>
      <c r="CV37" s="2014">
        <f>Plantillas!Z$613</f>
        <v>0</v>
      </c>
      <c r="CW37" s="2016">
        <f>Plantillas!AA$613</f>
        <v>0</v>
      </c>
      <c r="CX37" s="2013">
        <f>Plantillas!Y$614</f>
        <v>0</v>
      </c>
      <c r="CY37" s="2014">
        <f>Plantillas!Z$614</f>
        <v>0</v>
      </c>
      <c r="CZ37" s="2016">
        <f>Plantillas!AA$614</f>
        <v>0</v>
      </c>
      <c r="DA37" s="2013">
        <f>Plantillas!Y$615</f>
        <v>0</v>
      </c>
      <c r="DB37" s="2014">
        <f>Plantillas!Z$615</f>
        <v>0</v>
      </c>
      <c r="DC37" s="2016">
        <f>Plantillas!AA$615</f>
        <v>0</v>
      </c>
      <c r="DD37" s="2013">
        <f>Plantillas!Y$616</f>
        <v>0</v>
      </c>
      <c r="DE37" s="2014">
        <f>Plantillas!Z$616</f>
        <v>0</v>
      </c>
      <c r="DF37" s="2016">
        <f>Plantillas!AA$616</f>
        <v>0</v>
      </c>
      <c r="DG37" s="2013">
        <f>Plantillas!Y$617</f>
        <v>0</v>
      </c>
      <c r="DH37" s="2014">
        <f>Plantillas!Z$617</f>
        <v>0</v>
      </c>
      <c r="DI37" s="2091" t="str">
        <f>Estadisticas!AA17</f>
        <v>cilaqroo@hotmail.com</v>
      </c>
      <c r="DJ37" s="183">
        <v>15</v>
      </c>
      <c r="DK37" s="84" t="str">
        <f>VLOOKUP(T6,BG2:CA21,16,16)</f>
        <v>ARGUELLES GARCIA * MAYRA LUCELY</v>
      </c>
      <c r="DL37" s="2018" t="str">
        <f>VLOOKUP(T6,CB2:CV21,16,16)</f>
        <v>AUGM7601167K6</v>
      </c>
      <c r="DM37" s="2019" t="str">
        <f>VLOOKUP(T6,CW2:DQ21,16,16)</f>
        <v>074823 E076302.0230140</v>
      </c>
      <c r="DN37" s="2020" t="str">
        <f>VLOOKUP(T6,DR2:EL21,16,16)</f>
        <v>E. FISICA</v>
      </c>
      <c r="DO37" s="2021">
        <f>VLOOKUP(T6,DR23:EL42,16,16)</f>
        <v>0</v>
      </c>
      <c r="DP37" s="2022">
        <f>VLOOKUP(T6,EM2:FG21,16,16)</f>
        <v>10</v>
      </c>
      <c r="DQ37" s="84">
        <f>VLOOKUP(T6,EM23:FG42,16,16)</f>
        <v>0</v>
      </c>
      <c r="DR37" s="1361">
        <v>15</v>
      </c>
      <c r="DS37" s="1954">
        <f>Plantillas!N$597</f>
        <v>0</v>
      </c>
      <c r="DT37" s="1954">
        <f>Plantillas!N$598</f>
        <v>0</v>
      </c>
      <c r="DU37" s="1954">
        <f>Plantillas!N$599</f>
        <v>0</v>
      </c>
      <c r="DV37" s="1954">
        <f>Plantillas!N$600</f>
        <v>0</v>
      </c>
      <c r="DW37" s="1954">
        <f>Plantillas!N$601</f>
        <v>0</v>
      </c>
      <c r="DX37" s="1954">
        <f>Plantillas!N$602</f>
        <v>0</v>
      </c>
      <c r="DY37" s="1954">
        <f>Plantillas!N$603</f>
        <v>0</v>
      </c>
      <c r="DZ37" s="1954">
        <f>Plantillas!N$604</f>
        <v>0</v>
      </c>
      <c r="EA37" s="1954">
        <f>Plantillas!N$605</f>
        <v>0</v>
      </c>
      <c r="EB37" s="1954">
        <f>Plantillas!N$606</f>
        <v>0</v>
      </c>
      <c r="EC37" s="1954">
        <f>Plantillas!N$607</f>
        <v>0</v>
      </c>
      <c r="ED37" s="1954">
        <f>Plantillas!N$608</f>
        <v>0</v>
      </c>
      <c r="EE37" s="1954">
        <f>Plantillas!N$609</f>
        <v>0</v>
      </c>
      <c r="EF37" s="1954">
        <f>Plantillas!N$610</f>
        <v>0</v>
      </c>
      <c r="EG37" s="1954">
        <f>Plantillas!N$611</f>
        <v>0</v>
      </c>
      <c r="EH37" s="1954">
        <f>Plantillas!N$612</f>
        <v>0</v>
      </c>
      <c r="EI37" s="1954">
        <f>Plantillas!N$613</f>
        <v>0</v>
      </c>
      <c r="EJ37" s="1954">
        <f>Plantillas!N$614</f>
        <v>0</v>
      </c>
      <c r="EK37" s="1954">
        <f>Plantillas!N$615</f>
        <v>0</v>
      </c>
      <c r="EL37" s="1954">
        <f>Plantillas!N$616</f>
        <v>0</v>
      </c>
      <c r="EM37" s="779">
        <v>15</v>
      </c>
      <c r="EN37" s="1966">
        <f>Plantillas!AA$597</f>
        <v>21</v>
      </c>
      <c r="EO37" s="1966">
        <f>Plantillas!AA$598</f>
        <v>21</v>
      </c>
      <c r="EP37" s="1966">
        <f>Plantillas!AA$599</f>
        <v>14</v>
      </c>
      <c r="EQ37" s="1966">
        <f>Plantillas!AA$600</f>
        <v>15</v>
      </c>
      <c r="ER37" s="1966">
        <f>Plantillas!AA$601</f>
        <v>13</v>
      </c>
      <c r="ES37" s="1966">
        <f>Plantillas!AA$602</f>
        <v>12</v>
      </c>
      <c r="ET37" s="1966">
        <f>Plantillas!AA$603</f>
        <v>23</v>
      </c>
      <c r="EU37" s="1966">
        <f>Plantillas!AA$604</f>
        <v>16</v>
      </c>
      <c r="EV37" s="1966">
        <f>Plantillas!AA$605</f>
        <v>16</v>
      </c>
      <c r="EW37" s="1966">
        <f>Plantillas!AA$606</f>
        <v>10</v>
      </c>
      <c r="EX37" s="1966">
        <f>Plantillas!AA$607</f>
        <v>0</v>
      </c>
      <c r="EY37" s="1966">
        <f>Plantillas!AA$608</f>
        <v>0</v>
      </c>
      <c r="EZ37" s="1966">
        <f>Plantillas!AA$609</f>
        <v>0</v>
      </c>
      <c r="FA37" s="1966">
        <f>Plantillas!AA$610</f>
        <v>0</v>
      </c>
      <c r="FB37" s="1966">
        <f>Plantillas!AA$611</f>
        <v>0</v>
      </c>
      <c r="FC37" s="1966">
        <f>Plantillas!AA$612</f>
        <v>0</v>
      </c>
      <c r="FD37" s="1966">
        <f>Plantillas!AA$613</f>
        <v>0</v>
      </c>
      <c r="FE37" s="1966">
        <f>Plantillas!AA$614</f>
        <v>0</v>
      </c>
      <c r="FF37" s="1966">
        <f>Plantillas!AA$615</f>
        <v>0</v>
      </c>
      <c r="FG37" s="1967">
        <f>Plantillas!AA$616</f>
        <v>0</v>
      </c>
      <c r="FH37" s="779">
        <v>15</v>
      </c>
      <c r="FI37" s="1959" t="str">
        <f>Plantillas!W$597</f>
        <v>01-09-1012</v>
      </c>
      <c r="FJ37" s="1959">
        <f>Plantillas!W$598</f>
        <v>0</v>
      </c>
      <c r="FK37" s="1959" t="str">
        <f>Plantillas!W$599</f>
        <v>01-09-2012</v>
      </c>
      <c r="FL37" s="1959" t="str">
        <f>Plantillas!W$600</f>
        <v>01-09-2012</v>
      </c>
      <c r="FM37" s="1959" t="str">
        <f>Plantillas!W$601</f>
        <v>01-09-2012</v>
      </c>
      <c r="FN37" s="1959" t="str">
        <f>Plantillas!W$602</f>
        <v>01-09-2012</v>
      </c>
      <c r="FO37" s="1959" t="str">
        <f>Plantillas!W$603</f>
        <v>01-09-1012</v>
      </c>
      <c r="FP37" s="1959" t="str">
        <f>Plantillas!W$604</f>
        <v>01-09-2012</v>
      </c>
      <c r="FQ37" s="1959" t="str">
        <f>Plantillas!W$605</f>
        <v>01-09-2012</v>
      </c>
      <c r="FR37" s="1959" t="str">
        <f>Plantillas!W$606</f>
        <v>01-09-2012</v>
      </c>
      <c r="FS37" s="1959" t="str">
        <f>Plantillas!W$607</f>
        <v>01-09-2012</v>
      </c>
      <c r="FT37" s="1959" t="str">
        <f>Plantillas!W$608</f>
        <v>01-09-2012</v>
      </c>
      <c r="FU37" s="1959" t="str">
        <f>Plantillas!W$609</f>
        <v>01-09-2012</v>
      </c>
      <c r="FV37" s="1959" t="str">
        <f>Plantillas!W$610</f>
        <v>01-09-2012</v>
      </c>
      <c r="FW37" s="1959" t="str">
        <f>Plantillas!W$611</f>
        <v>01-09-2012</v>
      </c>
      <c r="FX37" s="1959" t="str">
        <f>Plantillas!W$612</f>
        <v>01-09-2012</v>
      </c>
      <c r="FY37" s="1959" t="str">
        <f>Plantillas!W$613</f>
        <v>01-09-2012</v>
      </c>
      <c r="FZ37" s="1959">
        <f>Plantillas!W$614</f>
        <v>0</v>
      </c>
      <c r="GA37" s="1959">
        <f>Plantillas!W$615</f>
        <v>0</v>
      </c>
      <c r="GB37" s="2025">
        <f>Plantillas!W$616</f>
        <v>0</v>
      </c>
      <c r="GC37" s="1361">
        <v>15</v>
      </c>
      <c r="GD37" s="1353">
        <f t="shared" si="49"/>
        <v>1</v>
      </c>
      <c r="GE37" s="1353">
        <f t="shared" si="40"/>
        <v>0</v>
      </c>
      <c r="GF37" s="1353">
        <f t="shared" si="41"/>
        <v>1</v>
      </c>
      <c r="GG37" s="1353">
        <f t="shared" si="42"/>
        <v>0</v>
      </c>
      <c r="GH37" s="1353">
        <f t="shared" si="43"/>
        <v>0</v>
      </c>
      <c r="GI37" s="1353">
        <f t="shared" si="44"/>
        <v>0</v>
      </c>
      <c r="GJ37" s="1353">
        <f t="shared" si="45"/>
        <v>2</v>
      </c>
      <c r="GK37" s="1354">
        <f t="shared" si="46"/>
        <v>49</v>
      </c>
      <c r="GL37" s="1353">
        <v>15</v>
      </c>
      <c r="GM37" s="2388" t="str">
        <f>Plantillas!I$597</f>
        <v>X</v>
      </c>
      <c r="GN37" s="2388">
        <f>Plantillas!I$598</f>
        <v>0</v>
      </c>
      <c r="GO37" s="2388" t="str">
        <f>Plantillas!I$599</f>
        <v>X</v>
      </c>
      <c r="GP37" s="2388" t="str">
        <f>Plantillas!I$600</f>
        <v>X</v>
      </c>
      <c r="GQ37" s="2388" t="str">
        <f>Plantillas!I$601</f>
        <v>X</v>
      </c>
      <c r="GR37" s="2388" t="str">
        <f>Plantillas!I$602</f>
        <v>X</v>
      </c>
      <c r="GS37" s="2388" t="str">
        <f>Plantillas!I$603</f>
        <v>X</v>
      </c>
      <c r="GT37" s="2388" t="str">
        <f>Plantillas!I$604</f>
        <v>X</v>
      </c>
      <c r="GU37" s="2388" t="str">
        <f>Plantillas!I$605</f>
        <v>X</v>
      </c>
      <c r="GV37" s="2388" t="str">
        <f>Plantillas!I$606</f>
        <v>X</v>
      </c>
      <c r="GW37" s="2388" t="str">
        <f>Plantillas!I$607</f>
        <v>X</v>
      </c>
      <c r="GX37" s="2388" t="str">
        <f>Plantillas!I$608</f>
        <v>X</v>
      </c>
      <c r="GY37" s="2388" t="str">
        <f>Plantillas!I$609</f>
        <v>X</v>
      </c>
      <c r="GZ37" s="2388" t="str">
        <f>Plantillas!I$610</f>
        <v>X</v>
      </c>
      <c r="HA37" s="2388" t="str">
        <f>Plantillas!I$611</f>
        <v>X</v>
      </c>
      <c r="HB37" s="2388" t="str">
        <f>Plantillas!I$612</f>
        <v>X</v>
      </c>
      <c r="HC37" s="2388">
        <f>Plantillas!I$613</f>
        <v>0</v>
      </c>
      <c r="HD37" s="2388">
        <f>Plantillas!I$614</f>
        <v>0</v>
      </c>
      <c r="HE37" s="2388">
        <f>Plantillas!I$615</f>
        <v>0</v>
      </c>
      <c r="HF37" s="2389">
        <f>Plantillas!I$616</f>
        <v>0</v>
      </c>
      <c r="HG37" s="778">
        <v>13</v>
      </c>
      <c r="HH37" s="1358">
        <f>'[1]0100L'!$D$31</f>
        <v>11</v>
      </c>
      <c r="HI37" s="2647">
        <f>'[1]0100L'!$E$31</f>
        <v>4</v>
      </c>
      <c r="HJ37" s="1359">
        <f>'[1]0100L'!$G$31</f>
        <v>9</v>
      </c>
      <c r="HK37" s="1353">
        <f>'[1]0100L'!$H$31</f>
        <v>8</v>
      </c>
      <c r="HL37" s="2646">
        <f>'[1]0100L'!$J$31</f>
        <v>9</v>
      </c>
      <c r="HM37" s="2647">
        <f>'[1]0100L'!$K$31</f>
        <v>15</v>
      </c>
      <c r="HN37" s="1359">
        <f>'[1]0100L'!$M$31</f>
        <v>7</v>
      </c>
      <c r="HO37" s="1353">
        <f>'[1]0100L'!$N$31</f>
        <v>5</v>
      </c>
      <c r="HP37" s="2646">
        <f>'[1]0100L'!$P$31</f>
        <v>9</v>
      </c>
      <c r="HQ37" s="2647">
        <f>'[1]0100L'!$Q$31</f>
        <v>10</v>
      </c>
      <c r="HR37" s="1359">
        <f>'[1]0100L'!$S$31</f>
        <v>12</v>
      </c>
      <c r="HS37" s="1353">
        <f>'[1]0100L'!$T$31</f>
        <v>8</v>
      </c>
      <c r="HT37" s="1358">
        <f>'[1]0100L'!$D$32</f>
        <v>0</v>
      </c>
      <c r="HU37" s="1353">
        <f>'[1]0100L'!$E$32</f>
        <v>3</v>
      </c>
      <c r="HV37" s="2646">
        <f>'[1]0100L'!$G$32</f>
        <v>2</v>
      </c>
      <c r="HW37" s="2647">
        <f>'[1]0100L'!$H$32</f>
        <v>3</v>
      </c>
      <c r="HX37" s="1359">
        <f>'[1]0100L'!$J$32</f>
        <v>0</v>
      </c>
      <c r="HY37" s="1353">
        <f>'[1]0100L'!$K$32</f>
        <v>3</v>
      </c>
      <c r="HZ37" s="2646">
        <f>'[1]0100L'!$M$32</f>
        <v>2</v>
      </c>
      <c r="IA37" s="2647">
        <f>'[1]0100L'!$N$32</f>
        <v>1</v>
      </c>
      <c r="IB37" s="2646">
        <f>'[1]0100L'!$P$32</f>
        <v>3</v>
      </c>
      <c r="IC37" s="2647">
        <f>'[1]0100L'!$Q$32</f>
        <v>3</v>
      </c>
      <c r="ID37" s="1359">
        <f>'[1]0100L'!$S$32</f>
        <v>5</v>
      </c>
      <c r="IE37" s="1354">
        <f>'[1]0100L'!$T$32</f>
        <v>1</v>
      </c>
      <c r="IF37" s="1358">
        <f>'[1]0100L'!$D$34</f>
        <v>1</v>
      </c>
      <c r="IG37" s="1353">
        <f>'[1]0100L'!$E$34</f>
        <v>0</v>
      </c>
      <c r="IH37" s="2646">
        <f>'[1]0100L'!$G$34</f>
        <v>0</v>
      </c>
      <c r="II37" s="2647">
        <f>'[1]0100L'!$H$34</f>
        <v>1</v>
      </c>
      <c r="IJ37" s="1359">
        <f>'[1]0100L'!$J$34</f>
        <v>0</v>
      </c>
      <c r="IK37" s="1353">
        <f>'[1]0100L'!$K$34</f>
        <v>1</v>
      </c>
      <c r="IL37" s="2646">
        <f>'[1]0100L'!$M$34</f>
        <v>0</v>
      </c>
      <c r="IM37" s="2647">
        <f>'[1]0100L'!$N$34</f>
        <v>0</v>
      </c>
      <c r="IN37" s="1359">
        <f>'[1]0100L'!$P$34</f>
        <v>1</v>
      </c>
      <c r="IO37" s="1353">
        <f>'[1]0100L'!$Q$34</f>
        <v>0</v>
      </c>
      <c r="IP37" s="2646">
        <f>'[1]0100L'!$S$34</f>
        <v>0</v>
      </c>
      <c r="IQ37" s="1354">
        <f>'[1]0100L'!$T$34</f>
        <v>0</v>
      </c>
      <c r="IR37" s="1358">
        <f>'[1]0100L'!$D$37</f>
        <v>0</v>
      </c>
      <c r="IS37" s="1353">
        <f>'[1]0100L'!$E$37</f>
        <v>0</v>
      </c>
      <c r="IT37" s="2646">
        <f>'[1]0100L'!$G$37</f>
        <v>0</v>
      </c>
      <c r="IU37" s="2647">
        <f>'[1]0100L'!$H$37</f>
        <v>0</v>
      </c>
      <c r="IV37" s="1359">
        <f>'[1]0100L'!$J$37</f>
        <v>0</v>
      </c>
      <c r="IW37" s="1353">
        <f>'[1]0100L'!$K$37</f>
        <v>0</v>
      </c>
      <c r="IX37" s="2646">
        <f>'[1]0100L'!$M$37</f>
        <v>0</v>
      </c>
      <c r="IY37" s="2647">
        <f>'[1]0100L'!$N$37</f>
        <v>0</v>
      </c>
      <c r="IZ37" s="2646">
        <f>'[1]0100L'!$P$37</f>
        <v>0</v>
      </c>
      <c r="JA37" s="2647">
        <f>'[1]0100L'!$Q$37</f>
        <v>0</v>
      </c>
      <c r="JB37" s="1359">
        <f>'[1]0100L'!$S$37</f>
        <v>0</v>
      </c>
      <c r="JC37" s="1354">
        <f>'[1]0100L'!$T$37</f>
        <v>0</v>
      </c>
      <c r="JD37" s="1358">
        <f>'[1]0100L'!$D$39</f>
        <v>0</v>
      </c>
      <c r="JE37" s="1353">
        <f>'[1]0100L'!$E$39</f>
        <v>1</v>
      </c>
      <c r="JF37" s="2646">
        <f>'[1]0100L'!$G$39</f>
        <v>0</v>
      </c>
      <c r="JG37" s="2647">
        <f>'[1]0100L'!$H$39</f>
        <v>1</v>
      </c>
      <c r="JH37" s="1359">
        <f>'[1]0100L'!$J$39</f>
        <v>0</v>
      </c>
      <c r="JI37" s="1353">
        <f>'[1]0100L'!$K$39</f>
        <v>1</v>
      </c>
      <c r="JJ37" s="2646">
        <f>'[1]0100L'!$M$39</f>
        <v>0</v>
      </c>
      <c r="JK37" s="2647">
        <f>'[1]0100L'!$N$39</f>
        <v>1</v>
      </c>
      <c r="JL37" s="2646">
        <f>'[1]0100L'!$P$39</f>
        <v>0</v>
      </c>
      <c r="JM37" s="2647">
        <f>'[1]0100L'!$Q$39</f>
        <v>1</v>
      </c>
      <c r="JN37" s="1359">
        <f>'[1]0100L'!$S$39</f>
        <v>0</v>
      </c>
      <c r="JO37" s="1353">
        <f>'[1]0100L'!$T$39</f>
        <v>1</v>
      </c>
      <c r="JP37" s="2646">
        <f>'[1]0100L'!$D$28</f>
        <v>0</v>
      </c>
      <c r="JQ37" s="2647">
        <f>'[1]0100L'!$E$28</f>
        <v>0</v>
      </c>
      <c r="JR37" s="2646">
        <f>'[1]0100L'!$G$28</f>
        <v>0</v>
      </c>
      <c r="JS37" s="2647">
        <f>'[1]0100L'!$H$28</f>
        <v>0</v>
      </c>
      <c r="JT37" s="1359">
        <f>'[1]0100L'!$J$28</f>
        <v>0</v>
      </c>
      <c r="JU37" s="1353">
        <f>'[1]0100L'!$K$28</f>
        <v>0</v>
      </c>
      <c r="JV37" s="2646">
        <f>'[1]0100L'!$M$28</f>
        <v>0</v>
      </c>
      <c r="JW37" s="2647">
        <f>'[1]0100L'!$N$28</f>
        <v>0</v>
      </c>
      <c r="JX37" s="2646">
        <f>'[1]0100L'!$P$28</f>
        <v>0</v>
      </c>
      <c r="JY37" s="2647">
        <f>'[1]0100L'!$Q$28</f>
        <v>0</v>
      </c>
      <c r="JZ37" s="1359">
        <f>'[1]0100L'!$S$28</f>
        <v>0</v>
      </c>
      <c r="KA37" s="1353">
        <f>'[1]0100L'!$T$28</f>
        <v>0</v>
      </c>
      <c r="KB37" s="779">
        <f t="shared" si="51"/>
        <v>0</v>
      </c>
      <c r="KC37" s="183">
        <f t="shared" si="52"/>
        <v>0</v>
      </c>
      <c r="KD37" s="183">
        <f t="shared" si="53"/>
        <v>0</v>
      </c>
      <c r="KE37" s="183">
        <f t="shared" si="54"/>
        <v>0</v>
      </c>
      <c r="KF37" s="183">
        <f t="shared" si="55"/>
        <v>0</v>
      </c>
      <c r="KG37" s="782">
        <f t="shared" si="56"/>
        <v>0</v>
      </c>
      <c r="KH37" s="1361">
        <v>14</v>
      </c>
      <c r="KI37" s="1931" t="str">
        <f>Plantillas!D552</f>
        <v>CENTRO INFANTIL LATINOAMERICANO</v>
      </c>
      <c r="KJ37" s="1956" t="str">
        <f t="shared" si="47"/>
        <v>CENTRO INFANTIL LATINOAMERICANO</v>
      </c>
      <c r="KK37" s="1956" t="str">
        <f t="shared" ref="KK37:KN37" si="73">KJ37</f>
        <v>CENTRO INFANTIL LATINOAMERICANO</v>
      </c>
      <c r="KL37" s="1956" t="str">
        <f t="shared" si="73"/>
        <v>CENTRO INFANTIL LATINOAMERICANO</v>
      </c>
      <c r="KM37" s="1956" t="str">
        <f t="shared" si="73"/>
        <v>CENTRO INFANTIL LATINOAMERICANO</v>
      </c>
      <c r="KN37" s="1956" t="str">
        <f t="shared" si="73"/>
        <v>CENTRO INFANTIL LATINOAMERICANO</v>
      </c>
      <c r="KO37" s="1956"/>
      <c r="KP37" s="1956"/>
      <c r="KQ37" s="1956"/>
      <c r="KR37" s="1956"/>
      <c r="KS37" s="1956"/>
      <c r="KT37" s="1956"/>
      <c r="KU37" s="1956"/>
      <c r="KV37" s="1956"/>
      <c r="KW37" s="1956"/>
      <c r="KX37" s="1956"/>
      <c r="KY37" s="1956"/>
      <c r="KZ37" s="1956"/>
      <c r="LA37" s="1956"/>
      <c r="LB37" s="1957"/>
      <c r="LC37" s="1361">
        <v>14</v>
      </c>
      <c r="LD37" s="2985" t="s">
        <v>100</v>
      </c>
      <c r="LE37" s="2985" t="s">
        <v>100</v>
      </c>
      <c r="LF37" s="2985" t="s">
        <v>100</v>
      </c>
      <c r="LG37" s="2985" t="s">
        <v>100</v>
      </c>
      <c r="LH37" s="2985" t="s">
        <v>100</v>
      </c>
      <c r="LI37" s="2985" t="s">
        <v>100</v>
      </c>
      <c r="LJ37" s="2985"/>
      <c r="LK37" s="2985"/>
      <c r="LL37" s="2985"/>
      <c r="LM37" s="2985"/>
      <c r="LN37" s="2985"/>
      <c r="LO37" s="2985"/>
      <c r="LP37" s="2985"/>
      <c r="LQ37" s="2985"/>
      <c r="LR37" s="2985"/>
      <c r="LS37" s="2985"/>
      <c r="LT37" s="2985"/>
      <c r="LU37" s="2985"/>
      <c r="LV37" s="2985"/>
      <c r="LW37" s="2986"/>
    </row>
    <row r="38" spans="1:335" ht="13.5" customHeight="1">
      <c r="A38" s="16"/>
      <c r="B38" s="1710"/>
      <c r="C38" s="3833" t="s">
        <v>16</v>
      </c>
      <c r="D38" s="3834"/>
      <c r="E38" s="3834"/>
      <c r="F38" s="3834"/>
      <c r="G38" s="3834"/>
      <c r="H38" s="2941" t="s">
        <v>2301</v>
      </c>
      <c r="I38" s="2951">
        <f>VLOOKUP(H38,AF17:AG36,2,1)</f>
        <v>27</v>
      </c>
      <c r="J38" s="2942" t="s">
        <v>765</v>
      </c>
      <c r="K38" s="2942" t="s">
        <v>766</v>
      </c>
      <c r="L38" s="2942" t="s">
        <v>767</v>
      </c>
      <c r="M38" s="2942" t="s">
        <v>771</v>
      </c>
      <c r="N38" s="2942" t="s">
        <v>772</v>
      </c>
      <c r="O38" s="2942" t="s">
        <v>773</v>
      </c>
      <c r="P38" s="2942"/>
      <c r="Q38" s="2943"/>
      <c r="R38" s="2943"/>
      <c r="S38" s="2943"/>
      <c r="T38" s="2943"/>
      <c r="U38" s="2943"/>
      <c r="V38" s="2943"/>
      <c r="W38" s="2943"/>
      <c r="X38" s="2943"/>
      <c r="Y38" s="2943"/>
      <c r="Z38" s="2943"/>
      <c r="AA38" s="2943"/>
      <c r="AB38" s="2943"/>
      <c r="AC38" s="2942" t="s">
        <v>765</v>
      </c>
      <c r="AD38" s="2944" t="s">
        <v>766</v>
      </c>
      <c r="AE38" s="2944" t="s">
        <v>767</v>
      </c>
      <c r="AF38" s="2944"/>
      <c r="AG38" s="2944"/>
      <c r="AH38" s="2944" t="s">
        <v>771</v>
      </c>
      <c r="AI38" s="2944" t="s">
        <v>772</v>
      </c>
      <c r="AJ38" s="2944" t="s">
        <v>773</v>
      </c>
      <c r="AK38" s="2944"/>
      <c r="AL38" s="2945"/>
      <c r="AM38" s="2945"/>
      <c r="AN38" s="1497"/>
      <c r="AO38" s="1496"/>
      <c r="AP38" s="1497"/>
      <c r="AQ38" s="1497"/>
      <c r="AR38" s="1497"/>
      <c r="AS38" s="1497"/>
      <c r="AT38" s="1497"/>
      <c r="AU38" s="1498"/>
      <c r="AV38" s="1499"/>
      <c r="AW38" s="2783" t="s">
        <v>79</v>
      </c>
      <c r="AX38" s="779">
        <v>16</v>
      </c>
      <c r="AY38" s="2013">
        <f>Plantillas!Y$637</f>
        <v>0</v>
      </c>
      <c r="AZ38" s="2014">
        <f>Plantillas!Z$637</f>
        <v>0</v>
      </c>
      <c r="BA38" s="2015">
        <f>Plantillas!AA$637</f>
        <v>0</v>
      </c>
      <c r="BB38" s="2013">
        <f>Plantillas!Y$638</f>
        <v>0</v>
      </c>
      <c r="BC38" s="2014">
        <f>Plantillas!Z$638</f>
        <v>0</v>
      </c>
      <c r="BD38" s="2016">
        <f>Plantillas!AA$638</f>
        <v>0</v>
      </c>
      <c r="BE38" s="2013">
        <f>Plantillas!Y$639</f>
        <v>0</v>
      </c>
      <c r="BF38" s="2014">
        <f>Plantillas!Z$639</f>
        <v>0</v>
      </c>
      <c r="BG38" s="2016">
        <f>Plantillas!AA$639</f>
        <v>0</v>
      </c>
      <c r="BH38" s="2013">
        <f>Plantillas!Y$640</f>
        <v>0</v>
      </c>
      <c r="BI38" s="2014">
        <f>Plantillas!Z$640</f>
        <v>0</v>
      </c>
      <c r="BJ38" s="2016">
        <f>Plantillas!AA$640</f>
        <v>0</v>
      </c>
      <c r="BK38" s="2013">
        <f>Plantillas!Y$641</f>
        <v>0</v>
      </c>
      <c r="BL38" s="2014">
        <f>Plantillas!Z$641</f>
        <v>0</v>
      </c>
      <c r="BM38" s="2016">
        <f>Plantillas!AA$641</f>
        <v>0</v>
      </c>
      <c r="BN38" s="2013">
        <f>Plantillas!Y$642</f>
        <v>0</v>
      </c>
      <c r="BO38" s="2014">
        <f>Plantillas!Z$642</f>
        <v>0</v>
      </c>
      <c r="BP38" s="2016">
        <f>Plantillas!AA$642</f>
        <v>0</v>
      </c>
      <c r="BQ38" s="2013">
        <f>Plantillas!Y$643</f>
        <v>0</v>
      </c>
      <c r="BR38" s="2014">
        <f>Plantillas!Z$643</f>
        <v>0</v>
      </c>
      <c r="BS38" s="2016">
        <f>Plantillas!AA$643</f>
        <v>0</v>
      </c>
      <c r="BT38" s="2013">
        <f>Plantillas!Y$644</f>
        <v>0</v>
      </c>
      <c r="BU38" s="2014">
        <f>Plantillas!Z$644</f>
        <v>0</v>
      </c>
      <c r="BV38" s="2016">
        <f>Plantillas!AA$644</f>
        <v>0</v>
      </c>
      <c r="BW38" s="2013">
        <f>Plantillas!Y$645</f>
        <v>0</v>
      </c>
      <c r="BX38" s="2014">
        <f>Plantillas!Z$645</f>
        <v>0</v>
      </c>
      <c r="BY38" s="2016">
        <f>Plantillas!AA$645</f>
        <v>0</v>
      </c>
      <c r="BZ38" s="2013">
        <f>Plantillas!Y$646</f>
        <v>0</v>
      </c>
      <c r="CA38" s="2014">
        <f>Plantillas!Z$646</f>
        <v>0</v>
      </c>
      <c r="CB38" s="2016">
        <f>Plantillas!AA$646</f>
        <v>0</v>
      </c>
      <c r="CC38" s="2013">
        <f>Plantillas!Y$647</f>
        <v>0</v>
      </c>
      <c r="CD38" s="2014">
        <f>Plantillas!Z$647</f>
        <v>0</v>
      </c>
      <c r="CE38" s="2016">
        <f>Plantillas!AA$647</f>
        <v>0</v>
      </c>
      <c r="CF38" s="2013">
        <f>Plantillas!Y$648</f>
        <v>0</v>
      </c>
      <c r="CG38" s="2014">
        <f>Plantillas!Z$648</f>
        <v>0</v>
      </c>
      <c r="CH38" s="2016">
        <f>Plantillas!AA$648</f>
        <v>0</v>
      </c>
      <c r="CI38" s="2013">
        <f>Plantillas!Y$649</f>
        <v>0</v>
      </c>
      <c r="CJ38" s="2014">
        <f>Plantillas!Z$649</f>
        <v>0</v>
      </c>
      <c r="CK38" s="2016">
        <f>Plantillas!AA$649</f>
        <v>0</v>
      </c>
      <c r="CL38" s="2013">
        <f>Plantillas!Y$650</f>
        <v>0</v>
      </c>
      <c r="CM38" s="2014">
        <f>Plantillas!Z$650</f>
        <v>0</v>
      </c>
      <c r="CN38" s="2016">
        <f>Plantillas!AA$650</f>
        <v>0</v>
      </c>
      <c r="CO38" s="2013">
        <f>Plantillas!Y$651</f>
        <v>0</v>
      </c>
      <c r="CP38" s="2014">
        <f>Plantillas!Z$651</f>
        <v>0</v>
      </c>
      <c r="CQ38" s="2016">
        <f>Plantillas!AA$651</f>
        <v>0</v>
      </c>
      <c r="CR38" s="2013">
        <f>Plantillas!Y$652</f>
        <v>0</v>
      </c>
      <c r="CS38" s="2014">
        <f>Plantillas!Z$652</f>
        <v>0</v>
      </c>
      <c r="CT38" s="2016">
        <f>Plantillas!AA$652</f>
        <v>0</v>
      </c>
      <c r="CU38" s="2013">
        <f>Plantillas!Y$653</f>
        <v>0</v>
      </c>
      <c r="CV38" s="2014">
        <f>Plantillas!Z$653</f>
        <v>0</v>
      </c>
      <c r="CW38" s="2016">
        <f>Plantillas!AA$653</f>
        <v>0</v>
      </c>
      <c r="CX38" s="2013">
        <f>Plantillas!Y$654</f>
        <v>0</v>
      </c>
      <c r="CY38" s="2014">
        <f>Plantillas!Z$654</f>
        <v>0</v>
      </c>
      <c r="CZ38" s="2016">
        <f>Plantillas!AA$654</f>
        <v>0</v>
      </c>
      <c r="DA38" s="2013">
        <f>Plantillas!Y$655</f>
        <v>0</v>
      </c>
      <c r="DB38" s="2014">
        <f>Plantillas!Z$655</f>
        <v>0</v>
      </c>
      <c r="DC38" s="2016">
        <f>Plantillas!AA$655</f>
        <v>0</v>
      </c>
      <c r="DD38" s="2013">
        <f>Plantillas!Y$656</f>
        <v>0</v>
      </c>
      <c r="DE38" s="2014">
        <f>Plantillas!Z$656</f>
        <v>0</v>
      </c>
      <c r="DF38" s="2016">
        <f>Plantillas!AA$656</f>
        <v>0</v>
      </c>
      <c r="DG38" s="2013">
        <f>Plantillas!Y$657</f>
        <v>0</v>
      </c>
      <c r="DH38" s="2014">
        <f>Plantillas!Z$657</f>
        <v>0</v>
      </c>
      <c r="DI38" s="2091" t="str">
        <f>Estadisticas!AA18</f>
        <v>glorita05111@hotmail.com</v>
      </c>
      <c r="DJ38" s="183">
        <v>16</v>
      </c>
      <c r="DK38" s="84">
        <f>VLOOKUP(T6,BG2:CA21,17,17)</f>
        <v>0</v>
      </c>
      <c r="DL38" s="2018">
        <f>VLOOKUP(T6,CB2:CV21,17,17)</f>
        <v>0</v>
      </c>
      <c r="DM38" s="2019">
        <f>VLOOKUP(T6,CW2:DQ21,17,17)</f>
        <v>0</v>
      </c>
      <c r="DN38" s="2020">
        <f>VLOOKUP(T6,DR2:EL21,17,17)</f>
        <v>0</v>
      </c>
      <c r="DO38" s="2021">
        <f>VLOOKUP(T6,DR23:EL42,17,17)</f>
        <v>0</v>
      </c>
      <c r="DP38" s="2022">
        <f>VLOOKUP(T6,EM2:FG21,17,17)</f>
        <v>0</v>
      </c>
      <c r="DQ38" s="84">
        <f>VLOOKUP(T6,EM23:FG42,17,17)</f>
        <v>0</v>
      </c>
      <c r="DR38" s="1361">
        <v>16</v>
      </c>
      <c r="DS38" s="1954">
        <f>Plantillas!N$637</f>
        <v>0</v>
      </c>
      <c r="DT38" s="1954">
        <f>Plantillas!N$638</f>
        <v>0</v>
      </c>
      <c r="DU38" s="1954">
        <f>Plantillas!N$639</f>
        <v>0</v>
      </c>
      <c r="DV38" s="1954">
        <f>Plantillas!N$640</f>
        <v>0</v>
      </c>
      <c r="DW38" s="1954">
        <f>Plantillas!N$641</f>
        <v>0</v>
      </c>
      <c r="DX38" s="1954">
        <f>Plantillas!N$642</f>
        <v>0</v>
      </c>
      <c r="DY38" s="1954">
        <f>Plantillas!N$643</f>
        <v>0</v>
      </c>
      <c r="DZ38" s="1954">
        <f>Plantillas!N$644</f>
        <v>0</v>
      </c>
      <c r="EA38" s="1954">
        <f>Plantillas!N$645</f>
        <v>0</v>
      </c>
      <c r="EB38" s="1954">
        <f>Plantillas!N$646</f>
        <v>0</v>
      </c>
      <c r="EC38" s="1954">
        <f>Plantillas!N$647</f>
        <v>0</v>
      </c>
      <c r="ED38" s="1954">
        <f>Plantillas!N$648</f>
        <v>0</v>
      </c>
      <c r="EE38" s="1954">
        <f>Plantillas!N$649</f>
        <v>0</v>
      </c>
      <c r="EF38" s="1954">
        <f>Plantillas!N$650</f>
        <v>0</v>
      </c>
      <c r="EG38" s="1954">
        <f>Plantillas!N$651</f>
        <v>0</v>
      </c>
      <c r="EH38" s="1954">
        <f>Plantillas!N$652</f>
        <v>0</v>
      </c>
      <c r="EI38" s="1954">
        <f>Plantillas!N$653</f>
        <v>0</v>
      </c>
      <c r="EJ38" s="1954">
        <f>Plantillas!N$654</f>
        <v>0</v>
      </c>
      <c r="EK38" s="1954">
        <f>Plantillas!N$655</f>
        <v>0</v>
      </c>
      <c r="EL38" s="1954">
        <f>Plantillas!N$656</f>
        <v>0</v>
      </c>
      <c r="EM38" s="779">
        <v>16</v>
      </c>
      <c r="EN38" s="1966">
        <f>Plantillas!AA$637</f>
        <v>0</v>
      </c>
      <c r="EO38" s="1966">
        <f>Plantillas!AA$638</f>
        <v>0</v>
      </c>
      <c r="EP38" s="1966">
        <f>Plantillas!AA$639</f>
        <v>0</v>
      </c>
      <c r="EQ38" s="1966">
        <f>Plantillas!AA$640</f>
        <v>0</v>
      </c>
      <c r="ER38" s="1966">
        <f>Plantillas!AA$641</f>
        <v>0</v>
      </c>
      <c r="ES38" s="1966">
        <f>Plantillas!AA$642</f>
        <v>0</v>
      </c>
      <c r="ET38" s="1966">
        <f>Plantillas!AA$643</f>
        <v>0</v>
      </c>
      <c r="EU38" s="1966">
        <f>Plantillas!AA$644</f>
        <v>0</v>
      </c>
      <c r="EV38" s="1966">
        <f>Plantillas!AA$645</f>
        <v>0</v>
      </c>
      <c r="EW38" s="1966">
        <f>Plantillas!AA$646</f>
        <v>0</v>
      </c>
      <c r="EX38" s="1966">
        <f>Plantillas!AA$647</f>
        <v>0</v>
      </c>
      <c r="EY38" s="1966">
        <f>Plantillas!AA$648</f>
        <v>0</v>
      </c>
      <c r="EZ38" s="1966">
        <f>Plantillas!AA$649</f>
        <v>0</v>
      </c>
      <c r="FA38" s="1966">
        <f>Plantillas!AA$650</f>
        <v>0</v>
      </c>
      <c r="FB38" s="1966">
        <f>Plantillas!AA$651</f>
        <v>0</v>
      </c>
      <c r="FC38" s="1966">
        <f>Plantillas!AA$652</f>
        <v>0</v>
      </c>
      <c r="FD38" s="1966">
        <f>Plantillas!AA$653</f>
        <v>0</v>
      </c>
      <c r="FE38" s="1966">
        <f>Plantillas!AA$654</f>
        <v>0</v>
      </c>
      <c r="FF38" s="1966">
        <f>Plantillas!AA$655</f>
        <v>0</v>
      </c>
      <c r="FG38" s="1967">
        <f>Plantillas!AA$656</f>
        <v>0</v>
      </c>
      <c r="FH38" s="779">
        <v>16</v>
      </c>
      <c r="FI38" s="1959">
        <f>Plantillas!W$637</f>
        <v>0</v>
      </c>
      <c r="FJ38" s="1959">
        <f>Plantillas!W$638</f>
        <v>0</v>
      </c>
      <c r="FK38" s="1959">
        <f>Plantillas!W$639</f>
        <v>0</v>
      </c>
      <c r="FL38" s="1959">
        <f>Plantillas!W$640</f>
        <v>0</v>
      </c>
      <c r="FM38" s="1959">
        <f>Plantillas!W$641</f>
        <v>0</v>
      </c>
      <c r="FN38" s="1959">
        <f>Plantillas!W$642</f>
        <v>0</v>
      </c>
      <c r="FO38" s="1959">
        <f>Plantillas!W$643</f>
        <v>0</v>
      </c>
      <c r="FP38" s="1959">
        <f>Plantillas!W$644</f>
        <v>0</v>
      </c>
      <c r="FQ38" s="1959">
        <f>Plantillas!W$645</f>
        <v>0</v>
      </c>
      <c r="FR38" s="1959">
        <f>Plantillas!W$646</f>
        <v>0</v>
      </c>
      <c r="FS38" s="1959">
        <f>Plantillas!W$647</f>
        <v>0</v>
      </c>
      <c r="FT38" s="1959">
        <f>Plantillas!W$648</f>
        <v>0</v>
      </c>
      <c r="FU38" s="1959">
        <f>Plantillas!W$649</f>
        <v>0</v>
      </c>
      <c r="FV38" s="1959">
        <f>Plantillas!W$650</f>
        <v>0</v>
      </c>
      <c r="FW38" s="1959">
        <f>Plantillas!W$651</f>
        <v>0</v>
      </c>
      <c r="FX38" s="1959">
        <f>Plantillas!W$652</f>
        <v>0</v>
      </c>
      <c r="FY38" s="1959">
        <f>Plantillas!W$653</f>
        <v>0</v>
      </c>
      <c r="FZ38" s="1959">
        <f>Plantillas!W$654</f>
        <v>0</v>
      </c>
      <c r="GA38" s="1959">
        <f>Plantillas!W$655</f>
        <v>0</v>
      </c>
      <c r="GB38" s="2025">
        <f>Plantillas!W$656</f>
        <v>0</v>
      </c>
      <c r="GC38" s="1361">
        <v>16</v>
      </c>
      <c r="GD38" s="1353">
        <f t="shared" si="49"/>
        <v>2</v>
      </c>
      <c r="GE38" s="1353">
        <f t="shared" si="40"/>
        <v>2</v>
      </c>
      <c r="GF38" s="1353">
        <f t="shared" si="41"/>
        <v>2</v>
      </c>
      <c r="GG38" s="1353">
        <f t="shared" si="42"/>
        <v>1</v>
      </c>
      <c r="GH38" s="1353">
        <f t="shared" si="43"/>
        <v>2</v>
      </c>
      <c r="GI38" s="1353">
        <f t="shared" si="44"/>
        <v>0</v>
      </c>
      <c r="GJ38" s="1353">
        <f>SUM(GD38:GI38)</f>
        <v>9</v>
      </c>
      <c r="GK38" s="1354">
        <f t="shared" si="46"/>
        <v>162</v>
      </c>
      <c r="GL38" s="1353">
        <v>16</v>
      </c>
      <c r="GM38" s="2388">
        <f>Plantillas!I$637</f>
        <v>0</v>
      </c>
      <c r="GN38" s="2388">
        <f>Plantillas!I$638</f>
        <v>0</v>
      </c>
      <c r="GO38" s="2388">
        <f>Plantillas!I$639</f>
        <v>0</v>
      </c>
      <c r="GP38" s="2388">
        <f>Plantillas!I$640</f>
        <v>0</v>
      </c>
      <c r="GQ38" s="2388">
        <f>Plantillas!I$641</f>
        <v>0</v>
      </c>
      <c r="GR38" s="2388">
        <f>Plantillas!I$642</f>
        <v>0</v>
      </c>
      <c r="GS38" s="2388">
        <f>Plantillas!I$643</f>
        <v>0</v>
      </c>
      <c r="GT38" s="2388">
        <f>Plantillas!I$644</f>
        <v>0</v>
      </c>
      <c r="GU38" s="2388">
        <f>Plantillas!I$645</f>
        <v>0</v>
      </c>
      <c r="GV38" s="2388">
        <f>Plantillas!I$646</f>
        <v>0</v>
      </c>
      <c r="GW38" s="2388">
        <f>Plantillas!I$647</f>
        <v>0</v>
      </c>
      <c r="GX38" s="2388">
        <f>Plantillas!I$648</f>
        <v>0</v>
      </c>
      <c r="GY38" s="2388">
        <f>Plantillas!I$649</f>
        <v>0</v>
      </c>
      <c r="GZ38" s="2388">
        <f>Plantillas!I$650</f>
        <v>0</v>
      </c>
      <c r="HA38" s="2388">
        <f>Plantillas!I$651</f>
        <v>0</v>
      </c>
      <c r="HB38" s="2388">
        <f>Plantillas!I$652</f>
        <v>0</v>
      </c>
      <c r="HC38" s="2388">
        <f>Plantillas!I$653</f>
        <v>0</v>
      </c>
      <c r="HD38" s="2388">
        <f>Plantillas!I$654</f>
        <v>0</v>
      </c>
      <c r="HE38" s="2388">
        <f>Plantillas!I$655</f>
        <v>0</v>
      </c>
      <c r="HF38" s="2389">
        <f>Plantillas!I$656</f>
        <v>0</v>
      </c>
      <c r="HG38" s="778">
        <v>14</v>
      </c>
      <c r="HH38" s="1358">
        <f>'[1]0125U'!$D$31</f>
        <v>5</v>
      </c>
      <c r="HI38" s="2647">
        <f>'[1]0125U'!$E$31</f>
        <v>2</v>
      </c>
      <c r="HJ38" s="1359">
        <f>'[1]0125U'!$G$31</f>
        <v>7</v>
      </c>
      <c r="HK38" s="1353">
        <f>'[1]0125U'!$H$31</f>
        <v>2</v>
      </c>
      <c r="HL38" s="2646">
        <f>'[1]0125U'!$J$31</f>
        <v>9</v>
      </c>
      <c r="HM38" s="2647">
        <f>'[1]0125U'!$K$31</f>
        <v>3</v>
      </c>
      <c r="HN38" s="1359">
        <f>'[1]0125U'!$M$31</f>
        <v>5</v>
      </c>
      <c r="HO38" s="1353">
        <f>'[1]0125U'!$N$31</f>
        <v>6</v>
      </c>
      <c r="HP38" s="2646">
        <f>'[1]0125U'!$P$31</f>
        <v>10</v>
      </c>
      <c r="HQ38" s="2647">
        <f>'[1]0125U'!$Q$31</f>
        <v>2</v>
      </c>
      <c r="HR38" s="1359">
        <f>'[1]0125U'!$S$31</f>
        <v>5</v>
      </c>
      <c r="HS38" s="1353">
        <f>'[1]0125U'!$T$31</f>
        <v>2</v>
      </c>
      <c r="HT38" s="1358">
        <f>'[1]0125U'!$D$32</f>
        <v>0</v>
      </c>
      <c r="HU38" s="1353">
        <f>'[1]0125U'!$E$32</f>
        <v>1</v>
      </c>
      <c r="HV38" s="2646">
        <f>'[1]0125U'!$G$32</f>
        <v>1</v>
      </c>
      <c r="HW38" s="2647">
        <f>'[1]0125U'!$H$32</f>
        <v>0</v>
      </c>
      <c r="HX38" s="1359">
        <f>'[1]0125U'!$J$32</f>
        <v>0</v>
      </c>
      <c r="HY38" s="1353">
        <f>'[1]0125U'!$K$32</f>
        <v>1</v>
      </c>
      <c r="HZ38" s="2646">
        <f>'[1]0125U'!$M$32</f>
        <v>2</v>
      </c>
      <c r="IA38" s="2647">
        <f>'[1]0125U'!$N$32</f>
        <v>0</v>
      </c>
      <c r="IB38" s="2646">
        <f>'[1]0125U'!$P$32</f>
        <v>1</v>
      </c>
      <c r="IC38" s="2647">
        <f>'[1]0125U'!$Q$32</f>
        <v>0</v>
      </c>
      <c r="ID38" s="1359">
        <f>'[1]0125U'!$S$32</f>
        <v>1</v>
      </c>
      <c r="IE38" s="1354">
        <f>'[1]0125U'!$T$32</f>
        <v>1</v>
      </c>
      <c r="IF38" s="1358">
        <f>'[1]0125U'!$D$34</f>
        <v>0</v>
      </c>
      <c r="IG38" s="1353">
        <f>'[1]0125U'!$E$34</f>
        <v>0</v>
      </c>
      <c r="IH38" s="2646">
        <f>'[1]0125U'!$G$34</f>
        <v>0</v>
      </c>
      <c r="II38" s="2647">
        <f>'[1]0125U'!$H$34</f>
        <v>0</v>
      </c>
      <c r="IJ38" s="1359">
        <f>'[1]0125U'!$J$34</f>
        <v>0</v>
      </c>
      <c r="IK38" s="1353">
        <f>'[1]0125U'!$K$34</f>
        <v>0</v>
      </c>
      <c r="IL38" s="2646">
        <f>'[1]0125U'!$M$34</f>
        <v>1</v>
      </c>
      <c r="IM38" s="2647">
        <f>'[1]0125U'!$N$34</f>
        <v>1</v>
      </c>
      <c r="IN38" s="1359">
        <f>'[1]0125U'!$P$34</f>
        <v>2</v>
      </c>
      <c r="IO38" s="1353">
        <f>'[1]0125U'!$Q$34</f>
        <v>0</v>
      </c>
      <c r="IP38" s="2646">
        <f>'[1]0125U'!$S$34</f>
        <v>1</v>
      </c>
      <c r="IQ38" s="1354">
        <f>'[1]0125U'!$T$34</f>
        <v>0</v>
      </c>
      <c r="IR38" s="1358">
        <f>'[1]0125U'!$D$37</f>
        <v>0</v>
      </c>
      <c r="IS38" s="1353">
        <f>'[1]0125U'!$E$37</f>
        <v>0</v>
      </c>
      <c r="IT38" s="2646">
        <f>'[1]0125U'!$G$37</f>
        <v>0</v>
      </c>
      <c r="IU38" s="2647">
        <f>'[1]0125U'!$H$37</f>
        <v>0</v>
      </c>
      <c r="IV38" s="1359">
        <f>'[1]0125U'!$J$37</f>
        <v>0</v>
      </c>
      <c r="IW38" s="1353">
        <f>'[1]0125U'!$K$37</f>
        <v>0</v>
      </c>
      <c r="IX38" s="2646">
        <f>'[1]0125U'!$M$37</f>
        <v>0</v>
      </c>
      <c r="IY38" s="2647">
        <f>'[1]0125U'!$N$37</f>
        <v>0</v>
      </c>
      <c r="IZ38" s="2646">
        <f>'[1]0125U'!$P$37</f>
        <v>0</v>
      </c>
      <c r="JA38" s="2647">
        <f>'[1]0125U'!$Q$37</f>
        <v>0</v>
      </c>
      <c r="JB38" s="1359">
        <f>'[1]0125U'!$S$37</f>
        <v>0</v>
      </c>
      <c r="JC38" s="1354">
        <f>'[1]0125U'!$T$37</f>
        <v>0</v>
      </c>
      <c r="JD38" s="1358">
        <f>'[1]0125U'!$D$39</f>
        <v>0</v>
      </c>
      <c r="JE38" s="1353">
        <f>'[1]0125U'!$E$39</f>
        <v>1</v>
      </c>
      <c r="JF38" s="2646">
        <f>'[1]0125U'!$G$39</f>
        <v>0</v>
      </c>
      <c r="JG38" s="2647">
        <f>'[1]0125U'!$H$39</f>
        <v>0</v>
      </c>
      <c r="JH38" s="1359">
        <f>'[1]0125U'!$J$39</f>
        <v>0</v>
      </c>
      <c r="JI38" s="1353">
        <f>'[1]0125U'!$K$39</f>
        <v>1</v>
      </c>
      <c r="JJ38" s="2646">
        <f>'[1]0125U'!$M$39</f>
        <v>0</v>
      </c>
      <c r="JK38" s="2647">
        <f>'[1]0125U'!$N$39</f>
        <v>1</v>
      </c>
      <c r="JL38" s="2646">
        <f>'[1]0125U'!$P$39</f>
        <v>0</v>
      </c>
      <c r="JM38" s="2647">
        <f>'[1]0125U'!$Q$39</f>
        <v>1</v>
      </c>
      <c r="JN38" s="1359">
        <f>'[1]0125U'!$S$39</f>
        <v>0</v>
      </c>
      <c r="JO38" s="1353">
        <f>'[1]0125U'!$T$39</f>
        <v>0</v>
      </c>
      <c r="JP38" s="2646">
        <f>'[1]0125U'!$D$28</f>
        <v>0</v>
      </c>
      <c r="JQ38" s="2647">
        <f>'[1]0125U'!$E$28</f>
        <v>0</v>
      </c>
      <c r="JR38" s="2646">
        <f>'[1]0125U'!$G$28</f>
        <v>0</v>
      </c>
      <c r="JS38" s="2647">
        <f>'[1]0125U'!$H$28</f>
        <v>0</v>
      </c>
      <c r="JT38" s="1359">
        <f>'[1]0125U'!$J$28</f>
        <v>0</v>
      </c>
      <c r="JU38" s="1353">
        <f>'[1]0125U'!$K$28</f>
        <v>0</v>
      </c>
      <c r="JV38" s="2646">
        <f>'[1]0125U'!$M$28</f>
        <v>0</v>
      </c>
      <c r="JW38" s="2647">
        <f>'[1]0125U'!$N$28</f>
        <v>0</v>
      </c>
      <c r="JX38" s="2646">
        <f>'[1]0125U'!$P$28</f>
        <v>0</v>
      </c>
      <c r="JY38" s="2647">
        <f>'[1]0125U'!$Q$28</f>
        <v>0</v>
      </c>
      <c r="JZ38" s="1359">
        <f>'[1]0125U'!$S$28</f>
        <v>0</v>
      </c>
      <c r="KA38" s="1353">
        <f>'[1]0125U'!$T$28</f>
        <v>0</v>
      </c>
      <c r="KB38" s="779">
        <f t="shared" si="51"/>
        <v>0</v>
      </c>
      <c r="KC38" s="183">
        <f t="shared" si="52"/>
        <v>0</v>
      </c>
      <c r="KD38" s="183">
        <f t="shared" si="53"/>
        <v>0</v>
      </c>
      <c r="KE38" s="183">
        <f t="shared" si="54"/>
        <v>0</v>
      </c>
      <c r="KF38" s="183">
        <f t="shared" si="55"/>
        <v>0</v>
      </c>
      <c r="KG38" s="782">
        <f t="shared" si="56"/>
        <v>0</v>
      </c>
      <c r="KH38" s="1361">
        <v>15</v>
      </c>
      <c r="KI38" s="1931" t="str">
        <f>Plantillas!D592</f>
        <v>COLEGIO KING DAVID</v>
      </c>
      <c r="KJ38" s="1956" t="str">
        <f t="shared" si="47"/>
        <v>COLEGIO KING DAVID</v>
      </c>
      <c r="KK38" s="1956" t="str">
        <f t="shared" ref="KK38:KN38" si="74">KJ38</f>
        <v>COLEGIO KING DAVID</v>
      </c>
      <c r="KL38" s="1956" t="str">
        <f t="shared" si="74"/>
        <v>COLEGIO KING DAVID</v>
      </c>
      <c r="KM38" s="1956" t="str">
        <f t="shared" si="74"/>
        <v>COLEGIO KING DAVID</v>
      </c>
      <c r="KN38" s="1956" t="str">
        <f t="shared" si="74"/>
        <v>COLEGIO KING DAVID</v>
      </c>
      <c r="KO38" s="1956" t="str">
        <f t="shared" ref="KO38" si="75">KN38</f>
        <v>COLEGIO KING DAVID</v>
      </c>
      <c r="KP38" s="1956" t="str">
        <f t="shared" ref="KP38" si="76">KO38</f>
        <v>COLEGIO KING DAVID</v>
      </c>
      <c r="KQ38" s="1956" t="str">
        <f t="shared" ref="KQ38" si="77">KP38</f>
        <v>COLEGIO KING DAVID</v>
      </c>
      <c r="KR38" s="1956" t="str">
        <f t="shared" ref="KR38" si="78">KQ38</f>
        <v>COLEGIO KING DAVID</v>
      </c>
      <c r="KS38" s="1956" t="str">
        <f t="shared" ref="KS38" si="79">KR38</f>
        <v>COLEGIO KING DAVID</v>
      </c>
      <c r="KT38" s="1956" t="str">
        <f t="shared" ref="KT38" si="80">KS38</f>
        <v>COLEGIO KING DAVID</v>
      </c>
      <c r="KU38" s="1956" t="str">
        <f t="shared" ref="KU38" si="81">KT38</f>
        <v>COLEGIO KING DAVID</v>
      </c>
      <c r="KV38" s="1956" t="str">
        <f t="shared" ref="KV38" si="82">KU38</f>
        <v>COLEGIO KING DAVID</v>
      </c>
      <c r="KW38" s="1956" t="str">
        <f t="shared" ref="KW38" si="83">KV38</f>
        <v>COLEGIO KING DAVID</v>
      </c>
      <c r="KX38" s="1956" t="str">
        <f t="shared" ref="KX38" si="84">KW38</f>
        <v>COLEGIO KING DAVID</v>
      </c>
      <c r="KY38" s="1956" t="str">
        <f t="shared" ref="KY38" si="85">KX38</f>
        <v>COLEGIO KING DAVID</v>
      </c>
      <c r="KZ38" s="1956"/>
      <c r="LA38" s="1956"/>
      <c r="LB38" s="1957"/>
      <c r="LC38" s="1361">
        <v>15</v>
      </c>
      <c r="LD38" s="2985" t="s">
        <v>100</v>
      </c>
      <c r="LE38" s="2985" t="s">
        <v>100</v>
      </c>
      <c r="LF38" s="2985" t="s">
        <v>100</v>
      </c>
      <c r="LG38" s="2985" t="s">
        <v>100</v>
      </c>
      <c r="LH38" s="2985" t="s">
        <v>100</v>
      </c>
      <c r="LI38" s="2985" t="s">
        <v>100</v>
      </c>
      <c r="LJ38" s="2985" t="s">
        <v>100</v>
      </c>
      <c r="LK38" s="2985" t="s">
        <v>100</v>
      </c>
      <c r="LL38" s="2985" t="s">
        <v>100</v>
      </c>
      <c r="LM38" s="2985" t="s">
        <v>100</v>
      </c>
      <c r="LN38" s="2985" t="s">
        <v>100</v>
      </c>
      <c r="LO38" s="2985" t="s">
        <v>100</v>
      </c>
      <c r="LP38" s="2985" t="s">
        <v>100</v>
      </c>
      <c r="LQ38" s="2985" t="s">
        <v>100</v>
      </c>
      <c r="LR38" s="2985" t="s">
        <v>100</v>
      </c>
      <c r="LS38" s="2985" t="s">
        <v>100</v>
      </c>
      <c r="LT38" s="2985" t="s">
        <v>100</v>
      </c>
      <c r="LU38" s="2985"/>
      <c r="LV38" s="2985"/>
      <c r="LW38" s="2986"/>
    </row>
    <row r="39" spans="1:335" ht="13.5" customHeight="1">
      <c r="A39" s="16"/>
      <c r="B39" s="1710"/>
      <c r="C39" s="3825" t="s">
        <v>17</v>
      </c>
      <c r="D39" s="3826"/>
      <c r="E39" s="3826"/>
      <c r="F39" s="3826"/>
      <c r="G39" s="3827"/>
      <c r="H39" s="994"/>
      <c r="I39" s="2952"/>
      <c r="J39" s="2942">
        <f>COUNTIF(B17:B36,J38)</f>
        <v>2</v>
      </c>
      <c r="K39" s="2942">
        <f>COUNTIF(B17:B36,K38)</f>
        <v>2</v>
      </c>
      <c r="L39" s="2942">
        <f>COUNTIF(B17:B36,L38)</f>
        <v>2</v>
      </c>
      <c r="M39" s="2942">
        <f>COUNTIF(B17:B36,M38)</f>
        <v>2</v>
      </c>
      <c r="N39" s="2942">
        <f>COUNTIF(B17:B36,N38)</f>
        <v>2</v>
      </c>
      <c r="O39" s="2942">
        <f>COUNTIF(B17:B36,O38)</f>
        <v>2</v>
      </c>
      <c r="P39" s="3831">
        <f>SUM(J39:O39)</f>
        <v>12</v>
      </c>
      <c r="Q39" s="3832"/>
      <c r="R39" s="2943"/>
      <c r="S39" s="2943"/>
      <c r="T39" s="2943"/>
      <c r="U39" s="2943"/>
      <c r="V39" s="2943"/>
      <c r="W39" s="2943"/>
      <c r="X39" s="2943"/>
      <c r="Y39" s="2943"/>
      <c r="Z39" s="2943"/>
      <c r="AA39" s="2943"/>
      <c r="AB39" s="2943"/>
      <c r="AC39" s="2946">
        <f>VLOOKUP(T6,GC23:GI42,2,2)</f>
        <v>2</v>
      </c>
      <c r="AD39" s="2946">
        <f>VLOOKUP(T6,GC23:GI42,3,2)</f>
        <v>2</v>
      </c>
      <c r="AE39" s="2946">
        <f>VLOOKUP(T6,GC23:GI42,4,2)</f>
        <v>2</v>
      </c>
      <c r="AF39" s="2946"/>
      <c r="AG39" s="2946"/>
      <c r="AH39" s="2946">
        <f>VLOOKUP(T6,GC23:GI42,5,2)</f>
        <v>2</v>
      </c>
      <c r="AI39" s="2946">
        <f>VLOOKUP(T6,GC23:GI42,6,2)</f>
        <v>2</v>
      </c>
      <c r="AJ39" s="2946">
        <f>VLOOKUP(T6,GC23:GI42,7,2)</f>
        <v>2</v>
      </c>
      <c r="AK39" s="2942">
        <f>SUM(AC39:AJ39)</f>
        <v>12</v>
      </c>
      <c r="AL39" s="2942">
        <f>SUM(AC39:AI39)</f>
        <v>10</v>
      </c>
      <c r="AM39" s="2942">
        <f>AK39-AL39</f>
        <v>2</v>
      </c>
      <c r="AN39" s="1162"/>
      <c r="AO39" s="1494"/>
      <c r="AP39" s="1162"/>
      <c r="AQ39" s="1162"/>
      <c r="AR39" s="1162"/>
      <c r="AS39" s="1162"/>
      <c r="AT39" s="1162"/>
      <c r="AU39" s="1057"/>
      <c r="AV39" s="1058"/>
      <c r="AW39" s="2783" t="s">
        <v>79</v>
      </c>
      <c r="AX39" s="779">
        <v>17</v>
      </c>
      <c r="AY39" s="2013">
        <f>Plantillas!Y$677</f>
        <v>0</v>
      </c>
      <c r="AZ39" s="2014">
        <f>Plantillas!Z$677</f>
        <v>0</v>
      </c>
      <c r="BA39" s="2015">
        <f>Plantillas!AA$677</f>
        <v>0</v>
      </c>
      <c r="BB39" s="2013">
        <f>Plantillas!Y$678</f>
        <v>0</v>
      </c>
      <c r="BC39" s="2014">
        <f>Plantillas!Z$678</f>
        <v>0</v>
      </c>
      <c r="BD39" s="2016">
        <f>Plantillas!AA$678</f>
        <v>0</v>
      </c>
      <c r="BE39" s="2013">
        <f>Plantillas!Y$679</f>
        <v>0</v>
      </c>
      <c r="BF39" s="2014">
        <f>Plantillas!Z$679</f>
        <v>0</v>
      </c>
      <c r="BG39" s="2016">
        <f>Plantillas!AA$679</f>
        <v>0</v>
      </c>
      <c r="BH39" s="2013">
        <f>Plantillas!Y$680</f>
        <v>0</v>
      </c>
      <c r="BI39" s="2014">
        <f>Plantillas!Z$680</f>
        <v>0</v>
      </c>
      <c r="BJ39" s="2016">
        <f>Plantillas!AA$680</f>
        <v>0</v>
      </c>
      <c r="BK39" s="2013">
        <f>Plantillas!Y$681</f>
        <v>0</v>
      </c>
      <c r="BL39" s="2014">
        <f>Plantillas!Z$681</f>
        <v>0</v>
      </c>
      <c r="BM39" s="2016">
        <f>Plantillas!AA$680</f>
        <v>0</v>
      </c>
      <c r="BN39" s="2013">
        <f>Plantillas!Y$682</f>
        <v>0</v>
      </c>
      <c r="BO39" s="2014">
        <f>Plantillas!Z$682</f>
        <v>0</v>
      </c>
      <c r="BP39" s="2016">
        <f>Plantillas!AA$682</f>
        <v>0</v>
      </c>
      <c r="BQ39" s="2013">
        <f>Plantillas!Y$683</f>
        <v>0</v>
      </c>
      <c r="BR39" s="2014">
        <f>Plantillas!Z$683</f>
        <v>0</v>
      </c>
      <c r="BS39" s="2016">
        <f>Plantillas!AA$680</f>
        <v>0</v>
      </c>
      <c r="BT39" s="2013">
        <f>Plantillas!Y$684</f>
        <v>0</v>
      </c>
      <c r="BU39" s="2014">
        <f>Plantillas!Z$684</f>
        <v>0</v>
      </c>
      <c r="BV39" s="2016">
        <f>Plantillas!AA$680</f>
        <v>0</v>
      </c>
      <c r="BW39" s="2013">
        <f>Plantillas!Y$685</f>
        <v>0</v>
      </c>
      <c r="BX39" s="2014">
        <f>Plantillas!Z$685</f>
        <v>0</v>
      </c>
      <c r="BY39" s="2016">
        <f>Plantillas!AA$680</f>
        <v>0</v>
      </c>
      <c r="BZ39" s="2013">
        <f>Plantillas!Y$686</f>
        <v>0</v>
      </c>
      <c r="CA39" s="2014">
        <f>Plantillas!Z$686</f>
        <v>0</v>
      </c>
      <c r="CB39" s="2016">
        <f>Plantillas!AA$680</f>
        <v>0</v>
      </c>
      <c r="CC39" s="2013">
        <f>Plantillas!Y$687</f>
        <v>0</v>
      </c>
      <c r="CD39" s="2014">
        <f>Plantillas!Z$687</f>
        <v>0</v>
      </c>
      <c r="CE39" s="2016">
        <f>Plantillas!AA$680</f>
        <v>0</v>
      </c>
      <c r="CF39" s="2013">
        <f>Plantillas!Y$688</f>
        <v>0</v>
      </c>
      <c r="CG39" s="2014">
        <f>Plantillas!Z$688</f>
        <v>0</v>
      </c>
      <c r="CH39" s="2016">
        <f>Plantillas!AA$680</f>
        <v>0</v>
      </c>
      <c r="CI39" s="2013">
        <f>Plantillas!Y$689</f>
        <v>0</v>
      </c>
      <c r="CJ39" s="2014">
        <f>Plantillas!Z$689</f>
        <v>0</v>
      </c>
      <c r="CK39" s="2016">
        <f>Plantillas!AA$689</f>
        <v>0</v>
      </c>
      <c r="CL39" s="2013">
        <f>Plantillas!Y$690</f>
        <v>0</v>
      </c>
      <c r="CM39" s="2014">
        <f>Plantillas!Z$690</f>
        <v>0</v>
      </c>
      <c r="CN39" s="2016">
        <f>Plantillas!AA$690</f>
        <v>0</v>
      </c>
      <c r="CO39" s="2013">
        <f>Plantillas!Y$691</f>
        <v>0</v>
      </c>
      <c r="CP39" s="2014">
        <f>Plantillas!Z$691</f>
        <v>0</v>
      </c>
      <c r="CQ39" s="2016">
        <f>Plantillas!AA$691</f>
        <v>0</v>
      </c>
      <c r="CR39" s="2013">
        <f>Plantillas!Y$692</f>
        <v>0</v>
      </c>
      <c r="CS39" s="2014">
        <f>Plantillas!Z$692</f>
        <v>0</v>
      </c>
      <c r="CT39" s="2016">
        <f>Plantillas!AA$692</f>
        <v>0</v>
      </c>
      <c r="CU39" s="2013">
        <f>Plantillas!Y$693</f>
        <v>0</v>
      </c>
      <c r="CV39" s="2014">
        <f>Plantillas!Z$693</f>
        <v>0</v>
      </c>
      <c r="CW39" s="2016">
        <f>Plantillas!AA$693</f>
        <v>0</v>
      </c>
      <c r="CX39" s="2013">
        <f>Plantillas!Y$694</f>
        <v>0</v>
      </c>
      <c r="CY39" s="2014">
        <f>Plantillas!Z$694</f>
        <v>0</v>
      </c>
      <c r="CZ39" s="2016">
        <f>Plantillas!AA$694</f>
        <v>0</v>
      </c>
      <c r="DA39" s="2013">
        <f>Plantillas!Y$695</f>
        <v>0</v>
      </c>
      <c r="DB39" s="2014">
        <f>Plantillas!Z$695</f>
        <v>0</v>
      </c>
      <c r="DC39" s="2016">
        <f>Plantillas!AA$680</f>
        <v>0</v>
      </c>
      <c r="DD39" s="2013">
        <f>Plantillas!Y$696</f>
        <v>0</v>
      </c>
      <c r="DE39" s="2014">
        <f>Plantillas!Z$696</f>
        <v>0</v>
      </c>
      <c r="DF39" s="2016">
        <f>Plantillas!AA$680</f>
        <v>0</v>
      </c>
      <c r="DG39" s="2013">
        <f>Plantillas!Y$697</f>
        <v>0</v>
      </c>
      <c r="DH39" s="2014">
        <f>Plantillas!Z$697</f>
        <v>0</v>
      </c>
      <c r="DI39" s="2091">
        <f>Estadisticas!AA19</f>
        <v>0</v>
      </c>
      <c r="DJ39" s="183">
        <v>17</v>
      </c>
      <c r="DK39" s="84">
        <f>VLOOKUP(T6,BG2:CA21,18,18)</f>
        <v>0</v>
      </c>
      <c r="DL39" s="2018">
        <f>VLOOKUP(T6,CB2:CV21,18,18)</f>
        <v>0</v>
      </c>
      <c r="DM39" s="2019">
        <f>VLOOKUP(T6,CW2:DQ21,18,18)</f>
        <v>0</v>
      </c>
      <c r="DN39" s="2020">
        <f>VLOOKUP(T6,DR2:EL21,18,18)</f>
        <v>0</v>
      </c>
      <c r="DO39" s="2021">
        <f>VLOOKUP(T6,DR23:EL42,18,18)</f>
        <v>0</v>
      </c>
      <c r="DP39" s="2022">
        <f>VLOOKUP(T6,EM2:FG21,18,18)</f>
        <v>0</v>
      </c>
      <c r="DQ39" s="84">
        <f>VLOOKUP(T6,EM23:FG42,18,18)</f>
        <v>0</v>
      </c>
      <c r="DR39" s="2023">
        <v>17</v>
      </c>
      <c r="DS39" s="2024">
        <f>Plantillas!N$677</f>
        <v>0</v>
      </c>
      <c r="DT39" s="2024">
        <f>Plantillas!N$678</f>
        <v>0</v>
      </c>
      <c r="DU39" s="2024">
        <f>Plantillas!N$679</f>
        <v>0</v>
      </c>
      <c r="DV39" s="2024">
        <f>Plantillas!N$680</f>
        <v>0</v>
      </c>
      <c r="DW39" s="2024">
        <f>Plantillas!N$681</f>
        <v>0</v>
      </c>
      <c r="DX39" s="2024">
        <f>Plantillas!N$682</f>
        <v>0</v>
      </c>
      <c r="DY39" s="2024">
        <f>Plantillas!N$683</f>
        <v>0</v>
      </c>
      <c r="DZ39" s="2024">
        <f>Plantillas!N$684</f>
        <v>0</v>
      </c>
      <c r="EA39" s="2024">
        <f>Plantillas!N$685</f>
        <v>0</v>
      </c>
      <c r="EB39" s="2024">
        <f>Plantillas!N$686</f>
        <v>0</v>
      </c>
      <c r="EC39" s="2024">
        <f>Plantillas!N$687</f>
        <v>0</v>
      </c>
      <c r="ED39" s="2024">
        <f>Plantillas!N$688</f>
        <v>0</v>
      </c>
      <c r="EE39" s="2024">
        <f>Plantillas!N$689</f>
        <v>0</v>
      </c>
      <c r="EF39" s="2024">
        <f>Plantillas!N$690</f>
        <v>0</v>
      </c>
      <c r="EG39" s="2024">
        <f>Plantillas!N$691</f>
        <v>0</v>
      </c>
      <c r="EH39" s="2024">
        <f>Plantillas!N$692</f>
        <v>0</v>
      </c>
      <c r="EI39" s="2024">
        <f>Plantillas!N$693</f>
        <v>0</v>
      </c>
      <c r="EJ39" s="2024">
        <f>Plantillas!N$694</f>
        <v>0</v>
      </c>
      <c r="EK39" s="2024">
        <f>Plantillas!N$695</f>
        <v>0</v>
      </c>
      <c r="EL39" s="2024">
        <f>Plantillas!N$696</f>
        <v>0</v>
      </c>
      <c r="EM39" s="779">
        <v>17</v>
      </c>
      <c r="EN39" s="1966">
        <f>Plantillas!AA$677</f>
        <v>0</v>
      </c>
      <c r="EO39" s="1966">
        <f>Plantillas!AA$678</f>
        <v>0</v>
      </c>
      <c r="EP39" s="1966">
        <f>Plantillas!AA$679</f>
        <v>0</v>
      </c>
      <c r="EQ39" s="1966">
        <f>Plantillas!AA$680</f>
        <v>0</v>
      </c>
      <c r="ER39" s="1966">
        <f>Plantillas!AA$681</f>
        <v>0</v>
      </c>
      <c r="ES39" s="1966">
        <f>Plantillas!AA$682</f>
        <v>0</v>
      </c>
      <c r="ET39" s="1966">
        <f>Plantillas!AA$683</f>
        <v>0</v>
      </c>
      <c r="EU39" s="1966">
        <f>Plantillas!AA$684</f>
        <v>0</v>
      </c>
      <c r="EV39" s="1966">
        <f>Plantillas!AA$685</f>
        <v>0</v>
      </c>
      <c r="EW39" s="1966">
        <f>Plantillas!AA$686</f>
        <v>0</v>
      </c>
      <c r="EX39" s="1966">
        <f>Plantillas!AA$687</f>
        <v>0</v>
      </c>
      <c r="EY39" s="1966">
        <f>Plantillas!AA$688</f>
        <v>0</v>
      </c>
      <c r="EZ39" s="1966">
        <f>Plantillas!AA$689</f>
        <v>0</v>
      </c>
      <c r="FA39" s="1966">
        <f>Plantillas!AA$690</f>
        <v>0</v>
      </c>
      <c r="FB39" s="1966">
        <f>Plantillas!AA$691</f>
        <v>0</v>
      </c>
      <c r="FC39" s="1966">
        <f>Plantillas!AA$692</f>
        <v>0</v>
      </c>
      <c r="FD39" s="1966">
        <f>Plantillas!AA$693</f>
        <v>0</v>
      </c>
      <c r="FE39" s="1966">
        <f>Plantillas!AA$694</f>
        <v>0</v>
      </c>
      <c r="FF39" s="1966">
        <f>Plantillas!AA$695</f>
        <v>0</v>
      </c>
      <c r="FG39" s="1967">
        <f>Plantillas!AA$696</f>
        <v>0</v>
      </c>
      <c r="FH39" s="779">
        <v>17</v>
      </c>
      <c r="FI39" s="1960">
        <f>Plantillas!W$677</f>
        <v>0</v>
      </c>
      <c r="FJ39" s="1960">
        <f>Plantillas!W$678</f>
        <v>0</v>
      </c>
      <c r="FK39" s="1960">
        <f>Plantillas!W$679</f>
        <v>0</v>
      </c>
      <c r="FL39" s="1960">
        <f>Plantillas!W$680</f>
        <v>0</v>
      </c>
      <c r="FM39" s="1960">
        <f>Plantillas!W$681</f>
        <v>0</v>
      </c>
      <c r="FN39" s="1960">
        <f>Plantillas!W$682</f>
        <v>0</v>
      </c>
      <c r="FO39" s="1960">
        <f>Plantillas!W$683</f>
        <v>0</v>
      </c>
      <c r="FP39" s="1960">
        <f>Plantillas!W$684</f>
        <v>0</v>
      </c>
      <c r="FQ39" s="1960">
        <f>Plantillas!W$685</f>
        <v>0</v>
      </c>
      <c r="FR39" s="1960">
        <f>Plantillas!W$686</f>
        <v>0</v>
      </c>
      <c r="FS39" s="1960">
        <f>Plantillas!W$687</f>
        <v>0</v>
      </c>
      <c r="FT39" s="1960">
        <f>Plantillas!W$688</f>
        <v>0</v>
      </c>
      <c r="FU39" s="1960">
        <f>Plantillas!W$689</f>
        <v>0</v>
      </c>
      <c r="FV39" s="1960">
        <f>Plantillas!W$690</f>
        <v>0</v>
      </c>
      <c r="FW39" s="1960">
        <f>Plantillas!W$691</f>
        <v>0</v>
      </c>
      <c r="FX39" s="1960">
        <f>Plantillas!W$692</f>
        <v>0</v>
      </c>
      <c r="FY39" s="1960">
        <f>Plantillas!W$693</f>
        <v>0</v>
      </c>
      <c r="FZ39" s="1960">
        <f>Plantillas!W$694</f>
        <v>0</v>
      </c>
      <c r="GA39" s="1960">
        <f>Plantillas!W$695</f>
        <v>0</v>
      </c>
      <c r="GB39" s="2031">
        <f>Plantillas!W$696</f>
        <v>0</v>
      </c>
      <c r="GC39" s="779">
        <v>17</v>
      </c>
      <c r="GD39" s="1359">
        <f t="shared" si="49"/>
        <v>0</v>
      </c>
      <c r="GE39" s="1359">
        <f t="shared" si="40"/>
        <v>0</v>
      </c>
      <c r="GF39" s="1359">
        <f t="shared" si="41"/>
        <v>0</v>
      </c>
      <c r="GG39" s="1359">
        <f t="shared" si="42"/>
        <v>0</v>
      </c>
      <c r="GH39" s="1359">
        <f t="shared" si="43"/>
        <v>0</v>
      </c>
      <c r="GI39" s="1359">
        <f t="shared" si="44"/>
        <v>0</v>
      </c>
      <c r="GJ39" s="183">
        <f>SUM(GD39:GI39)</f>
        <v>0</v>
      </c>
      <c r="GK39" s="1360">
        <f t="shared" si="46"/>
        <v>0</v>
      </c>
      <c r="GL39" s="183">
        <v>17</v>
      </c>
      <c r="GM39" s="1968">
        <f>Plantillas!I$677</f>
        <v>0</v>
      </c>
      <c r="GN39" s="1968">
        <f>Plantillas!I$678</f>
        <v>0</v>
      </c>
      <c r="GO39" s="1968">
        <f>Plantillas!I$679</f>
        <v>0</v>
      </c>
      <c r="GP39" s="1968">
        <f>Plantillas!I$680</f>
        <v>0</v>
      </c>
      <c r="GQ39" s="1968">
        <f>Plantillas!I$681</f>
        <v>0</v>
      </c>
      <c r="GR39" s="1968">
        <f>Plantillas!I$682</f>
        <v>0</v>
      </c>
      <c r="GS39" s="1968">
        <f>Plantillas!I$683</f>
        <v>0</v>
      </c>
      <c r="GT39" s="1968">
        <f>Plantillas!I$684</f>
        <v>0</v>
      </c>
      <c r="GU39" s="1968">
        <f>Plantillas!I$685</f>
        <v>0</v>
      </c>
      <c r="GV39" s="1968">
        <f>Plantillas!I$686</f>
        <v>0</v>
      </c>
      <c r="GW39" s="1968">
        <f>Plantillas!I$687</f>
        <v>0</v>
      </c>
      <c r="GX39" s="1968">
        <f>Plantillas!I$688</f>
        <v>0</v>
      </c>
      <c r="GY39" s="1968">
        <f>Plantillas!I$689</f>
        <v>0</v>
      </c>
      <c r="GZ39" s="1968">
        <f>Plantillas!I$690</f>
        <v>0</v>
      </c>
      <c r="HA39" s="1968">
        <f>Plantillas!I$691</f>
        <v>0</v>
      </c>
      <c r="HB39" s="1968">
        <f>Plantillas!I$692</f>
        <v>0</v>
      </c>
      <c r="HC39" s="1968">
        <f>Plantillas!I$693</f>
        <v>0</v>
      </c>
      <c r="HD39" s="1968">
        <f>Plantillas!I$694</f>
        <v>0</v>
      </c>
      <c r="HE39" s="1968">
        <f>Plantillas!I$695</f>
        <v>0</v>
      </c>
      <c r="HF39" s="1969">
        <f>Plantillas!I$696</f>
        <v>0</v>
      </c>
      <c r="HG39" s="778">
        <v>15</v>
      </c>
      <c r="HH39" s="1358">
        <f>'[1]0156N'!$D$31</f>
        <v>10</v>
      </c>
      <c r="HI39" s="2647">
        <f>'[1]0156N'!$E$31</f>
        <v>6</v>
      </c>
      <c r="HJ39" s="1359">
        <f>'[1]0156N'!$G$31</f>
        <v>10</v>
      </c>
      <c r="HK39" s="1353">
        <f>'[1]0156N'!$H$31</f>
        <v>4</v>
      </c>
      <c r="HL39" s="2646">
        <f>'[1]0156N'!$J$31</f>
        <v>6</v>
      </c>
      <c r="HM39" s="2647">
        <f>'[1]0156N'!$K$31</f>
        <v>3</v>
      </c>
      <c r="HN39" s="1359">
        <f>'[1]0156N'!$M$31</f>
        <v>7</v>
      </c>
      <c r="HO39" s="1353">
        <f>'[1]0156N'!$N$31</f>
        <v>4</v>
      </c>
      <c r="HP39" s="2646">
        <f>'[1]0156N'!$P$31</f>
        <v>0</v>
      </c>
      <c r="HQ39" s="2647">
        <f>'[1]0156N'!$Q$31</f>
        <v>0</v>
      </c>
      <c r="HR39" s="1359">
        <f>'[1]0156N'!$S$31</f>
        <v>0</v>
      </c>
      <c r="HS39" s="1353">
        <f>'[1]0156N'!$T$31</f>
        <v>0</v>
      </c>
      <c r="HT39" s="1358">
        <f>'[1]0156N'!$D$32</f>
        <v>0</v>
      </c>
      <c r="HU39" s="1353">
        <f>'[1]0156N'!$E$32</f>
        <v>0</v>
      </c>
      <c r="HV39" s="2646">
        <f>'[1]0156N'!$G$32</f>
        <v>0</v>
      </c>
      <c r="HW39" s="2647">
        <f>'[1]0156N'!$H$32</f>
        <v>1</v>
      </c>
      <c r="HX39" s="1359">
        <f>'[1]0156N'!$J$32</f>
        <v>1</v>
      </c>
      <c r="HY39" s="1353">
        <f>'[1]0156N'!$K$32</f>
        <v>0</v>
      </c>
      <c r="HZ39" s="2646">
        <f>'[1]0156N'!$M$32</f>
        <v>1</v>
      </c>
      <c r="IA39" s="2647">
        <f>'[1]0156N'!$N$32</f>
        <v>0</v>
      </c>
      <c r="IB39" s="2646">
        <f>'[1]0156N'!$P$32</f>
        <v>0</v>
      </c>
      <c r="IC39" s="2647">
        <f>'[1]0156N'!$Q$32</f>
        <v>0</v>
      </c>
      <c r="ID39" s="1359">
        <f>'[1]0156N'!$S$32</f>
        <v>0</v>
      </c>
      <c r="IE39" s="1354">
        <f>'[1]0156N'!$T$32</f>
        <v>0</v>
      </c>
      <c r="IF39" s="1358">
        <f>'[1]0156N'!$D$34</f>
        <v>1</v>
      </c>
      <c r="IG39" s="1353">
        <f>'[1]0156N'!$E$34</f>
        <v>0</v>
      </c>
      <c r="IH39" s="2646">
        <f>'[1]0156N'!$G$34</f>
        <v>2</v>
      </c>
      <c r="II39" s="2647">
        <f>'[1]0156N'!$H$34</f>
        <v>0</v>
      </c>
      <c r="IJ39" s="1359">
        <f>'[1]0156N'!$J$34</f>
        <v>0</v>
      </c>
      <c r="IK39" s="1353">
        <f>'[1]0156N'!$K$34</f>
        <v>0</v>
      </c>
      <c r="IL39" s="2646">
        <f>'[1]0156N'!$M$34</f>
        <v>1</v>
      </c>
      <c r="IM39" s="2647">
        <f>'[1]0156N'!$N$34</f>
        <v>0</v>
      </c>
      <c r="IN39" s="1359">
        <f>'[1]0156N'!$P$34</f>
        <v>0</v>
      </c>
      <c r="IO39" s="1353">
        <f>'[1]0156N'!$Q$34</f>
        <v>0</v>
      </c>
      <c r="IP39" s="2646">
        <f>'[1]0156N'!$S$34</f>
        <v>0</v>
      </c>
      <c r="IQ39" s="1354">
        <f>'[1]0156N'!$T$34</f>
        <v>0</v>
      </c>
      <c r="IR39" s="1358">
        <f>'[1]0156N'!$D$37</f>
        <v>0</v>
      </c>
      <c r="IS39" s="1353">
        <f>'[1]0156N'!$E$37</f>
        <v>0</v>
      </c>
      <c r="IT39" s="2646">
        <f>'[1]0156N'!$G$37</f>
        <v>0</v>
      </c>
      <c r="IU39" s="2647">
        <f>'[1]0156N'!$H$37</f>
        <v>0</v>
      </c>
      <c r="IV39" s="1359">
        <f>'[1]0156N'!$J$37</f>
        <v>0</v>
      </c>
      <c r="IW39" s="1353">
        <f>'[1]0156N'!$K$37</f>
        <v>0</v>
      </c>
      <c r="IX39" s="2646">
        <f>'[1]0156N'!$M$37</f>
        <v>0</v>
      </c>
      <c r="IY39" s="2647">
        <f>'[1]0156N'!$N$37</f>
        <v>0</v>
      </c>
      <c r="IZ39" s="2646">
        <f>'[1]0156N'!$P$37</f>
        <v>0</v>
      </c>
      <c r="JA39" s="2647">
        <f>'[1]0156N'!$Q$37</f>
        <v>0</v>
      </c>
      <c r="JB39" s="1359">
        <f>'[1]0156N'!$S$37</f>
        <v>0</v>
      </c>
      <c r="JC39" s="1354">
        <f>'[1]0156N'!$T$37</f>
        <v>0</v>
      </c>
      <c r="JD39" s="1358">
        <f>'[1]0156N'!$D$39</f>
        <v>0</v>
      </c>
      <c r="JE39" s="1353">
        <f>'[1]0156N'!$E$39</f>
        <v>1</v>
      </c>
      <c r="JF39" s="2646">
        <f>'[1]0156N'!$G$39</f>
        <v>0</v>
      </c>
      <c r="JG39" s="2647">
        <f>'[1]0156N'!$H$39</f>
        <v>0</v>
      </c>
      <c r="JH39" s="1359">
        <f>'[1]0156N'!$J$39</f>
        <v>0</v>
      </c>
      <c r="JI39" s="1353">
        <f>'[1]0156N'!$K$39</f>
        <v>1</v>
      </c>
      <c r="JJ39" s="2646">
        <f>'[1]0156N'!$M$39</f>
        <v>0</v>
      </c>
      <c r="JK39" s="2647">
        <f>'[1]0156N'!$N$39</f>
        <v>0</v>
      </c>
      <c r="JL39" s="2646">
        <f>'[1]0156N'!$P$39</f>
        <v>0</v>
      </c>
      <c r="JM39" s="2647">
        <f>'[1]0156N'!$Q$39</f>
        <v>0</v>
      </c>
      <c r="JN39" s="1359">
        <f>'[1]0156N'!$S$39</f>
        <v>0</v>
      </c>
      <c r="JO39" s="1353">
        <f>'[1]0156N'!$T$39</f>
        <v>0</v>
      </c>
      <c r="JP39" s="2646">
        <f>'[1]0156N'!$D$28</f>
        <v>0</v>
      </c>
      <c r="JQ39" s="2647">
        <f>'[1]0156N'!$E$28</f>
        <v>0</v>
      </c>
      <c r="JR39" s="2646">
        <f>'[1]0156N'!$G$28</f>
        <v>0</v>
      </c>
      <c r="JS39" s="2647">
        <f>'[1]0156N'!$H$28</f>
        <v>0</v>
      </c>
      <c r="JT39" s="1359">
        <f>'[1]0156N'!$J$28</f>
        <v>0</v>
      </c>
      <c r="JU39" s="1353">
        <f>'[1]0156N'!$K$28</f>
        <v>0</v>
      </c>
      <c r="JV39" s="2646">
        <f>'[1]0156N'!$M$28</f>
        <v>0</v>
      </c>
      <c r="JW39" s="2647">
        <f>'[1]0156N'!$N$28</f>
        <v>0</v>
      </c>
      <c r="JX39" s="2646">
        <f>'[1]0156N'!$P$28</f>
        <v>0</v>
      </c>
      <c r="JY39" s="2647">
        <f>'[1]0156N'!$Q$28</f>
        <v>0</v>
      </c>
      <c r="JZ39" s="1359">
        <f>'[1]0156N'!$S$28</f>
        <v>0</v>
      </c>
      <c r="KA39" s="1353">
        <f>'[1]0156N'!$T$28</f>
        <v>0</v>
      </c>
      <c r="KB39" s="779">
        <f t="shared" si="51"/>
        <v>0</v>
      </c>
      <c r="KC39" s="183">
        <f t="shared" si="52"/>
        <v>0</v>
      </c>
      <c r="KD39" s="183">
        <f t="shared" si="53"/>
        <v>0</v>
      </c>
      <c r="KE39" s="183">
        <f t="shared" si="54"/>
        <v>0</v>
      </c>
      <c r="KF39" s="183">
        <f t="shared" si="55"/>
        <v>0</v>
      </c>
      <c r="KG39" s="782">
        <f t="shared" si="56"/>
        <v>0</v>
      </c>
      <c r="KH39" s="1361">
        <v>16</v>
      </c>
      <c r="KI39" s="1931">
        <f>Plantillas!D632</f>
        <v>0</v>
      </c>
      <c r="KJ39" s="1956">
        <f t="shared" si="47"/>
        <v>0</v>
      </c>
      <c r="KK39" s="1956">
        <f t="shared" ref="KK39:KY39" si="86">KJ39</f>
        <v>0</v>
      </c>
      <c r="KL39" s="1956">
        <f t="shared" si="86"/>
        <v>0</v>
      </c>
      <c r="KM39" s="1956">
        <f t="shared" si="86"/>
        <v>0</v>
      </c>
      <c r="KN39" s="1956">
        <f t="shared" si="86"/>
        <v>0</v>
      </c>
      <c r="KO39" s="1956">
        <f t="shared" si="86"/>
        <v>0</v>
      </c>
      <c r="KP39" s="1956">
        <f t="shared" si="86"/>
        <v>0</v>
      </c>
      <c r="KQ39" s="1956">
        <f t="shared" si="86"/>
        <v>0</v>
      </c>
      <c r="KR39" s="1956">
        <f t="shared" si="86"/>
        <v>0</v>
      </c>
      <c r="KS39" s="1956">
        <f t="shared" si="86"/>
        <v>0</v>
      </c>
      <c r="KT39" s="1956">
        <f t="shared" si="86"/>
        <v>0</v>
      </c>
      <c r="KU39" s="1956">
        <f t="shared" si="86"/>
        <v>0</v>
      </c>
      <c r="KV39" s="1956">
        <f t="shared" si="86"/>
        <v>0</v>
      </c>
      <c r="KW39" s="1956">
        <f t="shared" si="86"/>
        <v>0</v>
      </c>
      <c r="KX39" s="1956">
        <f t="shared" si="86"/>
        <v>0</v>
      </c>
      <c r="KY39" s="1956">
        <f t="shared" si="86"/>
        <v>0</v>
      </c>
      <c r="KZ39" s="1956"/>
      <c r="LA39" s="1956"/>
      <c r="LB39" s="1957"/>
      <c r="LC39" s="1361">
        <v>16</v>
      </c>
      <c r="LD39" s="2985"/>
      <c r="LE39" s="2985"/>
      <c r="LF39" s="2985"/>
      <c r="LG39" s="2985"/>
      <c r="LH39" s="2985"/>
      <c r="LI39" s="2985"/>
      <c r="LJ39" s="2985"/>
      <c r="LK39" s="2985"/>
      <c r="LL39" s="2985"/>
      <c r="LM39" s="2985"/>
      <c r="LN39" s="2985"/>
      <c r="LO39" s="2985"/>
      <c r="LP39" s="2985"/>
      <c r="LQ39" s="2985"/>
      <c r="LR39" s="2985"/>
      <c r="LS39" s="2985"/>
      <c r="LT39" s="2985"/>
      <c r="LU39" s="2985"/>
      <c r="LV39" s="2985"/>
      <c r="LW39" s="2986"/>
    </row>
    <row r="40" spans="1:335" ht="13.5" customHeight="1">
      <c r="A40" s="16"/>
      <c r="B40" s="1710"/>
      <c r="C40" s="3392" t="s">
        <v>7</v>
      </c>
      <c r="D40" s="1736" t="s">
        <v>1620</v>
      </c>
      <c r="E40" s="1711"/>
      <c r="F40" s="1712"/>
      <c r="G40" s="1712">
        <v>10</v>
      </c>
      <c r="H40" s="1495" t="s">
        <v>1459</v>
      </c>
      <c r="I40" s="2953">
        <f>VLOOKUP(T6,GC2:GK21,9,2)</f>
        <v>0</v>
      </c>
      <c r="J40" s="2946">
        <f>VLOOKUP(T6,GC2:GK21,2,2)</f>
        <v>56</v>
      </c>
      <c r="K40" s="2946">
        <f>VLOOKUP(T6,GC2:GI21,3,2)</f>
        <v>64</v>
      </c>
      <c r="L40" s="2946">
        <f>VLOOKUP(T6,GC2:GI21,4,2)</f>
        <v>57</v>
      </c>
      <c r="M40" s="2946">
        <f>VLOOKUP(T6,GC2:GI21,5,2)</f>
        <v>60</v>
      </c>
      <c r="N40" s="2946">
        <f>VLOOKUP(T6,GC2:GI21,6,2)</f>
        <v>53</v>
      </c>
      <c r="O40" s="2946">
        <f>VLOOKUP(T6,GC2:GI21,7,2)</f>
        <v>60</v>
      </c>
      <c r="P40" s="3831">
        <f>SUM(J40:O40)</f>
        <v>350</v>
      </c>
      <c r="Q40" s="3832"/>
      <c r="R40" s="2943"/>
      <c r="S40" s="2943"/>
      <c r="T40" s="2943"/>
      <c r="U40" s="2943"/>
      <c r="V40" s="2943"/>
      <c r="W40" s="2943"/>
      <c r="X40" s="2943"/>
      <c r="Y40" s="2943"/>
      <c r="Z40" s="2943"/>
      <c r="AA40" s="2943"/>
      <c r="AB40" s="2943"/>
      <c r="AC40" s="2946">
        <f>VLOOKUP(T6,HG25:KG43,74)</f>
        <v>0</v>
      </c>
      <c r="AD40" s="2946">
        <f>VLOOKUP(T6,HG25:KG43,75)</f>
        <v>0</v>
      </c>
      <c r="AE40" s="2946">
        <f>VLOOKUP(T6,HG25:KG43,76)</f>
        <v>0</v>
      </c>
      <c r="AF40" s="2946"/>
      <c r="AG40" s="2946"/>
      <c r="AH40" s="2946">
        <f>VLOOKUP(T6,HG25:KG43,77)</f>
        <v>0</v>
      </c>
      <c r="AI40" s="2946">
        <f>VLOOKUP(T6,HG25:KG43,78)</f>
        <v>0</v>
      </c>
      <c r="AJ40" s="2946">
        <f>VLOOKUP(T6,HG25:KG43,79)</f>
        <v>0</v>
      </c>
      <c r="AK40" s="2942">
        <f>SUM(AC40:AJ40)</f>
        <v>0</v>
      </c>
      <c r="AL40" s="2942">
        <f>SUM(AC40:AI40)</f>
        <v>0</v>
      </c>
      <c r="AM40" s="2942">
        <f>AK40-AL40</f>
        <v>0</v>
      </c>
      <c r="AN40" s="1162"/>
      <c r="AO40" s="1494"/>
      <c r="AP40" s="1162"/>
      <c r="AQ40" s="1162"/>
      <c r="AR40" s="1162"/>
      <c r="AS40" s="1162"/>
      <c r="AT40" s="1162"/>
      <c r="AU40" s="1057"/>
      <c r="AV40" s="1058"/>
      <c r="AW40" s="2783" t="s">
        <v>79</v>
      </c>
      <c r="AX40" s="779">
        <v>18</v>
      </c>
      <c r="AY40" s="2013">
        <f>Plantillas!Y$717</f>
        <v>0</v>
      </c>
      <c r="AZ40" s="2014">
        <f>Plantillas!Z$717</f>
        <v>0</v>
      </c>
      <c r="BA40" s="2015">
        <f>Plantillas!AA$717</f>
        <v>0</v>
      </c>
      <c r="BB40" s="2013">
        <f>Plantillas!Y$718</f>
        <v>0</v>
      </c>
      <c r="BC40" s="2014">
        <f>Plantillas!Z$718</f>
        <v>0</v>
      </c>
      <c r="BD40" s="2016">
        <f>Plantillas!AA$718</f>
        <v>0</v>
      </c>
      <c r="BE40" s="2013">
        <f>Plantillas!Y$719</f>
        <v>0</v>
      </c>
      <c r="BF40" s="2014">
        <f>Plantillas!Z$719</f>
        <v>0</v>
      </c>
      <c r="BG40" s="2016">
        <f>Plantillas!AA$719</f>
        <v>0</v>
      </c>
      <c r="BH40" s="2013">
        <f>Plantillas!Y$720</f>
        <v>0</v>
      </c>
      <c r="BI40" s="2014">
        <f>Plantillas!Z$720</f>
        <v>0</v>
      </c>
      <c r="BJ40" s="2016">
        <f>Plantillas!AA$720</f>
        <v>0</v>
      </c>
      <c r="BK40" s="2013">
        <f>Plantillas!Y$721</f>
        <v>0</v>
      </c>
      <c r="BL40" s="2014">
        <f>Plantillas!Z$721</f>
        <v>0</v>
      </c>
      <c r="BM40" s="2016">
        <f>Plantillas!AA$720</f>
        <v>0</v>
      </c>
      <c r="BN40" s="2013">
        <f>Plantillas!Y$722</f>
        <v>0</v>
      </c>
      <c r="BO40" s="2014">
        <f>Plantillas!Z$722</f>
        <v>0</v>
      </c>
      <c r="BP40" s="2016">
        <f>Plantillas!AA$722</f>
        <v>0</v>
      </c>
      <c r="BQ40" s="2013">
        <f>Plantillas!Y$723</f>
        <v>0</v>
      </c>
      <c r="BR40" s="2014">
        <f>Plantillas!Z$723</f>
        <v>0</v>
      </c>
      <c r="BS40" s="2016">
        <f>Plantillas!AA$720</f>
        <v>0</v>
      </c>
      <c r="BT40" s="2013">
        <f>Plantillas!Y$724</f>
        <v>0</v>
      </c>
      <c r="BU40" s="2014">
        <f>Plantillas!Z$724</f>
        <v>0</v>
      </c>
      <c r="BV40" s="2016">
        <f>Plantillas!AA$720</f>
        <v>0</v>
      </c>
      <c r="BW40" s="2013">
        <f>Plantillas!Y$725</f>
        <v>0</v>
      </c>
      <c r="BX40" s="2014">
        <f>Plantillas!Z$725</f>
        <v>0</v>
      </c>
      <c r="BY40" s="2016">
        <f>Plantillas!AA$720</f>
        <v>0</v>
      </c>
      <c r="BZ40" s="2013">
        <f>Plantillas!Y$726</f>
        <v>0</v>
      </c>
      <c r="CA40" s="2014">
        <f>Plantillas!Z$726</f>
        <v>0</v>
      </c>
      <c r="CB40" s="2016">
        <f>Plantillas!AA$720</f>
        <v>0</v>
      </c>
      <c r="CC40" s="2013">
        <f>Plantillas!Y$727</f>
        <v>0</v>
      </c>
      <c r="CD40" s="2014">
        <f>Plantillas!Z$727</f>
        <v>0</v>
      </c>
      <c r="CE40" s="2016">
        <f>Plantillas!AA$720</f>
        <v>0</v>
      </c>
      <c r="CF40" s="2013">
        <f>Plantillas!Y$728</f>
        <v>0</v>
      </c>
      <c r="CG40" s="2014">
        <f>Plantillas!Z$728</f>
        <v>0</v>
      </c>
      <c r="CH40" s="2016">
        <f>Plantillas!AA$720</f>
        <v>0</v>
      </c>
      <c r="CI40" s="2013">
        <f>Plantillas!Y$729</f>
        <v>0</v>
      </c>
      <c r="CJ40" s="2014">
        <f>Plantillas!Z$729</f>
        <v>0</v>
      </c>
      <c r="CK40" s="2016">
        <f>Plantillas!AA$729</f>
        <v>0</v>
      </c>
      <c r="CL40" s="2013">
        <f>Plantillas!Y$730</f>
        <v>0</v>
      </c>
      <c r="CM40" s="2014">
        <f>Plantillas!Z$730</f>
        <v>0</v>
      </c>
      <c r="CN40" s="2016">
        <f>Plantillas!AA$730</f>
        <v>0</v>
      </c>
      <c r="CO40" s="2013">
        <f>Plantillas!Y$731</f>
        <v>0</v>
      </c>
      <c r="CP40" s="2014">
        <f>Plantillas!Z$731</f>
        <v>0</v>
      </c>
      <c r="CQ40" s="2016">
        <f>Plantillas!AA$731</f>
        <v>0</v>
      </c>
      <c r="CR40" s="2013">
        <f>Plantillas!Y$732</f>
        <v>0</v>
      </c>
      <c r="CS40" s="2014">
        <f>Plantillas!Z$732</f>
        <v>0</v>
      </c>
      <c r="CT40" s="2016">
        <f>Plantillas!AA$732</f>
        <v>0</v>
      </c>
      <c r="CU40" s="2013">
        <f>Plantillas!Y$733</f>
        <v>0</v>
      </c>
      <c r="CV40" s="2014">
        <f>Plantillas!Z$733</f>
        <v>0</v>
      </c>
      <c r="CW40" s="2016">
        <f>Plantillas!AA$733</f>
        <v>0</v>
      </c>
      <c r="CX40" s="2013">
        <f>Plantillas!Y$734</f>
        <v>0</v>
      </c>
      <c r="CY40" s="2014">
        <f>Plantillas!Z$734</f>
        <v>0</v>
      </c>
      <c r="CZ40" s="2016">
        <f>Plantillas!AA$734</f>
        <v>0</v>
      </c>
      <c r="DA40" s="2013">
        <f>Plantillas!Y$735</f>
        <v>0</v>
      </c>
      <c r="DB40" s="2014">
        <f>Plantillas!Z$735</f>
        <v>0</v>
      </c>
      <c r="DC40" s="2016">
        <f>Plantillas!AA$720</f>
        <v>0</v>
      </c>
      <c r="DD40" s="2013">
        <f>Plantillas!Y$736</f>
        <v>0</v>
      </c>
      <c r="DE40" s="2014">
        <f>Plantillas!Z$736</f>
        <v>0</v>
      </c>
      <c r="DF40" s="2016">
        <f>Plantillas!AA$736</f>
        <v>0</v>
      </c>
      <c r="DG40" s="2013">
        <f>Plantillas!Y$737</f>
        <v>0</v>
      </c>
      <c r="DH40" s="2014">
        <f>Plantillas!Z$737</f>
        <v>0</v>
      </c>
      <c r="DI40" s="2091">
        <f>Estadisticas!AA20</f>
        <v>0</v>
      </c>
      <c r="DJ40" s="183">
        <v>18</v>
      </c>
      <c r="DK40" s="84" t="str">
        <f>VLOOKUP(T6,BG2:CA21,19,19)</f>
        <v>GARDUÑO CASTILLO * MERLI ROCIO</v>
      </c>
      <c r="DL40" s="2018">
        <f>VLOOKUP(T6,CB2:CV21,19,19)</f>
        <v>0</v>
      </c>
      <c r="DM40" s="2019">
        <f>VLOOKUP(T6,CW2:DQ21,19,19)</f>
        <v>0</v>
      </c>
      <c r="DN40" s="2020">
        <f>VLOOKUP(T6,DR2:EL21,19,19)</f>
        <v>0</v>
      </c>
      <c r="DO40" s="2021">
        <f>VLOOKUP(T6,DR23:EL42,19,19)</f>
        <v>0</v>
      </c>
      <c r="DP40" s="2022">
        <f>VLOOKUP(T6,EM2:FG21,19,19)</f>
        <v>0</v>
      </c>
      <c r="DQ40" s="84">
        <f>VLOOKUP(T6,EM23:FG42,19,19)</f>
        <v>0</v>
      </c>
      <c r="DR40" s="2023">
        <v>18</v>
      </c>
      <c r="DS40" s="2024">
        <f>Plantillas!N$717</f>
        <v>0</v>
      </c>
      <c r="DT40" s="2024">
        <f>Plantillas!N$718</f>
        <v>0</v>
      </c>
      <c r="DU40" s="2024">
        <f>Plantillas!N$719</f>
        <v>0</v>
      </c>
      <c r="DV40" s="2024">
        <f>Plantillas!N$720</f>
        <v>0</v>
      </c>
      <c r="DW40" s="2024">
        <f>Plantillas!N$721</f>
        <v>0</v>
      </c>
      <c r="DX40" s="2024">
        <f>Plantillas!N$722</f>
        <v>0</v>
      </c>
      <c r="DY40" s="2024">
        <f>Plantillas!N$723</f>
        <v>0</v>
      </c>
      <c r="DZ40" s="2024">
        <f>Plantillas!N$724</f>
        <v>0</v>
      </c>
      <c r="EA40" s="2024">
        <f>Plantillas!N$725</f>
        <v>0</v>
      </c>
      <c r="EB40" s="2024">
        <f>Plantillas!N$726</f>
        <v>0</v>
      </c>
      <c r="EC40" s="2024">
        <f>Plantillas!N$727</f>
        <v>0</v>
      </c>
      <c r="ED40" s="2024">
        <f>Plantillas!N$728</f>
        <v>0</v>
      </c>
      <c r="EE40" s="2024">
        <f>Plantillas!N$729</f>
        <v>0</v>
      </c>
      <c r="EF40" s="2024">
        <f>Plantillas!N$730</f>
        <v>0</v>
      </c>
      <c r="EG40" s="2024">
        <f>Plantillas!N$731</f>
        <v>0</v>
      </c>
      <c r="EH40" s="2024">
        <f>Plantillas!N$732</f>
        <v>0</v>
      </c>
      <c r="EI40" s="2024">
        <f>Plantillas!N$733</f>
        <v>0</v>
      </c>
      <c r="EJ40" s="2024">
        <f>Plantillas!N$734</f>
        <v>0</v>
      </c>
      <c r="EK40" s="2024">
        <f>Plantillas!N$735</f>
        <v>0</v>
      </c>
      <c r="EL40" s="2024">
        <f>Plantillas!N$736</f>
        <v>0</v>
      </c>
      <c r="EM40" s="779">
        <v>18</v>
      </c>
      <c r="EN40" s="1966">
        <f>Plantillas!AA$717</f>
        <v>0</v>
      </c>
      <c r="EO40" s="1966">
        <f>Plantillas!AA$718</f>
        <v>0</v>
      </c>
      <c r="EP40" s="1966">
        <f>Plantillas!AA$719</f>
        <v>0</v>
      </c>
      <c r="EQ40" s="1966">
        <f>Plantillas!AA$720</f>
        <v>0</v>
      </c>
      <c r="ER40" s="1966">
        <f>Plantillas!AA$721</f>
        <v>0</v>
      </c>
      <c r="ES40" s="1966">
        <f>Plantillas!AA$722</f>
        <v>0</v>
      </c>
      <c r="ET40" s="1966">
        <f>Plantillas!AA$723</f>
        <v>0</v>
      </c>
      <c r="EU40" s="1966">
        <f>Plantillas!AA$724</f>
        <v>0</v>
      </c>
      <c r="EV40" s="1966">
        <f>Plantillas!AA$725</f>
        <v>0</v>
      </c>
      <c r="EW40" s="1966">
        <f>Plantillas!AA$726</f>
        <v>0</v>
      </c>
      <c r="EX40" s="1966">
        <f>Plantillas!AA$727</f>
        <v>0</v>
      </c>
      <c r="EY40" s="1966">
        <f>Plantillas!AA$728</f>
        <v>0</v>
      </c>
      <c r="EZ40" s="1966">
        <f>Plantillas!AA$729</f>
        <v>0</v>
      </c>
      <c r="FA40" s="1966">
        <f>Plantillas!AA$730</f>
        <v>0</v>
      </c>
      <c r="FB40" s="1966">
        <f>Plantillas!AA$731</f>
        <v>0</v>
      </c>
      <c r="FC40" s="1966">
        <f>Plantillas!AA$732</f>
        <v>0</v>
      </c>
      <c r="FD40" s="1966">
        <f>Plantillas!AA$733</f>
        <v>0</v>
      </c>
      <c r="FE40" s="1966">
        <f>Plantillas!AA$734</f>
        <v>0</v>
      </c>
      <c r="FF40" s="1966">
        <f>Plantillas!AA$735</f>
        <v>0</v>
      </c>
      <c r="FG40" s="1967">
        <f>Plantillas!AA$736</f>
        <v>0</v>
      </c>
      <c r="FH40" s="779">
        <v>18</v>
      </c>
      <c r="FI40" s="1960">
        <f>Plantillas!W$717</f>
        <v>0</v>
      </c>
      <c r="FJ40" s="1960">
        <f>Plantillas!W$718</f>
        <v>0</v>
      </c>
      <c r="FK40" s="1960">
        <f>Plantillas!W$719</f>
        <v>0</v>
      </c>
      <c r="FL40" s="1960">
        <f>Plantillas!W$720</f>
        <v>0</v>
      </c>
      <c r="FM40" s="1960">
        <f>Plantillas!W$721</f>
        <v>0</v>
      </c>
      <c r="FN40" s="1960">
        <f>Plantillas!W$722</f>
        <v>0</v>
      </c>
      <c r="FO40" s="1960">
        <f>Plantillas!W$723</f>
        <v>0</v>
      </c>
      <c r="FP40" s="1960">
        <f>Plantillas!W$724</f>
        <v>0</v>
      </c>
      <c r="FQ40" s="1960">
        <f>Plantillas!W$725</f>
        <v>0</v>
      </c>
      <c r="FR40" s="1960">
        <f>Plantillas!W$726</f>
        <v>0</v>
      </c>
      <c r="FS40" s="1960">
        <f>Plantillas!W$727</f>
        <v>0</v>
      </c>
      <c r="FT40" s="1960">
        <f>Plantillas!W$728</f>
        <v>0</v>
      </c>
      <c r="FU40" s="1960">
        <f>Plantillas!W$729</f>
        <v>0</v>
      </c>
      <c r="FV40" s="1960">
        <f>Plantillas!W$730</f>
        <v>0</v>
      </c>
      <c r="FW40" s="1960">
        <f>Plantillas!W$731</f>
        <v>0</v>
      </c>
      <c r="FX40" s="1960">
        <f>Plantillas!W$732</f>
        <v>0</v>
      </c>
      <c r="FY40" s="1960">
        <f>Plantillas!W$733</f>
        <v>0</v>
      </c>
      <c r="FZ40" s="1960">
        <f>Plantillas!W$734</f>
        <v>0</v>
      </c>
      <c r="GA40" s="1960">
        <f>Plantillas!W$735</f>
        <v>0</v>
      </c>
      <c r="GB40" s="2031">
        <f>Plantillas!W$736</f>
        <v>0</v>
      </c>
      <c r="GC40" s="779">
        <v>18</v>
      </c>
      <c r="GD40" s="1359">
        <f t="shared" si="49"/>
        <v>0</v>
      </c>
      <c r="GE40" s="1359">
        <f t="shared" si="40"/>
        <v>0</v>
      </c>
      <c r="GF40" s="1359">
        <f t="shared" si="41"/>
        <v>0</v>
      </c>
      <c r="GG40" s="1359">
        <f t="shared" si="42"/>
        <v>0</v>
      </c>
      <c r="GH40" s="1359">
        <f t="shared" si="43"/>
        <v>0</v>
      </c>
      <c r="GI40" s="1359">
        <f t="shared" si="44"/>
        <v>0</v>
      </c>
      <c r="GJ40" s="183">
        <f>SUM(GD40:GI40)</f>
        <v>0</v>
      </c>
      <c r="GK40" s="1360">
        <f t="shared" si="46"/>
        <v>0</v>
      </c>
      <c r="GL40" s="183">
        <v>18</v>
      </c>
      <c r="GM40" s="1968">
        <f>Plantillas!I$717</f>
        <v>0</v>
      </c>
      <c r="GN40" s="1968">
        <f>Plantillas!I$718</f>
        <v>0</v>
      </c>
      <c r="GO40" s="1968">
        <f>Plantillas!I$719</f>
        <v>0</v>
      </c>
      <c r="GP40" s="1968">
        <f>Plantillas!I$720</f>
        <v>0</v>
      </c>
      <c r="GQ40" s="1968">
        <f>Plantillas!I$721</f>
        <v>0</v>
      </c>
      <c r="GR40" s="1968">
        <f>Plantillas!I$722</f>
        <v>0</v>
      </c>
      <c r="GS40" s="1968">
        <f>Plantillas!I$723</f>
        <v>0</v>
      </c>
      <c r="GT40" s="1968">
        <f>Plantillas!I$724</f>
        <v>0</v>
      </c>
      <c r="GU40" s="1968">
        <f>Plantillas!I$725</f>
        <v>0</v>
      </c>
      <c r="GV40" s="1968">
        <f>Plantillas!I$726</f>
        <v>0</v>
      </c>
      <c r="GW40" s="1968">
        <f>Plantillas!I$727</f>
        <v>0</v>
      </c>
      <c r="GX40" s="1968">
        <f>Plantillas!I$728</f>
        <v>0</v>
      </c>
      <c r="GY40" s="1968">
        <f>Plantillas!I$729</f>
        <v>0</v>
      </c>
      <c r="GZ40" s="1968">
        <f>Plantillas!I$730</f>
        <v>0</v>
      </c>
      <c r="HA40" s="1968">
        <f>Plantillas!I$731</f>
        <v>0</v>
      </c>
      <c r="HB40" s="1968">
        <f>Plantillas!I$732</f>
        <v>0</v>
      </c>
      <c r="HC40" s="1968">
        <f>Plantillas!I$733</f>
        <v>0</v>
      </c>
      <c r="HD40" s="1968">
        <f>Plantillas!I$734</f>
        <v>0</v>
      </c>
      <c r="HE40" s="1968">
        <f>Plantillas!I$735</f>
        <v>0</v>
      </c>
      <c r="HF40" s="1969">
        <f>Plantillas!I$736</f>
        <v>0</v>
      </c>
      <c r="HG40" s="778">
        <v>16</v>
      </c>
      <c r="HH40" s="1358">
        <f>'[1]0163X'!$D$31</f>
        <v>18</v>
      </c>
      <c r="HI40" s="2647">
        <f>'[1]0163X'!$E$31</f>
        <v>23</v>
      </c>
      <c r="HJ40" s="1359">
        <f>'[1]0163X'!$G$31</f>
        <v>14</v>
      </c>
      <c r="HK40" s="1353">
        <f>'[1]0163X'!$H$31</f>
        <v>13</v>
      </c>
      <c r="HL40" s="2646">
        <f>'[1]0163X'!$J$31</f>
        <v>11</v>
      </c>
      <c r="HM40" s="2647">
        <f>'[1]0163X'!$K$31</f>
        <v>14</v>
      </c>
      <c r="HN40" s="1359">
        <f>'[1]0163X'!$M$31</f>
        <v>11</v>
      </c>
      <c r="HO40" s="1353">
        <f>'[1]0163X'!$N$31</f>
        <v>12</v>
      </c>
      <c r="HP40" s="2646">
        <f>'[1]0163X'!$P$31</f>
        <v>16</v>
      </c>
      <c r="HQ40" s="2647">
        <f>'[1]0163X'!$Q$31</f>
        <v>17</v>
      </c>
      <c r="HR40" s="1359">
        <f>'[1]0163X'!$S$31</f>
        <v>5</v>
      </c>
      <c r="HS40" s="1353">
        <f>'[1]0163X'!$T$31</f>
        <v>4</v>
      </c>
      <c r="HT40" s="1358">
        <f>'[1]0163X'!$D$32</f>
        <v>3</v>
      </c>
      <c r="HU40" s="1353">
        <f>'[1]0163X'!$E$32</f>
        <v>0</v>
      </c>
      <c r="HV40" s="2646">
        <f>'[1]0163X'!$G$32</f>
        <v>2</v>
      </c>
      <c r="HW40" s="2647">
        <f>'[1]0163X'!$H$32</f>
        <v>1</v>
      </c>
      <c r="HX40" s="1359">
        <f>'[1]0163X'!$J$32</f>
        <v>1</v>
      </c>
      <c r="HY40" s="1353">
        <f>'[1]0163X'!$K$32</f>
        <v>1</v>
      </c>
      <c r="HZ40" s="2646">
        <f>'[1]0163X'!$M$32</f>
        <v>1</v>
      </c>
      <c r="IA40" s="2647">
        <f>'[1]0163X'!$N$32</f>
        <v>0</v>
      </c>
      <c r="IB40" s="2646">
        <f>'[1]0163X'!$P$32</f>
        <v>0</v>
      </c>
      <c r="IC40" s="2647">
        <f>'[1]0163X'!$Q$32</f>
        <v>0</v>
      </c>
      <c r="ID40" s="1359">
        <f>'[1]0163X'!$S$32</f>
        <v>0</v>
      </c>
      <c r="IE40" s="1354">
        <f>'[1]0163X'!$T$32</f>
        <v>1</v>
      </c>
      <c r="IF40" s="1358">
        <f>'[1]0163X'!$D$34</f>
        <v>2</v>
      </c>
      <c r="IG40" s="1353">
        <f>'[1]0163X'!$E$34</f>
        <v>0</v>
      </c>
      <c r="IH40" s="2646">
        <f>'[1]0163X'!$G$34</f>
        <v>0</v>
      </c>
      <c r="II40" s="2647">
        <f>'[1]0163X'!$H$34</f>
        <v>1</v>
      </c>
      <c r="IJ40" s="1359">
        <f>'[1]0163X'!$J$34</f>
        <v>0</v>
      </c>
      <c r="IK40" s="1353">
        <f>'[1]0163X'!$K$34</f>
        <v>1</v>
      </c>
      <c r="IL40" s="2646">
        <f>'[1]0163X'!$M$34</f>
        <v>1</v>
      </c>
      <c r="IM40" s="2647">
        <f>'[1]0163X'!$N$34</f>
        <v>0</v>
      </c>
      <c r="IN40" s="1359">
        <f>'[1]0163X'!$P$34</f>
        <v>0</v>
      </c>
      <c r="IO40" s="1353">
        <f>'[1]0163X'!$Q$34</f>
        <v>1</v>
      </c>
      <c r="IP40" s="2646">
        <f>'[1]0163X'!$S$34</f>
        <v>0</v>
      </c>
      <c r="IQ40" s="1354">
        <f>'[1]0163X'!$T$34</f>
        <v>0</v>
      </c>
      <c r="IR40" s="1358">
        <f>'[1]0163X'!$D$37</f>
        <v>0</v>
      </c>
      <c r="IS40" s="1353">
        <f>'[1]0163X'!$E$37</f>
        <v>0</v>
      </c>
      <c r="IT40" s="2646">
        <f>'[1]0163X'!$G$37</f>
        <v>0</v>
      </c>
      <c r="IU40" s="2647">
        <f>'[1]0163X'!$H$37</f>
        <v>0</v>
      </c>
      <c r="IV40" s="1359">
        <f>'[1]0163X'!$J$37</f>
        <v>0</v>
      </c>
      <c r="IW40" s="1353">
        <f>'[1]0163X'!$K$37</f>
        <v>0</v>
      </c>
      <c r="IX40" s="2646">
        <f>'[1]0163X'!$M$37</f>
        <v>0</v>
      </c>
      <c r="IY40" s="2647">
        <f>'[1]0163X'!$N$37</f>
        <v>0</v>
      </c>
      <c r="IZ40" s="2646">
        <f>'[1]0163X'!$P$37</f>
        <v>0</v>
      </c>
      <c r="JA40" s="2647">
        <f>'[1]0163X'!$Q$37</f>
        <v>0</v>
      </c>
      <c r="JB40" s="1359">
        <f>'[1]0163X'!$S$37</f>
        <v>0</v>
      </c>
      <c r="JC40" s="1354">
        <f>'[1]0163X'!$T$37</f>
        <v>0</v>
      </c>
      <c r="JD40" s="1358">
        <f>'[1]0163X'!$D$39</f>
        <v>0</v>
      </c>
      <c r="JE40" s="1353">
        <f>'[1]0163X'!$E$39</f>
        <v>2</v>
      </c>
      <c r="JF40" s="2646">
        <f>'[1]0163X'!$G$39</f>
        <v>0</v>
      </c>
      <c r="JG40" s="2647">
        <f>'[1]0163X'!$H$39</f>
        <v>2</v>
      </c>
      <c r="JH40" s="1359">
        <f>'[1]0163X'!$J$39</f>
        <v>0</v>
      </c>
      <c r="JI40" s="1353">
        <f>'[1]0163X'!$K$39</f>
        <v>2</v>
      </c>
      <c r="JJ40" s="2646">
        <f>'[1]0163X'!$M$39</f>
        <v>0</v>
      </c>
      <c r="JK40" s="2647">
        <f>'[1]0163X'!$N$39</f>
        <v>1</v>
      </c>
      <c r="JL40" s="2646">
        <f>'[1]0163X'!$P$39</f>
        <v>1</v>
      </c>
      <c r="JM40" s="2647">
        <f>'[1]0163X'!$Q$39</f>
        <v>1</v>
      </c>
      <c r="JN40" s="1359">
        <f>'[1]0163X'!$S$39</f>
        <v>0</v>
      </c>
      <c r="JO40" s="1353">
        <f>'[1]0163X'!$T$39</f>
        <v>0</v>
      </c>
      <c r="JP40" s="2646">
        <f>'[1]0163X'!$D$28</f>
        <v>0</v>
      </c>
      <c r="JQ40" s="2647">
        <f>'[1]0163X'!$E$28</f>
        <v>0</v>
      </c>
      <c r="JR40" s="2646">
        <f>'[1]0163X'!$G$28</f>
        <v>0</v>
      </c>
      <c r="JS40" s="2647">
        <f>'[1]0163X'!$H$28</f>
        <v>0</v>
      </c>
      <c r="JT40" s="1359">
        <f>'[1]0163X'!$J$28</f>
        <v>0</v>
      </c>
      <c r="JU40" s="1353">
        <f>'[1]0163X'!$K$28</f>
        <v>0</v>
      </c>
      <c r="JV40" s="2646">
        <f>'[1]0163X'!$M$28</f>
        <v>0</v>
      </c>
      <c r="JW40" s="2647">
        <f>'[1]0163X'!$N$28</f>
        <v>0</v>
      </c>
      <c r="JX40" s="2646">
        <f>'[1]0163X'!$P$28</f>
        <v>0</v>
      </c>
      <c r="JY40" s="2647">
        <f>'[1]0163X'!$Q$28</f>
        <v>0</v>
      </c>
      <c r="JZ40" s="1359">
        <f>'[1]0163X'!$S$28</f>
        <v>0</v>
      </c>
      <c r="KA40" s="1353">
        <f>'[1]0163X'!$T$28</f>
        <v>0</v>
      </c>
      <c r="KB40" s="779">
        <f t="shared" si="51"/>
        <v>0</v>
      </c>
      <c r="KC40" s="183">
        <f t="shared" si="52"/>
        <v>0</v>
      </c>
      <c r="KD40" s="183">
        <f t="shared" si="53"/>
        <v>0</v>
      </c>
      <c r="KE40" s="183">
        <f t="shared" si="54"/>
        <v>0</v>
      </c>
      <c r="KF40" s="183">
        <f t="shared" si="55"/>
        <v>0</v>
      </c>
      <c r="KG40" s="782">
        <f t="shared" si="56"/>
        <v>0</v>
      </c>
      <c r="KH40" s="779">
        <v>17</v>
      </c>
      <c r="KI40" s="1966"/>
      <c r="KJ40" s="1966"/>
      <c r="KK40" s="1966"/>
      <c r="KL40" s="1966"/>
      <c r="KM40" s="1966"/>
      <c r="KN40" s="1966"/>
      <c r="KO40" s="1966"/>
      <c r="KP40" s="1966"/>
      <c r="KQ40" s="1966"/>
      <c r="KR40" s="1966"/>
      <c r="KS40" s="1966"/>
      <c r="KT40" s="1966"/>
      <c r="KU40" s="1966"/>
      <c r="KV40" s="1966"/>
      <c r="KW40" s="1966"/>
      <c r="KX40" s="1966"/>
      <c r="KY40" s="1966"/>
      <c r="KZ40" s="1966"/>
      <c r="LA40" s="1966"/>
      <c r="LB40" s="1967"/>
      <c r="LC40" s="779">
        <v>17</v>
      </c>
      <c r="LD40" s="2982"/>
      <c r="LE40" s="2982"/>
      <c r="LF40" s="2982"/>
      <c r="LG40" s="2982"/>
      <c r="LH40" s="2982"/>
      <c r="LI40" s="2982"/>
      <c r="LJ40" s="2982"/>
      <c r="LK40" s="2982"/>
      <c r="LL40" s="2982"/>
      <c r="LM40" s="2982"/>
      <c r="LN40" s="2982"/>
      <c r="LO40" s="2982"/>
      <c r="LP40" s="2982"/>
      <c r="LQ40" s="2982"/>
      <c r="LR40" s="2982"/>
      <c r="LS40" s="2982"/>
      <c r="LT40" s="2982"/>
      <c r="LU40" s="2982"/>
      <c r="LV40" s="2982"/>
      <c r="LW40" s="2983"/>
    </row>
    <row r="41" spans="1:335" ht="13.5" customHeight="1">
      <c r="A41" s="16"/>
      <c r="B41" s="118"/>
      <c r="C41" s="3393" t="s">
        <v>8</v>
      </c>
      <c r="D41" s="760" t="s">
        <v>1621</v>
      </c>
      <c r="E41" s="760"/>
      <c r="F41" s="1701"/>
      <c r="G41" s="1712">
        <v>8</v>
      </c>
      <c r="H41" s="2258"/>
      <c r="I41" s="7"/>
      <c r="J41" s="7"/>
      <c r="K41" s="7"/>
      <c r="L41" s="7"/>
      <c r="M41" s="7"/>
      <c r="N41" s="7"/>
      <c r="O41" s="7"/>
      <c r="P41" s="1268" t="str">
        <f>G8</f>
        <v>CERVANTES BENITEZ * ANTONIA</v>
      </c>
      <c r="Q41" s="7"/>
      <c r="R41" s="7"/>
      <c r="S41" s="7"/>
      <c r="T41" s="7"/>
      <c r="U41" s="7"/>
      <c r="V41" s="7"/>
      <c r="W41" s="7"/>
      <c r="X41" s="7"/>
      <c r="Y41" s="5"/>
      <c r="Z41" s="5"/>
      <c r="AA41" s="7"/>
      <c r="AB41" s="7"/>
      <c r="AC41" s="7"/>
      <c r="AD41" s="7"/>
      <c r="AE41" s="7"/>
      <c r="AF41" s="7"/>
      <c r="AG41" s="7"/>
      <c r="AH41" s="7"/>
      <c r="AI41" s="7"/>
      <c r="AJ41" s="1268" t="s">
        <v>26</v>
      </c>
      <c r="AK41" s="7"/>
      <c r="AL41" s="7"/>
      <c r="AM41" s="7"/>
      <c r="AN41" s="7"/>
      <c r="AO41" s="1269"/>
      <c r="AP41" s="1269"/>
      <c r="AQ41" s="1269"/>
      <c r="AR41" s="2867"/>
      <c r="AS41" s="1162"/>
      <c r="AT41" s="1162"/>
      <c r="AU41" s="1"/>
      <c r="AV41" s="25"/>
      <c r="AW41" s="2783" t="s">
        <v>79</v>
      </c>
      <c r="AX41" s="779">
        <v>19</v>
      </c>
      <c r="AY41" s="2013">
        <f>Plantillas!Y$757</f>
        <v>0</v>
      </c>
      <c r="AZ41" s="2014">
        <f>Plantillas!Z$757</f>
        <v>0</v>
      </c>
      <c r="BA41" s="2015">
        <f>Plantillas!AA$757</f>
        <v>0</v>
      </c>
      <c r="BB41" s="2013">
        <f>Plantillas!Y$758</f>
        <v>0</v>
      </c>
      <c r="BC41" s="2014">
        <f>Plantillas!Z$758</f>
        <v>0</v>
      </c>
      <c r="BD41" s="2016">
        <f>Plantillas!AA$758</f>
        <v>0</v>
      </c>
      <c r="BE41" s="2013">
        <f>Plantillas!Y$759</f>
        <v>0</v>
      </c>
      <c r="BF41" s="2014">
        <f>Plantillas!Z$759</f>
        <v>0</v>
      </c>
      <c r="BG41" s="2016">
        <f>Plantillas!AA$759</f>
        <v>0</v>
      </c>
      <c r="BH41" s="2013">
        <f>Plantillas!Y$760</f>
        <v>0</v>
      </c>
      <c r="BI41" s="2014">
        <f>Plantillas!Z$760</f>
        <v>0</v>
      </c>
      <c r="BJ41" s="2016">
        <f>Plantillas!AA$760</f>
        <v>0</v>
      </c>
      <c r="BK41" s="2013">
        <f>Plantillas!Y$761</f>
        <v>0</v>
      </c>
      <c r="BL41" s="2014">
        <f>Plantillas!Z$761</f>
        <v>0</v>
      </c>
      <c r="BM41" s="2016">
        <f>Plantillas!AA$760</f>
        <v>0</v>
      </c>
      <c r="BN41" s="2013">
        <f>Plantillas!Y$4763</f>
        <v>0</v>
      </c>
      <c r="BO41" s="2014">
        <f>Plantillas!Z$762</f>
        <v>0</v>
      </c>
      <c r="BP41" s="2016">
        <f>Plantillas!AA$762</f>
        <v>0</v>
      </c>
      <c r="BQ41" s="2013">
        <f>Plantillas!Y$4764</f>
        <v>0</v>
      </c>
      <c r="BR41" s="2014">
        <f>Plantillas!Z$763</f>
        <v>0</v>
      </c>
      <c r="BS41" s="2016">
        <f>Plantillas!AA$760</f>
        <v>0</v>
      </c>
      <c r="BT41" s="2013">
        <f>Plantillas!Y$764</f>
        <v>0</v>
      </c>
      <c r="BU41" s="2014">
        <f>Plantillas!Z$764</f>
        <v>0</v>
      </c>
      <c r="BV41" s="2016">
        <f>Plantillas!AA$760</f>
        <v>0</v>
      </c>
      <c r="BW41" s="2013">
        <f>Plantillas!Y$765</f>
        <v>0</v>
      </c>
      <c r="BX41" s="2014">
        <f>Plantillas!Z$4766</f>
        <v>0</v>
      </c>
      <c r="BY41" s="2016">
        <f>Plantillas!AA$760</f>
        <v>0</v>
      </c>
      <c r="BZ41" s="2013">
        <f>Plantillas!Y$766</f>
        <v>0</v>
      </c>
      <c r="CA41" s="2014">
        <f>Plantillas!Z$766</f>
        <v>0</v>
      </c>
      <c r="CB41" s="2016">
        <f>Plantillas!AA$760</f>
        <v>0</v>
      </c>
      <c r="CC41" s="2013">
        <f>Plantillas!Y$767</f>
        <v>0</v>
      </c>
      <c r="CD41" s="2014">
        <f>Plantillas!Z$767</f>
        <v>0</v>
      </c>
      <c r="CE41" s="2016">
        <f>Plantillas!AA$760</f>
        <v>0</v>
      </c>
      <c r="CF41" s="2013">
        <f>Plantillas!Y$768</f>
        <v>0</v>
      </c>
      <c r="CG41" s="2014">
        <f>Plantillas!Z$768</f>
        <v>0</v>
      </c>
      <c r="CH41" s="2016">
        <f>Plantillas!AA$760</f>
        <v>0</v>
      </c>
      <c r="CI41" s="2013">
        <f>Plantillas!Y$769</f>
        <v>0</v>
      </c>
      <c r="CJ41" s="2014">
        <f>Plantillas!Z$769</f>
        <v>0</v>
      </c>
      <c r="CK41" s="2016">
        <f>Plantillas!AA$769</f>
        <v>0</v>
      </c>
      <c r="CL41" s="2013">
        <f>Plantillas!Y$770</f>
        <v>0</v>
      </c>
      <c r="CM41" s="2014">
        <f>Plantillas!Z$770</f>
        <v>0</v>
      </c>
      <c r="CN41" s="2016">
        <f>Plantillas!AA$770</f>
        <v>0</v>
      </c>
      <c r="CO41" s="2013">
        <f>Plantillas!Y$771</f>
        <v>0</v>
      </c>
      <c r="CP41" s="2014">
        <f>Plantillas!Z$771</f>
        <v>0</v>
      </c>
      <c r="CQ41" s="2016">
        <f>Plantillas!AA$771</f>
        <v>0</v>
      </c>
      <c r="CR41" s="2013">
        <f>Plantillas!Y$772</f>
        <v>0</v>
      </c>
      <c r="CS41" s="2014">
        <f>Plantillas!Z$772</f>
        <v>0</v>
      </c>
      <c r="CT41" s="2016">
        <f>Plantillas!AA$772</f>
        <v>0</v>
      </c>
      <c r="CU41" s="2013">
        <f>Plantillas!Y$773</f>
        <v>0</v>
      </c>
      <c r="CV41" s="2014">
        <f>Plantillas!Z$773</f>
        <v>0</v>
      </c>
      <c r="CW41" s="2016">
        <f>Plantillas!AA$773</f>
        <v>0</v>
      </c>
      <c r="CX41" s="2013">
        <f>Plantillas!Y$774</f>
        <v>0</v>
      </c>
      <c r="CY41" s="2014">
        <f>Plantillas!Z$774</f>
        <v>0</v>
      </c>
      <c r="CZ41" s="2016">
        <f>Plantillas!AA$774</f>
        <v>0</v>
      </c>
      <c r="DA41" s="2013">
        <f>Plantillas!Y$775</f>
        <v>0</v>
      </c>
      <c r="DB41" s="2014">
        <f>Plantillas!Z$775</f>
        <v>0</v>
      </c>
      <c r="DC41" s="2016">
        <f>Plantillas!AA$760</f>
        <v>0</v>
      </c>
      <c r="DD41" s="2013">
        <f>Plantillas!Y$776</f>
        <v>0</v>
      </c>
      <c r="DE41" s="2014">
        <f>Plantillas!Z$776</f>
        <v>0</v>
      </c>
      <c r="DF41" s="2016">
        <f>Plantillas!AA$776</f>
        <v>0</v>
      </c>
      <c r="DG41" s="2013">
        <f>Plantillas!Y$777</f>
        <v>0</v>
      </c>
      <c r="DH41" s="2014">
        <f>Plantillas!Z$777</f>
        <v>0</v>
      </c>
      <c r="DI41" s="2091">
        <f>Estadisticas!AA21</f>
        <v>0</v>
      </c>
      <c r="DJ41" s="183">
        <v>19</v>
      </c>
      <c r="DK41" s="84" t="str">
        <f>VLOOKUP(T6,BG2:CA21,20,20)</f>
        <v>POOT QUEB *LUIS ARMANDO</v>
      </c>
      <c r="DL41" s="2018">
        <f>VLOOKUP(T6,CB2:CV21,20,20)</f>
        <v>0</v>
      </c>
      <c r="DM41" s="2019">
        <f>VLOOKUP(T6,CW2:DQ21,20,20)</f>
        <v>0</v>
      </c>
      <c r="DN41" s="2020">
        <f>VLOOKUP(T6,DR2:EL21,20,20)</f>
        <v>0</v>
      </c>
      <c r="DO41" s="2021">
        <f>VLOOKUP(T6,DR23:EL42,20,20)</f>
        <v>0</v>
      </c>
      <c r="DP41" s="2022">
        <f>VLOOKUP(T6,EM2:FG21,20,20)</f>
        <v>0</v>
      </c>
      <c r="DQ41" s="84">
        <f>VLOOKUP(T6,EM23:FG42,20,20)</f>
        <v>0</v>
      </c>
      <c r="DR41" s="2023">
        <v>19</v>
      </c>
      <c r="DS41" s="2024">
        <f>Plantillas!N$757</f>
        <v>0</v>
      </c>
      <c r="DT41" s="2024">
        <f>Plantillas!N$758</f>
        <v>0</v>
      </c>
      <c r="DU41" s="2024">
        <f>Plantillas!N$759</f>
        <v>0</v>
      </c>
      <c r="DV41" s="2024">
        <f>Plantillas!N$760</f>
        <v>0</v>
      </c>
      <c r="DW41" s="2024">
        <f>Plantillas!N$761</f>
        <v>0</v>
      </c>
      <c r="DX41" s="2024">
        <f>Plantillas!N$762</f>
        <v>0</v>
      </c>
      <c r="DY41" s="2024">
        <f>Plantillas!N$763</f>
        <v>0</v>
      </c>
      <c r="DZ41" s="2024">
        <f>Plantillas!N$764</f>
        <v>0</v>
      </c>
      <c r="EA41" s="2024">
        <f>Plantillas!N$765</f>
        <v>0</v>
      </c>
      <c r="EB41" s="2024">
        <f>Plantillas!N$766</f>
        <v>0</v>
      </c>
      <c r="EC41" s="2024">
        <f>Plantillas!N$767</f>
        <v>0</v>
      </c>
      <c r="ED41" s="2024">
        <f>Plantillas!N$768</f>
        <v>0</v>
      </c>
      <c r="EE41" s="2024">
        <f>Plantillas!N$769</f>
        <v>0</v>
      </c>
      <c r="EF41" s="2024">
        <f>Plantillas!N$770</f>
        <v>0</v>
      </c>
      <c r="EG41" s="2024">
        <f>Plantillas!N$771</f>
        <v>0</v>
      </c>
      <c r="EH41" s="2024">
        <f>Plantillas!N$772</f>
        <v>0</v>
      </c>
      <c r="EI41" s="2024">
        <f>Plantillas!N$773</f>
        <v>0</v>
      </c>
      <c r="EJ41" s="2024">
        <f>Plantillas!N$774</f>
        <v>0</v>
      </c>
      <c r="EK41" s="2024">
        <f>Plantillas!N$775</f>
        <v>0</v>
      </c>
      <c r="EL41" s="2024">
        <f>Plantillas!N$776</f>
        <v>0</v>
      </c>
      <c r="EM41" s="779">
        <v>19</v>
      </c>
      <c r="EN41" s="1966">
        <f>Plantillas!AA$757</f>
        <v>0</v>
      </c>
      <c r="EO41" s="1966">
        <f>Plantillas!AA$758</f>
        <v>0</v>
      </c>
      <c r="EP41" s="1966">
        <f>Plantillas!AA$759</f>
        <v>0</v>
      </c>
      <c r="EQ41" s="1966">
        <f>Plantillas!AA$760</f>
        <v>0</v>
      </c>
      <c r="ER41" s="1966">
        <f>Plantillas!AA$761</f>
        <v>0</v>
      </c>
      <c r="ES41" s="1966">
        <f>Plantillas!AA$762</f>
        <v>0</v>
      </c>
      <c r="ET41" s="1966">
        <f>Plantillas!AA$763</f>
        <v>0</v>
      </c>
      <c r="EU41" s="1966">
        <f>Plantillas!AA$764</f>
        <v>0</v>
      </c>
      <c r="EV41" s="1966">
        <f>Plantillas!AA$765</f>
        <v>0</v>
      </c>
      <c r="EW41" s="1966">
        <f>Plantillas!AA$766</f>
        <v>0</v>
      </c>
      <c r="EX41" s="1966">
        <f>Plantillas!AA$767</f>
        <v>0</v>
      </c>
      <c r="EY41" s="1966">
        <f>Plantillas!AA$768</f>
        <v>0</v>
      </c>
      <c r="EZ41" s="1966">
        <f>Plantillas!AA$769</f>
        <v>0</v>
      </c>
      <c r="FA41" s="1966">
        <f>Plantillas!AA$770</f>
        <v>0</v>
      </c>
      <c r="FB41" s="1966">
        <f>Plantillas!AA$771</f>
        <v>0</v>
      </c>
      <c r="FC41" s="1966">
        <f>Plantillas!AA$772</f>
        <v>0</v>
      </c>
      <c r="FD41" s="1966">
        <f>Plantillas!AA$773</f>
        <v>0</v>
      </c>
      <c r="FE41" s="1966">
        <f>Plantillas!AA$774</f>
        <v>0</v>
      </c>
      <c r="FF41" s="1966">
        <f>Plantillas!AA$775</f>
        <v>0</v>
      </c>
      <c r="FG41" s="1967">
        <f>Plantillas!AA$776</f>
        <v>0</v>
      </c>
      <c r="FH41" s="779">
        <v>19</v>
      </c>
      <c r="FI41" s="1960">
        <f>Plantillas!W$757</f>
        <v>0</v>
      </c>
      <c r="FJ41" s="1960">
        <f>Plantillas!W$758</f>
        <v>0</v>
      </c>
      <c r="FK41" s="1960">
        <f>Plantillas!W$759</f>
        <v>0</v>
      </c>
      <c r="FL41" s="1960">
        <f>Plantillas!W$760</f>
        <v>0</v>
      </c>
      <c r="FM41" s="1960">
        <f>Plantillas!W$761</f>
        <v>0</v>
      </c>
      <c r="FN41" s="1960">
        <f>Plantillas!W$762</f>
        <v>0</v>
      </c>
      <c r="FO41" s="1960">
        <f>Plantillas!W$763</f>
        <v>0</v>
      </c>
      <c r="FP41" s="1960">
        <f>Plantillas!W$764</f>
        <v>0</v>
      </c>
      <c r="FQ41" s="1960">
        <f>Plantillas!W$765</f>
        <v>0</v>
      </c>
      <c r="FR41" s="1960">
        <f>Plantillas!W$766</f>
        <v>0</v>
      </c>
      <c r="FS41" s="1960">
        <f>Plantillas!W$767</f>
        <v>0</v>
      </c>
      <c r="FT41" s="1960">
        <f>Plantillas!W$768</f>
        <v>0</v>
      </c>
      <c r="FU41" s="1960">
        <f>Plantillas!W$769</f>
        <v>0</v>
      </c>
      <c r="FV41" s="1960">
        <f>Plantillas!W$770</f>
        <v>0</v>
      </c>
      <c r="FW41" s="1960">
        <f>Plantillas!W$771</f>
        <v>0</v>
      </c>
      <c r="FX41" s="1960">
        <f>Plantillas!W$772</f>
        <v>0</v>
      </c>
      <c r="FY41" s="1960">
        <f>Plantillas!W$773</f>
        <v>0</v>
      </c>
      <c r="FZ41" s="1960">
        <f>Plantillas!W$774</f>
        <v>0</v>
      </c>
      <c r="GA41" s="1960">
        <f>Plantillas!W$775</f>
        <v>0</v>
      </c>
      <c r="GB41" s="2031">
        <f>Plantillas!W$776</f>
        <v>0</v>
      </c>
      <c r="GC41" s="779">
        <v>19</v>
      </c>
      <c r="GD41" s="1359">
        <f t="shared" si="49"/>
        <v>0</v>
      </c>
      <c r="GE41" s="1359">
        <f t="shared" si="40"/>
        <v>0</v>
      </c>
      <c r="GF41" s="1359">
        <f t="shared" si="41"/>
        <v>0</v>
      </c>
      <c r="GG41" s="1359">
        <f t="shared" si="42"/>
        <v>0</v>
      </c>
      <c r="GH41" s="1359">
        <f t="shared" si="43"/>
        <v>0</v>
      </c>
      <c r="GI41" s="1359">
        <f t="shared" si="44"/>
        <v>0</v>
      </c>
      <c r="GJ41" s="183">
        <f>SUM(GD41:GI41)</f>
        <v>0</v>
      </c>
      <c r="GK41" s="1360">
        <f t="shared" si="46"/>
        <v>0</v>
      </c>
      <c r="GL41" s="183">
        <v>19</v>
      </c>
      <c r="GM41" s="1968">
        <f>Plantillas!I$757</f>
        <v>0</v>
      </c>
      <c r="GN41" s="1968">
        <f>Plantillas!I$758</f>
        <v>0</v>
      </c>
      <c r="GO41" s="1968">
        <f>Plantillas!I$759</f>
        <v>0</v>
      </c>
      <c r="GP41" s="1968">
        <f>Plantillas!I$760</f>
        <v>0</v>
      </c>
      <c r="GQ41" s="1968">
        <f>Plantillas!I$761</f>
        <v>0</v>
      </c>
      <c r="GR41" s="1968">
        <f>Plantillas!I$762</f>
        <v>0</v>
      </c>
      <c r="GS41" s="1968">
        <f>Plantillas!I$763</f>
        <v>0</v>
      </c>
      <c r="GT41" s="1968">
        <f>Plantillas!I$764</f>
        <v>0</v>
      </c>
      <c r="GU41" s="1968">
        <f>Plantillas!I$765</f>
        <v>0</v>
      </c>
      <c r="GV41" s="1968">
        <f>Plantillas!I$766</f>
        <v>0</v>
      </c>
      <c r="GW41" s="1968">
        <f>Plantillas!I$767</f>
        <v>0</v>
      </c>
      <c r="GX41" s="1968">
        <f>Plantillas!I$768</f>
        <v>0</v>
      </c>
      <c r="GY41" s="1968">
        <f>Plantillas!I$769</f>
        <v>0</v>
      </c>
      <c r="GZ41" s="1968">
        <f>Plantillas!I$770</f>
        <v>0</v>
      </c>
      <c r="HA41" s="1968">
        <f>Plantillas!I$771</f>
        <v>0</v>
      </c>
      <c r="HB41" s="1968">
        <f>Plantillas!I$772</f>
        <v>0</v>
      </c>
      <c r="HC41" s="1968">
        <f>Plantillas!I$773</f>
        <v>0</v>
      </c>
      <c r="HD41" s="1968">
        <f>Plantillas!I$774</f>
        <v>0</v>
      </c>
      <c r="HE41" s="1968">
        <f>Plantillas!I$775</f>
        <v>0</v>
      </c>
      <c r="HF41" s="1969">
        <f>Plantillas!I$776</f>
        <v>0</v>
      </c>
      <c r="HG41" s="778">
        <v>17</v>
      </c>
      <c r="HH41" s="1358"/>
      <c r="HI41" s="2647"/>
      <c r="HJ41" s="1359"/>
      <c r="HK41" s="1353"/>
      <c r="HL41" s="2646"/>
      <c r="HM41" s="2647"/>
      <c r="HN41" s="1359"/>
      <c r="HO41" s="1353"/>
      <c r="HP41" s="2646"/>
      <c r="HQ41" s="2647"/>
      <c r="HR41" s="1359"/>
      <c r="HS41" s="1353"/>
      <c r="HT41" s="1358"/>
      <c r="HU41" s="1353"/>
      <c r="HV41" s="2646"/>
      <c r="HW41" s="2647"/>
      <c r="HX41" s="1359"/>
      <c r="HY41" s="1353"/>
      <c r="HZ41" s="2646"/>
      <c r="IA41" s="2647"/>
      <c r="IB41" s="2646"/>
      <c r="IC41" s="2647"/>
      <c r="ID41" s="1359"/>
      <c r="IE41" s="1354"/>
      <c r="IF41" s="1358"/>
      <c r="IG41" s="1353"/>
      <c r="IH41" s="2646"/>
      <c r="II41" s="2647"/>
      <c r="IJ41" s="1359"/>
      <c r="IK41" s="1353"/>
      <c r="IL41" s="2646"/>
      <c r="IM41" s="2647"/>
      <c r="IN41" s="1359"/>
      <c r="IO41" s="1353"/>
      <c r="IP41" s="2646"/>
      <c r="IQ41" s="1354"/>
      <c r="IR41" s="1358"/>
      <c r="IS41" s="1353"/>
      <c r="IT41" s="2646"/>
      <c r="IU41" s="2647"/>
      <c r="IV41" s="1359"/>
      <c r="IW41" s="1353"/>
      <c r="IX41" s="2646"/>
      <c r="IY41" s="2647"/>
      <c r="IZ41" s="2646"/>
      <c r="JA41" s="2647"/>
      <c r="JB41" s="1359"/>
      <c r="JC41" s="1354"/>
      <c r="JD41" s="1358"/>
      <c r="JE41" s="1353"/>
      <c r="JF41" s="2646"/>
      <c r="JG41" s="2647"/>
      <c r="JH41" s="1359"/>
      <c r="JI41" s="1353"/>
      <c r="JJ41" s="2646"/>
      <c r="JK41" s="2647"/>
      <c r="JL41" s="2646"/>
      <c r="JM41" s="2647"/>
      <c r="JN41" s="1359"/>
      <c r="JO41" s="1353"/>
      <c r="JP41" s="2646"/>
      <c r="JQ41" s="2647"/>
      <c r="JR41" s="2646"/>
      <c r="JS41" s="2647"/>
      <c r="JT41" s="1359"/>
      <c r="JU41" s="1353"/>
      <c r="JV41" s="2646"/>
      <c r="JW41" s="2647"/>
      <c r="JX41" s="2646"/>
      <c r="JY41" s="2647"/>
      <c r="JZ41" s="1359"/>
      <c r="KA41" s="1353"/>
      <c r="KB41" s="779">
        <f t="shared" si="51"/>
        <v>0</v>
      </c>
      <c r="KC41" s="183">
        <f t="shared" si="52"/>
        <v>0</v>
      </c>
      <c r="KD41" s="183">
        <f t="shared" si="53"/>
        <v>0</v>
      </c>
      <c r="KE41" s="183">
        <f t="shared" si="54"/>
        <v>0</v>
      </c>
      <c r="KF41" s="183">
        <f t="shared" si="55"/>
        <v>0</v>
      </c>
      <c r="KG41" s="782">
        <f t="shared" si="56"/>
        <v>0</v>
      </c>
      <c r="KH41" s="779">
        <v>18</v>
      </c>
      <c r="KI41" s="1966"/>
      <c r="KJ41" s="1966"/>
      <c r="KK41" s="1966"/>
      <c r="KL41" s="1966"/>
      <c r="KM41" s="1966"/>
      <c r="KN41" s="1966"/>
      <c r="KO41" s="1966"/>
      <c r="KP41" s="1966"/>
      <c r="KQ41" s="1966"/>
      <c r="KR41" s="1966"/>
      <c r="KS41" s="1966"/>
      <c r="KT41" s="1966"/>
      <c r="KU41" s="1966"/>
      <c r="KV41" s="1966"/>
      <c r="KW41" s="1966"/>
      <c r="KX41" s="1966"/>
      <c r="KY41" s="1966"/>
      <c r="KZ41" s="1966"/>
      <c r="LA41" s="1966"/>
      <c r="LB41" s="1967"/>
      <c r="LC41" s="779">
        <v>18</v>
      </c>
      <c r="LD41" s="2982"/>
      <c r="LE41" s="2982"/>
      <c r="LF41" s="2982"/>
      <c r="LG41" s="2982"/>
      <c r="LH41" s="2982"/>
      <c r="LI41" s="2982"/>
      <c r="LJ41" s="2982"/>
      <c r="LK41" s="2982"/>
      <c r="LL41" s="2982"/>
      <c r="LM41" s="2982"/>
      <c r="LN41" s="2982"/>
      <c r="LO41" s="2982"/>
      <c r="LP41" s="2982"/>
      <c r="LQ41" s="2982"/>
      <c r="LR41" s="2982"/>
      <c r="LS41" s="2982"/>
      <c r="LT41" s="2982"/>
      <c r="LU41" s="2982"/>
      <c r="LV41" s="2982"/>
      <c r="LW41" s="2983"/>
    </row>
    <row r="42" spans="1:335" ht="13.5" customHeight="1">
      <c r="A42" s="16"/>
      <c r="B42" s="118"/>
      <c r="C42" s="3394" t="s">
        <v>14</v>
      </c>
      <c r="D42" s="762" t="s">
        <v>1622</v>
      </c>
      <c r="E42" s="760"/>
      <c r="F42" s="761"/>
      <c r="G42" s="761">
        <v>5</v>
      </c>
      <c r="H42" s="796"/>
      <c r="I42" s="796"/>
      <c r="J42" s="207"/>
      <c r="K42" s="207"/>
      <c r="L42" s="207"/>
      <c r="M42" s="207"/>
      <c r="N42" s="207"/>
      <c r="O42" s="207"/>
      <c r="P42" s="208" t="s">
        <v>20</v>
      </c>
      <c r="Q42" s="207"/>
      <c r="R42" s="207"/>
      <c r="S42" s="207"/>
      <c r="T42" s="207"/>
      <c r="U42" s="207"/>
      <c r="V42" s="207"/>
      <c r="W42" s="207"/>
      <c r="X42" s="207"/>
      <c r="Y42" s="204"/>
      <c r="Z42" s="204"/>
      <c r="AA42" s="207"/>
      <c r="AB42" s="207"/>
      <c r="AC42" s="207"/>
      <c r="AD42" s="207"/>
      <c r="AE42" s="209"/>
      <c r="AF42" s="209"/>
      <c r="AG42" s="209"/>
      <c r="AH42" s="209"/>
      <c r="AI42" s="209"/>
      <c r="AJ42" s="208" t="s">
        <v>15</v>
      </c>
      <c r="AK42" s="209"/>
      <c r="AL42" s="209"/>
      <c r="AM42" s="209"/>
      <c r="AN42" s="26"/>
      <c r="AO42" s="26"/>
      <c r="AP42" s="26"/>
      <c r="AQ42" s="26"/>
      <c r="AR42" s="26"/>
      <c r="AS42" s="1"/>
      <c r="AT42" s="1"/>
      <c r="AU42" s="1"/>
      <c r="AV42" s="23"/>
      <c r="AW42" s="2783" t="s">
        <v>491</v>
      </c>
      <c r="AX42" s="780">
        <v>20</v>
      </c>
      <c r="AY42" s="2032">
        <f>Plantillas!Y$797</f>
        <v>0</v>
      </c>
      <c r="AZ42" s="2033">
        <f>Plantillas!Z$797</f>
        <v>0</v>
      </c>
      <c r="BA42" s="2034">
        <f>Plantillas!AA$797</f>
        <v>0</v>
      </c>
      <c r="BB42" s="2032">
        <f>Plantillas!Y$798</f>
        <v>0</v>
      </c>
      <c r="BC42" s="2033">
        <f>Plantillas!Z$798</f>
        <v>0</v>
      </c>
      <c r="BD42" s="2035">
        <f>Plantillas!AA$798</f>
        <v>0</v>
      </c>
      <c r="BE42" s="2032">
        <f>Plantillas!Y$799</f>
        <v>0</v>
      </c>
      <c r="BF42" s="2033">
        <f>Plantillas!Z$799</f>
        <v>0</v>
      </c>
      <c r="BG42" s="2035">
        <f>Plantillas!AA$799</f>
        <v>0</v>
      </c>
      <c r="BH42" s="2032">
        <f>Plantillas!Y$800</f>
        <v>0</v>
      </c>
      <c r="BI42" s="2033">
        <f>Plantillas!Z$800</f>
        <v>0</v>
      </c>
      <c r="BJ42" s="2035">
        <f>Plantillas!AA$800</f>
        <v>0</v>
      </c>
      <c r="BK42" s="2032">
        <f>Plantillas!Y$801</f>
        <v>0</v>
      </c>
      <c r="BL42" s="2033">
        <f>Plantillas!Z$801</f>
        <v>0</v>
      </c>
      <c r="BM42" s="2035">
        <f>Plantillas!AA$800</f>
        <v>0</v>
      </c>
      <c r="BN42" s="2032">
        <f>Plantillas!Y$802</f>
        <v>0</v>
      </c>
      <c r="BO42" s="2033">
        <f>Plantillas!Z$802</f>
        <v>0</v>
      </c>
      <c r="BP42" s="2035">
        <f>Plantillas!AA$802</f>
        <v>0</v>
      </c>
      <c r="BQ42" s="2032">
        <f>Plantillas!Y$803</f>
        <v>0</v>
      </c>
      <c r="BR42" s="2033">
        <f>Plantillas!Z$803</f>
        <v>0</v>
      </c>
      <c r="BS42" s="2035">
        <f>Plantillas!AA$800</f>
        <v>0</v>
      </c>
      <c r="BT42" s="2032">
        <f>Plantillas!Y$804</f>
        <v>0</v>
      </c>
      <c r="BU42" s="2033">
        <f>Plantillas!Z$804</f>
        <v>0</v>
      </c>
      <c r="BV42" s="2035">
        <f>Plantillas!AA$800</f>
        <v>0</v>
      </c>
      <c r="BW42" s="2032">
        <f>Plantillas!Y$805</f>
        <v>0</v>
      </c>
      <c r="BX42" s="2033">
        <f>Plantillas!Z$805</f>
        <v>0</v>
      </c>
      <c r="BY42" s="2035">
        <f>Plantillas!AA$800</f>
        <v>0</v>
      </c>
      <c r="BZ42" s="2032">
        <f>Plantillas!Y$806</f>
        <v>0</v>
      </c>
      <c r="CA42" s="2033">
        <f>Plantillas!Z$806</f>
        <v>0</v>
      </c>
      <c r="CB42" s="2035">
        <f>Plantillas!AA$800</f>
        <v>0</v>
      </c>
      <c r="CC42" s="2032">
        <f>Plantillas!Y$807</f>
        <v>0</v>
      </c>
      <c r="CD42" s="2033">
        <f>Plantillas!Z$807</f>
        <v>0</v>
      </c>
      <c r="CE42" s="2035">
        <f>Plantillas!AA$800</f>
        <v>0</v>
      </c>
      <c r="CF42" s="2032">
        <f>Plantillas!Y$4808</f>
        <v>0</v>
      </c>
      <c r="CG42" s="2033">
        <f>Plantillas!Z$808</f>
        <v>0</v>
      </c>
      <c r="CH42" s="2035">
        <f>Plantillas!AA$800</f>
        <v>0</v>
      </c>
      <c r="CI42" s="2032">
        <f>Plantillas!Y$809</f>
        <v>0</v>
      </c>
      <c r="CJ42" s="2033">
        <f>Plantillas!Z$809</f>
        <v>0</v>
      </c>
      <c r="CK42" s="2035">
        <f>Plantillas!AA$809</f>
        <v>0</v>
      </c>
      <c r="CL42" s="2032">
        <f>Plantillas!Y$810</f>
        <v>0</v>
      </c>
      <c r="CM42" s="2033">
        <f>Plantillas!Z$810</f>
        <v>0</v>
      </c>
      <c r="CN42" s="2035">
        <f>Plantillas!AA$890</f>
        <v>0</v>
      </c>
      <c r="CO42" s="2032">
        <f>Plantillas!Y$811</f>
        <v>0</v>
      </c>
      <c r="CP42" s="2033">
        <f>Plantillas!Z$811</f>
        <v>0</v>
      </c>
      <c r="CQ42" s="2035">
        <f>Plantillas!AA$811</f>
        <v>0</v>
      </c>
      <c r="CR42" s="2032">
        <f>Plantillas!Y$812</f>
        <v>0</v>
      </c>
      <c r="CS42" s="2033">
        <f>Plantillas!Z$812</f>
        <v>0</v>
      </c>
      <c r="CT42" s="2035">
        <f>Plantillas!AA$892</f>
        <v>0</v>
      </c>
      <c r="CU42" s="2032">
        <f>Plantillas!Y$892</f>
        <v>0</v>
      </c>
      <c r="CV42" s="2033">
        <f>Plantillas!Z$813</f>
        <v>0</v>
      </c>
      <c r="CW42" s="2035">
        <f>Plantillas!AA$813</f>
        <v>0</v>
      </c>
      <c r="CX42" s="2032">
        <f>Plantillas!Y$814</f>
        <v>0</v>
      </c>
      <c r="CY42" s="2033">
        <f>Plantillas!Z$814</f>
        <v>0</v>
      </c>
      <c r="CZ42" s="2035">
        <f>Plantillas!AA$814</f>
        <v>0</v>
      </c>
      <c r="DA42" s="2032">
        <f>Plantillas!Y$815</f>
        <v>0</v>
      </c>
      <c r="DB42" s="2033">
        <f>Plantillas!Z$815</f>
        <v>0</v>
      </c>
      <c r="DC42" s="2035">
        <f>Plantillas!AA$800</f>
        <v>0</v>
      </c>
      <c r="DD42" s="2032">
        <f>Plantillas!Y$816</f>
        <v>0</v>
      </c>
      <c r="DE42" s="2033">
        <f>Plantillas!Z$816</f>
        <v>0</v>
      </c>
      <c r="DF42" s="2035">
        <f>Plantillas!AA$816</f>
        <v>0</v>
      </c>
      <c r="DG42" s="2032">
        <f>Plantillas!Y$817</f>
        <v>0</v>
      </c>
      <c r="DH42" s="2033">
        <f>Plantillas!Z$817</f>
        <v>0</v>
      </c>
      <c r="DI42" s="2092">
        <f>Estadisticas!AA22</f>
        <v>0</v>
      </c>
      <c r="DJ42" s="783">
        <v>20</v>
      </c>
      <c r="DK42" s="2036">
        <f>VLOOKUP(T6,BG2:CA21,21,21)</f>
        <v>0</v>
      </c>
      <c r="DL42" s="2037">
        <f>VLOOKUP(T6,CB2:CV21,21,21)</f>
        <v>0</v>
      </c>
      <c r="DM42" s="2038">
        <f>VLOOKUP(T6,CW2:DQ21,21,21)</f>
        <v>0</v>
      </c>
      <c r="DN42" s="2039">
        <f>VLOOKUP(T6,DR2:EL21,21,21)</f>
        <v>0</v>
      </c>
      <c r="DO42" s="2040">
        <f>VLOOKUP(T6,DR23:EL42,21,21)</f>
        <v>0</v>
      </c>
      <c r="DP42" s="2041">
        <f>VLOOKUP(T6,EM2:FG21,21,21)</f>
        <v>0</v>
      </c>
      <c r="DQ42" s="2036">
        <f>VLOOKUP(T6,EM23:FG42,21,21)</f>
        <v>0</v>
      </c>
      <c r="DR42" s="2042">
        <v>20</v>
      </c>
      <c r="DS42" s="2043">
        <f>Plantillas!N$10</f>
        <v>0</v>
      </c>
      <c r="DT42" s="2043">
        <f>Plantillas!N$798</f>
        <v>0</v>
      </c>
      <c r="DU42" s="2043">
        <f>Plantillas!N$799</f>
        <v>0</v>
      </c>
      <c r="DV42" s="2043">
        <f>Plantillas!N$800</f>
        <v>0</v>
      </c>
      <c r="DW42" s="2043">
        <f>Plantillas!N$801</f>
        <v>0</v>
      </c>
      <c r="DX42" s="2043">
        <f>Plantillas!N$802</f>
        <v>0</v>
      </c>
      <c r="DY42" s="2043">
        <f>Plantillas!N$803</f>
        <v>0</v>
      </c>
      <c r="DZ42" s="2043">
        <f>Plantillas!N$804</f>
        <v>0</v>
      </c>
      <c r="EA42" s="2043">
        <f>Plantillas!N$805</f>
        <v>0</v>
      </c>
      <c r="EB42" s="2043">
        <f>Plantillas!N$806</f>
        <v>0</v>
      </c>
      <c r="EC42" s="2043">
        <f>Plantillas!N$807</f>
        <v>0</v>
      </c>
      <c r="ED42" s="2043">
        <f>Plantillas!N$808</f>
        <v>0</v>
      </c>
      <c r="EE42" s="2043">
        <f>Plantillas!N$809</f>
        <v>0</v>
      </c>
      <c r="EF42" s="2043">
        <f>Plantillas!N$810</f>
        <v>0</v>
      </c>
      <c r="EG42" s="2043">
        <f>Plantillas!N$811</f>
        <v>0</v>
      </c>
      <c r="EH42" s="2043">
        <f>Plantillas!N$812</f>
        <v>0</v>
      </c>
      <c r="EI42" s="2043">
        <f>Plantillas!N$813</f>
        <v>0</v>
      </c>
      <c r="EJ42" s="2043">
        <f>Plantillas!N$814</f>
        <v>0</v>
      </c>
      <c r="EK42" s="2043">
        <f>Plantillas!N$815</f>
        <v>0</v>
      </c>
      <c r="EL42" s="2043">
        <f>Plantillas!N$816</f>
        <v>0</v>
      </c>
      <c r="EM42" s="780">
        <v>20</v>
      </c>
      <c r="EN42" s="1976">
        <f>Plantillas!AA$797</f>
        <v>0</v>
      </c>
      <c r="EO42" s="1976">
        <f>Plantillas!AA$798</f>
        <v>0</v>
      </c>
      <c r="EP42" s="1976">
        <f>Plantillas!AA$799</f>
        <v>0</v>
      </c>
      <c r="EQ42" s="1976">
        <f>Plantillas!AA$800</f>
        <v>0</v>
      </c>
      <c r="ER42" s="1976">
        <f>Plantillas!AA$801</f>
        <v>0</v>
      </c>
      <c r="ES42" s="1976">
        <f>Plantillas!AA$802</f>
        <v>0</v>
      </c>
      <c r="ET42" s="1976">
        <f>Plantillas!AA$803</f>
        <v>0</v>
      </c>
      <c r="EU42" s="1976">
        <f>Plantillas!AA$804</f>
        <v>0</v>
      </c>
      <c r="EV42" s="1976">
        <f>Plantillas!AA$805</f>
        <v>0</v>
      </c>
      <c r="EW42" s="1976">
        <f>Plantillas!AA$806</f>
        <v>0</v>
      </c>
      <c r="EX42" s="1976">
        <f>Plantillas!AA$807</f>
        <v>0</v>
      </c>
      <c r="EY42" s="1976">
        <f>Plantillas!AA$808</f>
        <v>0</v>
      </c>
      <c r="EZ42" s="1976">
        <f>Plantillas!AA$809</f>
        <v>0</v>
      </c>
      <c r="FA42" s="1976">
        <f>Plantillas!AA$810</f>
        <v>0</v>
      </c>
      <c r="FB42" s="1976">
        <f>Plantillas!AA$811</f>
        <v>0</v>
      </c>
      <c r="FC42" s="1976">
        <f>Plantillas!AA$812</f>
        <v>0</v>
      </c>
      <c r="FD42" s="1976">
        <f>Plantillas!AA$813</f>
        <v>0</v>
      </c>
      <c r="FE42" s="1976">
        <f>Plantillas!AA$814</f>
        <v>0</v>
      </c>
      <c r="FF42" s="1976">
        <f>Plantillas!AA$815</f>
        <v>0</v>
      </c>
      <c r="FG42" s="1977">
        <f>Plantillas!AA$816</f>
        <v>0</v>
      </c>
      <c r="FH42" s="780">
        <v>20</v>
      </c>
      <c r="FI42" s="1972">
        <f>Plantillas!W$797</f>
        <v>0</v>
      </c>
      <c r="FJ42" s="1972">
        <f>Plantillas!W$798</f>
        <v>0</v>
      </c>
      <c r="FK42" s="1972">
        <f>Plantillas!W$799</f>
        <v>0</v>
      </c>
      <c r="FL42" s="1972">
        <f>Plantillas!W$800</f>
        <v>0</v>
      </c>
      <c r="FM42" s="1972">
        <f>Plantillas!W$801</f>
        <v>0</v>
      </c>
      <c r="FN42" s="1972">
        <f>Plantillas!W$802</f>
        <v>0</v>
      </c>
      <c r="FO42" s="1972">
        <f>Plantillas!W$803</f>
        <v>0</v>
      </c>
      <c r="FP42" s="1972">
        <f>Plantillas!W$804</f>
        <v>0</v>
      </c>
      <c r="FQ42" s="1972">
        <f>Plantillas!W$805</f>
        <v>0</v>
      </c>
      <c r="FR42" s="1972">
        <f>Plantillas!W$806</f>
        <v>0</v>
      </c>
      <c r="FS42" s="1972">
        <f>Plantillas!W$807</f>
        <v>0</v>
      </c>
      <c r="FT42" s="1972">
        <f>Plantillas!W$808</f>
        <v>0</v>
      </c>
      <c r="FU42" s="1972">
        <f>Plantillas!W$809</f>
        <v>0</v>
      </c>
      <c r="FV42" s="1972">
        <f>Plantillas!W$810</f>
        <v>0</v>
      </c>
      <c r="FW42" s="1972">
        <f>Plantillas!W$811</f>
        <v>0</v>
      </c>
      <c r="FX42" s="1972">
        <f>Plantillas!W$812</f>
        <v>0</v>
      </c>
      <c r="FY42" s="1972">
        <f>Plantillas!W$813</f>
        <v>0</v>
      </c>
      <c r="FZ42" s="1972">
        <f>Plantillas!W$814</f>
        <v>0</v>
      </c>
      <c r="GA42" s="1972">
        <f>Plantillas!W$815</f>
        <v>0</v>
      </c>
      <c r="GB42" s="2044">
        <f>Plantillas!W$816</f>
        <v>0</v>
      </c>
      <c r="GC42" s="780">
        <v>20</v>
      </c>
      <c r="GD42" s="2047">
        <f>JD44+JE44</f>
        <v>21</v>
      </c>
      <c r="GE42" s="2047">
        <f t="shared" si="40"/>
        <v>17</v>
      </c>
      <c r="GF42" s="2047">
        <f t="shared" si="41"/>
        <v>21</v>
      </c>
      <c r="GG42" s="2047">
        <f t="shared" si="42"/>
        <v>18</v>
      </c>
      <c r="GH42" s="2047">
        <f t="shared" si="43"/>
        <v>22</v>
      </c>
      <c r="GI42" s="2047">
        <f t="shared" si="44"/>
        <v>19</v>
      </c>
      <c r="GJ42" s="783">
        <f>SUM(GD42:GI42)</f>
        <v>118</v>
      </c>
      <c r="GK42" s="2381">
        <f t="shared" si="46"/>
        <v>3233</v>
      </c>
      <c r="GL42" s="783">
        <v>20</v>
      </c>
      <c r="GM42" s="1978">
        <f>Plantillas!I$797</f>
        <v>0</v>
      </c>
      <c r="GN42" s="1978">
        <f>Plantillas!I$798</f>
        <v>0</v>
      </c>
      <c r="GO42" s="1978">
        <f>Plantillas!I$799</f>
        <v>0</v>
      </c>
      <c r="GP42" s="1978">
        <f>Plantillas!I$800</f>
        <v>0</v>
      </c>
      <c r="GQ42" s="1978">
        <f>Plantillas!I$801</f>
        <v>0</v>
      </c>
      <c r="GR42" s="1978">
        <f>Plantillas!I$802</f>
        <v>0</v>
      </c>
      <c r="GS42" s="1978">
        <f>Plantillas!I$803</f>
        <v>0</v>
      </c>
      <c r="GT42" s="1978">
        <f>Plantillas!I$804</f>
        <v>0</v>
      </c>
      <c r="GU42" s="1978">
        <f>Plantillas!I$805</f>
        <v>0</v>
      </c>
      <c r="GV42" s="1978">
        <f>Plantillas!I$806</f>
        <v>0</v>
      </c>
      <c r="GW42" s="1978">
        <f>Plantillas!I$807</f>
        <v>0</v>
      </c>
      <c r="GX42" s="1978">
        <f>Plantillas!I$808</f>
        <v>0</v>
      </c>
      <c r="GY42" s="1978">
        <f>Plantillas!I$809</f>
        <v>0</v>
      </c>
      <c r="GZ42" s="1978">
        <f>Plantillas!I$810</f>
        <v>0</v>
      </c>
      <c r="HA42" s="1978">
        <f>Plantillas!I$811</f>
        <v>0</v>
      </c>
      <c r="HB42" s="1978">
        <f>Plantillas!I$812</f>
        <v>0</v>
      </c>
      <c r="HC42" s="1978">
        <f>Plantillas!I$813</f>
        <v>0</v>
      </c>
      <c r="HD42" s="1978">
        <f>Plantillas!I$814</f>
        <v>0</v>
      </c>
      <c r="HE42" s="1978">
        <f>Plantillas!I$815</f>
        <v>0</v>
      </c>
      <c r="HF42" s="1979">
        <f>Plantillas!I$816</f>
        <v>0</v>
      </c>
      <c r="HG42" s="778">
        <v>18</v>
      </c>
      <c r="HH42" s="1358"/>
      <c r="HI42" s="2647"/>
      <c r="HJ42" s="1359"/>
      <c r="HK42" s="1353"/>
      <c r="HL42" s="2646"/>
      <c r="HM42" s="2647"/>
      <c r="HN42" s="1359"/>
      <c r="HO42" s="1353"/>
      <c r="HP42" s="2646"/>
      <c r="HQ42" s="2647"/>
      <c r="HR42" s="1359"/>
      <c r="HS42" s="1353"/>
      <c r="HT42" s="1358"/>
      <c r="HU42" s="1353"/>
      <c r="HV42" s="2646"/>
      <c r="HW42" s="2647"/>
      <c r="HX42" s="1359"/>
      <c r="HY42" s="1353"/>
      <c r="HZ42" s="2646"/>
      <c r="IA42" s="2647"/>
      <c r="IB42" s="2646"/>
      <c r="IC42" s="2647"/>
      <c r="ID42" s="1359"/>
      <c r="IE42" s="1354"/>
      <c r="IF42" s="1358"/>
      <c r="IG42" s="1353"/>
      <c r="IH42" s="2646"/>
      <c r="II42" s="2647"/>
      <c r="IJ42" s="1359"/>
      <c r="IK42" s="1353"/>
      <c r="IL42" s="2646"/>
      <c r="IM42" s="2647"/>
      <c r="IN42" s="1359"/>
      <c r="IO42" s="1353"/>
      <c r="IP42" s="2646"/>
      <c r="IQ42" s="1354"/>
      <c r="IR42" s="1358"/>
      <c r="IS42" s="1353"/>
      <c r="IT42" s="2646"/>
      <c r="IU42" s="2647"/>
      <c r="IV42" s="1359"/>
      <c r="IW42" s="1353"/>
      <c r="IX42" s="2646"/>
      <c r="IY42" s="2647"/>
      <c r="IZ42" s="2646"/>
      <c r="JA42" s="2647"/>
      <c r="JB42" s="1359"/>
      <c r="JC42" s="1354"/>
      <c r="JD42" s="1358"/>
      <c r="JE42" s="1353"/>
      <c r="JF42" s="2646"/>
      <c r="JG42" s="2647"/>
      <c r="JH42" s="1359"/>
      <c r="JI42" s="1353"/>
      <c r="JJ42" s="2646"/>
      <c r="JK42" s="2647"/>
      <c r="JL42" s="2646"/>
      <c r="JM42" s="2647"/>
      <c r="JN42" s="1359"/>
      <c r="JO42" s="1353"/>
      <c r="JP42" s="2646"/>
      <c r="JQ42" s="2647"/>
      <c r="JR42" s="2646"/>
      <c r="JS42" s="2647"/>
      <c r="JT42" s="1359"/>
      <c r="JU42" s="1353"/>
      <c r="JV42" s="2646"/>
      <c r="JW42" s="2647"/>
      <c r="JX42" s="2646"/>
      <c r="JY42" s="2647"/>
      <c r="JZ42" s="1359"/>
      <c r="KA42" s="1353"/>
      <c r="KB42" s="779">
        <f t="shared" si="51"/>
        <v>0</v>
      </c>
      <c r="KC42" s="183">
        <f t="shared" si="52"/>
        <v>0</v>
      </c>
      <c r="KD42" s="183">
        <f t="shared" si="53"/>
        <v>0</v>
      </c>
      <c r="KE42" s="183">
        <f t="shared" si="54"/>
        <v>0</v>
      </c>
      <c r="KF42" s="183">
        <f t="shared" si="55"/>
        <v>0</v>
      </c>
      <c r="KG42" s="782">
        <f t="shared" si="56"/>
        <v>0</v>
      </c>
      <c r="KH42" s="779">
        <v>19</v>
      </c>
      <c r="KI42" s="1966"/>
      <c r="KJ42" s="1966"/>
      <c r="KK42" s="1966"/>
      <c r="KL42" s="1966"/>
      <c r="KM42" s="1966"/>
      <c r="KN42" s="1966"/>
      <c r="KO42" s="1966"/>
      <c r="KP42" s="1966"/>
      <c r="KQ42" s="1966"/>
      <c r="KR42" s="1966"/>
      <c r="KS42" s="1966"/>
      <c r="KT42" s="1966"/>
      <c r="KU42" s="1966"/>
      <c r="KV42" s="1966"/>
      <c r="KW42" s="1966"/>
      <c r="KX42" s="1966"/>
      <c r="KY42" s="1966"/>
      <c r="KZ42" s="1966"/>
      <c r="LA42" s="1966"/>
      <c r="LB42" s="1967"/>
      <c r="LC42" s="779">
        <v>19</v>
      </c>
      <c r="LD42" s="2982"/>
      <c r="LE42" s="2982"/>
      <c r="LF42" s="2982"/>
      <c r="LG42" s="2982"/>
      <c r="LH42" s="2982"/>
      <c r="LI42" s="2982"/>
      <c r="LJ42" s="2982"/>
      <c r="LK42" s="2982"/>
      <c r="LL42" s="2982"/>
      <c r="LM42" s="2982"/>
      <c r="LN42" s="2982"/>
      <c r="LO42" s="2982"/>
      <c r="LP42" s="2982"/>
      <c r="LQ42" s="2982"/>
      <c r="LR42" s="2982"/>
      <c r="LS42" s="2982"/>
      <c r="LT42" s="2982"/>
      <c r="LU42" s="2982"/>
      <c r="LV42" s="2982"/>
      <c r="LW42" s="2983"/>
    </row>
    <row r="43" spans="1:335">
      <c r="I43" s="778">
        <v>0</v>
      </c>
      <c r="J43" s="1610">
        <v>1</v>
      </c>
      <c r="K43" s="1610">
        <v>2</v>
      </c>
      <c r="L43" s="1610">
        <v>3</v>
      </c>
      <c r="M43" s="1610">
        <v>4</v>
      </c>
      <c r="N43" s="1610">
        <v>5</v>
      </c>
      <c r="O43" s="1610">
        <v>6</v>
      </c>
      <c r="P43" s="1610">
        <v>7</v>
      </c>
      <c r="Q43" s="1610">
        <v>8</v>
      </c>
      <c r="R43" s="1610">
        <v>9</v>
      </c>
      <c r="S43" s="1610">
        <v>10</v>
      </c>
      <c r="T43" s="1610">
        <v>11</v>
      </c>
      <c r="U43" s="1610">
        <v>12</v>
      </c>
      <c r="V43" s="1610">
        <v>13</v>
      </c>
      <c r="W43" s="1610">
        <v>14</v>
      </c>
      <c r="X43" s="1610">
        <v>15</v>
      </c>
      <c r="Y43" s="1610">
        <v>16</v>
      </c>
      <c r="Z43" s="1610">
        <v>17</v>
      </c>
      <c r="AA43" s="1610">
        <v>18</v>
      </c>
      <c r="AB43" s="1610">
        <v>19</v>
      </c>
      <c r="AC43" s="1610">
        <v>20</v>
      </c>
      <c r="AD43" s="1610">
        <v>21</v>
      </c>
      <c r="AE43" s="1610">
        <v>22</v>
      </c>
      <c r="AF43" s="1610">
        <v>23</v>
      </c>
      <c r="AG43" s="1610">
        <v>24</v>
      </c>
      <c r="AH43" s="1610">
        <v>25</v>
      </c>
      <c r="AI43" s="1610">
        <v>26</v>
      </c>
      <c r="AJ43" s="1610">
        <v>27</v>
      </c>
      <c r="AK43" s="1610">
        <v>28</v>
      </c>
      <c r="AL43" s="1610"/>
      <c r="AM43" s="74"/>
      <c r="AN43" s="74"/>
      <c r="AO43" s="74"/>
      <c r="AP43" s="74"/>
      <c r="AQ43" s="74"/>
      <c r="AR43" s="74"/>
      <c r="AS43" s="74"/>
      <c r="AT43" s="74"/>
      <c r="AU43" s="74"/>
      <c r="AV43" s="74"/>
      <c r="AX43" s="3876" t="s">
        <v>2502</v>
      </c>
      <c r="AY43" s="3877"/>
      <c r="AZ43" s="3877"/>
      <c r="BA43" s="3877"/>
      <c r="BB43" s="3877"/>
      <c r="BC43" s="3877"/>
      <c r="BD43" s="3877"/>
      <c r="BE43" s="3877"/>
      <c r="BF43" s="3877"/>
      <c r="BG43" s="3877"/>
      <c r="BH43" s="3877"/>
      <c r="BI43" s="3877"/>
      <c r="BJ43" s="3877"/>
      <c r="BK43" s="3877"/>
      <c r="BL43" s="3877"/>
      <c r="BM43" s="3877"/>
      <c r="BN43" s="3877"/>
      <c r="BO43" s="3877"/>
      <c r="BP43" s="3877"/>
      <c r="BQ43" s="3877"/>
      <c r="BR43" s="3878"/>
      <c r="BS43" s="3381" t="s">
        <v>2503</v>
      </c>
      <c r="BT43" s="2379"/>
      <c r="BU43" s="2379"/>
      <c r="BV43" s="2379"/>
      <c r="BW43" s="2379"/>
      <c r="BX43" s="2379"/>
      <c r="BY43" s="2379"/>
      <c r="BZ43" s="2379"/>
      <c r="CA43" s="2379"/>
      <c r="CB43" s="2379"/>
      <c r="CC43" s="2379"/>
      <c r="CD43" s="2379"/>
      <c r="CE43" s="2379"/>
      <c r="CF43" s="2379"/>
      <c r="CG43" s="2379"/>
      <c r="CH43" s="2379"/>
      <c r="CI43" s="2379"/>
      <c r="CJ43" s="2379"/>
      <c r="CK43" s="2379"/>
      <c r="CL43" s="2379"/>
      <c r="CM43" s="3382"/>
      <c r="CN43" s="3381" t="s">
        <v>2504</v>
      </c>
      <c r="CO43" s="2379"/>
      <c r="CP43" s="2379"/>
      <c r="CQ43" s="2379"/>
      <c r="CR43" s="2379"/>
      <c r="CS43" s="2379"/>
      <c r="CT43" s="2379"/>
      <c r="CU43" s="2379"/>
      <c r="CV43" s="2379"/>
      <c r="CW43" s="2379"/>
      <c r="CX43" s="2379"/>
      <c r="CY43" s="2379"/>
      <c r="CZ43" s="2379"/>
      <c r="DA43" s="2379"/>
      <c r="DB43" s="2379"/>
      <c r="DC43" s="2379"/>
      <c r="DD43" s="2379"/>
      <c r="DE43" s="2379"/>
      <c r="DF43" s="2379"/>
      <c r="DG43" s="2379"/>
      <c r="DH43" s="3382"/>
      <c r="DI43" s="3381" t="s">
        <v>2505</v>
      </c>
      <c r="DJ43" s="3383"/>
      <c r="DK43" s="3383"/>
      <c r="DL43" s="3383"/>
      <c r="DM43" s="3383"/>
      <c r="DN43" s="3383"/>
      <c r="DO43" s="3383"/>
      <c r="DP43" s="3383"/>
      <c r="DQ43" s="1991">
        <f>SUM(DQ23:DQ42)</f>
        <v>350</v>
      </c>
      <c r="DR43" s="3383"/>
      <c r="DS43" s="3383"/>
      <c r="DT43" s="3383"/>
      <c r="DU43" s="3383"/>
      <c r="DV43" s="3383"/>
      <c r="DW43" s="3383"/>
      <c r="DX43" s="3383"/>
      <c r="DY43" s="3383"/>
      <c r="DZ43" s="3383"/>
      <c r="EA43" s="3383"/>
      <c r="EB43" s="3383"/>
      <c r="EC43" s="3383"/>
      <c r="ED43" s="3381" t="s">
        <v>2507</v>
      </c>
      <c r="EE43" s="3383"/>
      <c r="EF43" s="3383"/>
      <c r="EG43" s="3383"/>
      <c r="EH43" s="3384"/>
      <c r="EI43" s="3384"/>
      <c r="EJ43" s="3384"/>
      <c r="EK43" s="3384"/>
      <c r="EL43" s="3384"/>
      <c r="EM43" s="3384"/>
      <c r="EN43" s="3384"/>
      <c r="EO43" s="3384"/>
      <c r="EP43" s="3384"/>
      <c r="EQ43" s="3384"/>
      <c r="ER43" s="3384"/>
      <c r="ES43" s="3384"/>
      <c r="ET43" s="3384"/>
      <c r="EU43" s="3384"/>
      <c r="EV43" s="3384"/>
      <c r="EW43" s="3384"/>
      <c r="EX43" s="3384"/>
      <c r="EY43" s="3381" t="s">
        <v>2506</v>
      </c>
      <c r="EZ43" s="3384"/>
      <c r="FA43" s="3384"/>
      <c r="FB43" s="3384"/>
      <c r="FC43" s="3384"/>
      <c r="FD43" s="3384"/>
      <c r="FE43" s="3384"/>
      <c r="FF43" s="3384"/>
      <c r="FG43" s="3384"/>
      <c r="FH43" s="3384"/>
      <c r="FI43" s="3384"/>
      <c r="FJ43" s="3384"/>
      <c r="FK43" s="3384"/>
      <c r="FL43" s="3384"/>
      <c r="FM43" s="3384"/>
      <c r="FN43" s="3384"/>
      <c r="FO43" s="3384"/>
      <c r="FP43" s="3384"/>
      <c r="FQ43" s="3384"/>
      <c r="FR43" s="3384"/>
      <c r="FS43" s="3384"/>
      <c r="GK43" s="2380"/>
      <c r="GM43" s="309"/>
      <c r="HG43" s="778">
        <v>19</v>
      </c>
      <c r="HH43" s="2045"/>
      <c r="HI43" s="2651"/>
      <c r="HJ43" s="2047"/>
      <c r="HK43" s="2046"/>
      <c r="HL43" s="2650"/>
      <c r="HM43" s="2651"/>
      <c r="HN43" s="2047"/>
      <c r="HO43" s="2046"/>
      <c r="HP43" s="2650"/>
      <c r="HQ43" s="2651"/>
      <c r="HR43" s="2047"/>
      <c r="HS43" s="2046"/>
      <c r="HT43" s="2045"/>
      <c r="HU43" s="2046"/>
      <c r="HV43" s="2650"/>
      <c r="HW43" s="2651"/>
      <c r="HX43" s="2047"/>
      <c r="HY43" s="2046"/>
      <c r="HZ43" s="2650"/>
      <c r="IA43" s="2651"/>
      <c r="IB43" s="2650"/>
      <c r="IC43" s="2651"/>
      <c r="ID43" s="2047"/>
      <c r="IE43" s="2048"/>
      <c r="IF43" s="2045"/>
      <c r="IG43" s="2046"/>
      <c r="IH43" s="2650"/>
      <c r="II43" s="2651"/>
      <c r="IJ43" s="2047"/>
      <c r="IK43" s="2046"/>
      <c r="IL43" s="2650"/>
      <c r="IM43" s="2651"/>
      <c r="IN43" s="2047"/>
      <c r="IO43" s="2046"/>
      <c r="IP43" s="2650"/>
      <c r="IQ43" s="2048"/>
      <c r="IR43" s="2045"/>
      <c r="IS43" s="2046"/>
      <c r="IT43" s="2650"/>
      <c r="IU43" s="2651"/>
      <c r="IV43" s="2047"/>
      <c r="IW43" s="2046"/>
      <c r="IX43" s="2650"/>
      <c r="IY43" s="2651"/>
      <c r="IZ43" s="2650"/>
      <c r="JA43" s="2651"/>
      <c r="JB43" s="2047"/>
      <c r="JC43" s="2048"/>
      <c r="JD43" s="2045"/>
      <c r="JE43" s="2046"/>
      <c r="JF43" s="2650"/>
      <c r="JG43" s="2651"/>
      <c r="JH43" s="2047"/>
      <c r="JI43" s="2046"/>
      <c r="JJ43" s="2650"/>
      <c r="JK43" s="2651"/>
      <c r="JL43" s="2650"/>
      <c r="JM43" s="2651"/>
      <c r="JN43" s="2047"/>
      <c r="JO43" s="2046"/>
      <c r="JP43" s="2650"/>
      <c r="JQ43" s="2651"/>
      <c r="JR43" s="2650"/>
      <c r="JS43" s="2651"/>
      <c r="JT43" s="2047"/>
      <c r="JU43" s="2046"/>
      <c r="JV43" s="2650"/>
      <c r="JW43" s="2651"/>
      <c r="JX43" s="2650"/>
      <c r="JY43" s="2651"/>
      <c r="JZ43" s="2047"/>
      <c r="KA43" s="2046"/>
      <c r="KB43" s="780">
        <f t="shared" si="51"/>
        <v>0</v>
      </c>
      <c r="KC43" s="783">
        <f t="shared" si="52"/>
        <v>0</v>
      </c>
      <c r="KD43" s="783">
        <f t="shared" si="53"/>
        <v>0</v>
      </c>
      <c r="KE43" s="783">
        <f t="shared" si="54"/>
        <v>0</v>
      </c>
      <c r="KF43" s="783">
        <f t="shared" si="55"/>
        <v>0</v>
      </c>
      <c r="KG43" s="784">
        <f t="shared" si="56"/>
        <v>0</v>
      </c>
      <c r="KH43" s="780">
        <v>20</v>
      </c>
      <c r="KI43" s="1976" t="s">
        <v>2001</v>
      </c>
      <c r="KJ43" s="1976" t="s">
        <v>2001</v>
      </c>
      <c r="KK43" s="1976" t="s">
        <v>2001</v>
      </c>
      <c r="KL43" s="1976" t="str">
        <f>KI24</f>
        <v>KABAH</v>
      </c>
      <c r="KM43" s="1976" t="str">
        <f>KI25</f>
        <v>8 DE OCTUBRE</v>
      </c>
      <c r="KN43" s="1976" t="str">
        <f>KI26</f>
        <v>8 DE OCTUBRE</v>
      </c>
      <c r="KO43" s="1976" t="str">
        <f>KI27</f>
        <v>DERECHOS DEL NIÑO</v>
      </c>
      <c r="KP43" s="1976" t="str">
        <f>KI28</f>
        <v>DERECHOS DEL NIÑO</v>
      </c>
      <c r="KQ43" s="2782" t="str">
        <f>KI29</f>
        <v>CUITLAHUAC</v>
      </c>
      <c r="KR43" s="1976" t="str">
        <f>KI30</f>
        <v>CUITLAHUAC</v>
      </c>
      <c r="KS43" s="1976" t="str">
        <f>KI31</f>
        <v>KABAH</v>
      </c>
      <c r="KT43" s="1976" t="str">
        <f>KI32</f>
        <v>ANTONIO MEDIZ BOLIO</v>
      </c>
      <c r="KU43" s="1976" t="str">
        <f>KI33</f>
        <v>MANUEL CRESCENCIO REJON</v>
      </c>
      <c r="KV43" s="1976" t="str">
        <f>KI34</f>
        <v>CENTRO EDUCATIVO EL MANANTIAL</v>
      </c>
      <c r="KW43" s="1976" t="str">
        <f>KI35</f>
        <v>COLEGIO HISPANOAMERICANO LA LUNA</v>
      </c>
      <c r="KX43" s="1976" t="str">
        <f>KI36</f>
        <v>JOSE VASCONCELOS</v>
      </c>
      <c r="KY43" s="1976" t="str">
        <f>KI37</f>
        <v>CENTRO INFANTIL LATINOAMERICANO</v>
      </c>
      <c r="KZ43" s="1976" t="str">
        <f>KI38</f>
        <v>COLEGIO KING DAVID</v>
      </c>
      <c r="LA43" s="1976">
        <f>KI39</f>
        <v>0</v>
      </c>
      <c r="LB43" s="1977">
        <f>KI40</f>
        <v>0</v>
      </c>
      <c r="LC43" s="780">
        <v>20</v>
      </c>
      <c r="LD43" s="2988" t="s">
        <v>100</v>
      </c>
      <c r="LE43" s="2988" t="s">
        <v>100</v>
      </c>
      <c r="LF43" s="2988" t="s">
        <v>100</v>
      </c>
      <c r="LG43" s="2988" t="s">
        <v>100</v>
      </c>
      <c r="LH43" s="2988" t="s">
        <v>100</v>
      </c>
      <c r="LI43" s="2988" t="s">
        <v>100</v>
      </c>
      <c r="LJ43" s="2988" t="s">
        <v>100</v>
      </c>
      <c r="LK43" s="2988" t="s">
        <v>100</v>
      </c>
      <c r="LL43" s="2988" t="s">
        <v>100</v>
      </c>
      <c r="LM43" s="2988" t="s">
        <v>100</v>
      </c>
      <c r="LN43" s="2988" t="s">
        <v>100</v>
      </c>
      <c r="LO43" s="2988" t="s">
        <v>100</v>
      </c>
      <c r="LP43" s="2988" t="s">
        <v>100</v>
      </c>
      <c r="LQ43" s="2988" t="s">
        <v>100</v>
      </c>
      <c r="LR43" s="2988" t="s">
        <v>100</v>
      </c>
      <c r="LS43" s="2988" t="s">
        <v>100</v>
      </c>
      <c r="LT43" s="2988" t="s">
        <v>100</v>
      </c>
      <c r="LU43" s="2988" t="s">
        <v>100</v>
      </c>
      <c r="LV43" s="2988" t="s">
        <v>100</v>
      </c>
      <c r="LW43" s="2989"/>
    </row>
    <row r="44" spans="1:335">
      <c r="I44" s="778">
        <v>1</v>
      </c>
      <c r="J44" s="1610">
        <v>1</v>
      </c>
      <c r="K44" s="1610"/>
      <c r="L44" s="1610">
        <v>2</v>
      </c>
      <c r="M44" s="1610"/>
      <c r="N44" s="1610">
        <v>3</v>
      </c>
      <c r="O44" s="1610"/>
      <c r="P44" s="1610">
        <v>4</v>
      </c>
      <c r="Q44" s="1610"/>
      <c r="R44" s="1610">
        <v>5</v>
      </c>
      <c r="S44" s="1610"/>
      <c r="T44" s="1610">
        <v>6</v>
      </c>
      <c r="U44" s="1610"/>
      <c r="V44" s="1610">
        <v>7</v>
      </c>
      <c r="W44" s="1610"/>
      <c r="X44" s="1610">
        <v>8</v>
      </c>
      <c r="Y44" s="1610"/>
      <c r="Z44" s="1610">
        <v>9</v>
      </c>
      <c r="AA44" s="1610"/>
      <c r="AB44" s="1610">
        <v>10</v>
      </c>
      <c r="AC44" s="1610"/>
      <c r="AD44" s="1610">
        <v>11</v>
      </c>
      <c r="AE44" s="1610"/>
      <c r="AF44" s="1610">
        <v>0</v>
      </c>
      <c r="AG44" s="1610"/>
      <c r="AH44" s="1610">
        <v>12</v>
      </c>
      <c r="AI44" s="1610"/>
      <c r="AJ44" s="1610">
        <v>13</v>
      </c>
      <c r="AK44" s="1610"/>
      <c r="AL44" s="1610"/>
      <c r="AM44" s="74"/>
      <c r="AN44" s="74"/>
      <c r="AO44" s="74"/>
      <c r="AP44" s="74"/>
      <c r="AQ44" s="74"/>
      <c r="AR44" s="74"/>
      <c r="AS44" s="74"/>
      <c r="AT44" s="74"/>
      <c r="AU44" s="74"/>
      <c r="AV44" s="74"/>
      <c r="AX44" s="779">
        <v>1</v>
      </c>
      <c r="AY44" s="3370">
        <f>Plantillas!AL37</f>
        <v>0</v>
      </c>
      <c r="AZ44" s="3370">
        <f>Plantillas!AL38</f>
        <v>0</v>
      </c>
      <c r="BA44" s="3370">
        <f>Plantillas!AL39</f>
        <v>7</v>
      </c>
      <c r="BB44" s="3370">
        <f>Plantillas!AL40</f>
        <v>8</v>
      </c>
      <c r="BC44" s="3370">
        <f>Plantillas!AL41</f>
        <v>7</v>
      </c>
      <c r="BD44" s="3370">
        <f>Plantillas!AL42</f>
        <v>4</v>
      </c>
      <c r="BE44" s="3370">
        <f>Plantillas!AL43</f>
        <v>7</v>
      </c>
      <c r="BF44" s="3370">
        <f>Plantillas!AL44</f>
        <v>0</v>
      </c>
      <c r="BG44" s="3370">
        <f>Plantillas!AL45</f>
        <v>0</v>
      </c>
      <c r="BH44" s="3370">
        <f>Plantillas!AL46</f>
        <v>0</v>
      </c>
      <c r="BI44" s="3370">
        <f>Plantillas!AL47</f>
        <v>0</v>
      </c>
      <c r="BJ44" s="3370">
        <f>Plantillas!AL48</f>
        <v>0</v>
      </c>
      <c r="BK44" s="3370">
        <f>Plantillas!AL49</f>
        <v>0</v>
      </c>
      <c r="BL44" s="3370">
        <f>Plantillas!AL50</f>
        <v>0</v>
      </c>
      <c r="BM44" s="3370">
        <f>Plantillas!AL51</f>
        <v>0</v>
      </c>
      <c r="BN44" s="3370">
        <f>Plantillas!AL52</f>
        <v>0</v>
      </c>
      <c r="BO44" s="3371">
        <f>Plantillas!AL53</f>
        <v>0</v>
      </c>
      <c r="BP44" s="3371">
        <f>Plantillas!AL54</f>
        <v>0</v>
      </c>
      <c r="BQ44" s="3370">
        <f>Plantillas!AL55</f>
        <v>0</v>
      </c>
      <c r="BR44" s="3377">
        <f>Plantillas!AL56</f>
        <v>0</v>
      </c>
      <c r="BS44" s="2401">
        <v>1</v>
      </c>
      <c r="BT44" s="3368">
        <f>Plantillas!AM37</f>
        <v>0</v>
      </c>
      <c r="BU44" s="3368">
        <f>Plantillas!AM38</f>
        <v>6.5</v>
      </c>
      <c r="BV44" s="3368">
        <f>Plantillas!AM39</f>
        <v>6.5</v>
      </c>
      <c r="BW44" s="3368">
        <f>Plantillas!AM40</f>
        <v>7.2</v>
      </c>
      <c r="BX44" s="3368">
        <f>Plantillas!AM41</f>
        <v>6.8</v>
      </c>
      <c r="BY44" s="3368">
        <f>Plantillas!AM42</f>
        <v>6.2</v>
      </c>
      <c r="BZ44" s="3368">
        <f>Plantillas!AM43</f>
        <v>6</v>
      </c>
      <c r="CA44" s="3368">
        <f>Plantillas!AM44</f>
        <v>6.1</v>
      </c>
      <c r="CB44" s="3368">
        <f>Plantillas!AM45</f>
        <v>6.9</v>
      </c>
      <c r="CC44" s="3368">
        <f>Plantillas!AM46</f>
        <v>6.5</v>
      </c>
      <c r="CD44" s="3368">
        <f>Plantillas!AM47</f>
        <v>7</v>
      </c>
      <c r="CE44" s="3368">
        <f>Plantillas!AM48</f>
        <v>6.3</v>
      </c>
      <c r="CF44" s="3368">
        <f>Plantillas!AM49</f>
        <v>6</v>
      </c>
      <c r="CG44" s="3368">
        <f>Plantillas!AM50</f>
        <v>0</v>
      </c>
      <c r="CH44" s="3368">
        <f>Plantillas!AM51</f>
        <v>0</v>
      </c>
      <c r="CI44" s="3368">
        <f>Plantillas!AM52</f>
        <v>0</v>
      </c>
      <c r="CJ44" s="3369">
        <f>Plantillas!AM53</f>
        <v>0</v>
      </c>
      <c r="CK44" s="3369">
        <f>Plantillas!AM54</f>
        <v>0</v>
      </c>
      <c r="CL44" s="3368">
        <f>Plantillas!AM55</f>
        <v>0</v>
      </c>
      <c r="CM44" s="3376">
        <f>Plantillas!AM56</f>
        <v>0</v>
      </c>
      <c r="CN44" s="2403">
        <v>1</v>
      </c>
      <c r="CO44" s="3368">
        <f>Plantillas!AN37</f>
        <v>0</v>
      </c>
      <c r="CP44" s="3368">
        <f>Plantillas!AN38</f>
        <v>0</v>
      </c>
      <c r="CQ44" s="3368">
        <f>Plantillas!AN39</f>
        <v>0</v>
      </c>
      <c r="CR44" s="3368">
        <f>Plantillas!AN40</f>
        <v>0</v>
      </c>
      <c r="CS44" s="3368">
        <f>Plantillas!AN41</f>
        <v>0</v>
      </c>
      <c r="CT44" s="3368">
        <f>Plantillas!AN42</f>
        <v>0</v>
      </c>
      <c r="CU44" s="3368">
        <f>Plantillas!AN43</f>
        <v>0</v>
      </c>
      <c r="CV44" s="3368">
        <f>Plantillas!AN44</f>
        <v>0</v>
      </c>
      <c r="CW44" s="3368">
        <f>Plantillas!AN45</f>
        <v>0</v>
      </c>
      <c r="CX44" s="3368">
        <f>Plantillas!AN46</f>
        <v>0</v>
      </c>
      <c r="CY44" s="3368">
        <f>Plantillas!AN47</f>
        <v>0</v>
      </c>
      <c r="CZ44" s="3368">
        <f>Plantillas!AN48</f>
        <v>0</v>
      </c>
      <c r="DA44" s="3368">
        <f>Plantillas!AN49</f>
        <v>0</v>
      </c>
      <c r="DB44" s="3368">
        <f>Plantillas!AN50</f>
        <v>0</v>
      </c>
      <c r="DC44" s="3368">
        <f>Plantillas!AN51</f>
        <v>0</v>
      </c>
      <c r="DD44" s="3368">
        <f>Plantillas!AN52</f>
        <v>0</v>
      </c>
      <c r="DE44" s="3369">
        <f>Plantillas!AN53</f>
        <v>0</v>
      </c>
      <c r="DF44" s="3369">
        <f>Plantillas!AN54</f>
        <v>0</v>
      </c>
      <c r="DG44" s="3368">
        <f>Plantillas!AN55</f>
        <v>0</v>
      </c>
      <c r="DH44" s="3376">
        <f>Plantillas!AN56</f>
        <v>0</v>
      </c>
      <c r="DI44" s="2403">
        <v>1</v>
      </c>
      <c r="DJ44" s="3368">
        <f>Plantillas!AO37</f>
        <v>0</v>
      </c>
      <c r="DK44" s="3368">
        <f>Plantillas!AO38</f>
        <v>0</v>
      </c>
      <c r="DL44" s="3368">
        <f>Plantillas!AO39</f>
        <v>0</v>
      </c>
      <c r="DM44" s="3368">
        <f>Plantillas!AO40</f>
        <v>0</v>
      </c>
      <c r="DN44" s="3368">
        <f>Plantillas!AO41</f>
        <v>0</v>
      </c>
      <c r="DO44" s="3368">
        <f>Plantillas!AO42</f>
        <v>0</v>
      </c>
      <c r="DP44" s="3368">
        <f>Plantillas!AO43</f>
        <v>0</v>
      </c>
      <c r="DQ44" s="3368">
        <f>Plantillas!AO44</f>
        <v>0</v>
      </c>
      <c r="DR44" s="3368">
        <f>Plantillas!AO45</f>
        <v>0</v>
      </c>
      <c r="DS44" s="3368">
        <f>Plantillas!AO46</f>
        <v>0</v>
      </c>
      <c r="DT44" s="3368">
        <f>Plantillas!AO47</f>
        <v>0</v>
      </c>
      <c r="DU44" s="3368">
        <f>Plantillas!AO48</f>
        <v>0</v>
      </c>
      <c r="DV44" s="3368">
        <f>Plantillas!AO49</f>
        <v>0</v>
      </c>
      <c r="DW44" s="3368">
        <f>Plantillas!AO50</f>
        <v>0</v>
      </c>
      <c r="DX44" s="3368">
        <f>Plantillas!AO51</f>
        <v>0</v>
      </c>
      <c r="DY44" s="3368">
        <f>Plantillas!AO52</f>
        <v>0</v>
      </c>
      <c r="DZ44" s="3369">
        <f>Plantillas!AO53</f>
        <v>0</v>
      </c>
      <c r="EA44" s="3369">
        <f>Plantillas!AO54</f>
        <v>0</v>
      </c>
      <c r="EB44" s="3368">
        <f>Plantillas!AO55</f>
        <v>0</v>
      </c>
      <c r="EC44" s="3376">
        <f>Plantillas!AO56</f>
        <v>0</v>
      </c>
      <c r="ED44" s="2403">
        <v>1</v>
      </c>
      <c r="EE44" s="3368">
        <f>Plantillas!AP37</f>
        <v>0</v>
      </c>
      <c r="EF44" s="3368">
        <f>Plantillas!AP38</f>
        <v>0</v>
      </c>
      <c r="EG44" s="3368">
        <f>Plantillas!AP39</f>
        <v>0</v>
      </c>
      <c r="EH44" s="3368">
        <f>Plantillas!AP40</f>
        <v>0</v>
      </c>
      <c r="EI44" s="3368">
        <f>Plantillas!AP41</f>
        <v>0</v>
      </c>
      <c r="EJ44" s="3368">
        <f>Plantillas!AP42</f>
        <v>0</v>
      </c>
      <c r="EK44" s="3368">
        <f>Plantillas!AP43</f>
        <v>0</v>
      </c>
      <c r="EL44" s="3368">
        <f>Plantillas!AP44</f>
        <v>0</v>
      </c>
      <c r="EM44" s="3368">
        <f>Plantillas!AP45</f>
        <v>0</v>
      </c>
      <c r="EN44" s="3368">
        <f>Plantillas!AP46</f>
        <v>0</v>
      </c>
      <c r="EO44" s="3368">
        <f>Plantillas!AP47</f>
        <v>0</v>
      </c>
      <c r="EP44" s="3368">
        <f>Plantillas!AP48</f>
        <v>0</v>
      </c>
      <c r="EQ44" s="3368">
        <f>Plantillas!AP49</f>
        <v>0</v>
      </c>
      <c r="ER44" s="3368">
        <f>Plantillas!AP50</f>
        <v>0</v>
      </c>
      <c r="ES44" s="3368">
        <f>Plantillas!AP51</f>
        <v>0</v>
      </c>
      <c r="ET44" s="3368">
        <f>Plantillas!AP52</f>
        <v>0</v>
      </c>
      <c r="EU44" s="3369">
        <f>Plantillas!AP53</f>
        <v>0</v>
      </c>
      <c r="EV44" s="3369">
        <f>Plantillas!AP54</f>
        <v>0</v>
      </c>
      <c r="EW44" s="3368">
        <f>Plantillas!AP55</f>
        <v>0</v>
      </c>
      <c r="EX44" s="3376">
        <f>Plantillas!AP56</f>
        <v>0</v>
      </c>
      <c r="EY44" s="2401">
        <v>1</v>
      </c>
      <c r="EZ44" s="3368">
        <f>Plantillas!AQ37</f>
        <v>0</v>
      </c>
      <c r="FA44" s="3368">
        <f>Plantillas!AQ38</f>
        <v>0</v>
      </c>
      <c r="FB44" s="3368">
        <f>Plantillas!AQ39</f>
        <v>0</v>
      </c>
      <c r="FC44" s="3368">
        <f>Plantillas!AQ40</f>
        <v>0</v>
      </c>
      <c r="FD44" s="3368">
        <f>Plantillas!AQ41</f>
        <v>0</v>
      </c>
      <c r="FE44" s="3368">
        <f>Plantillas!AQ42</f>
        <v>0</v>
      </c>
      <c r="FF44" s="3368">
        <f>Plantillas!AQ43</f>
        <v>0</v>
      </c>
      <c r="FG44" s="3368">
        <f>Plantillas!AQ44</f>
        <v>0</v>
      </c>
      <c r="FH44" s="3368">
        <f>Plantillas!AQ45</f>
        <v>0</v>
      </c>
      <c r="FI44" s="3368">
        <f>Plantillas!AQ46</f>
        <v>0</v>
      </c>
      <c r="FJ44" s="3368">
        <f>Plantillas!AQ47</f>
        <v>0</v>
      </c>
      <c r="FK44" s="3368">
        <f>Plantillas!AQ48</f>
        <v>0</v>
      </c>
      <c r="FL44" s="3368">
        <f>Plantillas!AQ49</f>
        <v>0</v>
      </c>
      <c r="FM44" s="3368">
        <f>Plantillas!AQ50</f>
        <v>0</v>
      </c>
      <c r="FN44" s="3368">
        <f>Plantillas!AQ51</f>
        <v>0</v>
      </c>
      <c r="FO44" s="3368">
        <f>Plantillas!AQ52</f>
        <v>0</v>
      </c>
      <c r="FP44" s="3369">
        <f>Plantillas!AQ53</f>
        <v>0</v>
      </c>
      <c r="FQ44" s="3369">
        <f>Plantillas!AQ54</f>
        <v>0</v>
      </c>
      <c r="FR44" s="3368">
        <f>Plantillas!AQ55</f>
        <v>0</v>
      </c>
      <c r="FS44" s="3376">
        <f>Plantillas!AQ56</f>
        <v>0</v>
      </c>
      <c r="HG44" s="1991">
        <v>20</v>
      </c>
      <c r="HH44" s="2378">
        <f>SUM(HH25:HH43)</f>
        <v>278</v>
      </c>
      <c r="HI44" s="2409">
        <f t="shared" ref="HI44:JT44" si="87">SUM(HI25:HI43)</f>
        <v>263</v>
      </c>
      <c r="HJ44" s="2430">
        <f t="shared" si="87"/>
        <v>302</v>
      </c>
      <c r="HK44" s="2409">
        <f t="shared" si="87"/>
        <v>240</v>
      </c>
      <c r="HL44" s="2430">
        <f t="shared" si="87"/>
        <v>273</v>
      </c>
      <c r="HM44" s="2409">
        <f t="shared" si="87"/>
        <v>253</v>
      </c>
      <c r="HN44" s="2430">
        <f t="shared" si="87"/>
        <v>284</v>
      </c>
      <c r="HO44" s="2409">
        <f t="shared" si="87"/>
        <v>241</v>
      </c>
      <c r="HP44" s="2430">
        <f t="shared" si="87"/>
        <v>313</v>
      </c>
      <c r="HQ44" s="2409">
        <f t="shared" si="87"/>
        <v>274</v>
      </c>
      <c r="HR44" s="2430">
        <f t="shared" si="87"/>
        <v>323</v>
      </c>
      <c r="HS44" s="2409">
        <f t="shared" si="87"/>
        <v>276</v>
      </c>
      <c r="HT44" s="2378">
        <f t="shared" si="87"/>
        <v>23</v>
      </c>
      <c r="HU44" s="2409">
        <f t="shared" si="87"/>
        <v>24</v>
      </c>
      <c r="HV44" s="2430">
        <f t="shared" si="87"/>
        <v>22</v>
      </c>
      <c r="HW44" s="2409">
        <f t="shared" si="87"/>
        <v>24</v>
      </c>
      <c r="HX44" s="2430">
        <f t="shared" si="87"/>
        <v>22</v>
      </c>
      <c r="HY44" s="2409">
        <f t="shared" si="87"/>
        <v>24</v>
      </c>
      <c r="HZ44" s="2430">
        <f t="shared" si="87"/>
        <v>22</v>
      </c>
      <c r="IA44" s="2409">
        <f t="shared" si="87"/>
        <v>15</v>
      </c>
      <c r="IB44" s="2430">
        <f t="shared" si="87"/>
        <v>17</v>
      </c>
      <c r="IC44" s="2409">
        <f t="shared" si="87"/>
        <v>18</v>
      </c>
      <c r="ID44" s="2430">
        <f t="shared" si="87"/>
        <v>15</v>
      </c>
      <c r="IE44" s="2404">
        <f t="shared" si="87"/>
        <v>17</v>
      </c>
      <c r="IF44" s="2049">
        <f t="shared" si="87"/>
        <v>25</v>
      </c>
      <c r="IG44" s="1993">
        <f t="shared" si="87"/>
        <v>26</v>
      </c>
      <c r="IH44" s="2050">
        <f t="shared" si="87"/>
        <v>37</v>
      </c>
      <c r="II44" s="1993">
        <f t="shared" si="87"/>
        <v>31</v>
      </c>
      <c r="IJ44" s="2050">
        <f t="shared" si="87"/>
        <v>38</v>
      </c>
      <c r="IK44" s="1993">
        <f t="shared" si="87"/>
        <v>30</v>
      </c>
      <c r="IL44" s="2050">
        <f t="shared" si="87"/>
        <v>27</v>
      </c>
      <c r="IM44" s="1993">
        <f t="shared" si="87"/>
        <v>15</v>
      </c>
      <c r="IN44" s="2050">
        <f t="shared" si="87"/>
        <v>33</v>
      </c>
      <c r="IO44" s="1993">
        <f t="shared" si="87"/>
        <v>26</v>
      </c>
      <c r="IP44" s="2050">
        <f t="shared" si="87"/>
        <v>32</v>
      </c>
      <c r="IQ44" s="1994">
        <f t="shared" si="87"/>
        <v>10</v>
      </c>
      <c r="IR44" s="2049">
        <f t="shared" si="87"/>
        <v>0</v>
      </c>
      <c r="IS44" s="1993">
        <f t="shared" si="87"/>
        <v>0</v>
      </c>
      <c r="IT44" s="2050">
        <f t="shared" si="87"/>
        <v>0</v>
      </c>
      <c r="IU44" s="1993">
        <f t="shared" si="87"/>
        <v>0</v>
      </c>
      <c r="IV44" s="2050">
        <f t="shared" si="87"/>
        <v>0</v>
      </c>
      <c r="IW44" s="1993">
        <f t="shared" si="87"/>
        <v>0</v>
      </c>
      <c r="IX44" s="2050">
        <f t="shared" si="87"/>
        <v>0</v>
      </c>
      <c r="IY44" s="1993">
        <f t="shared" si="87"/>
        <v>0</v>
      </c>
      <c r="IZ44" s="2050">
        <f t="shared" si="87"/>
        <v>0</v>
      </c>
      <c r="JA44" s="1993">
        <f t="shared" si="87"/>
        <v>0</v>
      </c>
      <c r="JB44" s="2050">
        <f t="shared" si="87"/>
        <v>0</v>
      </c>
      <c r="JC44" s="1994">
        <f t="shared" si="87"/>
        <v>0</v>
      </c>
      <c r="JD44" s="2049">
        <f t="shared" si="87"/>
        <v>3</v>
      </c>
      <c r="JE44" s="1993">
        <f t="shared" si="87"/>
        <v>18</v>
      </c>
      <c r="JF44" s="2050">
        <f t="shared" si="87"/>
        <v>0</v>
      </c>
      <c r="JG44" s="1993">
        <f t="shared" si="87"/>
        <v>17</v>
      </c>
      <c r="JH44" s="2050">
        <f t="shared" si="87"/>
        <v>5</v>
      </c>
      <c r="JI44" s="1993">
        <f t="shared" si="87"/>
        <v>16</v>
      </c>
      <c r="JJ44" s="2050">
        <f t="shared" si="87"/>
        <v>4</v>
      </c>
      <c r="JK44" s="1993">
        <f t="shared" si="87"/>
        <v>14</v>
      </c>
      <c r="JL44" s="2050">
        <f t="shared" si="87"/>
        <v>13</v>
      </c>
      <c r="JM44" s="1993">
        <f t="shared" si="87"/>
        <v>9</v>
      </c>
      <c r="JN44" s="2050">
        <f t="shared" si="87"/>
        <v>13</v>
      </c>
      <c r="JO44" s="1994">
        <f t="shared" si="87"/>
        <v>6</v>
      </c>
      <c r="JP44" s="2237">
        <f>SUM(JP25:JP43)</f>
        <v>0</v>
      </c>
      <c r="JQ44" s="2237">
        <f t="shared" si="87"/>
        <v>0</v>
      </c>
      <c r="JR44" s="2237">
        <f t="shared" si="87"/>
        <v>0</v>
      </c>
      <c r="JS44" s="2237">
        <f t="shared" si="87"/>
        <v>0</v>
      </c>
      <c r="JT44" s="2237">
        <f t="shared" si="87"/>
        <v>0</v>
      </c>
      <c r="JU44" s="2237">
        <f t="shared" ref="JU44:KB44" si="88">SUM(JU25:JU43)</f>
        <v>0</v>
      </c>
      <c r="JV44" s="2237">
        <f t="shared" si="88"/>
        <v>0</v>
      </c>
      <c r="JW44" s="2237">
        <f t="shared" si="88"/>
        <v>0</v>
      </c>
      <c r="JX44" s="2237">
        <f t="shared" si="88"/>
        <v>0</v>
      </c>
      <c r="JY44" s="2237">
        <f t="shared" si="88"/>
        <v>0</v>
      </c>
      <c r="JZ44" s="2237">
        <f t="shared" si="88"/>
        <v>0</v>
      </c>
      <c r="KA44" s="2237">
        <f t="shared" si="88"/>
        <v>0</v>
      </c>
      <c r="KB44" s="780">
        <f t="shared" si="88"/>
        <v>0</v>
      </c>
      <c r="KC44" s="783">
        <f>SUM(KC25:KC43)</f>
        <v>0</v>
      </c>
      <c r="KD44" s="783">
        <f>SUM(KD25:KD43)</f>
        <v>0</v>
      </c>
      <c r="KE44" s="783">
        <f>SUM(KE25:KE43)</f>
        <v>0</v>
      </c>
      <c r="KF44" s="783">
        <f>SUM(KF25:KF43)</f>
        <v>0</v>
      </c>
      <c r="KG44" s="784">
        <f>SUM(KG25:KG43)</f>
        <v>0</v>
      </c>
    </row>
    <row r="45" spans="1:335" s="1466" customFormat="1">
      <c r="I45" s="778">
        <v>2</v>
      </c>
      <c r="J45" s="1610" t="s">
        <v>59</v>
      </c>
      <c r="K45" s="1610"/>
      <c r="L45" s="1610" t="s">
        <v>198</v>
      </c>
      <c r="M45" s="1610"/>
      <c r="N45" s="1610" t="s">
        <v>27</v>
      </c>
      <c r="O45" s="1610"/>
      <c r="P45" s="1610" t="s">
        <v>21</v>
      </c>
      <c r="Q45" s="1610"/>
      <c r="R45" s="1610" t="s">
        <v>2272</v>
      </c>
      <c r="S45" s="1610"/>
      <c r="T45" s="1610" t="s">
        <v>2273</v>
      </c>
      <c r="U45" s="1610"/>
      <c r="V45" s="1610" t="s">
        <v>2274</v>
      </c>
      <c r="W45" s="1610"/>
      <c r="X45" s="1610" t="s">
        <v>1107</v>
      </c>
      <c r="Y45" s="1610"/>
      <c r="Z45" s="1610" t="s">
        <v>2275</v>
      </c>
      <c r="AA45" s="1610"/>
      <c r="AB45" s="1610" t="s">
        <v>2276</v>
      </c>
      <c r="AC45" s="1610"/>
      <c r="AD45" s="1610" t="s">
        <v>1619</v>
      </c>
      <c r="AE45" s="1610"/>
      <c r="AF45" s="1610"/>
      <c r="AG45" s="1610"/>
      <c r="AH45" s="1610" t="s">
        <v>28</v>
      </c>
      <c r="AI45" s="1610"/>
      <c r="AJ45" s="1610" t="s">
        <v>29</v>
      </c>
      <c r="AK45" s="1610"/>
      <c r="AL45" s="1610"/>
      <c r="AM45" s="74"/>
      <c r="AN45" s="74"/>
      <c r="AO45" s="74"/>
      <c r="AP45" s="74"/>
      <c r="AQ45" s="74"/>
      <c r="AR45" s="74"/>
      <c r="AS45" s="74"/>
      <c r="AT45" s="74"/>
      <c r="AU45" s="74"/>
      <c r="AV45" s="778"/>
      <c r="AW45" s="2786"/>
      <c r="AX45" s="779">
        <v>2</v>
      </c>
      <c r="AY45" s="3370">
        <f>Plantillas!AL77</f>
        <v>0</v>
      </c>
      <c r="AZ45" s="3370">
        <f>Plantillas!AL78</f>
        <v>9</v>
      </c>
      <c r="BA45" s="3370">
        <f>Plantillas!AL79</f>
        <v>7</v>
      </c>
      <c r="BB45" s="3370">
        <f>Plantillas!AL80</f>
        <v>8.5</v>
      </c>
      <c r="BC45" s="3370">
        <f>Plantillas!AL81</f>
        <v>0</v>
      </c>
      <c r="BD45" s="3370">
        <f>Plantillas!AL82</f>
        <v>0</v>
      </c>
      <c r="BE45" s="3370">
        <f>Plantillas!AL83</f>
        <v>0</v>
      </c>
      <c r="BF45" s="3370">
        <f>Plantillas!AL84</f>
        <v>0</v>
      </c>
      <c r="BG45" s="3370">
        <f>Plantillas!AL85</f>
        <v>0</v>
      </c>
      <c r="BH45" s="3370">
        <f>Plantillas!AL86</f>
        <v>0</v>
      </c>
      <c r="BI45" s="3370">
        <f>Plantillas!AL87</f>
        <v>0</v>
      </c>
      <c r="BJ45" s="3370">
        <f>Plantillas!AL88</f>
        <v>0</v>
      </c>
      <c r="BK45" s="3370">
        <f>Plantillas!AL89</f>
        <v>0</v>
      </c>
      <c r="BL45" s="3370">
        <f>Plantillas!AL90</f>
        <v>0</v>
      </c>
      <c r="BM45" s="3370">
        <f>Plantillas!AL91</f>
        <v>0</v>
      </c>
      <c r="BN45" s="3370">
        <f>Plantillas!AL92</f>
        <v>0</v>
      </c>
      <c r="BO45" s="3371">
        <f>Plantillas!AL93</f>
        <v>0</v>
      </c>
      <c r="BP45" s="3371">
        <f>Plantillas!AL94</f>
        <v>0</v>
      </c>
      <c r="BQ45" s="3370">
        <f>Plantillas!AL95</f>
        <v>0</v>
      </c>
      <c r="BR45" s="3377">
        <f>Plantillas!AL96</f>
        <v>0</v>
      </c>
      <c r="BS45" s="183">
        <v>2</v>
      </c>
      <c r="BT45" s="3370">
        <f>Plantillas!AM77</f>
        <v>0</v>
      </c>
      <c r="BU45" s="3370">
        <f>Plantillas!AM78</f>
        <v>7.5</v>
      </c>
      <c r="BV45" s="3370">
        <f>Plantillas!AM79</f>
        <v>7.8</v>
      </c>
      <c r="BW45" s="3370">
        <f>Plantillas!AM80</f>
        <v>6.9</v>
      </c>
      <c r="BX45" s="3370">
        <f>Plantillas!AM81</f>
        <v>7.6</v>
      </c>
      <c r="BY45" s="3370">
        <f>Plantillas!AM82</f>
        <v>7.1</v>
      </c>
      <c r="BZ45" s="3370">
        <f>Plantillas!AM83</f>
        <v>6.8</v>
      </c>
      <c r="CA45" s="3370">
        <f>Plantillas!AM84</f>
        <v>6.5</v>
      </c>
      <c r="CB45" s="3370">
        <f>Plantillas!AM85</f>
        <v>6.1</v>
      </c>
      <c r="CC45" s="3370">
        <f>Plantillas!AM86</f>
        <v>7</v>
      </c>
      <c r="CD45" s="3370">
        <f>Plantillas!AM87</f>
        <v>7.1</v>
      </c>
      <c r="CE45" s="3370">
        <f>Plantillas!AM88</f>
        <v>7.2</v>
      </c>
      <c r="CF45" s="3370">
        <f>Plantillas!AM89</f>
        <v>7.3</v>
      </c>
      <c r="CG45" s="3370">
        <f>Plantillas!AM90</f>
        <v>7</v>
      </c>
      <c r="CH45" s="3370">
        <f>Plantillas!AM91</f>
        <v>6.38</v>
      </c>
      <c r="CI45" s="3370">
        <f>Plantillas!AM92</f>
        <v>0</v>
      </c>
      <c r="CJ45" s="3371">
        <f>Plantillas!AM93</f>
        <v>0</v>
      </c>
      <c r="CK45" s="3371">
        <f>Plantillas!AM94</f>
        <v>0</v>
      </c>
      <c r="CL45" s="3370">
        <f>Plantillas!AM95</f>
        <v>0</v>
      </c>
      <c r="CM45" s="3377">
        <f>Plantillas!AM96</f>
        <v>0</v>
      </c>
      <c r="CN45" s="183">
        <v>2</v>
      </c>
      <c r="CO45" s="3370">
        <f>Plantillas!AN77</f>
        <v>0</v>
      </c>
      <c r="CP45" s="3370">
        <f>Plantillas!AN78</f>
        <v>0</v>
      </c>
      <c r="CQ45" s="3370">
        <f>Plantillas!AN79</f>
        <v>0</v>
      </c>
      <c r="CR45" s="3370">
        <f>Plantillas!AN80</f>
        <v>0</v>
      </c>
      <c r="CS45" s="3370">
        <f>Plantillas!AN81</f>
        <v>0</v>
      </c>
      <c r="CT45" s="3370">
        <f>Plantillas!AN82</f>
        <v>0</v>
      </c>
      <c r="CU45" s="3370">
        <f>Plantillas!AN83</f>
        <v>0</v>
      </c>
      <c r="CV45" s="3370">
        <f>Plantillas!AN84</f>
        <v>0</v>
      </c>
      <c r="CW45" s="3370">
        <f>Plantillas!AN85</f>
        <v>0</v>
      </c>
      <c r="CX45" s="3370">
        <f>Plantillas!AN86</f>
        <v>0</v>
      </c>
      <c r="CY45" s="3370">
        <f>Plantillas!AN87</f>
        <v>0</v>
      </c>
      <c r="CZ45" s="3370">
        <f>Plantillas!AN88</f>
        <v>0</v>
      </c>
      <c r="DA45" s="3370">
        <f>Plantillas!AN89</f>
        <v>0</v>
      </c>
      <c r="DB45" s="3370">
        <f>Plantillas!AN90</f>
        <v>0</v>
      </c>
      <c r="DC45" s="3370">
        <f>Plantillas!AN91</f>
        <v>0</v>
      </c>
      <c r="DD45" s="3370">
        <f>Plantillas!AN92</f>
        <v>0</v>
      </c>
      <c r="DE45" s="3371">
        <f>Plantillas!AN93</f>
        <v>0</v>
      </c>
      <c r="DF45" s="3371">
        <f>Plantillas!AN94</f>
        <v>0</v>
      </c>
      <c r="DG45" s="3370">
        <f>Plantillas!AN95</f>
        <v>0</v>
      </c>
      <c r="DH45" s="3377">
        <f>Plantillas!AN96</f>
        <v>0</v>
      </c>
      <c r="DI45" s="183">
        <v>2</v>
      </c>
      <c r="DJ45" s="3370">
        <f>Plantillas!AO77</f>
        <v>0</v>
      </c>
      <c r="DK45" s="3370">
        <f>Plantillas!AO78</f>
        <v>0</v>
      </c>
      <c r="DL45" s="3370">
        <f>Plantillas!AO79</f>
        <v>0</v>
      </c>
      <c r="DM45" s="3370">
        <f>Plantillas!AO80</f>
        <v>0</v>
      </c>
      <c r="DN45" s="3370">
        <f>Plantillas!AO81</f>
        <v>0</v>
      </c>
      <c r="DO45" s="3370">
        <f>Plantillas!AO82</f>
        <v>0</v>
      </c>
      <c r="DP45" s="3370">
        <f>Plantillas!AO83</f>
        <v>0</v>
      </c>
      <c r="DQ45" s="3370">
        <f>Plantillas!AO84</f>
        <v>0</v>
      </c>
      <c r="DR45" s="3370">
        <f>Plantillas!AO85</f>
        <v>0</v>
      </c>
      <c r="DS45" s="3370">
        <f>Plantillas!AO86</f>
        <v>0</v>
      </c>
      <c r="DT45" s="3370">
        <f>Plantillas!AO87</f>
        <v>0</v>
      </c>
      <c r="DU45" s="3370">
        <f>Plantillas!AO88</f>
        <v>0</v>
      </c>
      <c r="DV45" s="3370">
        <f>Plantillas!AO89</f>
        <v>0</v>
      </c>
      <c r="DW45" s="3370">
        <f>Plantillas!AO90</f>
        <v>0</v>
      </c>
      <c r="DX45" s="3370">
        <f>Plantillas!AO91</f>
        <v>0</v>
      </c>
      <c r="DY45" s="3370">
        <f>Plantillas!AO92</f>
        <v>0</v>
      </c>
      <c r="DZ45" s="3371">
        <f>Plantillas!AO93</f>
        <v>0</v>
      </c>
      <c r="EA45" s="3371">
        <f>Plantillas!AO94</f>
        <v>0</v>
      </c>
      <c r="EB45" s="3370">
        <f>Plantillas!AO95</f>
        <v>0</v>
      </c>
      <c r="EC45" s="3377">
        <f>Plantillas!AO96</f>
        <v>0</v>
      </c>
      <c r="ED45" s="183">
        <v>2</v>
      </c>
      <c r="EE45" s="3370">
        <f>Plantillas!AP77</f>
        <v>0</v>
      </c>
      <c r="EF45" s="3370">
        <f>Plantillas!AP78</f>
        <v>0</v>
      </c>
      <c r="EG45" s="3370">
        <f>Plantillas!AP79</f>
        <v>0</v>
      </c>
      <c r="EH45" s="3370">
        <f>Plantillas!AP80</f>
        <v>0</v>
      </c>
      <c r="EI45" s="3370">
        <f>Plantillas!AP81</f>
        <v>0</v>
      </c>
      <c r="EJ45" s="3370">
        <f>Plantillas!AP82</f>
        <v>0</v>
      </c>
      <c r="EK45" s="3370">
        <f>Plantillas!AP83</f>
        <v>0</v>
      </c>
      <c r="EL45" s="3370">
        <f>Plantillas!AP84</f>
        <v>0</v>
      </c>
      <c r="EM45" s="3370">
        <f>Plantillas!AP85</f>
        <v>0</v>
      </c>
      <c r="EN45" s="3370">
        <f>Plantillas!AP86</f>
        <v>0</v>
      </c>
      <c r="EO45" s="3370">
        <f>Plantillas!AP87</f>
        <v>0</v>
      </c>
      <c r="EP45" s="3370">
        <f>Plantillas!AP88</f>
        <v>0</v>
      </c>
      <c r="EQ45" s="3370">
        <f>Plantillas!AP89</f>
        <v>0</v>
      </c>
      <c r="ER45" s="3370">
        <f>Plantillas!AP90</f>
        <v>0</v>
      </c>
      <c r="ES45" s="3370">
        <f>Plantillas!AP91</f>
        <v>0</v>
      </c>
      <c r="ET45" s="3370">
        <f>Plantillas!AP92</f>
        <v>0</v>
      </c>
      <c r="EU45" s="3371">
        <f>Plantillas!AP93</f>
        <v>0</v>
      </c>
      <c r="EV45" s="3371">
        <f>Plantillas!AP94</f>
        <v>0</v>
      </c>
      <c r="EW45" s="3370">
        <f>Plantillas!AP95</f>
        <v>0</v>
      </c>
      <c r="EX45" s="3377">
        <f>Plantillas!AP96</f>
        <v>0</v>
      </c>
      <c r="EY45" s="183">
        <v>2</v>
      </c>
      <c r="EZ45" s="3370">
        <f>Plantillas!EAQ77</f>
        <v>0</v>
      </c>
      <c r="FA45" s="3370">
        <f>Plantillas!AQ78</f>
        <v>0</v>
      </c>
      <c r="FB45" s="3370">
        <f>Plantillas!AQ79</f>
        <v>0</v>
      </c>
      <c r="FC45" s="3370">
        <f>Plantillas!AQ80</f>
        <v>0</v>
      </c>
      <c r="FD45" s="3370">
        <f>Plantillas!AQ81</f>
        <v>0</v>
      </c>
      <c r="FE45" s="3370">
        <f>Plantillas!AQ82</f>
        <v>0</v>
      </c>
      <c r="FF45" s="3370">
        <f>Plantillas!AQ83</f>
        <v>0</v>
      </c>
      <c r="FG45" s="3370">
        <f>Plantillas!AQ84</f>
        <v>0</v>
      </c>
      <c r="FH45" s="3370">
        <f>Plantillas!AQ85</f>
        <v>0</v>
      </c>
      <c r="FI45" s="3370">
        <f>Plantillas!AQ86</f>
        <v>0</v>
      </c>
      <c r="FJ45" s="3370">
        <f>Plantillas!AQ87</f>
        <v>0</v>
      </c>
      <c r="FK45" s="3370">
        <f>Plantillas!AQ88</f>
        <v>0</v>
      </c>
      <c r="FL45" s="3370">
        <f>Plantillas!AQ89</f>
        <v>0</v>
      </c>
      <c r="FM45" s="3370">
        <f>Plantillas!AQ90</f>
        <v>0</v>
      </c>
      <c r="FN45" s="3370">
        <f>Plantillas!AQ91</f>
        <v>0</v>
      </c>
      <c r="FO45" s="3370">
        <f>Plantillas!AQ92</f>
        <v>0</v>
      </c>
      <c r="FP45" s="3371">
        <f>Plantillas!AQ93</f>
        <v>0</v>
      </c>
      <c r="FQ45" s="3371">
        <f>Plantillas!AQ94</f>
        <v>0</v>
      </c>
      <c r="FR45" s="3370">
        <f>Plantillas!AQ95</f>
        <v>0</v>
      </c>
      <c r="FS45" s="3377">
        <f>Plantillas!AQ96</f>
        <v>0</v>
      </c>
      <c r="FT45" s="778"/>
      <c r="FU45" s="778"/>
      <c r="FV45" s="778"/>
      <c r="FW45" s="778"/>
      <c r="FX45" s="778"/>
      <c r="FY45" s="778"/>
      <c r="FZ45" s="778"/>
      <c r="GA45" s="778"/>
      <c r="GB45" s="778"/>
      <c r="GC45" s="778"/>
      <c r="GD45" s="3774" t="s">
        <v>28</v>
      </c>
      <c r="GE45" s="3774"/>
      <c r="GF45" s="3774"/>
      <c r="GG45" s="3774"/>
      <c r="GH45" s="3774"/>
      <c r="GI45" s="3774"/>
      <c r="GJ45" s="3774"/>
      <c r="GK45" s="3774"/>
      <c r="GL45" s="778"/>
      <c r="GM45" s="3774" t="s">
        <v>1759</v>
      </c>
      <c r="GN45" s="3774"/>
      <c r="GO45" s="3774"/>
      <c r="GP45" s="3774"/>
      <c r="GQ45" s="3774"/>
      <c r="GR45" s="3774"/>
      <c r="GS45" s="3774"/>
      <c r="GT45" s="3774"/>
      <c r="GU45" s="3774"/>
      <c r="GV45" s="3774"/>
      <c r="GW45" s="3774"/>
      <c r="GX45" s="3774"/>
      <c r="GY45" s="3774"/>
      <c r="GZ45" s="3774"/>
      <c r="HA45" s="3774"/>
      <c r="HB45" s="3774"/>
      <c r="HC45" s="3774"/>
      <c r="HD45" s="3774"/>
      <c r="HE45" s="3774"/>
      <c r="HF45" s="3774"/>
      <c r="HG45" s="778">
        <v>21</v>
      </c>
      <c r="HH45" s="3769">
        <f>HH44+HI44</f>
        <v>541</v>
      </c>
      <c r="HI45" s="3769"/>
      <c r="HJ45" s="3769">
        <f t="shared" ref="HJ45" si="89">HJ44+HK44</f>
        <v>542</v>
      </c>
      <c r="HK45" s="3769"/>
      <c r="HL45" s="3769">
        <f t="shared" ref="HL45" si="90">HL44+HM44</f>
        <v>526</v>
      </c>
      <c r="HM45" s="3769"/>
      <c r="HN45" s="3769">
        <f t="shared" ref="HN45" si="91">HN44+HO44</f>
        <v>525</v>
      </c>
      <c r="HO45" s="3769"/>
      <c r="HP45" s="3769">
        <f t="shared" ref="HP45" si="92">HP44+HQ44</f>
        <v>587</v>
      </c>
      <c r="HQ45" s="3769"/>
      <c r="HR45" s="3769">
        <f t="shared" ref="HR45" si="93">HR44+HS44</f>
        <v>599</v>
      </c>
      <c r="HS45" s="3769"/>
      <c r="HT45" s="3769">
        <f>HT44+HU44</f>
        <v>47</v>
      </c>
      <c r="HU45" s="3769"/>
      <c r="HV45" s="3769">
        <f t="shared" ref="HV45" si="94">HV44+HW44</f>
        <v>46</v>
      </c>
      <c r="HW45" s="3769"/>
      <c r="HX45" s="3769">
        <f t="shared" ref="HX45" si="95">HX44+HY44</f>
        <v>46</v>
      </c>
      <c r="HY45" s="3769"/>
      <c r="HZ45" s="3769">
        <f t="shared" ref="HZ45" si="96">HZ44+IA44</f>
        <v>37</v>
      </c>
      <c r="IA45" s="3769"/>
      <c r="IB45" s="3769">
        <f t="shared" ref="IB45" si="97">IB44+IC44</f>
        <v>35</v>
      </c>
      <c r="IC45" s="3769"/>
      <c r="ID45" s="3769">
        <f t="shared" ref="ID45" si="98">ID44+IE44</f>
        <v>32</v>
      </c>
      <c r="IE45" s="3769"/>
      <c r="IF45" s="3769">
        <f>IF44+IG44</f>
        <v>51</v>
      </c>
      <c r="IG45" s="3769"/>
      <c r="IH45" s="3769">
        <f t="shared" ref="IH45" si="99">IH44+II44</f>
        <v>68</v>
      </c>
      <c r="II45" s="3769"/>
      <c r="IJ45" s="3769">
        <f t="shared" ref="IJ45" si="100">IJ44+IK44</f>
        <v>68</v>
      </c>
      <c r="IK45" s="3769"/>
      <c r="IL45" s="3769">
        <f t="shared" ref="IL45" si="101">IL44+IM44</f>
        <v>42</v>
      </c>
      <c r="IM45" s="3769"/>
      <c r="IN45" s="3769">
        <f t="shared" ref="IN45" si="102">IN44+IO44</f>
        <v>59</v>
      </c>
      <c r="IO45" s="3769"/>
      <c r="IP45" s="3769">
        <f t="shared" ref="IP45" si="103">IP44+IQ44</f>
        <v>42</v>
      </c>
      <c r="IQ45" s="3769"/>
      <c r="IR45" s="3769">
        <f t="shared" ref="IR45" si="104">IR44+IS44</f>
        <v>0</v>
      </c>
      <c r="IS45" s="3769"/>
      <c r="IT45" s="3769">
        <f t="shared" ref="IT45" si="105">IT44+IU44</f>
        <v>0</v>
      </c>
      <c r="IU45" s="3769"/>
      <c r="IV45" s="3769">
        <f t="shared" ref="IV45" si="106">IV44+IW44</f>
        <v>0</v>
      </c>
      <c r="IW45" s="3769"/>
      <c r="IX45" s="3769">
        <f t="shared" ref="IX45" si="107">IX44+IY44</f>
        <v>0</v>
      </c>
      <c r="IY45" s="3769"/>
      <c r="IZ45" s="3769">
        <f t="shared" ref="IZ45" si="108">IZ44+JA44</f>
        <v>0</v>
      </c>
      <c r="JA45" s="3769"/>
      <c r="JB45" s="3769">
        <f t="shared" ref="JB45" si="109">JB44+JC44</f>
        <v>0</v>
      </c>
      <c r="JC45" s="3769"/>
      <c r="JD45" s="3769">
        <f t="shared" ref="JD45" si="110">JD44+JE44</f>
        <v>21</v>
      </c>
      <c r="JE45" s="3769"/>
      <c r="JF45" s="3769">
        <f t="shared" ref="JF45" si="111">JF44+JG44</f>
        <v>17</v>
      </c>
      <c r="JG45" s="3769"/>
      <c r="JH45" s="3769">
        <f t="shared" ref="JH45" si="112">JH44+JI44</f>
        <v>21</v>
      </c>
      <c r="JI45" s="3769"/>
      <c r="JJ45" s="3769">
        <f t="shared" ref="JJ45" si="113">JJ44+JK44</f>
        <v>18</v>
      </c>
      <c r="JK45" s="3769"/>
      <c r="JL45" s="3769">
        <f t="shared" ref="JL45" si="114">JL44+JM44</f>
        <v>22</v>
      </c>
      <c r="JM45" s="3769"/>
      <c r="JN45" s="3769">
        <f t="shared" ref="JN45" si="115">JN44+JO44</f>
        <v>19</v>
      </c>
      <c r="JO45" s="3769"/>
      <c r="JP45" s="3769">
        <f t="shared" ref="JP45" si="116">JP44+JQ44</f>
        <v>0</v>
      </c>
      <c r="JQ45" s="3769"/>
      <c r="JR45" s="3769">
        <f t="shared" ref="JR45" si="117">JR44+JS44</f>
        <v>0</v>
      </c>
      <c r="JS45" s="3769"/>
      <c r="JT45" s="3769">
        <f t="shared" ref="JT45" si="118">JT44+JU44</f>
        <v>0</v>
      </c>
      <c r="JU45" s="3769"/>
      <c r="JV45" s="3769">
        <f t="shared" ref="JV45" si="119">JV44+JW44</f>
        <v>0</v>
      </c>
      <c r="JW45" s="3769"/>
      <c r="JX45" s="3769">
        <f t="shared" ref="JX45" si="120">JX44+JY44</f>
        <v>0</v>
      </c>
      <c r="JY45" s="3769"/>
      <c r="JZ45" s="3769">
        <f t="shared" ref="JZ45" si="121">JZ44+KA44</f>
        <v>0</v>
      </c>
      <c r="KA45" s="3769"/>
      <c r="KB45" s="2307"/>
      <c r="KC45" s="2308"/>
      <c r="KD45" s="2308"/>
      <c r="KE45" s="2308"/>
      <c r="KF45" s="2308"/>
      <c r="KG45" s="2309"/>
    </row>
    <row r="46" spans="1:335" s="1466" customFormat="1">
      <c r="I46" s="778">
        <v>3</v>
      </c>
      <c r="J46" s="2160"/>
      <c r="K46" s="2160"/>
      <c r="L46" s="2160"/>
      <c r="M46" s="2160"/>
      <c r="N46" s="2160"/>
      <c r="O46" s="2160"/>
      <c r="P46" s="2160"/>
      <c r="Q46" s="2160"/>
      <c r="R46" s="2160"/>
      <c r="S46" s="2160"/>
      <c r="T46" s="2160"/>
      <c r="U46" s="2160"/>
      <c r="V46" s="2160"/>
      <c r="W46" s="2160"/>
      <c r="X46" s="2160"/>
      <c r="Y46" s="2160"/>
      <c r="Z46" s="2160"/>
      <c r="AA46" s="2160"/>
      <c r="AB46" s="2160"/>
      <c r="AC46" s="2160"/>
      <c r="AD46" s="2160"/>
      <c r="AE46" s="2160"/>
      <c r="AF46" s="2160"/>
      <c r="AG46" s="2160"/>
      <c r="AH46" s="2160"/>
      <c r="AI46" s="2160"/>
      <c r="AJ46" s="2160"/>
      <c r="AK46" s="2160"/>
      <c r="AL46" s="2160"/>
      <c r="AM46" s="108"/>
      <c r="AN46" s="108"/>
      <c r="AO46" s="108"/>
      <c r="AP46" s="108"/>
      <c r="AQ46" s="108"/>
      <c r="AR46" s="108"/>
      <c r="AS46" s="108"/>
      <c r="AT46" s="108"/>
      <c r="AU46" s="108"/>
      <c r="AV46" s="108"/>
      <c r="AW46" s="2786"/>
      <c r="AX46" s="779">
        <v>3</v>
      </c>
      <c r="AY46" s="3370">
        <f>Plantillas!AL117</f>
        <v>0</v>
      </c>
      <c r="AZ46" s="3370">
        <f>Plantillas!AL118</f>
        <v>0</v>
      </c>
      <c r="BA46" s="3370">
        <f>Plantillas!AL119</f>
        <v>0</v>
      </c>
      <c r="BB46" s="3370">
        <f>Plantillas!AL120</f>
        <v>0</v>
      </c>
      <c r="BC46" s="3370">
        <f>Plantillas!AL121</f>
        <v>0</v>
      </c>
      <c r="BD46" s="3370">
        <f>Plantillas!AL122</f>
        <v>0</v>
      </c>
      <c r="BE46" s="3370">
        <f>Plantillas!AL123</f>
        <v>0</v>
      </c>
      <c r="BF46" s="3370">
        <f>Plantillas!AL124</f>
        <v>0</v>
      </c>
      <c r="BG46" s="3370">
        <f>Plantillas!AL125</f>
        <v>0</v>
      </c>
      <c r="BH46" s="3370">
        <f>Plantillas!AL126</f>
        <v>0</v>
      </c>
      <c r="BI46" s="3370">
        <f>Plantillas!AL127</f>
        <v>0</v>
      </c>
      <c r="BJ46" s="3370">
        <f>Plantillas!AL128</f>
        <v>0</v>
      </c>
      <c r="BK46" s="3370">
        <f>Plantillas!AL129</f>
        <v>0</v>
      </c>
      <c r="BL46" s="3370">
        <f>Plantillas!AL130</f>
        <v>0</v>
      </c>
      <c r="BM46" s="3370">
        <f>Plantillas!AL131</f>
        <v>0</v>
      </c>
      <c r="BN46" s="3370">
        <f>Plantillas!AL132</f>
        <v>0</v>
      </c>
      <c r="BO46" s="3371">
        <f>Plantillas!AL133</f>
        <v>0</v>
      </c>
      <c r="BP46" s="3371">
        <f>Plantillas!AL134</f>
        <v>0</v>
      </c>
      <c r="BQ46" s="3370">
        <f>Plantillas!AL135</f>
        <v>0</v>
      </c>
      <c r="BR46" s="3377">
        <f>Plantillas!AL136</f>
        <v>0</v>
      </c>
      <c r="BS46" s="779">
        <v>3</v>
      </c>
      <c r="BT46" s="3370">
        <f>Plantillas!AM117</f>
        <v>0</v>
      </c>
      <c r="BU46" s="3370">
        <f>Plantillas!AM118</f>
        <v>6.2</v>
      </c>
      <c r="BV46" s="3370">
        <f>Plantillas!AM119</f>
        <v>6</v>
      </c>
      <c r="BW46" s="3370">
        <f>Plantillas!AM120</f>
        <v>6.1</v>
      </c>
      <c r="BX46" s="3370">
        <f>Plantillas!AM121</f>
        <v>6.8</v>
      </c>
      <c r="BY46" s="3370">
        <f>Plantillas!AM122</f>
        <v>5.9</v>
      </c>
      <c r="BZ46" s="3370">
        <f>Plantillas!AM123</f>
        <v>5.8</v>
      </c>
      <c r="CA46" s="3370">
        <f>Plantillas!AM124</f>
        <v>6.1</v>
      </c>
      <c r="CB46" s="3370">
        <f>Plantillas!AM125</f>
        <v>6.2</v>
      </c>
      <c r="CC46" s="3370">
        <f>Plantillas!AM126</f>
        <v>6</v>
      </c>
      <c r="CD46" s="3370">
        <f>Plantillas!AM127</f>
        <v>6.8</v>
      </c>
      <c r="CE46" s="3370">
        <f>Plantillas!AM128</f>
        <v>0</v>
      </c>
      <c r="CF46" s="3370">
        <f>Plantillas!AM129</f>
        <v>0</v>
      </c>
      <c r="CG46" s="3370">
        <f>Plantillas!AM130</f>
        <v>0</v>
      </c>
      <c r="CH46" s="3370">
        <f>Plantillas!AM131</f>
        <v>0</v>
      </c>
      <c r="CI46" s="3370">
        <f>Plantillas!AM132</f>
        <v>0</v>
      </c>
      <c r="CJ46" s="3371">
        <f>Plantillas!AM133</f>
        <v>0</v>
      </c>
      <c r="CK46" s="3371">
        <f>Plantillas!AM134</f>
        <v>0</v>
      </c>
      <c r="CL46" s="3370">
        <f>Plantillas!AM135</f>
        <v>0</v>
      </c>
      <c r="CM46" s="3377">
        <f>Plantillas!AM136</f>
        <v>0</v>
      </c>
      <c r="CN46" s="779">
        <v>3</v>
      </c>
      <c r="CO46" s="3370">
        <f>Plantillas!AN117</f>
        <v>0</v>
      </c>
      <c r="CP46" s="3370">
        <f>Plantillas!AN118</f>
        <v>0</v>
      </c>
      <c r="CQ46" s="3370">
        <f>Plantillas!AN119</f>
        <v>0</v>
      </c>
      <c r="CR46" s="3370">
        <f>Plantillas!AN120</f>
        <v>0</v>
      </c>
      <c r="CS46" s="3370">
        <f>Plantillas!AN121</f>
        <v>0</v>
      </c>
      <c r="CT46" s="3370">
        <f>Plantillas!AN122</f>
        <v>0</v>
      </c>
      <c r="CU46" s="3370">
        <f>Plantillas!AN123</f>
        <v>0</v>
      </c>
      <c r="CV46" s="3370">
        <f>Plantillas!AN124</f>
        <v>0</v>
      </c>
      <c r="CW46" s="3370">
        <f>Plantillas!AN125</f>
        <v>0</v>
      </c>
      <c r="CX46" s="3370">
        <f>Plantillas!AN126</f>
        <v>0</v>
      </c>
      <c r="CY46" s="3370">
        <f>Plantillas!AN127</f>
        <v>0</v>
      </c>
      <c r="CZ46" s="3370">
        <f>Plantillas!AN128</f>
        <v>0</v>
      </c>
      <c r="DA46" s="3370">
        <f>Plantillas!AN129</f>
        <v>0</v>
      </c>
      <c r="DB46" s="3370">
        <f>Plantillas!AN130</f>
        <v>0</v>
      </c>
      <c r="DC46" s="3370">
        <f>Plantillas!AN131</f>
        <v>0</v>
      </c>
      <c r="DD46" s="3370">
        <f>Plantillas!AN132</f>
        <v>0</v>
      </c>
      <c r="DE46" s="3371">
        <f>Plantillas!AN133</f>
        <v>0</v>
      </c>
      <c r="DF46" s="3371">
        <f>Plantillas!AN134</f>
        <v>0</v>
      </c>
      <c r="DG46" s="3370">
        <f>Plantillas!AN135</f>
        <v>0</v>
      </c>
      <c r="DH46" s="3377">
        <f>Plantillas!AN136</f>
        <v>0</v>
      </c>
      <c r="DI46" s="779">
        <v>3</v>
      </c>
      <c r="DJ46" s="3370">
        <f>Plantillas!AO117</f>
        <v>0</v>
      </c>
      <c r="DK46" s="3370">
        <f>Plantillas!AO118</f>
        <v>0</v>
      </c>
      <c r="DL46" s="3370">
        <f>Plantillas!AO119</f>
        <v>0</v>
      </c>
      <c r="DM46" s="3370">
        <f>Plantillas!AO120</f>
        <v>0</v>
      </c>
      <c r="DN46" s="3370">
        <f>Plantillas!AO121</f>
        <v>0</v>
      </c>
      <c r="DO46" s="3370">
        <f>Plantillas!AO122</f>
        <v>0</v>
      </c>
      <c r="DP46" s="3370">
        <f>Plantillas!AO123</f>
        <v>0</v>
      </c>
      <c r="DQ46" s="3370">
        <f>Plantillas!AO124</f>
        <v>0</v>
      </c>
      <c r="DR46" s="3370">
        <f>Plantillas!AO125</f>
        <v>0</v>
      </c>
      <c r="DS46" s="3370">
        <f>Plantillas!AO126</f>
        <v>0</v>
      </c>
      <c r="DT46" s="3370">
        <f>Plantillas!AO127</f>
        <v>0</v>
      </c>
      <c r="DU46" s="3370">
        <f>Plantillas!AO128</f>
        <v>0</v>
      </c>
      <c r="DV46" s="3370">
        <f>Plantillas!AO129</f>
        <v>0</v>
      </c>
      <c r="DW46" s="3370">
        <f>Plantillas!AO130</f>
        <v>0</v>
      </c>
      <c r="DX46" s="3370">
        <f>Plantillas!AO131</f>
        <v>0</v>
      </c>
      <c r="DY46" s="3370">
        <f>Plantillas!AO132</f>
        <v>0</v>
      </c>
      <c r="DZ46" s="3371">
        <f>Plantillas!AO133</f>
        <v>0</v>
      </c>
      <c r="EA46" s="3371">
        <f>Plantillas!AO134</f>
        <v>0</v>
      </c>
      <c r="EB46" s="3370">
        <f>Plantillas!AO135</f>
        <v>0</v>
      </c>
      <c r="EC46" s="3377">
        <f>Plantillas!AO136</f>
        <v>0</v>
      </c>
      <c r="ED46" s="779">
        <v>3</v>
      </c>
      <c r="EE46" s="3370">
        <f>Plantillas!AP117</f>
        <v>0</v>
      </c>
      <c r="EF46" s="3370">
        <f>Plantillas!AP118</f>
        <v>0</v>
      </c>
      <c r="EG46" s="3370">
        <f>Plantillas!AP119</f>
        <v>0</v>
      </c>
      <c r="EH46" s="3370">
        <f>Plantillas!AP120</f>
        <v>0</v>
      </c>
      <c r="EI46" s="3370">
        <f>Plantillas!AP121</f>
        <v>0</v>
      </c>
      <c r="EJ46" s="3370">
        <f>Plantillas!AP122</f>
        <v>0</v>
      </c>
      <c r="EK46" s="3370">
        <f>Plantillas!AP123</f>
        <v>0</v>
      </c>
      <c r="EL46" s="3370">
        <f>Plantillas!AP124</f>
        <v>0</v>
      </c>
      <c r="EM46" s="3370">
        <f>Plantillas!AP125</f>
        <v>0</v>
      </c>
      <c r="EN46" s="3370">
        <f>Plantillas!AP126</f>
        <v>0</v>
      </c>
      <c r="EO46" s="3370">
        <f>Plantillas!AP127</f>
        <v>0</v>
      </c>
      <c r="EP46" s="3370">
        <f>Plantillas!AP128</f>
        <v>0</v>
      </c>
      <c r="EQ46" s="3370">
        <f>Plantillas!AP129</f>
        <v>0</v>
      </c>
      <c r="ER46" s="3370">
        <f>Plantillas!AP130</f>
        <v>0</v>
      </c>
      <c r="ES46" s="3370">
        <f>Plantillas!AP131</f>
        <v>0</v>
      </c>
      <c r="ET46" s="3370">
        <f>Plantillas!AP132</f>
        <v>0</v>
      </c>
      <c r="EU46" s="3371">
        <f>Plantillas!AP133</f>
        <v>0</v>
      </c>
      <c r="EV46" s="3371">
        <f>Plantillas!AP134</f>
        <v>0</v>
      </c>
      <c r="EW46" s="3370">
        <f>Plantillas!AP135</f>
        <v>0</v>
      </c>
      <c r="EX46" s="3377">
        <f>Plantillas!AP136</f>
        <v>0</v>
      </c>
      <c r="EY46" s="183">
        <v>3</v>
      </c>
      <c r="EZ46" s="3370">
        <f>Plantillas!AQ117</f>
        <v>0</v>
      </c>
      <c r="FA46" s="3370">
        <f>Plantillas!AQ118</f>
        <v>0</v>
      </c>
      <c r="FB46" s="3370">
        <f>Plantillas!AQ119</f>
        <v>0</v>
      </c>
      <c r="FC46" s="3370">
        <f>Plantillas!AQ120</f>
        <v>0</v>
      </c>
      <c r="FD46" s="3370">
        <f>Plantillas!AQ121</f>
        <v>0</v>
      </c>
      <c r="FE46" s="3370">
        <f>Plantillas!AQ122</f>
        <v>0</v>
      </c>
      <c r="FF46" s="3370">
        <f>Plantillas!AQ123</f>
        <v>0</v>
      </c>
      <c r="FG46" s="3370">
        <f>Plantillas!AQ124</f>
        <v>0</v>
      </c>
      <c r="FH46" s="3370">
        <f>Plantillas!AQ125</f>
        <v>0</v>
      </c>
      <c r="FI46" s="3370">
        <f>Plantillas!AQ126</f>
        <v>0</v>
      </c>
      <c r="FJ46" s="3370">
        <f>Plantillas!AQ127</f>
        <v>0</v>
      </c>
      <c r="FK46" s="3370">
        <f>Plantillas!AQ128</f>
        <v>0</v>
      </c>
      <c r="FL46" s="3370">
        <f>Plantillas!AQ129</f>
        <v>0</v>
      </c>
      <c r="FM46" s="3370">
        <f>Plantillas!AQ130</f>
        <v>0</v>
      </c>
      <c r="FN46" s="3370">
        <f>Plantillas!AQ131</f>
        <v>0</v>
      </c>
      <c r="FO46" s="3370">
        <f>Plantillas!AQ132</f>
        <v>0</v>
      </c>
      <c r="FP46" s="3371">
        <f>Plantillas!AQ133</f>
        <v>0</v>
      </c>
      <c r="FQ46" s="3371">
        <f>Plantillas!AQ134</f>
        <v>0</v>
      </c>
      <c r="FR46" s="3370">
        <f>Plantillas!AQ135</f>
        <v>0</v>
      </c>
      <c r="FS46" s="3377">
        <f>Plantillas!AQ136</f>
        <v>0</v>
      </c>
      <c r="FT46" s="778"/>
      <c r="FU46" s="778"/>
      <c r="FV46" s="778"/>
      <c r="FW46" s="778"/>
      <c r="FX46" s="778"/>
      <c r="FY46" s="778"/>
      <c r="FZ46" s="778"/>
      <c r="GA46" s="778"/>
      <c r="GB46" s="778"/>
      <c r="GC46" s="2321" t="s">
        <v>464</v>
      </c>
      <c r="GD46" s="2390">
        <f>SUM(GD2:GD12)</f>
        <v>455</v>
      </c>
      <c r="GE46" s="2390">
        <f t="shared" ref="GE46:GK46" si="122">SUM(GE2:GE12)</f>
        <v>447</v>
      </c>
      <c r="GF46" s="2390">
        <f t="shared" si="122"/>
        <v>429</v>
      </c>
      <c r="GG46" s="2390">
        <f t="shared" si="122"/>
        <v>460</v>
      </c>
      <c r="GH46" s="2390">
        <f t="shared" si="122"/>
        <v>496</v>
      </c>
      <c r="GI46" s="2390">
        <f t="shared" si="122"/>
        <v>529</v>
      </c>
      <c r="GJ46" s="2390">
        <f t="shared" si="122"/>
        <v>2816</v>
      </c>
      <c r="GK46" s="2390">
        <f t="shared" si="122"/>
        <v>227</v>
      </c>
      <c r="GL46" s="2321" t="s">
        <v>464</v>
      </c>
      <c r="GM46" s="2383">
        <f>COUNTIF(GM2:GM12,"X")</f>
        <v>6</v>
      </c>
      <c r="GN46" s="2383">
        <f t="shared" ref="GN46:HF46" si="123">COUNTIF(GN2:GN12,"X")</f>
        <v>3</v>
      </c>
      <c r="GO46" s="2383">
        <f t="shared" si="123"/>
        <v>3</v>
      </c>
      <c r="GP46" s="2383">
        <f t="shared" si="123"/>
        <v>3</v>
      </c>
      <c r="GQ46" s="2383">
        <f t="shared" si="123"/>
        <v>4</v>
      </c>
      <c r="GR46" s="2383">
        <f t="shared" si="123"/>
        <v>3</v>
      </c>
      <c r="GS46" s="2383">
        <f t="shared" si="123"/>
        <v>6</v>
      </c>
      <c r="GT46" s="2383">
        <f t="shared" si="123"/>
        <v>3</v>
      </c>
      <c r="GU46" s="2383">
        <f t="shared" si="123"/>
        <v>3</v>
      </c>
      <c r="GV46" s="2383">
        <f t="shared" si="123"/>
        <v>3</v>
      </c>
      <c r="GW46" s="2383">
        <f t="shared" si="123"/>
        <v>3</v>
      </c>
      <c r="GX46" s="2383">
        <f t="shared" si="123"/>
        <v>3</v>
      </c>
      <c r="GY46" s="2383">
        <f t="shared" si="123"/>
        <v>2</v>
      </c>
      <c r="GZ46" s="2383">
        <f t="shared" si="123"/>
        <v>5</v>
      </c>
      <c r="HA46" s="2383">
        <f t="shared" si="123"/>
        <v>2</v>
      </c>
      <c r="HB46" s="2383">
        <f t="shared" si="123"/>
        <v>1</v>
      </c>
      <c r="HC46" s="2383">
        <f>COUNTIF(HC2:HC12,"X")</f>
        <v>2</v>
      </c>
      <c r="HD46" s="2383">
        <f t="shared" si="123"/>
        <v>0</v>
      </c>
      <c r="HE46" s="2383">
        <f t="shared" si="123"/>
        <v>1</v>
      </c>
      <c r="HF46" s="205">
        <f t="shared" si="123"/>
        <v>0</v>
      </c>
      <c r="HG46" s="1991">
        <v>22</v>
      </c>
      <c r="HH46" s="2383">
        <f t="shared" ref="HH46:HM46" si="124">COUNTA(HH3:HH13)</f>
        <v>11</v>
      </c>
      <c r="HI46" s="2383">
        <f t="shared" si="124"/>
        <v>11</v>
      </c>
      <c r="HJ46" s="2383">
        <f t="shared" si="124"/>
        <v>11</v>
      </c>
      <c r="HK46" s="2383">
        <f t="shared" si="124"/>
        <v>11</v>
      </c>
      <c r="HL46" s="2383">
        <f t="shared" si="124"/>
        <v>11</v>
      </c>
      <c r="HM46" s="2383">
        <f t="shared" si="124"/>
        <v>11</v>
      </c>
      <c r="HN46" s="2383">
        <f>COUNTA(HN3:HN13)</f>
        <v>11</v>
      </c>
      <c r="HO46" s="2383">
        <f t="shared" ref="HO46:HP46" si="125">COUNTIF(HO3:HO13,"x")</f>
        <v>10</v>
      </c>
      <c r="HP46" s="2383">
        <f t="shared" si="125"/>
        <v>0</v>
      </c>
      <c r="HQ46" s="2383">
        <f>COUNTIF(HQ3:HQ13,"x")</f>
        <v>6</v>
      </c>
      <c r="HR46" s="2383">
        <f>COUNTIF(HR3:HR13,"x")</f>
        <v>4</v>
      </c>
      <c r="HS46" s="2383">
        <f t="shared" ref="HS46:HZ46" si="126">COUNTIF(HS3:HS13,"x")</f>
        <v>10</v>
      </c>
      <c r="HT46" s="2383">
        <f t="shared" si="126"/>
        <v>0</v>
      </c>
      <c r="HU46" s="2383">
        <f>COUNTIF(HU3:HU13,"X")</f>
        <v>8</v>
      </c>
      <c r="HV46" s="2383">
        <f t="shared" si="126"/>
        <v>2</v>
      </c>
      <c r="HW46" s="2383">
        <f t="shared" si="126"/>
        <v>0</v>
      </c>
      <c r="HX46" s="2383">
        <f t="shared" si="126"/>
        <v>0</v>
      </c>
      <c r="HY46" s="2383">
        <f t="shared" si="126"/>
        <v>10</v>
      </c>
      <c r="HZ46" s="2383">
        <f t="shared" si="126"/>
        <v>9</v>
      </c>
      <c r="IA46" s="2383">
        <f t="shared" ref="IA46" si="127">COUNTA(IA3:IA13)</f>
        <v>11</v>
      </c>
      <c r="IB46" s="2383">
        <f>SUM(IB3:IB13)</f>
        <v>70</v>
      </c>
      <c r="IC46" s="2383">
        <f>SUM(IC3:IC13)</f>
        <v>3</v>
      </c>
      <c r="ID46" s="2383">
        <f t="shared" ref="ID46:KG46" si="128">SUM(ID3:ID13)</f>
        <v>2</v>
      </c>
      <c r="IE46" s="2383">
        <f t="shared" si="128"/>
        <v>1</v>
      </c>
      <c r="IF46" s="2383">
        <f t="shared" si="128"/>
        <v>0</v>
      </c>
      <c r="IG46" s="2383">
        <f t="shared" si="128"/>
        <v>1</v>
      </c>
      <c r="IH46" s="2383">
        <f t="shared" si="128"/>
        <v>7</v>
      </c>
      <c r="II46" s="2383">
        <f t="shared" si="128"/>
        <v>1</v>
      </c>
      <c r="IJ46" s="2383">
        <f t="shared" si="128"/>
        <v>1</v>
      </c>
      <c r="IK46" s="2383">
        <f t="shared" si="128"/>
        <v>96</v>
      </c>
      <c r="IL46" s="2383">
        <f t="shared" si="128"/>
        <v>9</v>
      </c>
      <c r="IM46" s="2383">
        <f t="shared" si="128"/>
        <v>3</v>
      </c>
      <c r="IN46" s="2362">
        <f>SUM(IN3:IN13)</f>
        <v>13</v>
      </c>
      <c r="IO46" s="2362">
        <f>SUM(IO3:IO13)</f>
        <v>0</v>
      </c>
      <c r="IP46" s="2362">
        <f t="shared" si="128"/>
        <v>116</v>
      </c>
      <c r="IQ46" s="2362">
        <f t="shared" si="128"/>
        <v>96</v>
      </c>
      <c r="IR46" s="2383">
        <f t="shared" si="128"/>
        <v>7</v>
      </c>
      <c r="IS46" s="2383">
        <f t="shared" si="128"/>
        <v>53</v>
      </c>
      <c r="IT46" s="2383">
        <f t="shared" si="128"/>
        <v>1</v>
      </c>
      <c r="IU46" s="2383">
        <f t="shared" si="128"/>
        <v>1</v>
      </c>
      <c r="IV46" s="2383">
        <f t="shared" si="128"/>
        <v>15</v>
      </c>
      <c r="IW46" s="2383">
        <f t="shared" si="128"/>
        <v>14</v>
      </c>
      <c r="IX46" s="2383">
        <f t="shared" si="128"/>
        <v>15</v>
      </c>
      <c r="IY46" s="2383">
        <f t="shared" si="128"/>
        <v>15</v>
      </c>
      <c r="IZ46" s="2383">
        <f t="shared" si="128"/>
        <v>17</v>
      </c>
      <c r="JA46" s="2383">
        <f t="shared" si="128"/>
        <v>18</v>
      </c>
      <c r="JB46" s="2383">
        <f t="shared" si="128"/>
        <v>0</v>
      </c>
      <c r="JC46" s="2383">
        <f t="shared" si="128"/>
        <v>0</v>
      </c>
      <c r="JD46" s="2383">
        <f t="shared" si="128"/>
        <v>453</v>
      </c>
      <c r="JE46" s="2383">
        <f t="shared" si="128"/>
        <v>462</v>
      </c>
      <c r="JF46" s="2383">
        <f t="shared" si="128"/>
        <v>448</v>
      </c>
      <c r="JG46" s="2383">
        <f t="shared" si="128"/>
        <v>455</v>
      </c>
      <c r="JH46" s="2383">
        <f t="shared" si="128"/>
        <v>506</v>
      </c>
      <c r="JI46" s="2383">
        <f t="shared" si="128"/>
        <v>550</v>
      </c>
      <c r="JJ46" s="2383">
        <f t="shared" si="128"/>
        <v>39</v>
      </c>
      <c r="JK46" s="2383">
        <f t="shared" si="128"/>
        <v>32</v>
      </c>
      <c r="JL46" s="2383">
        <f t="shared" si="128"/>
        <v>36</v>
      </c>
      <c r="JM46" s="2383">
        <f t="shared" si="128"/>
        <v>29</v>
      </c>
      <c r="JN46" s="2383">
        <f t="shared" si="128"/>
        <v>25</v>
      </c>
      <c r="JO46" s="2383">
        <f t="shared" si="128"/>
        <v>20</v>
      </c>
      <c r="JP46" s="2383">
        <f>SUM(JP3:JP13)</f>
        <v>46</v>
      </c>
      <c r="JQ46" s="2383">
        <f t="shared" si="128"/>
        <v>62</v>
      </c>
      <c r="JR46" s="2383">
        <f t="shared" si="128"/>
        <v>66</v>
      </c>
      <c r="JS46" s="2383">
        <f t="shared" si="128"/>
        <v>37</v>
      </c>
      <c r="JT46" s="2383">
        <f t="shared" si="128"/>
        <v>54</v>
      </c>
      <c r="JU46" s="2383">
        <f t="shared" si="128"/>
        <v>41</v>
      </c>
      <c r="JV46" s="2383">
        <f t="shared" si="128"/>
        <v>446</v>
      </c>
      <c r="JW46" s="2383">
        <f t="shared" si="128"/>
        <v>432</v>
      </c>
      <c r="JX46" s="2383">
        <f t="shared" si="128"/>
        <v>418</v>
      </c>
      <c r="JY46" s="2383">
        <f t="shared" si="128"/>
        <v>447</v>
      </c>
      <c r="JZ46" s="2383">
        <f t="shared" si="128"/>
        <v>477</v>
      </c>
      <c r="KA46" s="2383">
        <f t="shared" si="128"/>
        <v>529</v>
      </c>
      <c r="KB46" s="779">
        <f t="shared" si="128"/>
        <v>0</v>
      </c>
      <c r="KC46" s="183">
        <f t="shared" si="128"/>
        <v>0</v>
      </c>
      <c r="KD46" s="183">
        <f t="shared" si="128"/>
        <v>0</v>
      </c>
      <c r="KE46" s="183">
        <f t="shared" si="128"/>
        <v>0</v>
      </c>
      <c r="KF46" s="183">
        <f t="shared" si="128"/>
        <v>0</v>
      </c>
      <c r="KG46" s="782">
        <f t="shared" si="128"/>
        <v>0</v>
      </c>
    </row>
    <row r="47" spans="1:335" s="1466" customFormat="1">
      <c r="I47" s="778">
        <v>4</v>
      </c>
      <c r="J47" s="2160"/>
      <c r="K47" s="2160"/>
      <c r="L47" s="2160"/>
      <c r="M47" s="2160"/>
      <c r="N47" s="2160"/>
      <c r="O47" s="2160"/>
      <c r="P47" s="2160"/>
      <c r="Q47" s="2160"/>
      <c r="R47" s="2160"/>
      <c r="S47" s="2160"/>
      <c r="T47" s="2160"/>
      <c r="U47" s="2160"/>
      <c r="V47" s="2160"/>
      <c r="W47" s="2160"/>
      <c r="X47" s="2160"/>
      <c r="Y47" s="2160"/>
      <c r="Z47" s="2160"/>
      <c r="AA47" s="2160"/>
      <c r="AB47" s="2160"/>
      <c r="AC47" s="2160"/>
      <c r="AD47" s="2160"/>
      <c r="AE47" s="2160"/>
      <c r="AF47" s="2160"/>
      <c r="AG47" s="2160"/>
      <c r="AH47" s="2160"/>
      <c r="AI47" s="2160"/>
      <c r="AJ47" s="2160"/>
      <c r="AK47" s="2160"/>
      <c r="AL47" s="2160"/>
      <c r="AM47" s="108"/>
      <c r="AN47" s="108"/>
      <c r="AO47" s="108"/>
      <c r="AP47" s="108"/>
      <c r="AQ47" s="108"/>
      <c r="AR47" s="108"/>
      <c r="AS47" s="108"/>
      <c r="AT47" s="108"/>
      <c r="AU47" s="108"/>
      <c r="AV47" s="108"/>
      <c r="AW47" s="2786"/>
      <c r="AX47" s="779">
        <v>4</v>
      </c>
      <c r="AY47" s="3370">
        <f>Plantillas!AL157</f>
        <v>0</v>
      </c>
      <c r="AZ47" s="3370">
        <f>Plantillas!AL158</f>
        <v>0</v>
      </c>
      <c r="BA47" s="3370">
        <f>Plantillas!AL159</f>
        <v>0</v>
      </c>
      <c r="BB47" s="3370">
        <f>Plantillas!AL160</f>
        <v>0</v>
      </c>
      <c r="BC47" s="3370">
        <f>Plantillas!AL161</f>
        <v>0</v>
      </c>
      <c r="BD47" s="3370">
        <f>Plantillas!AL162</f>
        <v>0</v>
      </c>
      <c r="BE47" s="3370">
        <f>Plantillas!AL163</f>
        <v>0</v>
      </c>
      <c r="BF47" s="3370">
        <f>Plantillas!AL164</f>
        <v>0</v>
      </c>
      <c r="BG47" s="3370">
        <f>Plantillas!AL165</f>
        <v>0</v>
      </c>
      <c r="BH47" s="3370">
        <f>Plantillas!AL166</f>
        <v>0</v>
      </c>
      <c r="BI47" s="3370">
        <f>Plantillas!AL167</f>
        <v>0</v>
      </c>
      <c r="BJ47" s="3370">
        <f>Plantillas!AL168</f>
        <v>0</v>
      </c>
      <c r="BK47" s="3370">
        <f>Plantillas!AL169</f>
        <v>0</v>
      </c>
      <c r="BL47" s="3370">
        <f>Plantillas!AL170</f>
        <v>0</v>
      </c>
      <c r="BM47" s="3370">
        <f>Plantillas!AL171</f>
        <v>0</v>
      </c>
      <c r="BN47" s="3370">
        <f>Plantillas!AL172</f>
        <v>0</v>
      </c>
      <c r="BO47" s="3371">
        <f>Plantillas!AL173</f>
        <v>0</v>
      </c>
      <c r="BP47" s="3371">
        <f>Plantillas!AL174</f>
        <v>0</v>
      </c>
      <c r="BQ47" s="3370">
        <f>Plantillas!AL175</f>
        <v>0</v>
      </c>
      <c r="BR47" s="3377">
        <f>Plantillas!AL176</f>
        <v>0</v>
      </c>
      <c r="BS47" s="779">
        <v>4</v>
      </c>
      <c r="BT47" s="3370">
        <f>Plantillas!AM157</f>
        <v>0</v>
      </c>
      <c r="BU47" s="3370">
        <f>Plantillas!AM158</f>
        <v>6.2</v>
      </c>
      <c r="BV47" s="3370">
        <f>Plantillas!AM159</f>
        <v>7</v>
      </c>
      <c r="BW47" s="3370">
        <f>Plantillas!AM160</f>
        <v>6.6</v>
      </c>
      <c r="BX47" s="3370">
        <f>Plantillas!AM161</f>
        <v>6.2</v>
      </c>
      <c r="BY47" s="3370">
        <f>Plantillas!AM162</f>
        <v>6</v>
      </c>
      <c r="BZ47" s="3370">
        <f>Plantillas!AM163</f>
        <v>6.8</v>
      </c>
      <c r="CA47" s="3370">
        <f>Plantillas!AM164</f>
        <v>7</v>
      </c>
      <c r="CB47" s="3370">
        <f>Plantillas!AM165</f>
        <v>6.8</v>
      </c>
      <c r="CC47" s="3370">
        <f>Plantillas!AM166</f>
        <v>6.5</v>
      </c>
      <c r="CD47" s="3370">
        <f>Plantillas!AM167</f>
        <v>6</v>
      </c>
      <c r="CE47" s="3370">
        <f>Plantillas!AM168</f>
        <v>5.8</v>
      </c>
      <c r="CF47" s="3370">
        <f>Plantillas!AM169</f>
        <v>6</v>
      </c>
      <c r="CG47" s="3370">
        <f>Plantillas!AM170</f>
        <v>0</v>
      </c>
      <c r="CH47" s="3370">
        <f>Plantillas!AM171</f>
        <v>0</v>
      </c>
      <c r="CI47" s="3370">
        <f>Plantillas!AM172</f>
        <v>0</v>
      </c>
      <c r="CJ47" s="3371">
        <f>Plantillas!AM173</f>
        <v>0</v>
      </c>
      <c r="CK47" s="3371">
        <f>Plantillas!AM174</f>
        <v>0</v>
      </c>
      <c r="CL47" s="3370">
        <f>Plantillas!AM175</f>
        <v>0</v>
      </c>
      <c r="CM47" s="3377">
        <f>Plantillas!AM176</f>
        <v>0</v>
      </c>
      <c r="CN47" s="779">
        <v>4</v>
      </c>
      <c r="CO47" s="3370">
        <f>Plantillas!AN157</f>
        <v>0</v>
      </c>
      <c r="CP47" s="3370">
        <f>Plantillas!AN158</f>
        <v>0</v>
      </c>
      <c r="CQ47" s="3370">
        <f>Plantillas!AN159</f>
        <v>0</v>
      </c>
      <c r="CR47" s="3370">
        <f>Plantillas!AN160</f>
        <v>0</v>
      </c>
      <c r="CS47" s="3370">
        <f>Plantillas!AN161</f>
        <v>0</v>
      </c>
      <c r="CT47" s="3370">
        <f>Plantillas!AN162</f>
        <v>0</v>
      </c>
      <c r="CU47" s="3370">
        <f>Plantillas!AN163</f>
        <v>0</v>
      </c>
      <c r="CV47" s="3370">
        <f>Plantillas!AN164</f>
        <v>0</v>
      </c>
      <c r="CW47" s="3370">
        <f>Plantillas!AN165</f>
        <v>0</v>
      </c>
      <c r="CX47" s="3370">
        <f>Plantillas!AN166</f>
        <v>0</v>
      </c>
      <c r="CY47" s="3370">
        <f>Plantillas!AN167</f>
        <v>0</v>
      </c>
      <c r="CZ47" s="3370">
        <f>Plantillas!AN168</f>
        <v>0</v>
      </c>
      <c r="DA47" s="3370">
        <f>Plantillas!AN169</f>
        <v>0</v>
      </c>
      <c r="DB47" s="3370">
        <f>Plantillas!AN170</f>
        <v>0</v>
      </c>
      <c r="DC47" s="3370">
        <f>Plantillas!AN171</f>
        <v>0</v>
      </c>
      <c r="DD47" s="3370">
        <f>Plantillas!AN172</f>
        <v>0</v>
      </c>
      <c r="DE47" s="3371">
        <f>Plantillas!AN173</f>
        <v>0</v>
      </c>
      <c r="DF47" s="3371">
        <f>Plantillas!AN174</f>
        <v>0</v>
      </c>
      <c r="DG47" s="3370">
        <f>Plantillas!AN175</f>
        <v>0</v>
      </c>
      <c r="DH47" s="3377">
        <f>Plantillas!AN176</f>
        <v>0</v>
      </c>
      <c r="DI47" s="779">
        <v>4</v>
      </c>
      <c r="DJ47" s="3370">
        <f>Plantillas!AO157</f>
        <v>0</v>
      </c>
      <c r="DK47" s="3370">
        <f>Plantillas!AO158</f>
        <v>0</v>
      </c>
      <c r="DL47" s="3370">
        <f>Plantillas!AO159</f>
        <v>0</v>
      </c>
      <c r="DM47" s="3370">
        <f>Plantillas!AO160</f>
        <v>0</v>
      </c>
      <c r="DN47" s="3370">
        <f>Plantillas!AO161</f>
        <v>0</v>
      </c>
      <c r="DO47" s="3370">
        <f>Plantillas!AO162</f>
        <v>0</v>
      </c>
      <c r="DP47" s="3370">
        <f>Plantillas!AO163</f>
        <v>0</v>
      </c>
      <c r="DQ47" s="3370">
        <f>Plantillas!AO164</f>
        <v>0</v>
      </c>
      <c r="DR47" s="3370">
        <f>Plantillas!AO165</f>
        <v>0</v>
      </c>
      <c r="DS47" s="3370">
        <f>Plantillas!AO166</f>
        <v>0</v>
      </c>
      <c r="DT47" s="3370">
        <f>Plantillas!AO167</f>
        <v>0</v>
      </c>
      <c r="DU47" s="3370">
        <f>Plantillas!AO168</f>
        <v>0</v>
      </c>
      <c r="DV47" s="3370">
        <f>Plantillas!AO169</f>
        <v>0</v>
      </c>
      <c r="DW47" s="3370">
        <f>Plantillas!AO170</f>
        <v>0</v>
      </c>
      <c r="DX47" s="3370">
        <f>Plantillas!AO171</f>
        <v>0</v>
      </c>
      <c r="DY47" s="3370">
        <f>Plantillas!AO172</f>
        <v>0</v>
      </c>
      <c r="DZ47" s="3371">
        <f>Plantillas!AO173</f>
        <v>0</v>
      </c>
      <c r="EA47" s="3371">
        <f>Plantillas!AO174</f>
        <v>0</v>
      </c>
      <c r="EB47" s="3370">
        <f>Plantillas!AO175</f>
        <v>0</v>
      </c>
      <c r="EC47" s="3377">
        <f>Plantillas!AO176</f>
        <v>0</v>
      </c>
      <c r="ED47" s="779">
        <v>4</v>
      </c>
      <c r="EE47" s="3370">
        <f>Plantillas!AP157</f>
        <v>0</v>
      </c>
      <c r="EF47" s="3370">
        <f>Plantillas!AP158</f>
        <v>0</v>
      </c>
      <c r="EG47" s="3370">
        <f>Plantillas!AP159</f>
        <v>0</v>
      </c>
      <c r="EH47" s="3370">
        <f>Plantillas!AP160</f>
        <v>0</v>
      </c>
      <c r="EI47" s="3370">
        <f>Plantillas!AP161</f>
        <v>0</v>
      </c>
      <c r="EJ47" s="3370">
        <f>Plantillas!AP162</f>
        <v>0</v>
      </c>
      <c r="EK47" s="3370">
        <f>Plantillas!AP163</f>
        <v>0</v>
      </c>
      <c r="EL47" s="3370">
        <f>Plantillas!AP164</f>
        <v>0</v>
      </c>
      <c r="EM47" s="3370">
        <f>Plantillas!AP165</f>
        <v>0</v>
      </c>
      <c r="EN47" s="3370">
        <f>Plantillas!AP166</f>
        <v>0</v>
      </c>
      <c r="EO47" s="3370">
        <f>Plantillas!AP167</f>
        <v>0</v>
      </c>
      <c r="EP47" s="3370">
        <f>Plantillas!AP168</f>
        <v>0</v>
      </c>
      <c r="EQ47" s="3370">
        <f>Plantillas!AP169</f>
        <v>0</v>
      </c>
      <c r="ER47" s="3370">
        <f>Plantillas!AP170</f>
        <v>0</v>
      </c>
      <c r="ES47" s="3370">
        <f>Plantillas!AP171</f>
        <v>0</v>
      </c>
      <c r="ET47" s="3370">
        <f>Plantillas!AP172</f>
        <v>0</v>
      </c>
      <c r="EU47" s="3371">
        <f>Plantillas!AP173</f>
        <v>0</v>
      </c>
      <c r="EV47" s="3371">
        <f>Plantillas!AP174</f>
        <v>0</v>
      </c>
      <c r="EW47" s="3370">
        <f>Plantillas!AP175</f>
        <v>0</v>
      </c>
      <c r="EX47" s="3377">
        <f>Plantillas!AP176</f>
        <v>0</v>
      </c>
      <c r="EY47" s="779">
        <v>4</v>
      </c>
      <c r="EZ47" s="3370">
        <f>Plantillas!AQ157</f>
        <v>0</v>
      </c>
      <c r="FA47" s="3370">
        <f>Plantillas!AQ158</f>
        <v>0</v>
      </c>
      <c r="FB47" s="3370">
        <f>Plantillas!AQ159</f>
        <v>0</v>
      </c>
      <c r="FC47" s="3370">
        <f>Plantillas!AQ160</f>
        <v>0</v>
      </c>
      <c r="FD47" s="3370">
        <f>Plantillas!AQ161</f>
        <v>0</v>
      </c>
      <c r="FE47" s="3370">
        <f>Plantillas!AQ162</f>
        <v>0</v>
      </c>
      <c r="FF47" s="3370">
        <f>Plantillas!AQ163</f>
        <v>0</v>
      </c>
      <c r="FG47" s="3370">
        <f>Plantillas!AQ164</f>
        <v>0</v>
      </c>
      <c r="FH47" s="3370">
        <f>Plantillas!AQ165</f>
        <v>0</v>
      </c>
      <c r="FI47" s="3370">
        <f>Plantillas!AQ166</f>
        <v>0</v>
      </c>
      <c r="FJ47" s="3370">
        <f>Plantillas!AQ167</f>
        <v>0</v>
      </c>
      <c r="FK47" s="3370">
        <f>Plantillas!AQ168</f>
        <v>0</v>
      </c>
      <c r="FL47" s="3370">
        <f>Plantillas!AQ169</f>
        <v>0</v>
      </c>
      <c r="FM47" s="3370">
        <f>Plantillas!AQ170</f>
        <v>0</v>
      </c>
      <c r="FN47" s="3370">
        <f>Plantillas!AQ171</f>
        <v>0</v>
      </c>
      <c r="FO47" s="3370">
        <f>Plantillas!AQ172</f>
        <v>0</v>
      </c>
      <c r="FP47" s="3371">
        <f>Plantillas!AQ173</f>
        <v>0</v>
      </c>
      <c r="FQ47" s="3371">
        <f>Plantillas!AQ174</f>
        <v>0</v>
      </c>
      <c r="FR47" s="3370">
        <f>Plantillas!AQ175</f>
        <v>0</v>
      </c>
      <c r="FS47" s="3377">
        <f>Plantillas!AQ176</f>
        <v>0</v>
      </c>
      <c r="FT47" s="778"/>
      <c r="FU47" s="778"/>
      <c r="FV47" s="778"/>
      <c r="FW47" s="778"/>
      <c r="FX47" s="778"/>
      <c r="FY47" s="778"/>
      <c r="FZ47" s="778"/>
      <c r="GA47" s="778"/>
      <c r="GB47" s="778"/>
      <c r="GC47" s="2320" t="s">
        <v>470</v>
      </c>
      <c r="GD47" s="2391">
        <f>SUM(GD13:GD17)</f>
        <v>124</v>
      </c>
      <c r="GE47" s="2391">
        <f t="shared" ref="GE47:GK47" si="129">SUM(GE13:GE17)</f>
        <v>102</v>
      </c>
      <c r="GF47" s="2391">
        <f t="shared" si="129"/>
        <v>101</v>
      </c>
      <c r="GG47" s="2391">
        <f t="shared" si="129"/>
        <v>83</v>
      </c>
      <c r="GH47" s="2391">
        <f t="shared" si="129"/>
        <v>99</v>
      </c>
      <c r="GI47" s="2391">
        <f t="shared" si="129"/>
        <v>54</v>
      </c>
      <c r="GJ47" s="2391">
        <f t="shared" si="129"/>
        <v>563</v>
      </c>
      <c r="GK47" s="2391">
        <f t="shared" si="129"/>
        <v>110</v>
      </c>
      <c r="GL47" s="2320" t="s">
        <v>470</v>
      </c>
      <c r="GM47" s="2386">
        <f>COUNTIF(GM13:GM17,"X")</f>
        <v>0</v>
      </c>
      <c r="GN47" s="2386">
        <f t="shared" ref="GN47:HE47" si="130">COUNTIF(GN13:GN17,"X")</f>
        <v>0</v>
      </c>
      <c r="GO47" s="2386">
        <f t="shared" si="130"/>
        <v>0</v>
      </c>
      <c r="GP47" s="2386">
        <f t="shared" si="130"/>
        <v>0</v>
      </c>
      <c r="GQ47" s="2386">
        <f t="shared" si="130"/>
        <v>0</v>
      </c>
      <c r="GR47" s="2386">
        <f t="shared" si="130"/>
        <v>1</v>
      </c>
      <c r="GS47" s="2386">
        <f t="shared" si="130"/>
        <v>0</v>
      </c>
      <c r="GT47" s="2386">
        <f t="shared" si="130"/>
        <v>1</v>
      </c>
      <c r="GU47" s="2386">
        <f t="shared" si="130"/>
        <v>0</v>
      </c>
      <c r="GV47" s="2386">
        <f t="shared" si="130"/>
        <v>0</v>
      </c>
      <c r="GW47" s="2386">
        <f t="shared" si="130"/>
        <v>0</v>
      </c>
      <c r="GX47" s="2386">
        <f t="shared" si="130"/>
        <v>0</v>
      </c>
      <c r="GY47" s="2386">
        <f t="shared" si="130"/>
        <v>0</v>
      </c>
      <c r="GZ47" s="2386">
        <f t="shared" si="130"/>
        <v>1</v>
      </c>
      <c r="HA47" s="2386">
        <f t="shared" si="130"/>
        <v>0</v>
      </c>
      <c r="HB47" s="2386">
        <f t="shared" si="130"/>
        <v>0</v>
      </c>
      <c r="HC47" s="2386">
        <f t="shared" si="130"/>
        <v>1</v>
      </c>
      <c r="HD47" s="2386">
        <f t="shared" si="130"/>
        <v>0</v>
      </c>
      <c r="HE47" s="2386">
        <f t="shared" si="130"/>
        <v>0</v>
      </c>
      <c r="HF47" s="2387"/>
      <c r="HG47" s="778">
        <v>23</v>
      </c>
      <c r="HH47" s="2386">
        <f t="shared" ref="HH47:HN47" si="131">COUNTA(HH14:HH18)</f>
        <v>5</v>
      </c>
      <c r="HI47" s="2386">
        <f t="shared" si="131"/>
        <v>5</v>
      </c>
      <c r="HJ47" s="2386">
        <f t="shared" si="131"/>
        <v>5</v>
      </c>
      <c r="HK47" s="2386">
        <f t="shared" si="131"/>
        <v>5</v>
      </c>
      <c r="HL47" s="2386">
        <f t="shared" si="131"/>
        <v>5</v>
      </c>
      <c r="HM47" s="2386">
        <f t="shared" si="131"/>
        <v>5</v>
      </c>
      <c r="HN47" s="2386">
        <f t="shared" si="131"/>
        <v>5</v>
      </c>
      <c r="HO47" s="2386">
        <f t="shared" ref="HO47:HP47" si="132">COUNTIF(HO14:HO18,"x")</f>
        <v>0</v>
      </c>
      <c r="HP47" s="2384">
        <f t="shared" si="132"/>
        <v>5</v>
      </c>
      <c r="HQ47" s="2384">
        <f>COUNTIF(HQ14:HQ18,"x")</f>
        <v>5</v>
      </c>
      <c r="HR47" s="2385">
        <f>COUNTIF(HR14:HR18,"x")</f>
        <v>0</v>
      </c>
      <c r="HS47" s="2385">
        <f t="shared" ref="HS47:IA47" si="133">COUNTIF(HS14:HS18,"x")</f>
        <v>5</v>
      </c>
      <c r="HT47" s="2385">
        <f t="shared" si="133"/>
        <v>0</v>
      </c>
      <c r="HU47" s="2385">
        <f>COUNTIF(HU14:HU18,"X")</f>
        <v>1</v>
      </c>
      <c r="HV47" s="2385">
        <f t="shared" si="133"/>
        <v>4</v>
      </c>
      <c r="HW47" s="2385">
        <f t="shared" si="133"/>
        <v>0</v>
      </c>
      <c r="HX47" s="2385">
        <f t="shared" si="133"/>
        <v>0</v>
      </c>
      <c r="HY47" s="2385">
        <f t="shared" si="133"/>
        <v>5</v>
      </c>
      <c r="HZ47" s="2385">
        <f t="shared" si="133"/>
        <v>0</v>
      </c>
      <c r="IA47" s="2385">
        <f t="shared" si="133"/>
        <v>5</v>
      </c>
      <c r="IB47" s="2385">
        <f>SUM(IB14:IB18)</f>
        <v>24</v>
      </c>
      <c r="IC47" s="2385">
        <f t="shared" ref="IC47:KG47" si="134">SUM(IC14:IC18)</f>
        <v>0</v>
      </c>
      <c r="ID47" s="2385">
        <f t="shared" si="134"/>
        <v>4</v>
      </c>
      <c r="IE47" s="2385">
        <f t="shared" si="134"/>
        <v>5</v>
      </c>
      <c r="IF47" s="2385">
        <f t="shared" si="134"/>
        <v>2</v>
      </c>
      <c r="IG47" s="2385">
        <f t="shared" si="134"/>
        <v>3</v>
      </c>
      <c r="IH47" s="2385">
        <f t="shared" si="134"/>
        <v>2</v>
      </c>
      <c r="II47" s="2385">
        <f t="shared" si="134"/>
        <v>0</v>
      </c>
      <c r="IJ47" s="2385">
        <f t="shared" si="134"/>
        <v>0</v>
      </c>
      <c r="IK47" s="2385">
        <f t="shared" si="134"/>
        <v>22</v>
      </c>
      <c r="IL47" s="2385">
        <f t="shared" si="134"/>
        <v>4</v>
      </c>
      <c r="IM47" s="2385">
        <f t="shared" si="134"/>
        <v>0</v>
      </c>
      <c r="IN47" s="2382">
        <f t="shared" si="134"/>
        <v>5</v>
      </c>
      <c r="IO47" s="2382">
        <f t="shared" si="134"/>
        <v>20</v>
      </c>
      <c r="IP47" s="2382">
        <f t="shared" si="134"/>
        <v>47</v>
      </c>
      <c r="IQ47" s="2382">
        <f t="shared" si="134"/>
        <v>50</v>
      </c>
      <c r="IR47" s="2385">
        <f>SUM(IR14:IR18)</f>
        <v>0</v>
      </c>
      <c r="IS47" s="2385">
        <f t="shared" si="134"/>
        <v>0</v>
      </c>
      <c r="IT47" s="2385">
        <f t="shared" si="134"/>
        <v>0</v>
      </c>
      <c r="IU47" s="2385">
        <f t="shared" si="134"/>
        <v>0</v>
      </c>
      <c r="IV47" s="2385">
        <f t="shared" si="134"/>
        <v>6</v>
      </c>
      <c r="IW47" s="2385">
        <f t="shared" si="134"/>
        <v>6</v>
      </c>
      <c r="IX47" s="2385">
        <f t="shared" si="134"/>
        <v>6</v>
      </c>
      <c r="IY47" s="2385">
        <f t="shared" si="134"/>
        <v>5</v>
      </c>
      <c r="IZ47" s="2385">
        <f t="shared" si="134"/>
        <v>5</v>
      </c>
      <c r="JA47" s="2385">
        <f t="shared" si="134"/>
        <v>4</v>
      </c>
      <c r="JB47" s="2385">
        <f t="shared" si="134"/>
        <v>0</v>
      </c>
      <c r="JC47" s="2385">
        <f t="shared" si="134"/>
        <v>0</v>
      </c>
      <c r="JD47" s="2385">
        <f t="shared" si="134"/>
        <v>88</v>
      </c>
      <c r="JE47" s="2385">
        <f t="shared" si="134"/>
        <v>80</v>
      </c>
      <c r="JF47" s="2385">
        <f t="shared" si="134"/>
        <v>78</v>
      </c>
      <c r="JG47" s="2385">
        <f t="shared" si="134"/>
        <v>70</v>
      </c>
      <c r="JH47" s="2385">
        <f t="shared" si="134"/>
        <v>81</v>
      </c>
      <c r="JI47" s="2385">
        <f t="shared" si="134"/>
        <v>49</v>
      </c>
      <c r="JJ47" s="2385">
        <f t="shared" si="134"/>
        <v>8</v>
      </c>
      <c r="JK47" s="2385">
        <f t="shared" si="134"/>
        <v>14</v>
      </c>
      <c r="JL47" s="2385">
        <f t="shared" si="134"/>
        <v>10</v>
      </c>
      <c r="JM47" s="2385">
        <f t="shared" si="134"/>
        <v>8</v>
      </c>
      <c r="JN47" s="2385">
        <f t="shared" si="134"/>
        <v>10</v>
      </c>
      <c r="JO47" s="2385">
        <f t="shared" si="134"/>
        <v>12</v>
      </c>
      <c r="JP47" s="2385">
        <f t="shared" si="134"/>
        <v>5</v>
      </c>
      <c r="JQ47" s="2385">
        <f t="shared" si="134"/>
        <v>6</v>
      </c>
      <c r="JR47" s="2385">
        <f t="shared" si="134"/>
        <v>2</v>
      </c>
      <c r="JS47" s="2385">
        <f t="shared" si="134"/>
        <v>5</v>
      </c>
      <c r="JT47" s="2385">
        <f t="shared" si="134"/>
        <v>5</v>
      </c>
      <c r="JU47" s="2385">
        <f t="shared" si="134"/>
        <v>1</v>
      </c>
      <c r="JV47" s="2385">
        <f t="shared" si="134"/>
        <v>91</v>
      </c>
      <c r="JW47" s="2385">
        <f t="shared" si="134"/>
        <v>88</v>
      </c>
      <c r="JX47" s="2385">
        <f t="shared" si="134"/>
        <v>86</v>
      </c>
      <c r="JY47" s="2385">
        <f t="shared" si="134"/>
        <v>73</v>
      </c>
      <c r="JZ47" s="2385">
        <f t="shared" si="134"/>
        <v>86</v>
      </c>
      <c r="KA47" s="2385">
        <f t="shared" si="134"/>
        <v>60</v>
      </c>
      <c r="KB47" s="779">
        <f t="shared" si="134"/>
        <v>0</v>
      </c>
      <c r="KC47" s="183">
        <f t="shared" si="134"/>
        <v>0</v>
      </c>
      <c r="KD47" s="183">
        <f t="shared" si="134"/>
        <v>0</v>
      </c>
      <c r="KE47" s="183">
        <f t="shared" si="134"/>
        <v>0</v>
      </c>
      <c r="KF47" s="183">
        <f t="shared" si="134"/>
        <v>0</v>
      </c>
      <c r="KG47" s="782">
        <f t="shared" si="134"/>
        <v>0</v>
      </c>
    </row>
    <row r="48" spans="1:335" s="1466" customFormat="1">
      <c r="I48" s="778">
        <v>5</v>
      </c>
      <c r="J48" s="2160"/>
      <c r="K48" s="2160"/>
      <c r="L48" s="2160"/>
      <c r="M48" s="2160"/>
      <c r="N48" s="2160"/>
      <c r="O48" s="2160"/>
      <c r="P48" s="2160"/>
      <c r="Q48" s="2160"/>
      <c r="R48" s="2160"/>
      <c r="S48" s="2160"/>
      <c r="T48" s="2160"/>
      <c r="U48" s="2160"/>
      <c r="V48" s="2160"/>
      <c r="W48" s="2160"/>
      <c r="X48" s="2160"/>
      <c r="Y48" s="2160"/>
      <c r="Z48" s="2160"/>
      <c r="AA48" s="2160"/>
      <c r="AB48" s="2160"/>
      <c r="AC48" s="2160"/>
      <c r="AD48" s="2160"/>
      <c r="AE48" s="2160"/>
      <c r="AF48" s="2160"/>
      <c r="AG48" s="2160"/>
      <c r="AH48" s="2160"/>
      <c r="AI48" s="2160"/>
      <c r="AJ48" s="2160"/>
      <c r="AK48" s="2160"/>
      <c r="AL48" s="2160"/>
      <c r="AM48" s="108"/>
      <c r="AN48" s="108"/>
      <c r="AO48" s="108"/>
      <c r="AP48" s="108"/>
      <c r="AQ48" s="108"/>
      <c r="AR48" s="108"/>
      <c r="AS48" s="108"/>
      <c r="AT48" s="108"/>
      <c r="AU48" s="108"/>
      <c r="AV48" s="108"/>
      <c r="AW48" s="2786"/>
      <c r="AX48" s="779">
        <v>5</v>
      </c>
      <c r="AY48" s="3370">
        <f>Plantillas!AL197</f>
        <v>0</v>
      </c>
      <c r="AZ48" s="3370">
        <f>Plantillas!AL198</f>
        <v>0</v>
      </c>
      <c r="BA48" s="3370">
        <f>Plantillas!AL199</f>
        <v>0</v>
      </c>
      <c r="BB48" s="3370">
        <f>Plantillas!AL200</f>
        <v>0</v>
      </c>
      <c r="BC48" s="3370">
        <f>Plantillas!AL201</f>
        <v>0</v>
      </c>
      <c r="BD48" s="3370">
        <f>Plantillas!AL202</f>
        <v>0</v>
      </c>
      <c r="BE48" s="3370">
        <f>Plantillas!AL203</f>
        <v>0</v>
      </c>
      <c r="BF48" s="3370">
        <f>Plantillas!AL204</f>
        <v>0</v>
      </c>
      <c r="BG48" s="3370">
        <f>Plantillas!AL205</f>
        <v>0</v>
      </c>
      <c r="BH48" s="3370">
        <f>Plantillas!AL206</f>
        <v>0</v>
      </c>
      <c r="BI48" s="3370">
        <f>Plantillas!AL207</f>
        <v>0</v>
      </c>
      <c r="BJ48" s="3370">
        <f>Plantillas!AL208</f>
        <v>0</v>
      </c>
      <c r="BK48" s="3370">
        <f>Plantillas!AL209</f>
        <v>0</v>
      </c>
      <c r="BL48" s="3370">
        <f>Plantillas!AL210</f>
        <v>0</v>
      </c>
      <c r="BM48" s="3370">
        <f>Plantillas!AL211</f>
        <v>0</v>
      </c>
      <c r="BN48" s="3370">
        <f>Plantillas!AL212</f>
        <v>0</v>
      </c>
      <c r="BO48" s="3371">
        <f>Plantillas!AL213</f>
        <v>0</v>
      </c>
      <c r="BP48" s="3371">
        <f>Plantillas!AL214</f>
        <v>0</v>
      </c>
      <c r="BQ48" s="3370">
        <f>Plantillas!AL215</f>
        <v>0</v>
      </c>
      <c r="BR48" s="3377">
        <f>Plantillas!AL216</f>
        <v>0</v>
      </c>
      <c r="BS48" s="779">
        <v>5</v>
      </c>
      <c r="BT48" s="3370">
        <f>Plantillas!AM197</f>
        <v>0</v>
      </c>
      <c r="BU48" s="3370">
        <f>Plantillas!AM198</f>
        <v>7</v>
      </c>
      <c r="BV48" s="3370">
        <f>Plantillas!AM199</f>
        <v>6</v>
      </c>
      <c r="BW48" s="3370">
        <f>Plantillas!AM200</f>
        <v>6.8</v>
      </c>
      <c r="BX48" s="3370">
        <f>Plantillas!AM201</f>
        <v>7.1</v>
      </c>
      <c r="BY48" s="3370">
        <f>Plantillas!AM202</f>
        <v>7.8</v>
      </c>
      <c r="BZ48" s="3370">
        <f>Plantillas!AM203</f>
        <v>6</v>
      </c>
      <c r="CA48" s="3370">
        <f>Plantillas!AM204</f>
        <v>6.9</v>
      </c>
      <c r="CB48" s="3370">
        <f>Plantillas!AM205</f>
        <v>0</v>
      </c>
      <c r="CC48" s="3370">
        <f>Plantillas!AM206</f>
        <v>0</v>
      </c>
      <c r="CD48" s="3370">
        <f>Plantillas!AM207</f>
        <v>0</v>
      </c>
      <c r="CE48" s="3370">
        <f>Plantillas!AM208</f>
        <v>0</v>
      </c>
      <c r="CF48" s="3370">
        <f>Plantillas!AM209</f>
        <v>0</v>
      </c>
      <c r="CG48" s="3370">
        <f>Plantillas!AM210</f>
        <v>0</v>
      </c>
      <c r="CH48" s="3370">
        <f>Plantillas!AM211</f>
        <v>0</v>
      </c>
      <c r="CI48" s="3370">
        <f>Plantillas!AM212</f>
        <v>0</v>
      </c>
      <c r="CJ48" s="3371">
        <f>Plantillas!AM213</f>
        <v>0</v>
      </c>
      <c r="CK48" s="3371">
        <f>Plantillas!AM214</f>
        <v>0</v>
      </c>
      <c r="CL48" s="3370">
        <f>Plantillas!AM215</f>
        <v>0</v>
      </c>
      <c r="CM48" s="3377">
        <f>Plantillas!AM216</f>
        <v>0</v>
      </c>
      <c r="CN48" s="779">
        <v>5</v>
      </c>
      <c r="CO48" s="3370">
        <f>Plantillas!AN197</f>
        <v>0</v>
      </c>
      <c r="CP48" s="3370">
        <f>Plantillas!AN198</f>
        <v>0</v>
      </c>
      <c r="CQ48" s="3370">
        <f>Plantillas!AN199</f>
        <v>0</v>
      </c>
      <c r="CR48" s="3370">
        <f>Plantillas!AN200</f>
        <v>0</v>
      </c>
      <c r="CS48" s="3370">
        <f>Plantillas!AN201</f>
        <v>0</v>
      </c>
      <c r="CT48" s="3370">
        <f>Plantillas!AN202</f>
        <v>0</v>
      </c>
      <c r="CU48" s="3370">
        <f>Plantillas!AN203</f>
        <v>0</v>
      </c>
      <c r="CV48" s="3370">
        <f>Plantillas!AN204</f>
        <v>0</v>
      </c>
      <c r="CW48" s="3370">
        <f>Plantillas!AN205</f>
        <v>0</v>
      </c>
      <c r="CX48" s="3370">
        <f>Plantillas!AN206</f>
        <v>0</v>
      </c>
      <c r="CY48" s="3370">
        <f>Plantillas!AN207</f>
        <v>0</v>
      </c>
      <c r="CZ48" s="3370">
        <f>Plantillas!AN208</f>
        <v>0</v>
      </c>
      <c r="DA48" s="3370">
        <f>Plantillas!AN209</f>
        <v>0</v>
      </c>
      <c r="DB48" s="3370">
        <f>Plantillas!AN210</f>
        <v>0</v>
      </c>
      <c r="DC48" s="3370">
        <f>Plantillas!AN211</f>
        <v>0</v>
      </c>
      <c r="DD48" s="3370">
        <f>Plantillas!AN212</f>
        <v>0</v>
      </c>
      <c r="DE48" s="3371">
        <f>Plantillas!AN213</f>
        <v>0</v>
      </c>
      <c r="DF48" s="3371">
        <f>Plantillas!AN214</f>
        <v>0</v>
      </c>
      <c r="DG48" s="3370">
        <f>Plantillas!AN215</f>
        <v>0</v>
      </c>
      <c r="DH48" s="3377">
        <f>Plantillas!AN216</f>
        <v>0</v>
      </c>
      <c r="DI48" s="779">
        <v>5</v>
      </c>
      <c r="DJ48" s="3370">
        <f>Plantillas!AO197</f>
        <v>0</v>
      </c>
      <c r="DK48" s="3370">
        <f>Plantillas!AO198</f>
        <v>0</v>
      </c>
      <c r="DL48" s="3370">
        <f>Plantillas!AO199</f>
        <v>0</v>
      </c>
      <c r="DM48" s="3370">
        <f>Plantillas!AO200</f>
        <v>0</v>
      </c>
      <c r="DN48" s="3370">
        <f>Plantillas!AO201</f>
        <v>0</v>
      </c>
      <c r="DO48" s="3370">
        <f>Plantillas!AO202</f>
        <v>0</v>
      </c>
      <c r="DP48" s="3370">
        <f>Plantillas!AO203</f>
        <v>0</v>
      </c>
      <c r="DQ48" s="3370">
        <f>Plantillas!AO204</f>
        <v>0</v>
      </c>
      <c r="DR48" s="3370">
        <f>Plantillas!AO205</f>
        <v>0</v>
      </c>
      <c r="DS48" s="3370">
        <f>Plantillas!AO206</f>
        <v>0</v>
      </c>
      <c r="DT48" s="3370">
        <f>Plantillas!AO207</f>
        <v>0</v>
      </c>
      <c r="DU48" s="3370">
        <f>Plantillas!AO208</f>
        <v>0</v>
      </c>
      <c r="DV48" s="3370">
        <f>Plantillas!AO209</f>
        <v>0</v>
      </c>
      <c r="DW48" s="3370">
        <f>Plantillas!AO210</f>
        <v>0</v>
      </c>
      <c r="DX48" s="3370">
        <f>Plantillas!AO211</f>
        <v>0</v>
      </c>
      <c r="DY48" s="3370">
        <f>Plantillas!AO212</f>
        <v>0</v>
      </c>
      <c r="DZ48" s="3371">
        <f>Plantillas!AO213</f>
        <v>0</v>
      </c>
      <c r="EA48" s="3371">
        <f>Plantillas!AO214</f>
        <v>0</v>
      </c>
      <c r="EB48" s="3370">
        <f>Plantillas!AO215</f>
        <v>0</v>
      </c>
      <c r="EC48" s="3377">
        <f>Plantillas!AO216</f>
        <v>0</v>
      </c>
      <c r="ED48" s="779">
        <v>5</v>
      </c>
      <c r="EE48" s="3370">
        <f>Plantillas!AP197</f>
        <v>0</v>
      </c>
      <c r="EF48" s="3370">
        <f>Plantillas!AP198</f>
        <v>0</v>
      </c>
      <c r="EG48" s="3370">
        <f>Plantillas!AP199</f>
        <v>0</v>
      </c>
      <c r="EH48" s="3370">
        <f>Plantillas!AP200</f>
        <v>0</v>
      </c>
      <c r="EI48" s="3370">
        <f>Plantillas!AP201</f>
        <v>0</v>
      </c>
      <c r="EJ48" s="3370">
        <f>Plantillas!AP202</f>
        <v>0</v>
      </c>
      <c r="EK48" s="3370">
        <f>Plantillas!AP203</f>
        <v>0</v>
      </c>
      <c r="EL48" s="3370">
        <f>Plantillas!AP204</f>
        <v>0</v>
      </c>
      <c r="EM48" s="3370">
        <f>Plantillas!AP205</f>
        <v>0</v>
      </c>
      <c r="EN48" s="3370">
        <f>Plantillas!AP206</f>
        <v>0</v>
      </c>
      <c r="EO48" s="3370">
        <f>Plantillas!AP207</f>
        <v>0</v>
      </c>
      <c r="EP48" s="3370">
        <f>Plantillas!AP208</f>
        <v>0</v>
      </c>
      <c r="EQ48" s="3370">
        <f>Plantillas!AP209</f>
        <v>0</v>
      </c>
      <c r="ER48" s="3370">
        <f>Plantillas!AP210</f>
        <v>0</v>
      </c>
      <c r="ES48" s="3370">
        <f>Plantillas!AP211</f>
        <v>0</v>
      </c>
      <c r="ET48" s="3370">
        <f>Plantillas!AP212</f>
        <v>0</v>
      </c>
      <c r="EU48" s="3371">
        <f>Plantillas!AP213</f>
        <v>0</v>
      </c>
      <c r="EV48" s="3371">
        <f>Plantillas!AP214</f>
        <v>0</v>
      </c>
      <c r="EW48" s="3370">
        <f>Plantillas!AP215</f>
        <v>0</v>
      </c>
      <c r="EX48" s="3377">
        <f>Plantillas!AP216</f>
        <v>0</v>
      </c>
      <c r="EY48" s="779">
        <v>5</v>
      </c>
      <c r="EZ48" s="3370">
        <f>Plantillas!AQ197</f>
        <v>0</v>
      </c>
      <c r="FA48" s="3370">
        <f>Plantillas!AQ198</f>
        <v>0</v>
      </c>
      <c r="FB48" s="3370">
        <f>Plantillas!AQ199</f>
        <v>0</v>
      </c>
      <c r="FC48" s="3370">
        <f>Plantillas!AQ200</f>
        <v>0</v>
      </c>
      <c r="FD48" s="3370">
        <f>Plantillas!AQ201</f>
        <v>0</v>
      </c>
      <c r="FE48" s="3370">
        <f>Plantillas!AQ202</f>
        <v>0</v>
      </c>
      <c r="FF48" s="3370">
        <f>Plantillas!AQ203</f>
        <v>0</v>
      </c>
      <c r="FG48" s="3370">
        <f>Plantillas!AQ204</f>
        <v>0</v>
      </c>
      <c r="FH48" s="3370">
        <f>Plantillas!AQ205</f>
        <v>0</v>
      </c>
      <c r="FI48" s="3370">
        <f>Plantillas!AQ206</f>
        <v>0</v>
      </c>
      <c r="FJ48" s="3370">
        <f>Plantillas!AQ207</f>
        <v>0</v>
      </c>
      <c r="FK48" s="3370">
        <f>Plantillas!AQ208</f>
        <v>0</v>
      </c>
      <c r="FL48" s="3370">
        <f>Plantillas!AQ209</f>
        <v>0</v>
      </c>
      <c r="FM48" s="3370">
        <f>Plantillas!AQ210</f>
        <v>0</v>
      </c>
      <c r="FN48" s="3370">
        <f>Plantillas!AQ211</f>
        <v>0</v>
      </c>
      <c r="FO48" s="3370">
        <f>Plantillas!AQ212</f>
        <v>0</v>
      </c>
      <c r="FP48" s="3371">
        <f>Plantillas!AQ213</f>
        <v>0</v>
      </c>
      <c r="FQ48" s="3371">
        <f>Plantillas!AQ214</f>
        <v>0</v>
      </c>
      <c r="FR48" s="3370">
        <f>Plantillas!AQ215</f>
        <v>0</v>
      </c>
      <c r="FS48" s="3377">
        <f>Plantillas!AQ216</f>
        <v>0</v>
      </c>
      <c r="FT48" s="778"/>
      <c r="FU48" s="778"/>
      <c r="FV48" s="778"/>
      <c r="FW48" s="778"/>
      <c r="FX48" s="778"/>
      <c r="FY48" s="778"/>
      <c r="FZ48" s="778"/>
      <c r="GA48" s="778"/>
      <c r="GB48" s="778"/>
      <c r="GC48" s="2312" t="s">
        <v>495</v>
      </c>
      <c r="GD48" s="116">
        <f>SUM(GD46:GD47)</f>
        <v>579</v>
      </c>
      <c r="GE48" s="116">
        <f t="shared" ref="GE48:GK48" si="135">SUM(GE46:GE47)</f>
        <v>549</v>
      </c>
      <c r="GF48" s="116">
        <f t="shared" si="135"/>
        <v>530</v>
      </c>
      <c r="GG48" s="116">
        <f t="shared" si="135"/>
        <v>543</v>
      </c>
      <c r="GH48" s="116">
        <f t="shared" si="135"/>
        <v>595</v>
      </c>
      <c r="GI48" s="116">
        <f t="shared" si="135"/>
        <v>583</v>
      </c>
      <c r="GJ48" s="116">
        <f t="shared" si="135"/>
        <v>3379</v>
      </c>
      <c r="GK48" s="116">
        <f t="shared" si="135"/>
        <v>337</v>
      </c>
      <c r="GL48" s="2392" t="s">
        <v>495</v>
      </c>
      <c r="GM48" s="116">
        <f>SUM(GM46:GM47)</f>
        <v>6</v>
      </c>
      <c r="GN48" s="116">
        <f t="shared" ref="GN48:HF48" si="136">SUM(GN46:GN47)</f>
        <v>3</v>
      </c>
      <c r="GO48" s="116">
        <f t="shared" si="136"/>
        <v>3</v>
      </c>
      <c r="GP48" s="116">
        <f t="shared" si="136"/>
        <v>3</v>
      </c>
      <c r="GQ48" s="116">
        <f t="shared" si="136"/>
        <v>4</v>
      </c>
      <c r="GR48" s="116">
        <f t="shared" si="136"/>
        <v>4</v>
      </c>
      <c r="GS48" s="116">
        <f t="shared" si="136"/>
        <v>6</v>
      </c>
      <c r="GT48" s="116">
        <f t="shared" si="136"/>
        <v>4</v>
      </c>
      <c r="GU48" s="116">
        <f t="shared" si="136"/>
        <v>3</v>
      </c>
      <c r="GV48" s="116">
        <f t="shared" si="136"/>
        <v>3</v>
      </c>
      <c r="GW48" s="116">
        <f t="shared" si="136"/>
        <v>3</v>
      </c>
      <c r="GX48" s="116">
        <f t="shared" si="136"/>
        <v>3</v>
      </c>
      <c r="GY48" s="116">
        <f t="shared" si="136"/>
        <v>2</v>
      </c>
      <c r="GZ48" s="116">
        <f t="shared" si="136"/>
        <v>6</v>
      </c>
      <c r="HA48" s="116">
        <f t="shared" si="136"/>
        <v>2</v>
      </c>
      <c r="HB48" s="116">
        <f t="shared" si="136"/>
        <v>1</v>
      </c>
      <c r="HC48" s="116">
        <f t="shared" si="136"/>
        <v>3</v>
      </c>
      <c r="HD48" s="116">
        <f t="shared" si="136"/>
        <v>0</v>
      </c>
      <c r="HE48" s="116">
        <f t="shared" si="136"/>
        <v>1</v>
      </c>
      <c r="HF48" s="116">
        <f t="shared" si="136"/>
        <v>0</v>
      </c>
      <c r="HG48" s="1991">
        <v>24</v>
      </c>
      <c r="HH48" s="779">
        <f>HH46+HH47</f>
        <v>16</v>
      </c>
      <c r="HI48" s="183"/>
      <c r="HJ48" s="183"/>
      <c r="HK48" s="183"/>
      <c r="HL48" s="183"/>
      <c r="HM48" s="183"/>
      <c r="HN48" s="183"/>
      <c r="HO48" s="183"/>
      <c r="HP48" s="183"/>
      <c r="HQ48" s="183">
        <f>HH46+HJ46+HL46+HN46+HP46+HR46</f>
        <v>48</v>
      </c>
      <c r="HR48" s="183">
        <f>HI46+HK46+HM46+HO46+HQ46+HS46</f>
        <v>59</v>
      </c>
      <c r="HS48" s="782">
        <f>HQ48+HR48</f>
        <v>107</v>
      </c>
      <c r="HT48" s="779"/>
      <c r="HU48" s="183"/>
      <c r="HV48" s="183"/>
      <c r="HW48" s="183"/>
      <c r="HX48" s="183"/>
      <c r="HY48" s="183"/>
      <c r="HZ48" s="183"/>
      <c r="IA48" s="183"/>
      <c r="IB48" s="183"/>
      <c r="IC48" s="183">
        <f>HT46+HV46+HX46+HZ46+IB46+ID46</f>
        <v>83</v>
      </c>
      <c r="ID48" s="183">
        <f>HU46+HW46+HY46+IA46+IC46+IE46</f>
        <v>33</v>
      </c>
      <c r="IE48" s="782">
        <f>IC48+ID48</f>
        <v>116</v>
      </c>
      <c r="IF48" s="779"/>
      <c r="IG48" s="183"/>
      <c r="IH48" s="183"/>
      <c r="II48" s="183"/>
      <c r="IJ48" s="183"/>
      <c r="IK48" s="183"/>
      <c r="IL48" s="183"/>
      <c r="IM48" s="183"/>
      <c r="IN48" s="183"/>
      <c r="IO48" s="183">
        <f>IF46+IH46+IJ46+IL46+IN46+IP46</f>
        <v>146</v>
      </c>
      <c r="IP48" s="183">
        <f>IG46+II46+IK46+IM46+IO46+IQ46</f>
        <v>197</v>
      </c>
      <c r="IQ48" s="782">
        <f>IO48+IP48</f>
        <v>343</v>
      </c>
      <c r="IR48" s="779"/>
      <c r="IS48" s="183"/>
      <c r="IT48" s="183"/>
      <c r="IU48" s="183"/>
      <c r="IV48" s="183"/>
      <c r="IW48" s="183"/>
      <c r="IX48" s="183"/>
      <c r="IY48" s="183"/>
      <c r="IZ48" s="183"/>
      <c r="JA48" s="183">
        <f>IR46+IT46+IV46+IX46+IZ46+JB46</f>
        <v>55</v>
      </c>
      <c r="JB48" s="183">
        <f>IS46+IU46+IW46+IY46+JA46+JC46</f>
        <v>101</v>
      </c>
      <c r="JC48" s="782">
        <f>JA48+JB48</f>
        <v>156</v>
      </c>
      <c r="JD48" s="779"/>
      <c r="JE48" s="183"/>
      <c r="JF48" s="183"/>
      <c r="JG48" s="183"/>
      <c r="JH48" s="183"/>
      <c r="JI48" s="183"/>
      <c r="JJ48" s="183"/>
      <c r="JK48" s="183"/>
      <c r="JL48" s="183"/>
      <c r="JM48" s="183">
        <f>JD46+JF46+JH46+JJ46+JL46+JN46</f>
        <v>1507</v>
      </c>
      <c r="JN48" s="183">
        <f>JE46+JG46+JI46+JK46+JM46+JO46</f>
        <v>1548</v>
      </c>
      <c r="JO48" s="782">
        <f>JM48+JN48</f>
        <v>3055</v>
      </c>
      <c r="JP48" s="779"/>
      <c r="JQ48" s="183"/>
      <c r="JR48" s="183"/>
      <c r="JS48" s="183"/>
      <c r="JT48" s="183"/>
      <c r="JU48" s="183"/>
      <c r="JV48" s="176"/>
      <c r="JW48" s="176"/>
      <c r="JX48" s="176"/>
      <c r="JY48" s="183">
        <f>JP46+JR46+JT46+JV46+JX46+JZ46</f>
        <v>1507</v>
      </c>
      <c r="JZ48" s="183">
        <f>JQ46+JS46+JU46+JW46+JY46+KA46</f>
        <v>1548</v>
      </c>
      <c r="KA48" s="782">
        <f>JY48+JZ48</f>
        <v>3055</v>
      </c>
      <c r="KB48" s="2310"/>
      <c r="KC48" s="176"/>
      <c r="KD48" s="176"/>
      <c r="KE48" s="176"/>
      <c r="KF48" s="176"/>
      <c r="KG48" s="2311"/>
    </row>
    <row r="49" spans="9:294" s="1466" customFormat="1">
      <c r="I49" s="778">
        <v>6</v>
      </c>
      <c r="J49" s="2160"/>
      <c r="K49" s="2160"/>
      <c r="L49" s="2160"/>
      <c r="M49" s="2160"/>
      <c r="N49" s="2160"/>
      <c r="O49" s="2160"/>
      <c r="P49" s="2160"/>
      <c r="Q49" s="2160"/>
      <c r="R49" s="2160"/>
      <c r="S49" s="2160"/>
      <c r="T49" s="2160"/>
      <c r="U49" s="2160"/>
      <c r="V49" s="2160"/>
      <c r="W49" s="2160"/>
      <c r="X49" s="2160"/>
      <c r="Y49" s="2160"/>
      <c r="Z49" s="2160"/>
      <c r="AA49" s="2160"/>
      <c r="AB49" s="2160"/>
      <c r="AC49" s="2160"/>
      <c r="AD49" s="2160"/>
      <c r="AE49" s="2160"/>
      <c r="AF49" s="2160"/>
      <c r="AG49" s="2160"/>
      <c r="AH49" s="2160"/>
      <c r="AI49" s="2160"/>
      <c r="AJ49" s="2160"/>
      <c r="AK49" s="2160"/>
      <c r="AL49" s="2160"/>
      <c r="AM49" s="108"/>
      <c r="AN49" s="108"/>
      <c r="AO49" s="108"/>
      <c r="AP49" s="108"/>
      <c r="AQ49" s="108"/>
      <c r="AR49" s="108"/>
      <c r="AS49" s="108"/>
      <c r="AT49" s="108"/>
      <c r="AU49" s="108"/>
      <c r="AV49" s="108"/>
      <c r="AW49" s="2786"/>
      <c r="AX49" s="779">
        <v>6</v>
      </c>
      <c r="AY49" s="3370">
        <f>Plantillas!AL237</f>
        <v>0</v>
      </c>
      <c r="AZ49" s="3370">
        <f>Plantillas!AL238</f>
        <v>0</v>
      </c>
      <c r="BA49" s="3370">
        <f>Plantillas!AL239</f>
        <v>0</v>
      </c>
      <c r="BB49" s="3370">
        <f>Plantillas!AL240</f>
        <v>0</v>
      </c>
      <c r="BC49" s="3370">
        <f>Plantillas!AL241</f>
        <v>0</v>
      </c>
      <c r="BD49" s="3370">
        <f>Plantillas!AL242</f>
        <v>0</v>
      </c>
      <c r="BE49" s="3370">
        <f>Plantillas!AL243</f>
        <v>0</v>
      </c>
      <c r="BF49" s="3370">
        <f>Plantillas!AL244</f>
        <v>0</v>
      </c>
      <c r="BG49" s="3370">
        <f>Plantillas!AL245</f>
        <v>0</v>
      </c>
      <c r="BH49" s="3370">
        <f>Plantillas!AL246</f>
        <v>0</v>
      </c>
      <c r="BI49" s="3370">
        <f>Plantillas!AL247</f>
        <v>0</v>
      </c>
      <c r="BJ49" s="3370">
        <f>Plantillas!AL248</f>
        <v>0</v>
      </c>
      <c r="BK49" s="3370">
        <f>Plantillas!AL249</f>
        <v>0</v>
      </c>
      <c r="BL49" s="3370">
        <f>Plantillas!AL250</f>
        <v>0</v>
      </c>
      <c r="BM49" s="3370">
        <f>Plantillas!AL251</f>
        <v>0</v>
      </c>
      <c r="BN49" s="3370">
        <f>Plantillas!AL252</f>
        <v>0</v>
      </c>
      <c r="BO49" s="3371">
        <f>Plantillas!AL253</f>
        <v>0</v>
      </c>
      <c r="BP49" s="3371">
        <f>Plantillas!AL254</f>
        <v>0</v>
      </c>
      <c r="BQ49" s="3370">
        <f>Plantillas!AL255</f>
        <v>0</v>
      </c>
      <c r="BR49" s="3377">
        <f>Plantillas!AL256</f>
        <v>0</v>
      </c>
      <c r="BS49" s="779">
        <v>6</v>
      </c>
      <c r="BT49" s="3370">
        <f>Plantillas!AM237</f>
        <v>0</v>
      </c>
      <c r="BU49" s="3370">
        <f>Plantillas!AM238</f>
        <v>7</v>
      </c>
      <c r="BV49" s="3370">
        <f>Plantillas!AM239</f>
        <v>6.8</v>
      </c>
      <c r="BW49" s="3370">
        <f>Plantillas!AM240</f>
        <v>6</v>
      </c>
      <c r="BX49" s="3370">
        <f>Plantillas!AM241</f>
        <v>6.9</v>
      </c>
      <c r="BY49" s="3370">
        <f>Plantillas!AM242</f>
        <v>7.1</v>
      </c>
      <c r="BZ49" s="3370">
        <f>Plantillas!AM243</f>
        <v>7</v>
      </c>
      <c r="CA49" s="3370">
        <f>Plantillas!AM244</f>
        <v>7.3</v>
      </c>
      <c r="CB49" s="3370">
        <f>Plantillas!AM245</f>
        <v>6.8</v>
      </c>
      <c r="CC49" s="3370">
        <f>Plantillas!AM246</f>
        <v>6</v>
      </c>
      <c r="CD49" s="3370">
        <f>Plantillas!AM247</f>
        <v>6.1</v>
      </c>
      <c r="CE49" s="3370">
        <f>Plantillas!AM248</f>
        <v>6.6</v>
      </c>
      <c r="CF49" s="3370">
        <f>Plantillas!AM249</f>
        <v>6.2</v>
      </c>
      <c r="CG49" s="3370">
        <f>Plantillas!AM250</f>
        <v>6</v>
      </c>
      <c r="CH49" s="3370">
        <f>Plantillas!AM251</f>
        <v>0</v>
      </c>
      <c r="CI49" s="3370">
        <f>Plantillas!AM252</f>
        <v>0</v>
      </c>
      <c r="CJ49" s="3371">
        <f>Plantillas!AM253</f>
        <v>0</v>
      </c>
      <c r="CK49" s="3371">
        <f>Plantillas!AM254</f>
        <v>0</v>
      </c>
      <c r="CL49" s="3370">
        <f>Plantillas!AM255</f>
        <v>0</v>
      </c>
      <c r="CM49" s="3377">
        <f>Plantillas!AM256</f>
        <v>0</v>
      </c>
      <c r="CN49" s="779">
        <v>6</v>
      </c>
      <c r="CO49" s="3370">
        <f>Plantillas!AN237</f>
        <v>0</v>
      </c>
      <c r="CP49" s="3370">
        <f>Plantillas!AN238</f>
        <v>0</v>
      </c>
      <c r="CQ49" s="3370">
        <f>Plantillas!AN239</f>
        <v>0</v>
      </c>
      <c r="CR49" s="3370">
        <f>Plantillas!AN240</f>
        <v>0</v>
      </c>
      <c r="CS49" s="3370">
        <f>Plantillas!AN241</f>
        <v>0</v>
      </c>
      <c r="CT49" s="3370">
        <f>Plantillas!AN242</f>
        <v>0</v>
      </c>
      <c r="CU49" s="3370">
        <f>Plantillas!AN243</f>
        <v>0</v>
      </c>
      <c r="CV49" s="3370">
        <f>Plantillas!AN244</f>
        <v>0</v>
      </c>
      <c r="CW49" s="3370">
        <f>Plantillas!AN245</f>
        <v>0</v>
      </c>
      <c r="CX49" s="3370">
        <f>Plantillas!AN246</f>
        <v>0</v>
      </c>
      <c r="CY49" s="3370">
        <f>Plantillas!AN247</f>
        <v>0</v>
      </c>
      <c r="CZ49" s="3370">
        <f>Plantillas!AN248</f>
        <v>0</v>
      </c>
      <c r="DA49" s="3370">
        <f>Plantillas!AN249</f>
        <v>0</v>
      </c>
      <c r="DB49" s="3370">
        <f>Plantillas!AN250</f>
        <v>0</v>
      </c>
      <c r="DC49" s="3370">
        <f>Plantillas!AN251</f>
        <v>0</v>
      </c>
      <c r="DD49" s="3370">
        <f>Plantillas!AN252</f>
        <v>0</v>
      </c>
      <c r="DE49" s="3371">
        <f>Plantillas!AN253</f>
        <v>0</v>
      </c>
      <c r="DF49" s="3371">
        <f>Plantillas!AN254</f>
        <v>0</v>
      </c>
      <c r="DG49" s="3370">
        <f>Plantillas!AN255</f>
        <v>0</v>
      </c>
      <c r="DH49" s="3377">
        <f>Plantillas!AN256</f>
        <v>0</v>
      </c>
      <c r="DI49" s="779">
        <v>6</v>
      </c>
      <c r="DJ49" s="3370">
        <f>Plantillas!AO237</f>
        <v>0</v>
      </c>
      <c r="DK49" s="3370">
        <f>Plantillas!AO238</f>
        <v>0</v>
      </c>
      <c r="DL49" s="3370">
        <f>Plantillas!AO239</f>
        <v>0</v>
      </c>
      <c r="DM49" s="3370">
        <f>Plantillas!AO240</f>
        <v>0</v>
      </c>
      <c r="DN49" s="3370">
        <f>Plantillas!AO241</f>
        <v>0</v>
      </c>
      <c r="DO49" s="3370">
        <f>Plantillas!AO242</f>
        <v>0</v>
      </c>
      <c r="DP49" s="3370">
        <f>Plantillas!AO243</f>
        <v>0</v>
      </c>
      <c r="DQ49" s="3370">
        <f>Plantillas!AO244</f>
        <v>0</v>
      </c>
      <c r="DR49" s="3370">
        <f>Plantillas!AO245</f>
        <v>0</v>
      </c>
      <c r="DS49" s="3370">
        <f>Plantillas!AO246</f>
        <v>0</v>
      </c>
      <c r="DT49" s="3370">
        <f>Plantillas!AO247</f>
        <v>0</v>
      </c>
      <c r="DU49" s="3370">
        <f>Plantillas!AO248</f>
        <v>0</v>
      </c>
      <c r="DV49" s="3370">
        <f>Plantillas!AO249</f>
        <v>0</v>
      </c>
      <c r="DW49" s="3370">
        <f>Plantillas!AO250</f>
        <v>0</v>
      </c>
      <c r="DX49" s="3370">
        <f>Plantillas!AO251</f>
        <v>0</v>
      </c>
      <c r="DY49" s="3370">
        <f>Plantillas!AO252</f>
        <v>0</v>
      </c>
      <c r="DZ49" s="3371">
        <f>Plantillas!AO253</f>
        <v>0</v>
      </c>
      <c r="EA49" s="3371">
        <f>Plantillas!AO254</f>
        <v>0</v>
      </c>
      <c r="EB49" s="3370">
        <f>Plantillas!AO255</f>
        <v>0</v>
      </c>
      <c r="EC49" s="3377">
        <f>Plantillas!AO256</f>
        <v>0</v>
      </c>
      <c r="ED49" s="779">
        <v>6</v>
      </c>
      <c r="EE49" s="3370">
        <f>Plantillas!AP237</f>
        <v>0</v>
      </c>
      <c r="EF49" s="3370">
        <f>Plantillas!AP238</f>
        <v>0</v>
      </c>
      <c r="EG49" s="3370">
        <f>Plantillas!AP239</f>
        <v>0</v>
      </c>
      <c r="EH49" s="3370">
        <f>Plantillas!AP240</f>
        <v>0</v>
      </c>
      <c r="EI49" s="3370">
        <f>Plantillas!AP241</f>
        <v>0</v>
      </c>
      <c r="EJ49" s="3370">
        <f>Plantillas!AP242</f>
        <v>0</v>
      </c>
      <c r="EK49" s="3370">
        <f>Plantillas!AP243</f>
        <v>0</v>
      </c>
      <c r="EL49" s="3370">
        <f>Plantillas!AP244</f>
        <v>0</v>
      </c>
      <c r="EM49" s="3370">
        <f>Plantillas!AP245</f>
        <v>0</v>
      </c>
      <c r="EN49" s="3370">
        <f>Plantillas!AP246</f>
        <v>0</v>
      </c>
      <c r="EO49" s="3370">
        <f>Plantillas!AP247</f>
        <v>0</v>
      </c>
      <c r="EP49" s="3370">
        <f>Plantillas!AP248</f>
        <v>0</v>
      </c>
      <c r="EQ49" s="3370">
        <f>Plantillas!AP249</f>
        <v>0</v>
      </c>
      <c r="ER49" s="3370">
        <f>Plantillas!AP250</f>
        <v>0</v>
      </c>
      <c r="ES49" s="3370">
        <f>Plantillas!AP251</f>
        <v>0</v>
      </c>
      <c r="ET49" s="3370">
        <f>Plantillas!AP252</f>
        <v>0</v>
      </c>
      <c r="EU49" s="3371">
        <f>Plantillas!AP253</f>
        <v>0</v>
      </c>
      <c r="EV49" s="3371">
        <f>Plantillas!AP254</f>
        <v>0</v>
      </c>
      <c r="EW49" s="3370">
        <f>Plantillas!AP255</f>
        <v>0</v>
      </c>
      <c r="EX49" s="3377">
        <f>Plantillas!AP256</f>
        <v>0</v>
      </c>
      <c r="EY49" s="779">
        <v>6</v>
      </c>
      <c r="EZ49" s="3370">
        <f>Plantillas!AQ237</f>
        <v>0</v>
      </c>
      <c r="FA49" s="3370">
        <f>Plantillas!AQ238</f>
        <v>0</v>
      </c>
      <c r="FB49" s="3370">
        <f>Plantillas!AQ239</f>
        <v>0</v>
      </c>
      <c r="FC49" s="3370">
        <f>Plantillas!AQ240</f>
        <v>0</v>
      </c>
      <c r="FD49" s="3370">
        <f>Plantillas!AQ241</f>
        <v>0</v>
      </c>
      <c r="FE49" s="3370">
        <f>Plantillas!AQ242</f>
        <v>0</v>
      </c>
      <c r="FF49" s="3370">
        <f>Plantillas!AQ243</f>
        <v>0</v>
      </c>
      <c r="FG49" s="3370">
        <f>Plantillas!AQ244</f>
        <v>0</v>
      </c>
      <c r="FH49" s="3370">
        <f>Plantillas!AQ245</f>
        <v>0</v>
      </c>
      <c r="FI49" s="3370">
        <f>Plantillas!AQ246</f>
        <v>0</v>
      </c>
      <c r="FJ49" s="3370">
        <f>Plantillas!AQ247</f>
        <v>0</v>
      </c>
      <c r="FK49" s="3370">
        <f>Plantillas!AQ248</f>
        <v>0</v>
      </c>
      <c r="FL49" s="3370">
        <f>Plantillas!AQ249</f>
        <v>0</v>
      </c>
      <c r="FM49" s="3370">
        <f>Plantillas!AQ250</f>
        <v>0</v>
      </c>
      <c r="FN49" s="3370">
        <f>Plantillas!AQ251</f>
        <v>0</v>
      </c>
      <c r="FO49" s="3370">
        <f>Plantillas!AQ252</f>
        <v>0</v>
      </c>
      <c r="FP49" s="3371">
        <f>Plantillas!AQ253</f>
        <v>0</v>
      </c>
      <c r="FQ49" s="3371">
        <f>Plantillas!AQ254</f>
        <v>0</v>
      </c>
      <c r="FR49" s="3370">
        <f>Plantillas!AQ255</f>
        <v>0</v>
      </c>
      <c r="FS49" s="3377">
        <f>Plantillas!AQ256</f>
        <v>0</v>
      </c>
      <c r="FT49" s="778"/>
      <c r="FU49" s="778"/>
      <c r="FV49" s="778"/>
      <c r="FW49" s="778"/>
      <c r="FX49" s="778"/>
      <c r="FY49" s="778"/>
      <c r="FZ49" s="778"/>
      <c r="GA49" s="778"/>
      <c r="GB49" s="778"/>
      <c r="GC49" s="778"/>
      <c r="GD49" s="3774" t="s">
        <v>1758</v>
      </c>
      <c r="GE49" s="3774"/>
      <c r="GF49" s="3774"/>
      <c r="GG49" s="3774"/>
      <c r="GH49" s="3774"/>
      <c r="GI49" s="3774"/>
      <c r="GJ49" s="3774"/>
      <c r="GK49" s="3774"/>
      <c r="GL49" s="778"/>
      <c r="GM49" s="3774" t="s">
        <v>788</v>
      </c>
      <c r="GN49" s="3774"/>
      <c r="GO49" s="3774"/>
      <c r="GP49" s="3774"/>
      <c r="GQ49" s="3774"/>
      <c r="GR49" s="3774"/>
      <c r="GS49" s="3774"/>
      <c r="GT49" s="3774"/>
      <c r="GU49" s="3774"/>
      <c r="GV49" s="3774"/>
      <c r="GW49" s="3774"/>
      <c r="GX49" s="3774"/>
      <c r="GY49" s="3774"/>
      <c r="GZ49" s="3774"/>
      <c r="HA49" s="3774"/>
      <c r="HB49" s="3774"/>
      <c r="HC49" s="3774"/>
      <c r="HD49" s="3774"/>
      <c r="HE49" s="3774"/>
      <c r="HF49" s="3774"/>
      <c r="HG49" s="778">
        <v>25</v>
      </c>
      <c r="HH49" s="2432" t="s">
        <v>1760</v>
      </c>
      <c r="HI49" s="2433"/>
      <c r="HJ49" s="2433"/>
      <c r="HK49" s="2433"/>
      <c r="HL49" s="2433"/>
      <c r="HM49" s="2433"/>
      <c r="HN49" s="2433"/>
      <c r="HO49" s="2433"/>
      <c r="HP49" s="2433"/>
      <c r="HQ49" s="2401">
        <f>HH47+HJ47+HL47+HN47+HP47+HR47</f>
        <v>25</v>
      </c>
      <c r="HR49" s="2401">
        <f>HI47+HK47+HM47+HO47+HQ47+HS47</f>
        <v>25</v>
      </c>
      <c r="HS49" s="2402">
        <f>HQ49+HR49</f>
        <v>50</v>
      </c>
      <c r="HT49" s="2432" t="s">
        <v>1776</v>
      </c>
      <c r="HU49" s="2433"/>
      <c r="HV49" s="2433"/>
      <c r="HW49" s="2433"/>
      <c r="HX49" s="2433"/>
      <c r="HY49" s="2433"/>
      <c r="HZ49" s="2433"/>
      <c r="IA49" s="2433"/>
      <c r="IB49" s="2433"/>
      <c r="IC49" s="2401">
        <f>HT47+HV47+HX47+HZ47+IB47+ID47</f>
        <v>32</v>
      </c>
      <c r="ID49" s="2401">
        <f>HU47+HW47+HY47+IA47+IC47+IE47</f>
        <v>16</v>
      </c>
      <c r="IE49" s="2402">
        <f>IC49+ID49</f>
        <v>48</v>
      </c>
      <c r="IF49" s="2431" t="s">
        <v>1775</v>
      </c>
      <c r="IG49" s="2401"/>
      <c r="IH49" s="2401"/>
      <c r="II49" s="2401"/>
      <c r="IJ49" s="2401"/>
      <c r="IK49" s="2401"/>
      <c r="IL49" s="2401"/>
      <c r="IM49" s="2401"/>
      <c r="IN49" s="2401"/>
      <c r="IO49" s="2401">
        <f>IF47+IH47+IJ47+IL47+IN47+IP47</f>
        <v>60</v>
      </c>
      <c r="IP49" s="2401">
        <f>IG47+II47+IK47+IM47+IO47+IQ47</f>
        <v>95</v>
      </c>
      <c r="IQ49" s="2402">
        <f>IO49+IP49</f>
        <v>155</v>
      </c>
      <c r="IR49" s="2403"/>
      <c r="IS49" s="2401"/>
      <c r="IT49" s="2401"/>
      <c r="IU49" s="2401"/>
      <c r="IV49" s="2401"/>
      <c r="IW49" s="2401"/>
      <c r="IX49" s="2401"/>
      <c r="IY49" s="2401"/>
      <c r="IZ49" s="2401"/>
      <c r="JA49" s="2401">
        <f>IR47+IT47+IV47+IX47+IZ47+JB47</f>
        <v>17</v>
      </c>
      <c r="JB49" s="2401">
        <f>IS47+IU47+IW47+IY47+JA47+JC47</f>
        <v>15</v>
      </c>
      <c r="JC49" s="2402">
        <f>JA49+JB49</f>
        <v>32</v>
      </c>
      <c r="JD49" s="2403"/>
      <c r="JE49" s="2401"/>
      <c r="JF49" s="2401"/>
      <c r="JG49" s="2401"/>
      <c r="JH49" s="2401"/>
      <c r="JI49" s="2401"/>
      <c r="JJ49" s="2401"/>
      <c r="JK49" s="2401"/>
      <c r="JL49" s="2401"/>
      <c r="JM49" s="2401">
        <f>JD47+JF47+JH47+JJ47+JL47+JN47</f>
        <v>275</v>
      </c>
      <c r="JN49" s="2401">
        <f>JE47+JG47+JI47+JK47+JM47+JO47</f>
        <v>233</v>
      </c>
      <c r="JO49" s="2402">
        <f>JM49+JN49</f>
        <v>508</v>
      </c>
      <c r="JP49" s="2403"/>
      <c r="JQ49" s="2401"/>
      <c r="JR49" s="2401"/>
      <c r="JS49" s="2401"/>
      <c r="JT49" s="2401"/>
      <c r="JU49" s="2401"/>
      <c r="JV49" s="2308"/>
      <c r="JW49" s="2308"/>
      <c r="JX49" s="2308"/>
      <c r="JY49" s="2401">
        <f>JP47+JR47+JT47+JV47+JX47+JZ47</f>
        <v>275</v>
      </c>
      <c r="JZ49" s="2401">
        <f>JQ47+JS47+JU47+JW47+JY47+KA47</f>
        <v>233</v>
      </c>
      <c r="KA49" s="2402">
        <f>JY49+JZ49</f>
        <v>508</v>
      </c>
      <c r="KB49" s="2310"/>
      <c r="KC49" s="176"/>
      <c r="KD49" s="176"/>
      <c r="KE49" s="176"/>
      <c r="KF49" s="176"/>
      <c r="KG49" s="2311"/>
    </row>
    <row r="50" spans="9:294" s="1481" customFormat="1">
      <c r="I50" s="2312">
        <v>7</v>
      </c>
      <c r="J50" s="2160"/>
      <c r="K50" s="2160"/>
      <c r="L50" s="2160"/>
      <c r="M50" s="2160"/>
      <c r="N50" s="2160"/>
      <c r="O50" s="2160"/>
      <c r="P50" s="2160"/>
      <c r="Q50" s="2160"/>
      <c r="R50" s="2160"/>
      <c r="S50" s="2160"/>
      <c r="T50" s="2160"/>
      <c r="U50" s="2160"/>
      <c r="V50" s="2160"/>
      <c r="W50" s="2160"/>
      <c r="X50" s="2160"/>
      <c r="Y50" s="2160"/>
      <c r="Z50" s="2160"/>
      <c r="AA50" s="2160"/>
      <c r="AB50" s="2160"/>
      <c r="AC50" s="2160"/>
      <c r="AD50" s="2160"/>
      <c r="AE50" s="2160"/>
      <c r="AF50" s="2160"/>
      <c r="AG50" s="2160"/>
      <c r="AH50" s="2160"/>
      <c r="AI50" s="2160"/>
      <c r="AJ50" s="2160"/>
      <c r="AK50" s="2160"/>
      <c r="AL50" s="2160"/>
      <c r="AM50" s="108"/>
      <c r="AN50" s="108"/>
      <c r="AO50" s="108"/>
      <c r="AP50" s="108"/>
      <c r="AQ50" s="108"/>
      <c r="AR50" s="108"/>
      <c r="AS50" s="108"/>
      <c r="AT50" s="108"/>
      <c r="AU50" s="108"/>
      <c r="AV50" s="108"/>
      <c r="AW50" s="2787"/>
      <c r="AX50" s="779">
        <v>7</v>
      </c>
      <c r="AY50" s="3370">
        <f>Plantillas!AL277</f>
        <v>0</v>
      </c>
      <c r="AZ50" s="3370">
        <f>Plantillas!AL278</f>
        <v>0</v>
      </c>
      <c r="BA50" s="3370">
        <f>Plantillas!AL279</f>
        <v>0</v>
      </c>
      <c r="BB50" s="3370">
        <f>Plantillas!AL280</f>
        <v>0</v>
      </c>
      <c r="BC50" s="3370">
        <f>Plantillas!AL281</f>
        <v>0</v>
      </c>
      <c r="BD50" s="3370">
        <f>Plantillas!AL282</f>
        <v>0</v>
      </c>
      <c r="BE50" s="3370">
        <f>Plantillas!AL283</f>
        <v>0</v>
      </c>
      <c r="BF50" s="3370">
        <f>Plantillas!AL284</f>
        <v>0</v>
      </c>
      <c r="BG50" s="3370">
        <f>Plantillas!AL285</f>
        <v>0</v>
      </c>
      <c r="BH50" s="3370">
        <f>Plantillas!AL286</f>
        <v>0</v>
      </c>
      <c r="BI50" s="3370">
        <f>Plantillas!AL287</f>
        <v>0</v>
      </c>
      <c r="BJ50" s="3370">
        <f>Plantillas!AL288</f>
        <v>0</v>
      </c>
      <c r="BK50" s="3370">
        <f>Plantillas!AL289</f>
        <v>0</v>
      </c>
      <c r="BL50" s="3370">
        <f>Plantillas!AL290</f>
        <v>0</v>
      </c>
      <c r="BM50" s="3370">
        <f>Plantillas!AL291</f>
        <v>0</v>
      </c>
      <c r="BN50" s="3370">
        <f>Plantillas!AL292</f>
        <v>0</v>
      </c>
      <c r="BO50" s="3371">
        <f>Plantillas!AL293</f>
        <v>0</v>
      </c>
      <c r="BP50" s="3371">
        <f>Plantillas!AL294</f>
        <v>0</v>
      </c>
      <c r="BQ50" s="3370">
        <f>Plantillas!AL295</f>
        <v>0</v>
      </c>
      <c r="BR50" s="3377">
        <f>Plantillas!AL296</f>
        <v>0</v>
      </c>
      <c r="BS50" s="779">
        <v>7</v>
      </c>
      <c r="BT50" s="3370">
        <f>Plantillas!AM277</f>
        <v>0</v>
      </c>
      <c r="BU50" s="3370">
        <f>Plantillas!AM278</f>
        <v>7</v>
      </c>
      <c r="BV50" s="3370">
        <f>Plantillas!AM279</f>
        <v>7.1</v>
      </c>
      <c r="BW50" s="3370">
        <f>Plantillas!AM280</f>
        <v>7</v>
      </c>
      <c r="BX50" s="3370">
        <f>Plantillas!AM281</f>
        <v>7.2</v>
      </c>
      <c r="BY50" s="3370">
        <f>Plantillas!AM282</f>
        <v>6.8</v>
      </c>
      <c r="BZ50" s="3370">
        <f>Plantillas!AM283</f>
        <v>0</v>
      </c>
      <c r="CA50" s="3370">
        <f>Plantillas!AM284</f>
        <v>0</v>
      </c>
      <c r="CB50" s="3370">
        <f>Plantillas!AM285</f>
        <v>0</v>
      </c>
      <c r="CC50" s="3370">
        <f>Plantillas!AM286</f>
        <v>0</v>
      </c>
      <c r="CD50" s="3370">
        <f>Plantillas!AM287</f>
        <v>0</v>
      </c>
      <c r="CE50" s="3370">
        <f>Plantillas!AM288</f>
        <v>0</v>
      </c>
      <c r="CF50" s="3370">
        <f>Plantillas!AM289</f>
        <v>0</v>
      </c>
      <c r="CG50" s="3370">
        <f>Plantillas!AM290</f>
        <v>0</v>
      </c>
      <c r="CH50" s="3370">
        <f>Plantillas!AM291</f>
        <v>0</v>
      </c>
      <c r="CI50" s="3370">
        <f>Plantillas!AM292</f>
        <v>0</v>
      </c>
      <c r="CJ50" s="3371">
        <f>Plantillas!AM293</f>
        <v>0</v>
      </c>
      <c r="CK50" s="3371">
        <f>Plantillas!AM294</f>
        <v>0</v>
      </c>
      <c r="CL50" s="3370">
        <f>Plantillas!AM295</f>
        <v>0</v>
      </c>
      <c r="CM50" s="3377">
        <f>Plantillas!AM296</f>
        <v>0</v>
      </c>
      <c r="CN50" s="779">
        <v>7</v>
      </c>
      <c r="CO50" s="3370">
        <f>Plantillas!AN277</f>
        <v>0</v>
      </c>
      <c r="CP50" s="3370">
        <f>Plantillas!AN278</f>
        <v>0</v>
      </c>
      <c r="CQ50" s="3370">
        <f>Plantillas!AN279</f>
        <v>0</v>
      </c>
      <c r="CR50" s="3370">
        <f>Plantillas!AN280</f>
        <v>0</v>
      </c>
      <c r="CS50" s="3370">
        <f>Plantillas!AN281</f>
        <v>0</v>
      </c>
      <c r="CT50" s="3370">
        <f>Plantillas!AN282</f>
        <v>0</v>
      </c>
      <c r="CU50" s="3370">
        <f>Plantillas!AN283</f>
        <v>0</v>
      </c>
      <c r="CV50" s="3370">
        <f>Plantillas!AN284</f>
        <v>0</v>
      </c>
      <c r="CW50" s="3370">
        <f>Plantillas!AN285</f>
        <v>0</v>
      </c>
      <c r="CX50" s="3370">
        <f>Plantillas!AN286</f>
        <v>0</v>
      </c>
      <c r="CY50" s="3370">
        <f>Plantillas!AN287</f>
        <v>0</v>
      </c>
      <c r="CZ50" s="3370">
        <f>Plantillas!AN288</f>
        <v>0</v>
      </c>
      <c r="DA50" s="3370">
        <f>Plantillas!AN289</f>
        <v>0</v>
      </c>
      <c r="DB50" s="3370">
        <f>Plantillas!AN290</f>
        <v>0</v>
      </c>
      <c r="DC50" s="3370">
        <f>Plantillas!AN291</f>
        <v>0</v>
      </c>
      <c r="DD50" s="3370">
        <f>Plantillas!AN292</f>
        <v>0</v>
      </c>
      <c r="DE50" s="3371">
        <f>Plantillas!AN293</f>
        <v>0</v>
      </c>
      <c r="DF50" s="3371">
        <f>Plantillas!AN294</f>
        <v>0</v>
      </c>
      <c r="DG50" s="3370">
        <f>Plantillas!AN295</f>
        <v>0</v>
      </c>
      <c r="DH50" s="3377">
        <f>Plantillas!AN296</f>
        <v>0</v>
      </c>
      <c r="DI50" s="779">
        <v>7</v>
      </c>
      <c r="DJ50" s="3370">
        <f>Plantillas!AO277</f>
        <v>0</v>
      </c>
      <c r="DK50" s="3370">
        <f>Plantillas!AO278</f>
        <v>0</v>
      </c>
      <c r="DL50" s="3370">
        <f>Plantillas!AO279</f>
        <v>0</v>
      </c>
      <c r="DM50" s="3370">
        <f>Plantillas!AO280</f>
        <v>0</v>
      </c>
      <c r="DN50" s="3370">
        <f>Plantillas!AO281</f>
        <v>0</v>
      </c>
      <c r="DO50" s="3370">
        <f>Plantillas!AO282</f>
        <v>0</v>
      </c>
      <c r="DP50" s="3370">
        <f>Plantillas!AO283</f>
        <v>0</v>
      </c>
      <c r="DQ50" s="3370">
        <f>Plantillas!AO284</f>
        <v>0</v>
      </c>
      <c r="DR50" s="3370">
        <f>Plantillas!AO285</f>
        <v>0</v>
      </c>
      <c r="DS50" s="3370">
        <f>Plantillas!AO286</f>
        <v>0</v>
      </c>
      <c r="DT50" s="3370">
        <f>Plantillas!AO287</f>
        <v>0</v>
      </c>
      <c r="DU50" s="3370">
        <f>Plantillas!AO288</f>
        <v>0</v>
      </c>
      <c r="DV50" s="3370">
        <f>Plantillas!AO289</f>
        <v>0</v>
      </c>
      <c r="DW50" s="3370">
        <f>Plantillas!AO290</f>
        <v>0</v>
      </c>
      <c r="DX50" s="3370">
        <f>Plantillas!AO291</f>
        <v>0</v>
      </c>
      <c r="DY50" s="3370">
        <f>Plantillas!AO292</f>
        <v>0</v>
      </c>
      <c r="DZ50" s="3371">
        <f>Plantillas!AO293</f>
        <v>0</v>
      </c>
      <c r="EA50" s="3371">
        <f>Plantillas!AO294</f>
        <v>0</v>
      </c>
      <c r="EB50" s="3370">
        <f>Plantillas!CW295</f>
        <v>0</v>
      </c>
      <c r="EC50" s="3377">
        <f>Plantillas!AO296</f>
        <v>0</v>
      </c>
      <c r="ED50" s="779">
        <v>7</v>
      </c>
      <c r="EE50" s="3370">
        <f>Plantillas!AP277</f>
        <v>0</v>
      </c>
      <c r="EF50" s="3370">
        <f>Plantillas!AP278</f>
        <v>0</v>
      </c>
      <c r="EG50" s="3370">
        <f>Plantillas!AP279</f>
        <v>0</v>
      </c>
      <c r="EH50" s="3370">
        <f>Plantillas!AP280</f>
        <v>0</v>
      </c>
      <c r="EI50" s="3370">
        <f>Plantillas!AP281</f>
        <v>0</v>
      </c>
      <c r="EJ50" s="3370">
        <f>Plantillas!AP282</f>
        <v>0</v>
      </c>
      <c r="EK50" s="3370">
        <f>Plantillas!AP283</f>
        <v>0</v>
      </c>
      <c r="EL50" s="3370">
        <f>Plantillas!AP284</f>
        <v>0</v>
      </c>
      <c r="EM50" s="3370">
        <f>Plantillas!AP285</f>
        <v>0</v>
      </c>
      <c r="EN50" s="3370">
        <f>Plantillas!AP286</f>
        <v>0</v>
      </c>
      <c r="EO50" s="3370">
        <f>Plantillas!AP287</f>
        <v>0</v>
      </c>
      <c r="EP50" s="3370">
        <f>Plantillas!AP288</f>
        <v>0</v>
      </c>
      <c r="EQ50" s="3370">
        <f>Plantillas!AP289</f>
        <v>0</v>
      </c>
      <c r="ER50" s="3370">
        <f>Plantillas!AP290</f>
        <v>0</v>
      </c>
      <c r="ES50" s="3370">
        <f>Plantillas!AP291</f>
        <v>0</v>
      </c>
      <c r="ET50" s="3370">
        <f>Plantillas!AP292</f>
        <v>0</v>
      </c>
      <c r="EU50" s="3371">
        <f>Plantillas!AP293</f>
        <v>0</v>
      </c>
      <c r="EV50" s="3371">
        <f>Plantillas!AP294</f>
        <v>0</v>
      </c>
      <c r="EW50" s="3370">
        <f>Plantillas!AP295</f>
        <v>0</v>
      </c>
      <c r="EX50" s="3377">
        <f>Plantillas!AP296</f>
        <v>0</v>
      </c>
      <c r="EY50" s="779">
        <v>7</v>
      </c>
      <c r="EZ50" s="3370">
        <f>Plantillas!AQ277</f>
        <v>0</v>
      </c>
      <c r="FA50" s="3370">
        <f>Plantillas!AQ278</f>
        <v>0</v>
      </c>
      <c r="FB50" s="3370">
        <f>Plantillas!AQ279</f>
        <v>0</v>
      </c>
      <c r="FC50" s="3370">
        <f>Plantillas!AQ280</f>
        <v>0</v>
      </c>
      <c r="FD50" s="3370">
        <f>Plantillas!AQ281</f>
        <v>0</v>
      </c>
      <c r="FE50" s="3370">
        <f>Plantillas!AQ282</f>
        <v>0</v>
      </c>
      <c r="FF50" s="3370">
        <f>Plantillas!AQ283</f>
        <v>0</v>
      </c>
      <c r="FG50" s="3370">
        <f>Plantillas!AQ284</f>
        <v>0</v>
      </c>
      <c r="FH50" s="3370">
        <f>Plantillas!AQ285</f>
        <v>0</v>
      </c>
      <c r="FI50" s="3370">
        <f>Plantillas!AQ286</f>
        <v>0</v>
      </c>
      <c r="FJ50" s="3370">
        <f>Plantillas!AQ287</f>
        <v>0</v>
      </c>
      <c r="FK50" s="3370">
        <f>Plantillas!AQ288</f>
        <v>0</v>
      </c>
      <c r="FL50" s="3370">
        <f>Plantillas!AQ289</f>
        <v>0</v>
      </c>
      <c r="FM50" s="3370">
        <f>Plantillas!AQ290</f>
        <v>0</v>
      </c>
      <c r="FN50" s="3370">
        <f>Plantillas!AQ291</f>
        <v>0</v>
      </c>
      <c r="FO50" s="3370">
        <f>Plantillas!AQ292</f>
        <v>0</v>
      </c>
      <c r="FP50" s="3371">
        <f>Plantillas!AQ293</f>
        <v>0</v>
      </c>
      <c r="FQ50" s="3371">
        <f>Plantillas!AQ294</f>
        <v>0</v>
      </c>
      <c r="FR50" s="3370">
        <f>Plantillas!AQ295</f>
        <v>0</v>
      </c>
      <c r="FS50" s="3377">
        <f>Plantillas!AQ296</f>
        <v>0</v>
      </c>
      <c r="FT50" s="2312"/>
      <c r="FU50" s="2312"/>
      <c r="FV50" s="2312"/>
      <c r="FW50" s="2312"/>
      <c r="FX50" s="2312"/>
      <c r="FY50" s="2312"/>
      <c r="FZ50" s="2312"/>
      <c r="GA50" s="2312"/>
      <c r="GB50" s="2312"/>
      <c r="GC50" s="2321" t="s">
        <v>464</v>
      </c>
      <c r="GD50" s="2390">
        <f>SUM(GD23:GD33)</f>
        <v>15</v>
      </c>
      <c r="GE50" s="2390">
        <f t="shared" ref="GE50:GK50" si="137">SUM(GE23:GE33)</f>
        <v>14</v>
      </c>
      <c r="GF50" s="2390">
        <f t="shared" si="137"/>
        <v>15</v>
      </c>
      <c r="GG50" s="2390">
        <f t="shared" si="137"/>
        <v>15</v>
      </c>
      <c r="GH50" s="2390">
        <f t="shared" si="137"/>
        <v>17</v>
      </c>
      <c r="GI50" s="2390">
        <f t="shared" si="137"/>
        <v>17</v>
      </c>
      <c r="GJ50" s="2390">
        <f t="shared" si="137"/>
        <v>93</v>
      </c>
      <c r="GK50" s="2390">
        <f t="shared" si="137"/>
        <v>2749</v>
      </c>
      <c r="GL50" s="2321" t="s">
        <v>464</v>
      </c>
      <c r="GM50" s="2383">
        <f>COUNTIF(GM23:GM33,"X")</f>
        <v>5</v>
      </c>
      <c r="GN50" s="2383">
        <f t="shared" ref="GN50:HE50" si="138">COUNTIF(GN23:GN33,"X")</f>
        <v>8</v>
      </c>
      <c r="GO50" s="2383">
        <f t="shared" si="138"/>
        <v>7</v>
      </c>
      <c r="GP50" s="2383">
        <f t="shared" si="138"/>
        <v>8</v>
      </c>
      <c r="GQ50" s="2383">
        <f t="shared" si="138"/>
        <v>5</v>
      </c>
      <c r="GR50" s="2383">
        <f t="shared" si="138"/>
        <v>7</v>
      </c>
      <c r="GS50" s="2383">
        <f t="shared" si="138"/>
        <v>3</v>
      </c>
      <c r="GT50" s="2383">
        <f t="shared" si="138"/>
        <v>7</v>
      </c>
      <c r="GU50" s="2383">
        <f t="shared" si="138"/>
        <v>6</v>
      </c>
      <c r="GV50" s="2383">
        <f t="shared" si="138"/>
        <v>6</v>
      </c>
      <c r="GW50" s="2383">
        <f t="shared" si="138"/>
        <v>3</v>
      </c>
      <c r="GX50" s="2383">
        <f t="shared" si="138"/>
        <v>3</v>
      </c>
      <c r="GY50" s="2383">
        <f t="shared" si="138"/>
        <v>4</v>
      </c>
      <c r="GZ50" s="2383">
        <f t="shared" si="138"/>
        <v>1</v>
      </c>
      <c r="HA50" s="2383">
        <f t="shared" si="138"/>
        <v>2</v>
      </c>
      <c r="HB50" s="2383">
        <f t="shared" si="138"/>
        <v>2</v>
      </c>
      <c r="HC50" s="2383">
        <f t="shared" si="138"/>
        <v>0</v>
      </c>
      <c r="HD50" s="2383">
        <f t="shared" si="138"/>
        <v>2</v>
      </c>
      <c r="HE50" s="2383">
        <f t="shared" si="138"/>
        <v>1</v>
      </c>
      <c r="HF50" s="205">
        <f t="shared" ref="HF50" si="139">COUNTIF(HF6:HF16,"X")</f>
        <v>0</v>
      </c>
      <c r="HG50" s="1991">
        <v>26</v>
      </c>
      <c r="HH50" s="2313">
        <f>SUM(HH25:HH35)</f>
        <v>228</v>
      </c>
      <c r="HI50" s="2314">
        <f t="shared" ref="HI50:JT50" si="140">SUM(HI25:HI35)</f>
        <v>225</v>
      </c>
      <c r="HJ50" s="2315">
        <f t="shared" si="140"/>
        <v>255</v>
      </c>
      <c r="HK50" s="2314">
        <f t="shared" si="140"/>
        <v>207</v>
      </c>
      <c r="HL50" s="2315">
        <f t="shared" si="140"/>
        <v>234</v>
      </c>
      <c r="HM50" s="2314">
        <f t="shared" si="140"/>
        <v>214</v>
      </c>
      <c r="HN50" s="2315">
        <f t="shared" si="140"/>
        <v>244</v>
      </c>
      <c r="HO50" s="2314">
        <f t="shared" si="140"/>
        <v>211</v>
      </c>
      <c r="HP50" s="2315">
        <f t="shared" si="140"/>
        <v>268</v>
      </c>
      <c r="HQ50" s="2314">
        <f t="shared" si="140"/>
        <v>238</v>
      </c>
      <c r="HR50" s="2315">
        <f t="shared" si="140"/>
        <v>296</v>
      </c>
      <c r="HS50" s="2316">
        <f t="shared" si="140"/>
        <v>254</v>
      </c>
      <c r="HT50" s="2313">
        <f>SUM(HT25:HT35)</f>
        <v>20</v>
      </c>
      <c r="HU50" s="2314">
        <f>SUM(HU25:HU35)</f>
        <v>19</v>
      </c>
      <c r="HV50" s="2315">
        <f t="shared" si="140"/>
        <v>16</v>
      </c>
      <c r="HW50" s="2314">
        <f t="shared" si="140"/>
        <v>16</v>
      </c>
      <c r="HX50" s="2315">
        <f t="shared" si="140"/>
        <v>20</v>
      </c>
      <c r="HY50" s="2314">
        <f t="shared" si="140"/>
        <v>16</v>
      </c>
      <c r="HZ50" s="2315">
        <f t="shared" si="140"/>
        <v>15</v>
      </c>
      <c r="IA50" s="2314">
        <f t="shared" si="140"/>
        <v>14</v>
      </c>
      <c r="IB50" s="2315">
        <f t="shared" si="140"/>
        <v>13</v>
      </c>
      <c r="IC50" s="2314">
        <f t="shared" si="140"/>
        <v>12</v>
      </c>
      <c r="ID50" s="2315">
        <f t="shared" si="140"/>
        <v>7</v>
      </c>
      <c r="IE50" s="2316">
        <f t="shared" si="140"/>
        <v>13</v>
      </c>
      <c r="IF50" s="2313">
        <f t="shared" si="140"/>
        <v>21</v>
      </c>
      <c r="IG50" s="2314">
        <f t="shared" si="140"/>
        <v>25</v>
      </c>
      <c r="IH50" s="2315">
        <f t="shared" si="140"/>
        <v>34</v>
      </c>
      <c r="II50" s="2314">
        <f t="shared" si="140"/>
        <v>28</v>
      </c>
      <c r="IJ50" s="2315">
        <f t="shared" si="140"/>
        <v>38</v>
      </c>
      <c r="IK50" s="2314">
        <f t="shared" si="140"/>
        <v>28</v>
      </c>
      <c r="IL50" s="2315">
        <f t="shared" si="140"/>
        <v>23</v>
      </c>
      <c r="IM50" s="2314">
        <f t="shared" si="140"/>
        <v>14</v>
      </c>
      <c r="IN50" s="2315">
        <f t="shared" si="140"/>
        <v>30</v>
      </c>
      <c r="IO50" s="2314">
        <f t="shared" si="140"/>
        <v>24</v>
      </c>
      <c r="IP50" s="2315">
        <f t="shared" si="140"/>
        <v>31</v>
      </c>
      <c r="IQ50" s="2316">
        <f t="shared" si="140"/>
        <v>10</v>
      </c>
      <c r="IR50" s="2313">
        <f>SUM(IR25:IR35)</f>
        <v>0</v>
      </c>
      <c r="IS50" s="2314">
        <f t="shared" si="140"/>
        <v>0</v>
      </c>
      <c r="IT50" s="2315">
        <f t="shared" si="140"/>
        <v>0</v>
      </c>
      <c r="IU50" s="2314">
        <f t="shared" si="140"/>
        <v>0</v>
      </c>
      <c r="IV50" s="2315">
        <f t="shared" si="140"/>
        <v>0</v>
      </c>
      <c r="IW50" s="2314">
        <f t="shared" si="140"/>
        <v>0</v>
      </c>
      <c r="IX50" s="2315">
        <f t="shared" si="140"/>
        <v>0</v>
      </c>
      <c r="IY50" s="2314">
        <f t="shared" si="140"/>
        <v>0</v>
      </c>
      <c r="IZ50" s="2315">
        <f t="shared" si="140"/>
        <v>0</v>
      </c>
      <c r="JA50" s="2314">
        <f t="shared" si="140"/>
        <v>0</v>
      </c>
      <c r="JB50" s="2315">
        <f t="shared" si="140"/>
        <v>0</v>
      </c>
      <c r="JC50" s="2316">
        <f t="shared" si="140"/>
        <v>0</v>
      </c>
      <c r="JD50" s="2313">
        <f>SUM(JD25:JD35)</f>
        <v>3</v>
      </c>
      <c r="JE50" s="2314">
        <f t="shared" si="140"/>
        <v>12</v>
      </c>
      <c r="JF50" s="2315">
        <f t="shared" si="140"/>
        <v>0</v>
      </c>
      <c r="JG50" s="2314">
        <f t="shared" si="140"/>
        <v>14</v>
      </c>
      <c r="JH50" s="2315">
        <f t="shared" si="140"/>
        <v>4</v>
      </c>
      <c r="JI50" s="2314">
        <f t="shared" si="140"/>
        <v>11</v>
      </c>
      <c r="JJ50" s="2315">
        <f t="shared" si="140"/>
        <v>4</v>
      </c>
      <c r="JK50" s="2314">
        <f t="shared" si="140"/>
        <v>11</v>
      </c>
      <c r="JL50" s="2315">
        <f t="shared" si="140"/>
        <v>11</v>
      </c>
      <c r="JM50" s="2314">
        <f t="shared" si="140"/>
        <v>6</v>
      </c>
      <c r="JN50" s="2315">
        <f t="shared" si="140"/>
        <v>13</v>
      </c>
      <c r="JO50" s="2408">
        <f t="shared" si="140"/>
        <v>4</v>
      </c>
      <c r="JP50" s="2313">
        <f t="shared" si="140"/>
        <v>0</v>
      </c>
      <c r="JQ50" s="2314">
        <f t="shared" si="140"/>
        <v>0</v>
      </c>
      <c r="JR50" s="2315">
        <f t="shared" si="140"/>
        <v>0</v>
      </c>
      <c r="JS50" s="2314">
        <f t="shared" si="140"/>
        <v>0</v>
      </c>
      <c r="JT50" s="2315">
        <f t="shared" si="140"/>
        <v>0</v>
      </c>
      <c r="JU50" s="2314">
        <f t="shared" ref="JU50:KG50" si="141">SUM(JU25:JU35)</f>
        <v>0</v>
      </c>
      <c r="JV50" s="2315">
        <f t="shared" si="141"/>
        <v>0</v>
      </c>
      <c r="JW50" s="2314">
        <f t="shared" si="141"/>
        <v>0</v>
      </c>
      <c r="JX50" s="2315">
        <f t="shared" si="141"/>
        <v>0</v>
      </c>
      <c r="JY50" s="2314">
        <f t="shared" si="141"/>
        <v>0</v>
      </c>
      <c r="JZ50" s="2315">
        <f t="shared" si="141"/>
        <v>0</v>
      </c>
      <c r="KA50" s="2316">
        <f t="shared" si="141"/>
        <v>0</v>
      </c>
      <c r="KB50" s="2406">
        <f t="shared" si="141"/>
        <v>0</v>
      </c>
      <c r="KC50" s="2407">
        <f t="shared" si="141"/>
        <v>0</v>
      </c>
      <c r="KD50" s="2407">
        <f t="shared" si="141"/>
        <v>0</v>
      </c>
      <c r="KE50" s="2407">
        <f t="shared" si="141"/>
        <v>0</v>
      </c>
      <c r="KF50" s="2407">
        <f t="shared" si="141"/>
        <v>0</v>
      </c>
      <c r="KG50" s="2408">
        <f t="shared" si="141"/>
        <v>0</v>
      </c>
    </row>
    <row r="51" spans="9:294" s="1481" customFormat="1">
      <c r="I51" s="2312">
        <v>8</v>
      </c>
      <c r="J51" s="2160"/>
      <c r="K51" s="2160"/>
      <c r="L51" s="2160"/>
      <c r="M51" s="2160"/>
      <c r="N51" s="2160"/>
      <c r="O51" s="2160"/>
      <c r="P51" s="2160"/>
      <c r="Q51" s="2160"/>
      <c r="R51" s="2160"/>
      <c r="S51" s="2160"/>
      <c r="T51" s="2160"/>
      <c r="U51" s="2160"/>
      <c r="V51" s="2160"/>
      <c r="W51" s="2160"/>
      <c r="X51" s="2160"/>
      <c r="Y51" s="2160"/>
      <c r="Z51" s="2160"/>
      <c r="AA51" s="2160"/>
      <c r="AB51" s="2160"/>
      <c r="AC51" s="2160"/>
      <c r="AD51" s="2160"/>
      <c r="AE51" s="2160"/>
      <c r="AF51" s="2160"/>
      <c r="AG51" s="2160"/>
      <c r="AH51" s="2160"/>
      <c r="AI51" s="2160"/>
      <c r="AJ51" s="2160"/>
      <c r="AK51" s="2160"/>
      <c r="AL51" s="2160"/>
      <c r="AM51" s="108"/>
      <c r="AN51" s="108"/>
      <c r="AO51" s="108"/>
      <c r="AP51" s="108"/>
      <c r="AQ51" s="108"/>
      <c r="AR51" s="108"/>
      <c r="AS51" s="108"/>
      <c r="AT51" s="108"/>
      <c r="AU51" s="108"/>
      <c r="AV51" s="108"/>
      <c r="AW51" s="2787"/>
      <c r="AX51" s="779">
        <v>8</v>
      </c>
      <c r="AY51" s="3370">
        <f>Plantillas!AL317</f>
        <v>0</v>
      </c>
      <c r="AZ51" s="3370">
        <f>Plantillas!AL318</f>
        <v>0</v>
      </c>
      <c r="BA51" s="3370">
        <f>Plantillas!AL319</f>
        <v>0</v>
      </c>
      <c r="BB51" s="3370">
        <f>Plantillas!AL320</f>
        <v>0</v>
      </c>
      <c r="BC51" s="3370">
        <f>Plantillas!AL321</f>
        <v>0</v>
      </c>
      <c r="BD51" s="3370">
        <f>Plantillas!AL322</f>
        <v>0</v>
      </c>
      <c r="BE51" s="3370">
        <f>Plantillas!AL323</f>
        <v>0</v>
      </c>
      <c r="BF51" s="3370">
        <f>Plantillas!AL324</f>
        <v>0</v>
      </c>
      <c r="BG51" s="3370">
        <f>Plantillas!AL325</f>
        <v>0</v>
      </c>
      <c r="BH51" s="3370">
        <f>Plantillas!AL326</f>
        <v>0</v>
      </c>
      <c r="BI51" s="3370">
        <f>Plantillas!AL327</f>
        <v>0</v>
      </c>
      <c r="BJ51" s="3370">
        <f>Plantillas!AL328</f>
        <v>0</v>
      </c>
      <c r="BK51" s="3370">
        <f>Plantillas!AL329</f>
        <v>0</v>
      </c>
      <c r="BL51" s="3370">
        <f>Plantillas!AL330</f>
        <v>0</v>
      </c>
      <c r="BM51" s="3370">
        <f>Plantillas!AL331</f>
        <v>0</v>
      </c>
      <c r="BN51" s="3370">
        <f>Plantillas!AL332</f>
        <v>0</v>
      </c>
      <c r="BO51" s="3371">
        <f>Plantillas!AL333</f>
        <v>0</v>
      </c>
      <c r="BP51" s="3371">
        <f>Plantillas!AL334</f>
        <v>0</v>
      </c>
      <c r="BQ51" s="3370">
        <f>Plantillas!AL335</f>
        <v>0</v>
      </c>
      <c r="BR51" s="3377">
        <f>Plantillas!AL336</f>
        <v>0</v>
      </c>
      <c r="BS51" s="779">
        <v>8</v>
      </c>
      <c r="BT51" s="3370">
        <f>Plantillas!AM317</f>
        <v>7.8</v>
      </c>
      <c r="BU51" s="3370">
        <f>Plantillas!AM318</f>
        <v>7.6</v>
      </c>
      <c r="BV51" s="3370">
        <f>Plantillas!AM319</f>
        <v>0</v>
      </c>
      <c r="BW51" s="3370">
        <f>Plantillas!AM320</f>
        <v>0</v>
      </c>
      <c r="BX51" s="3370">
        <f>Plantillas!AM321</f>
        <v>0</v>
      </c>
      <c r="BY51" s="3370">
        <f>Plantillas!AM322</f>
        <v>0</v>
      </c>
      <c r="BZ51" s="3370">
        <f>Plantillas!AM323</f>
        <v>0</v>
      </c>
      <c r="CA51" s="3370">
        <f>Plantillas!AM324</f>
        <v>0</v>
      </c>
      <c r="CB51" s="3370">
        <f>Plantillas!AM325</f>
        <v>0</v>
      </c>
      <c r="CC51" s="3370">
        <f>Plantillas!AM326</f>
        <v>0</v>
      </c>
      <c r="CD51" s="3370">
        <f>Plantillas!AM327</f>
        <v>0</v>
      </c>
      <c r="CE51" s="3370">
        <f>Plantillas!AM328</f>
        <v>0</v>
      </c>
      <c r="CF51" s="3370">
        <f>Plantillas!AM329</f>
        <v>0</v>
      </c>
      <c r="CG51" s="3370">
        <f>Plantillas!AM330</f>
        <v>0</v>
      </c>
      <c r="CH51" s="3370">
        <f>Plantillas!AM331</f>
        <v>0</v>
      </c>
      <c r="CI51" s="3370">
        <f>Plantillas!AM332</f>
        <v>0</v>
      </c>
      <c r="CJ51" s="3371">
        <f>Plantillas!AM333</f>
        <v>0</v>
      </c>
      <c r="CK51" s="3371">
        <f>Plantillas!AM334</f>
        <v>0</v>
      </c>
      <c r="CL51" s="3370">
        <f>Plantillas!AM335</f>
        <v>0</v>
      </c>
      <c r="CM51" s="3377">
        <f>Plantillas!AM336</f>
        <v>0</v>
      </c>
      <c r="CN51" s="779">
        <v>8</v>
      </c>
      <c r="CO51" s="3370">
        <f>Plantillas!AN317</f>
        <v>0</v>
      </c>
      <c r="CP51" s="3370">
        <f>Plantillas!AN318</f>
        <v>0</v>
      </c>
      <c r="CQ51" s="3370">
        <f>Plantillas!AN319</f>
        <v>0</v>
      </c>
      <c r="CR51" s="3370">
        <f>Plantillas!AN320</f>
        <v>0</v>
      </c>
      <c r="CS51" s="3370">
        <f>Plantillas!AN321</f>
        <v>0</v>
      </c>
      <c r="CT51" s="3370">
        <f>Plantillas!AN322</f>
        <v>0</v>
      </c>
      <c r="CU51" s="3370">
        <f>Plantillas!AN323</f>
        <v>0</v>
      </c>
      <c r="CV51" s="3370">
        <f>Plantillas!AN324</f>
        <v>0</v>
      </c>
      <c r="CW51" s="3370">
        <f>Plantillas!AN325</f>
        <v>0</v>
      </c>
      <c r="CX51" s="3370">
        <f>Plantillas!AN326</f>
        <v>0</v>
      </c>
      <c r="CY51" s="3370">
        <f>Plantillas!AN327</f>
        <v>0</v>
      </c>
      <c r="CZ51" s="3370">
        <f>Plantillas!AN328</f>
        <v>0</v>
      </c>
      <c r="DA51" s="3370">
        <f>Plantillas!AN329</f>
        <v>0</v>
      </c>
      <c r="DB51" s="3370">
        <f>Plantillas!AN330</f>
        <v>0</v>
      </c>
      <c r="DC51" s="3370">
        <f>Plantillas!AN331</f>
        <v>0</v>
      </c>
      <c r="DD51" s="3370">
        <f>Plantillas!AN332</f>
        <v>0</v>
      </c>
      <c r="DE51" s="3371">
        <f>Plantillas!AN333</f>
        <v>0</v>
      </c>
      <c r="DF51" s="3371">
        <f>Plantillas!AN334</f>
        <v>0</v>
      </c>
      <c r="DG51" s="3370">
        <f>Plantillas!AN335</f>
        <v>0</v>
      </c>
      <c r="DH51" s="3377">
        <f>Plantillas!AN336</f>
        <v>0</v>
      </c>
      <c r="DI51" s="779">
        <v>8</v>
      </c>
      <c r="DJ51" s="3370">
        <f>Plantillas!AO317</f>
        <v>0</v>
      </c>
      <c r="DK51" s="3370">
        <f>Plantillas!AO318</f>
        <v>0</v>
      </c>
      <c r="DL51" s="3370">
        <f>Plantillas!AO319</f>
        <v>0</v>
      </c>
      <c r="DM51" s="3370">
        <f>Plantillas!AO320</f>
        <v>0</v>
      </c>
      <c r="DN51" s="3370">
        <f>Plantillas!AO321</f>
        <v>0</v>
      </c>
      <c r="DO51" s="3370">
        <f>Plantillas!AO322</f>
        <v>0</v>
      </c>
      <c r="DP51" s="3370">
        <f>Plantillas!AO323</f>
        <v>0</v>
      </c>
      <c r="DQ51" s="3370">
        <f>Plantillas!AO324</f>
        <v>0</v>
      </c>
      <c r="DR51" s="3370">
        <f>Plantillas!AO325</f>
        <v>0</v>
      </c>
      <c r="DS51" s="3370">
        <f>Plantillas!AO326</f>
        <v>0</v>
      </c>
      <c r="DT51" s="3370">
        <f>Plantillas!AO327</f>
        <v>0</v>
      </c>
      <c r="DU51" s="3370">
        <f>Plantillas!AO328</f>
        <v>0</v>
      </c>
      <c r="DV51" s="3370">
        <f>Plantillas!AO329</f>
        <v>0</v>
      </c>
      <c r="DW51" s="3370">
        <f>Plantillas!AO330</f>
        <v>0</v>
      </c>
      <c r="DX51" s="3370">
        <f>Plantillas!AO331</f>
        <v>0</v>
      </c>
      <c r="DY51" s="3370">
        <f>Plantillas!AO332</f>
        <v>0</v>
      </c>
      <c r="DZ51" s="3371">
        <f>Plantillas!AO333</f>
        <v>0</v>
      </c>
      <c r="EA51" s="3371">
        <f>Plantillas!AO334</f>
        <v>0</v>
      </c>
      <c r="EB51" s="3370">
        <f>Plantillas!AO335</f>
        <v>0</v>
      </c>
      <c r="EC51" s="3377">
        <f>Plantillas!AO336</f>
        <v>0</v>
      </c>
      <c r="ED51" s="779">
        <v>8</v>
      </c>
      <c r="EE51" s="3370">
        <f>Plantillas!AP317</f>
        <v>0</v>
      </c>
      <c r="EF51" s="3370">
        <f>Plantillas!AP318</f>
        <v>0</v>
      </c>
      <c r="EG51" s="3370">
        <f>Plantillas!AP319</f>
        <v>0</v>
      </c>
      <c r="EH51" s="3370">
        <f>Plantillas!AP320</f>
        <v>0</v>
      </c>
      <c r="EI51" s="3370">
        <f>Plantillas!AP321</f>
        <v>0</v>
      </c>
      <c r="EJ51" s="3370">
        <f>Plantillas!AP322</f>
        <v>0</v>
      </c>
      <c r="EK51" s="3370">
        <f>Plantillas!AP323</f>
        <v>0</v>
      </c>
      <c r="EL51" s="3370">
        <f>Plantillas!AP324</f>
        <v>0</v>
      </c>
      <c r="EM51" s="3370">
        <f>Plantillas!AP325</f>
        <v>0</v>
      </c>
      <c r="EN51" s="3370">
        <f>Plantillas!AP326</f>
        <v>0</v>
      </c>
      <c r="EO51" s="3370">
        <f>Plantillas!AP327</f>
        <v>0</v>
      </c>
      <c r="EP51" s="3370">
        <f>Plantillas!AP328</f>
        <v>0</v>
      </c>
      <c r="EQ51" s="3370">
        <f>Plantillas!AP329</f>
        <v>0</v>
      </c>
      <c r="ER51" s="3370">
        <f>Plantillas!AP330</f>
        <v>0</v>
      </c>
      <c r="ES51" s="3370">
        <f>Plantillas!AP331</f>
        <v>0</v>
      </c>
      <c r="ET51" s="3370">
        <f>Plantillas!AP332</f>
        <v>0</v>
      </c>
      <c r="EU51" s="3371">
        <f>Plantillas!AP333</f>
        <v>0</v>
      </c>
      <c r="EV51" s="3371">
        <f>Plantillas!AP334</f>
        <v>0</v>
      </c>
      <c r="EW51" s="3370">
        <f>Plantillas!AP335</f>
        <v>0</v>
      </c>
      <c r="EX51" s="3377">
        <f>Plantillas!AP336</f>
        <v>0</v>
      </c>
      <c r="EY51" s="779">
        <v>8</v>
      </c>
      <c r="EZ51" s="3370">
        <f>Plantillas!AQ317</f>
        <v>0</v>
      </c>
      <c r="FA51" s="3370">
        <f>Plantillas!AQ318</f>
        <v>0</v>
      </c>
      <c r="FB51" s="3370">
        <f>Plantillas!AQ319</f>
        <v>0</v>
      </c>
      <c r="FC51" s="3370">
        <f>Plantillas!AQ320</f>
        <v>0</v>
      </c>
      <c r="FD51" s="3370">
        <f>Plantillas!AQ321</f>
        <v>0</v>
      </c>
      <c r="FE51" s="3370">
        <f>Plantillas!AQ322</f>
        <v>0</v>
      </c>
      <c r="FF51" s="3370">
        <f>Plantillas!AQ323</f>
        <v>0</v>
      </c>
      <c r="FG51" s="3370">
        <f>Plantillas!AQ324</f>
        <v>0</v>
      </c>
      <c r="FH51" s="3370">
        <f>Plantillas!AQ325</f>
        <v>0</v>
      </c>
      <c r="FI51" s="3370">
        <f>Plantillas!AQ326</f>
        <v>0</v>
      </c>
      <c r="FJ51" s="3370">
        <f>Plantillas!AQ327</f>
        <v>0</v>
      </c>
      <c r="FK51" s="3370">
        <f>Plantillas!AQ328</f>
        <v>0</v>
      </c>
      <c r="FL51" s="3370">
        <f>Plantillas!AQ329</f>
        <v>0</v>
      </c>
      <c r="FM51" s="3370">
        <f>Plantillas!AQ330</f>
        <v>0</v>
      </c>
      <c r="FN51" s="3370">
        <f>Plantillas!AQ331</f>
        <v>0</v>
      </c>
      <c r="FO51" s="3370">
        <f>Plantillas!AQ332</f>
        <v>0</v>
      </c>
      <c r="FP51" s="3371">
        <f>Plantillas!AQ333</f>
        <v>0</v>
      </c>
      <c r="FQ51" s="3371">
        <f>Plantillas!AQ334</f>
        <v>0</v>
      </c>
      <c r="FR51" s="3370">
        <f>Plantillas!AQ335</f>
        <v>0</v>
      </c>
      <c r="FS51" s="3377">
        <f>Plantillas!AQ336</f>
        <v>0</v>
      </c>
      <c r="FT51" s="2312"/>
      <c r="FU51" s="2312"/>
      <c r="FV51" s="2312"/>
      <c r="FW51" s="2312"/>
      <c r="FX51" s="2312"/>
      <c r="FY51" s="2312"/>
      <c r="FZ51" s="2312"/>
      <c r="GA51" s="2312"/>
      <c r="GB51" s="2312"/>
      <c r="GC51" s="2320" t="s">
        <v>470</v>
      </c>
      <c r="GD51" s="2391">
        <f>SUM(GD34:GD38)</f>
        <v>6</v>
      </c>
      <c r="GE51" s="2391">
        <f t="shared" ref="GE51:GK51" si="142">SUM(GE34:GE38)</f>
        <v>3</v>
      </c>
      <c r="GF51" s="2391">
        <f t="shared" si="142"/>
        <v>6</v>
      </c>
      <c r="GG51" s="2391">
        <f t="shared" si="142"/>
        <v>3</v>
      </c>
      <c r="GH51" s="2391">
        <f t="shared" si="142"/>
        <v>5</v>
      </c>
      <c r="GI51" s="2391">
        <f t="shared" si="142"/>
        <v>2</v>
      </c>
      <c r="GJ51" s="2391">
        <f t="shared" si="142"/>
        <v>25</v>
      </c>
      <c r="GK51" s="2391">
        <f t="shared" si="142"/>
        <v>484</v>
      </c>
      <c r="GL51" s="2320" t="s">
        <v>470</v>
      </c>
      <c r="GM51" s="2386">
        <f>COUNTIF(GM34:GM38,"X")</f>
        <v>4</v>
      </c>
      <c r="GN51" s="2386">
        <f t="shared" ref="GN51:HE51" si="143">COUNTIF(GN34:GN38,"X")</f>
        <v>2</v>
      </c>
      <c r="GO51" s="2386">
        <f t="shared" si="143"/>
        <v>1</v>
      </c>
      <c r="GP51" s="2386">
        <f t="shared" si="143"/>
        <v>4</v>
      </c>
      <c r="GQ51" s="2386">
        <f t="shared" si="143"/>
        <v>3</v>
      </c>
      <c r="GR51" s="2386">
        <f t="shared" si="143"/>
        <v>3</v>
      </c>
      <c r="GS51" s="2386">
        <f t="shared" si="143"/>
        <v>3</v>
      </c>
      <c r="GT51" s="2386">
        <f t="shared" si="143"/>
        <v>3</v>
      </c>
      <c r="GU51" s="2386">
        <f t="shared" si="143"/>
        <v>3</v>
      </c>
      <c r="GV51" s="2386">
        <f t="shared" si="143"/>
        <v>2</v>
      </c>
      <c r="GW51" s="2386">
        <f t="shared" si="143"/>
        <v>2</v>
      </c>
      <c r="GX51" s="2386">
        <f t="shared" si="143"/>
        <v>2</v>
      </c>
      <c r="GY51" s="2386">
        <f t="shared" si="143"/>
        <v>2</v>
      </c>
      <c r="GZ51" s="2386">
        <f t="shared" si="143"/>
        <v>1</v>
      </c>
      <c r="HA51" s="2386">
        <f t="shared" si="143"/>
        <v>1</v>
      </c>
      <c r="HB51" s="2386">
        <f t="shared" si="143"/>
        <v>1</v>
      </c>
      <c r="HC51" s="2386">
        <f t="shared" si="143"/>
        <v>0</v>
      </c>
      <c r="HD51" s="2386">
        <f t="shared" si="143"/>
        <v>0</v>
      </c>
      <c r="HE51" s="2386">
        <f t="shared" si="143"/>
        <v>0</v>
      </c>
      <c r="HF51" s="2387"/>
      <c r="HG51" s="778">
        <v>27</v>
      </c>
      <c r="HH51" s="2313">
        <f>SUM(HH36:HH40)</f>
        <v>50</v>
      </c>
      <c r="HI51" s="2314">
        <f t="shared" ref="HI51:JT51" si="144">SUM(HI36:HI40)</f>
        <v>38</v>
      </c>
      <c r="HJ51" s="2315">
        <f t="shared" si="144"/>
        <v>47</v>
      </c>
      <c r="HK51" s="2314">
        <f t="shared" si="144"/>
        <v>33</v>
      </c>
      <c r="HL51" s="2315">
        <f t="shared" si="144"/>
        <v>39</v>
      </c>
      <c r="HM51" s="2314">
        <f t="shared" si="144"/>
        <v>39</v>
      </c>
      <c r="HN51" s="2315">
        <f t="shared" si="144"/>
        <v>40</v>
      </c>
      <c r="HO51" s="2314">
        <f t="shared" si="144"/>
        <v>30</v>
      </c>
      <c r="HP51" s="2315">
        <f t="shared" si="144"/>
        <v>45</v>
      </c>
      <c r="HQ51" s="2314">
        <f t="shared" si="144"/>
        <v>36</v>
      </c>
      <c r="HR51" s="2315">
        <f t="shared" si="144"/>
        <v>27</v>
      </c>
      <c r="HS51" s="2316">
        <f t="shared" si="144"/>
        <v>22</v>
      </c>
      <c r="HT51" s="2313">
        <f>SUM(HT36:HT40)</f>
        <v>3</v>
      </c>
      <c r="HU51" s="2314">
        <f>SUM(HU36:HU40)</f>
        <v>5</v>
      </c>
      <c r="HV51" s="2315">
        <f t="shared" si="144"/>
        <v>6</v>
      </c>
      <c r="HW51" s="2314">
        <f t="shared" si="144"/>
        <v>8</v>
      </c>
      <c r="HX51" s="2315">
        <f t="shared" si="144"/>
        <v>2</v>
      </c>
      <c r="HY51" s="2314">
        <f t="shared" si="144"/>
        <v>8</v>
      </c>
      <c r="HZ51" s="2315">
        <f t="shared" si="144"/>
        <v>7</v>
      </c>
      <c r="IA51" s="2314">
        <f t="shared" si="144"/>
        <v>1</v>
      </c>
      <c r="IB51" s="2315">
        <f t="shared" si="144"/>
        <v>4</v>
      </c>
      <c r="IC51" s="2314">
        <f t="shared" si="144"/>
        <v>6</v>
      </c>
      <c r="ID51" s="2315">
        <f>SUM(ID36:ID40)</f>
        <v>8</v>
      </c>
      <c r="IE51" s="2316">
        <f t="shared" si="144"/>
        <v>4</v>
      </c>
      <c r="IF51" s="2313">
        <f t="shared" si="144"/>
        <v>4</v>
      </c>
      <c r="IG51" s="2314">
        <f t="shared" si="144"/>
        <v>1</v>
      </c>
      <c r="IH51" s="2315">
        <f t="shared" si="144"/>
        <v>3</v>
      </c>
      <c r="II51" s="2314">
        <f t="shared" si="144"/>
        <v>3</v>
      </c>
      <c r="IJ51" s="2315">
        <f t="shared" si="144"/>
        <v>0</v>
      </c>
      <c r="IK51" s="2314">
        <f t="shared" si="144"/>
        <v>2</v>
      </c>
      <c r="IL51" s="2315">
        <f t="shared" si="144"/>
        <v>4</v>
      </c>
      <c r="IM51" s="2314">
        <f t="shared" si="144"/>
        <v>1</v>
      </c>
      <c r="IN51" s="2315">
        <f t="shared" si="144"/>
        <v>3</v>
      </c>
      <c r="IO51" s="2314">
        <f t="shared" si="144"/>
        <v>2</v>
      </c>
      <c r="IP51" s="2315">
        <f t="shared" si="144"/>
        <v>1</v>
      </c>
      <c r="IQ51" s="2316">
        <f t="shared" si="144"/>
        <v>0</v>
      </c>
      <c r="IR51" s="2313">
        <f t="shared" si="144"/>
        <v>0</v>
      </c>
      <c r="IS51" s="2314">
        <f t="shared" si="144"/>
        <v>0</v>
      </c>
      <c r="IT51" s="2315">
        <f t="shared" si="144"/>
        <v>0</v>
      </c>
      <c r="IU51" s="2314">
        <f t="shared" si="144"/>
        <v>0</v>
      </c>
      <c r="IV51" s="2315">
        <f t="shared" si="144"/>
        <v>0</v>
      </c>
      <c r="IW51" s="2314">
        <f t="shared" si="144"/>
        <v>0</v>
      </c>
      <c r="IX51" s="2315">
        <f t="shared" si="144"/>
        <v>0</v>
      </c>
      <c r="IY51" s="2314">
        <f t="shared" si="144"/>
        <v>0</v>
      </c>
      <c r="IZ51" s="2315">
        <f t="shared" si="144"/>
        <v>0</v>
      </c>
      <c r="JA51" s="2314">
        <f t="shared" si="144"/>
        <v>0</v>
      </c>
      <c r="JB51" s="2315">
        <f t="shared" si="144"/>
        <v>0</v>
      </c>
      <c r="JC51" s="2316">
        <f t="shared" si="144"/>
        <v>0</v>
      </c>
      <c r="JD51" s="2313">
        <f t="shared" si="144"/>
        <v>0</v>
      </c>
      <c r="JE51" s="2314">
        <f t="shared" si="144"/>
        <v>6</v>
      </c>
      <c r="JF51" s="2315">
        <f t="shared" si="144"/>
        <v>0</v>
      </c>
      <c r="JG51" s="2314">
        <f t="shared" si="144"/>
        <v>3</v>
      </c>
      <c r="JH51" s="2315">
        <f t="shared" si="144"/>
        <v>1</v>
      </c>
      <c r="JI51" s="2314">
        <f t="shared" si="144"/>
        <v>5</v>
      </c>
      <c r="JJ51" s="2315">
        <f t="shared" si="144"/>
        <v>0</v>
      </c>
      <c r="JK51" s="2314">
        <f t="shared" si="144"/>
        <v>3</v>
      </c>
      <c r="JL51" s="2315">
        <f t="shared" si="144"/>
        <v>2</v>
      </c>
      <c r="JM51" s="2314">
        <f t="shared" si="144"/>
        <v>3</v>
      </c>
      <c r="JN51" s="2315">
        <f t="shared" si="144"/>
        <v>0</v>
      </c>
      <c r="JO51" s="2408">
        <f t="shared" si="144"/>
        <v>2</v>
      </c>
      <c r="JP51" s="2313">
        <f t="shared" si="144"/>
        <v>0</v>
      </c>
      <c r="JQ51" s="2314">
        <f t="shared" si="144"/>
        <v>0</v>
      </c>
      <c r="JR51" s="2315">
        <f t="shared" si="144"/>
        <v>0</v>
      </c>
      <c r="JS51" s="2314">
        <f t="shared" si="144"/>
        <v>0</v>
      </c>
      <c r="JT51" s="2315">
        <f t="shared" si="144"/>
        <v>0</v>
      </c>
      <c r="JU51" s="2314">
        <f t="shared" ref="JU51:KG51" si="145">SUM(JU36:JU40)</f>
        <v>0</v>
      </c>
      <c r="JV51" s="2315">
        <f t="shared" si="145"/>
        <v>0</v>
      </c>
      <c r="JW51" s="2314">
        <f t="shared" si="145"/>
        <v>0</v>
      </c>
      <c r="JX51" s="2315">
        <f t="shared" si="145"/>
        <v>0</v>
      </c>
      <c r="JY51" s="2314">
        <f t="shared" si="145"/>
        <v>0</v>
      </c>
      <c r="JZ51" s="2315">
        <f t="shared" si="145"/>
        <v>0</v>
      </c>
      <c r="KA51" s="2316">
        <f t="shared" si="145"/>
        <v>0</v>
      </c>
      <c r="KB51" s="2406">
        <f t="shared" si="145"/>
        <v>0</v>
      </c>
      <c r="KC51" s="2407">
        <f t="shared" si="145"/>
        <v>0</v>
      </c>
      <c r="KD51" s="2407">
        <f t="shared" si="145"/>
        <v>0</v>
      </c>
      <c r="KE51" s="2407">
        <f t="shared" si="145"/>
        <v>0</v>
      </c>
      <c r="KF51" s="2407">
        <f t="shared" si="145"/>
        <v>0</v>
      </c>
      <c r="KG51" s="2408">
        <f t="shared" si="145"/>
        <v>0</v>
      </c>
    </row>
    <row r="52" spans="9:294" s="1481" customFormat="1">
      <c r="I52" s="2312">
        <v>9</v>
      </c>
      <c r="J52" s="2160"/>
      <c r="K52" s="2160"/>
      <c r="L52" s="2160"/>
      <c r="M52" s="2160"/>
      <c r="N52" s="2160"/>
      <c r="O52" s="2160"/>
      <c r="P52" s="2160"/>
      <c r="Q52" s="2160"/>
      <c r="R52" s="2160"/>
      <c r="S52" s="2160"/>
      <c r="T52" s="2160"/>
      <c r="U52" s="2160"/>
      <c r="V52" s="2160"/>
      <c r="W52" s="2160"/>
      <c r="X52" s="2160"/>
      <c r="Y52" s="2160"/>
      <c r="Z52" s="2160"/>
      <c r="AA52" s="2160"/>
      <c r="AB52" s="2160"/>
      <c r="AC52" s="2160"/>
      <c r="AD52" s="2160"/>
      <c r="AE52" s="2160"/>
      <c r="AF52" s="2160"/>
      <c r="AG52" s="2160"/>
      <c r="AH52" s="2160"/>
      <c r="AI52" s="2160"/>
      <c r="AJ52" s="2160"/>
      <c r="AK52" s="2160"/>
      <c r="AL52" s="2160"/>
      <c r="AM52" s="108"/>
      <c r="AN52" s="108"/>
      <c r="AO52" s="108"/>
      <c r="AP52" s="108"/>
      <c r="AQ52" s="108"/>
      <c r="AR52" s="108"/>
      <c r="AS52" s="108"/>
      <c r="AT52" s="108"/>
      <c r="AU52" s="108"/>
      <c r="AV52" s="108"/>
      <c r="AW52" s="2787"/>
      <c r="AX52" s="779">
        <v>9</v>
      </c>
      <c r="AY52" s="3370">
        <f>Plantillas!AL357</f>
        <v>0</v>
      </c>
      <c r="AZ52" s="3370">
        <f>Plantillas!AL358</f>
        <v>0</v>
      </c>
      <c r="BA52" s="3370">
        <f>Plantillas!AL359</f>
        <v>0</v>
      </c>
      <c r="BB52" s="3370">
        <f>Plantillas!AL360</f>
        <v>0</v>
      </c>
      <c r="BC52" s="3370">
        <f>Plantillas!AL361</f>
        <v>0</v>
      </c>
      <c r="BD52" s="3370">
        <f>Plantillas!AL362</f>
        <v>0</v>
      </c>
      <c r="BE52" s="3370">
        <f>Plantillas!AL363</f>
        <v>0</v>
      </c>
      <c r="BF52" s="3370">
        <f>Plantillas!AL364</f>
        <v>0</v>
      </c>
      <c r="BG52" s="3370">
        <f>Plantillas!AL365</f>
        <v>0</v>
      </c>
      <c r="BH52" s="3370">
        <f>Plantillas!AL366</f>
        <v>0</v>
      </c>
      <c r="BI52" s="3370">
        <f>Plantillas!AL367</f>
        <v>0</v>
      </c>
      <c r="BJ52" s="3370">
        <f>Plantillas!AL368</f>
        <v>0</v>
      </c>
      <c r="BK52" s="3370">
        <f>Plantillas!AL369</f>
        <v>0</v>
      </c>
      <c r="BL52" s="3370">
        <f>Plantillas!AL370</f>
        <v>0</v>
      </c>
      <c r="BM52" s="3370">
        <f>Plantillas!AL371</f>
        <v>0</v>
      </c>
      <c r="BN52" s="3370">
        <f>Plantillas!AL372</f>
        <v>0</v>
      </c>
      <c r="BO52" s="3371">
        <f>Plantillas!AL373</f>
        <v>0</v>
      </c>
      <c r="BP52" s="3371">
        <f>Plantillas!AL374</f>
        <v>0</v>
      </c>
      <c r="BQ52" s="3370">
        <f>Plantillas!AL375</f>
        <v>0</v>
      </c>
      <c r="BR52" s="3377">
        <f>Plantillas!AL376</f>
        <v>0</v>
      </c>
      <c r="BS52" s="779">
        <v>9</v>
      </c>
      <c r="BT52" s="3370">
        <f>Plantillas!AM357</f>
        <v>0</v>
      </c>
      <c r="BU52" s="3370">
        <f>Plantillas!AM358</f>
        <v>7.1</v>
      </c>
      <c r="BV52" s="3370">
        <f>Plantillas!AM359</f>
        <v>8</v>
      </c>
      <c r="BW52" s="3370">
        <f>Plantillas!AM360</f>
        <v>6.69</v>
      </c>
      <c r="BX52" s="3370">
        <f>Plantillas!AM361</f>
        <v>6.4</v>
      </c>
      <c r="BY52" s="3370">
        <f>Plantillas!AM362</f>
        <v>6.8</v>
      </c>
      <c r="BZ52" s="3370">
        <f>Plantillas!AM363</f>
        <v>6.9</v>
      </c>
      <c r="CA52" s="3370">
        <f>Plantillas!AM364</f>
        <v>7.1</v>
      </c>
      <c r="CB52" s="3370">
        <f>Plantillas!AM365</f>
        <v>6</v>
      </c>
      <c r="CC52" s="3370">
        <f>Plantillas!AM366</f>
        <v>7.2</v>
      </c>
      <c r="CD52" s="3370">
        <f>Plantillas!AM367</f>
        <v>6.4</v>
      </c>
      <c r="CE52" s="3370">
        <f>Plantillas!AM368</f>
        <v>6.2</v>
      </c>
      <c r="CF52" s="3370">
        <f>Plantillas!AM369</f>
        <v>6.5</v>
      </c>
      <c r="CG52" s="3370">
        <f>Plantillas!AM370</f>
        <v>0</v>
      </c>
      <c r="CH52" s="3370">
        <f>Plantillas!AM371</f>
        <v>0</v>
      </c>
      <c r="CI52" s="3370">
        <f>Plantillas!AM372</f>
        <v>0</v>
      </c>
      <c r="CJ52" s="3371">
        <f>Plantillas!AM373</f>
        <v>0</v>
      </c>
      <c r="CK52" s="3371">
        <f>Plantillas!AM374</f>
        <v>0</v>
      </c>
      <c r="CL52" s="3370">
        <f>Plantillas!AM375</f>
        <v>0</v>
      </c>
      <c r="CM52" s="3377">
        <f>Plantillas!AM376</f>
        <v>0</v>
      </c>
      <c r="CN52" s="779">
        <v>9</v>
      </c>
      <c r="CO52" s="3370">
        <f>Plantillas!AN357</f>
        <v>0</v>
      </c>
      <c r="CP52" s="3370">
        <f>Plantillas!AN358</f>
        <v>0</v>
      </c>
      <c r="CQ52" s="3370">
        <f>Plantillas!AN359</f>
        <v>0</v>
      </c>
      <c r="CR52" s="3370">
        <f>Plantillas!AN360</f>
        <v>0</v>
      </c>
      <c r="CS52" s="3370">
        <f>Plantillas!AN361</f>
        <v>0</v>
      </c>
      <c r="CT52" s="3370">
        <f>Plantillas!AN362</f>
        <v>0</v>
      </c>
      <c r="CU52" s="3370">
        <f>Plantillas!AN363</f>
        <v>0</v>
      </c>
      <c r="CV52" s="3370">
        <f>Plantillas!AN364</f>
        <v>0</v>
      </c>
      <c r="CW52" s="3370">
        <f>Plantillas!AN365</f>
        <v>0</v>
      </c>
      <c r="CX52" s="3370">
        <f>Plantillas!AN366</f>
        <v>0</v>
      </c>
      <c r="CY52" s="3370">
        <f>Plantillas!AN367</f>
        <v>0</v>
      </c>
      <c r="CZ52" s="3370">
        <f>Plantillas!AN368</f>
        <v>0</v>
      </c>
      <c r="DA52" s="3370">
        <f>Plantillas!AN369</f>
        <v>0</v>
      </c>
      <c r="DB52" s="3370">
        <f>Plantillas!AN370</f>
        <v>0</v>
      </c>
      <c r="DC52" s="3370">
        <f>Plantillas!AN371</f>
        <v>0</v>
      </c>
      <c r="DD52" s="3370">
        <f>Plantillas!AN372</f>
        <v>0</v>
      </c>
      <c r="DE52" s="3371">
        <f>Plantillas!AN373</f>
        <v>0</v>
      </c>
      <c r="DF52" s="3371">
        <f>Plantillas!AN374</f>
        <v>0</v>
      </c>
      <c r="DG52" s="3370">
        <f>Plantillas!AN375</f>
        <v>0</v>
      </c>
      <c r="DH52" s="3377">
        <f>Plantillas!AN376</f>
        <v>0</v>
      </c>
      <c r="DI52" s="779">
        <v>9</v>
      </c>
      <c r="DJ52" s="3370">
        <f>Plantillas!AO357</f>
        <v>0</v>
      </c>
      <c r="DK52" s="3370">
        <f>Plantillas!AO358</f>
        <v>0</v>
      </c>
      <c r="DL52" s="3370">
        <f>Plantillas!AO359</f>
        <v>0</v>
      </c>
      <c r="DM52" s="3370">
        <f>Plantillas!AO360</f>
        <v>0</v>
      </c>
      <c r="DN52" s="3370">
        <f>Plantillas!AO361</f>
        <v>0</v>
      </c>
      <c r="DO52" s="3370">
        <f>Plantillas!AO362</f>
        <v>0</v>
      </c>
      <c r="DP52" s="3370">
        <f>Plantillas!AO363</f>
        <v>0</v>
      </c>
      <c r="DQ52" s="3370">
        <f>Plantillas!AO364</f>
        <v>0</v>
      </c>
      <c r="DR52" s="3370">
        <f>Plantillas!AO365</f>
        <v>0</v>
      </c>
      <c r="DS52" s="3370">
        <f>Plantillas!AO366</f>
        <v>0</v>
      </c>
      <c r="DT52" s="3370">
        <f>Plantillas!AO367</f>
        <v>0</v>
      </c>
      <c r="DU52" s="3370">
        <f>Plantillas!AO368</f>
        <v>0</v>
      </c>
      <c r="DV52" s="3370">
        <f>Plantillas!AO369</f>
        <v>0</v>
      </c>
      <c r="DW52" s="3370">
        <f>Plantillas!AO370</f>
        <v>0</v>
      </c>
      <c r="DX52" s="3370">
        <f>Plantillas!AO371</f>
        <v>0</v>
      </c>
      <c r="DY52" s="3370">
        <f>Plantillas!AO372</f>
        <v>0</v>
      </c>
      <c r="DZ52" s="3371">
        <f>Plantillas!AO373</f>
        <v>0</v>
      </c>
      <c r="EA52" s="3371">
        <f>Plantillas!AO374</f>
        <v>0</v>
      </c>
      <c r="EB52" s="3370">
        <f>Plantillas!AO375</f>
        <v>0</v>
      </c>
      <c r="EC52" s="3377">
        <f>Plantillas!AO376</f>
        <v>0</v>
      </c>
      <c r="ED52" s="779">
        <v>9</v>
      </c>
      <c r="EE52" s="3370">
        <f>Plantillas!AP357</f>
        <v>0</v>
      </c>
      <c r="EF52" s="3370">
        <f>Plantillas!AP358</f>
        <v>0</v>
      </c>
      <c r="EG52" s="3370">
        <f>Plantillas!AP359</f>
        <v>0</v>
      </c>
      <c r="EH52" s="3370">
        <f>Plantillas!AP360</f>
        <v>0</v>
      </c>
      <c r="EI52" s="3370">
        <f>Plantillas!AP361</f>
        <v>0</v>
      </c>
      <c r="EJ52" s="3370">
        <f>Plantillas!AP362</f>
        <v>0</v>
      </c>
      <c r="EK52" s="3370">
        <f>Plantillas!AP363</f>
        <v>0</v>
      </c>
      <c r="EL52" s="3370">
        <f>Plantillas!AP364</f>
        <v>0</v>
      </c>
      <c r="EM52" s="3370">
        <f>Plantillas!AP365</f>
        <v>0</v>
      </c>
      <c r="EN52" s="3370">
        <f>Plantillas!AP366</f>
        <v>0</v>
      </c>
      <c r="EO52" s="3370">
        <f>Plantillas!AP367</f>
        <v>0</v>
      </c>
      <c r="EP52" s="3370">
        <f>Plantillas!AP368</f>
        <v>0</v>
      </c>
      <c r="EQ52" s="3370">
        <f>Plantillas!AP369</f>
        <v>0</v>
      </c>
      <c r="ER52" s="3370">
        <f>Plantillas!AP370</f>
        <v>0</v>
      </c>
      <c r="ES52" s="3370">
        <f>Plantillas!AP371</f>
        <v>0</v>
      </c>
      <c r="ET52" s="3370">
        <f>Plantillas!AP372</f>
        <v>0</v>
      </c>
      <c r="EU52" s="3371">
        <f>Plantillas!AP373</f>
        <v>0</v>
      </c>
      <c r="EV52" s="3371">
        <f>Plantillas!AP374</f>
        <v>0</v>
      </c>
      <c r="EW52" s="3370">
        <f>Plantillas!AP375</f>
        <v>0</v>
      </c>
      <c r="EX52" s="3377">
        <f>Plantillas!AP376</f>
        <v>0</v>
      </c>
      <c r="EY52" s="779">
        <v>9</v>
      </c>
      <c r="EZ52" s="3370">
        <f>Plantillas!AQ357</f>
        <v>0</v>
      </c>
      <c r="FA52" s="3370">
        <f>Plantillas!AQ358</f>
        <v>0</v>
      </c>
      <c r="FB52" s="3370">
        <f>Plantillas!AQ359</f>
        <v>0</v>
      </c>
      <c r="FC52" s="3370">
        <f>Plantillas!AQ360</f>
        <v>0</v>
      </c>
      <c r="FD52" s="3370">
        <f>Plantillas!AQ361</f>
        <v>0</v>
      </c>
      <c r="FE52" s="3370">
        <f>Plantillas!AQ362</f>
        <v>0</v>
      </c>
      <c r="FF52" s="3370">
        <f>Plantillas!AQ363</f>
        <v>0</v>
      </c>
      <c r="FG52" s="3370">
        <f>Plantillas!AQ364</f>
        <v>0</v>
      </c>
      <c r="FH52" s="3370">
        <f>Plantillas!AQ365</f>
        <v>0</v>
      </c>
      <c r="FI52" s="3370">
        <f>Plantillas!AQ366</f>
        <v>0</v>
      </c>
      <c r="FJ52" s="3370">
        <f>Plantillas!AQ367</f>
        <v>0</v>
      </c>
      <c r="FK52" s="3370">
        <f>Plantillas!AQ368</f>
        <v>0</v>
      </c>
      <c r="FL52" s="3370">
        <f>Plantillas!AQ369</f>
        <v>0</v>
      </c>
      <c r="FM52" s="3370">
        <f>Plantillas!AQ370</f>
        <v>0</v>
      </c>
      <c r="FN52" s="3370">
        <f>Plantillas!AQ371</f>
        <v>0</v>
      </c>
      <c r="FO52" s="3370">
        <f>Plantillas!AQ372</f>
        <v>0</v>
      </c>
      <c r="FP52" s="3371">
        <f>Plantillas!AQ373</f>
        <v>0</v>
      </c>
      <c r="FQ52" s="3371">
        <f>Plantillas!AQ374</f>
        <v>0</v>
      </c>
      <c r="FR52" s="3370">
        <f>Plantillas!AQ375</f>
        <v>0</v>
      </c>
      <c r="FS52" s="3377">
        <f>Plantillas!AQ376</f>
        <v>0</v>
      </c>
      <c r="FT52" s="2312"/>
      <c r="FU52" s="2312"/>
      <c r="FV52" s="2312"/>
      <c r="FW52" s="2312"/>
      <c r="FX52" s="2312"/>
      <c r="FY52" s="2312"/>
      <c r="FZ52" s="2312"/>
      <c r="GA52" s="2312"/>
      <c r="GB52" s="2312"/>
      <c r="GC52" s="2312" t="s">
        <v>495</v>
      </c>
      <c r="GD52" s="116">
        <f>SUM(GD50:GD51)</f>
        <v>21</v>
      </c>
      <c r="GE52" s="116">
        <f t="shared" ref="GE52:HF52" si="146">SUM(GE50:GE51)</f>
        <v>17</v>
      </c>
      <c r="GF52" s="116">
        <f t="shared" si="146"/>
        <v>21</v>
      </c>
      <c r="GG52" s="116">
        <f t="shared" si="146"/>
        <v>18</v>
      </c>
      <c r="GH52" s="116">
        <f t="shared" si="146"/>
        <v>22</v>
      </c>
      <c r="GI52" s="116">
        <f t="shared" si="146"/>
        <v>19</v>
      </c>
      <c r="GJ52" s="116">
        <f t="shared" si="146"/>
        <v>118</v>
      </c>
      <c r="GK52" s="116">
        <f t="shared" si="146"/>
        <v>3233</v>
      </c>
      <c r="GL52" s="2392" t="s">
        <v>495</v>
      </c>
      <c r="GM52" s="116">
        <f t="shared" si="146"/>
        <v>9</v>
      </c>
      <c r="GN52" s="116">
        <f t="shared" si="146"/>
        <v>10</v>
      </c>
      <c r="GO52" s="116">
        <f t="shared" si="146"/>
        <v>8</v>
      </c>
      <c r="GP52" s="116">
        <f t="shared" si="146"/>
        <v>12</v>
      </c>
      <c r="GQ52" s="116">
        <f t="shared" si="146"/>
        <v>8</v>
      </c>
      <c r="GR52" s="116">
        <f t="shared" si="146"/>
        <v>10</v>
      </c>
      <c r="GS52" s="116">
        <f t="shared" si="146"/>
        <v>6</v>
      </c>
      <c r="GT52" s="116">
        <f t="shared" si="146"/>
        <v>10</v>
      </c>
      <c r="GU52" s="116">
        <f t="shared" si="146"/>
        <v>9</v>
      </c>
      <c r="GV52" s="116">
        <f t="shared" si="146"/>
        <v>8</v>
      </c>
      <c r="GW52" s="116">
        <f t="shared" si="146"/>
        <v>5</v>
      </c>
      <c r="GX52" s="116">
        <f t="shared" si="146"/>
        <v>5</v>
      </c>
      <c r="GY52" s="116">
        <f t="shared" si="146"/>
        <v>6</v>
      </c>
      <c r="GZ52" s="116">
        <f t="shared" si="146"/>
        <v>2</v>
      </c>
      <c r="HA52" s="116">
        <f t="shared" si="146"/>
        <v>3</v>
      </c>
      <c r="HB52" s="116">
        <f t="shared" si="146"/>
        <v>3</v>
      </c>
      <c r="HC52" s="116">
        <f t="shared" si="146"/>
        <v>0</v>
      </c>
      <c r="HD52" s="116">
        <f t="shared" si="146"/>
        <v>2</v>
      </c>
      <c r="HE52" s="116">
        <f t="shared" si="146"/>
        <v>1</v>
      </c>
      <c r="HF52" s="116">
        <f t="shared" si="146"/>
        <v>0</v>
      </c>
      <c r="HG52" s="1991">
        <v>28</v>
      </c>
      <c r="HH52" s="2410">
        <f>HH50+HH51</f>
        <v>278</v>
      </c>
      <c r="HI52" s="2405">
        <f t="shared" ref="HI52:HS52" si="147">HI50+HI51</f>
        <v>263</v>
      </c>
      <c r="HJ52" s="2405">
        <f t="shared" si="147"/>
        <v>302</v>
      </c>
      <c r="HK52" s="2405">
        <f t="shared" si="147"/>
        <v>240</v>
      </c>
      <c r="HL52" s="2405">
        <f t="shared" si="147"/>
        <v>273</v>
      </c>
      <c r="HM52" s="2405">
        <f t="shared" si="147"/>
        <v>253</v>
      </c>
      <c r="HN52" s="2405">
        <f t="shared" si="147"/>
        <v>284</v>
      </c>
      <c r="HO52" s="2405">
        <f t="shared" si="147"/>
        <v>241</v>
      </c>
      <c r="HP52" s="2405">
        <f t="shared" si="147"/>
        <v>313</v>
      </c>
      <c r="HQ52" s="2405">
        <f t="shared" si="147"/>
        <v>274</v>
      </c>
      <c r="HR52" s="2405">
        <f t="shared" si="147"/>
        <v>323</v>
      </c>
      <c r="HS52" s="2411">
        <f t="shared" si="147"/>
        <v>276</v>
      </c>
      <c r="HT52" s="2410">
        <f t="shared" ref="HT52" si="148">HT50+HT51</f>
        <v>23</v>
      </c>
      <c r="HU52" s="2405">
        <f t="shared" ref="HU52" si="149">HU50+HU51</f>
        <v>24</v>
      </c>
      <c r="HV52" s="2405">
        <f t="shared" ref="HV52" si="150">HV50+HV51</f>
        <v>22</v>
      </c>
      <c r="HW52" s="2405">
        <f t="shared" ref="HW52" si="151">HW50+HW51</f>
        <v>24</v>
      </c>
      <c r="HX52" s="2405">
        <f t="shared" ref="HX52" si="152">HX50+HX51</f>
        <v>22</v>
      </c>
      <c r="HY52" s="2405">
        <f t="shared" ref="HY52" si="153">HY50+HY51</f>
        <v>24</v>
      </c>
      <c r="HZ52" s="2405">
        <f t="shared" ref="HZ52" si="154">HZ50+HZ51</f>
        <v>22</v>
      </c>
      <c r="IA52" s="2405">
        <f t="shared" ref="IA52" si="155">IA50+IA51</f>
        <v>15</v>
      </c>
      <c r="IB52" s="2405">
        <f t="shared" ref="IB52" si="156">IB50+IB51</f>
        <v>17</v>
      </c>
      <c r="IC52" s="2405">
        <f t="shared" ref="IC52" si="157">IC50+IC51</f>
        <v>18</v>
      </c>
      <c r="ID52" s="2405">
        <f t="shared" ref="ID52" si="158">ID50+ID51</f>
        <v>15</v>
      </c>
      <c r="IE52" s="2411">
        <f t="shared" ref="IE52" si="159">IE50+IE51</f>
        <v>17</v>
      </c>
      <c r="IF52" s="2410">
        <f t="shared" ref="IF52" si="160">IF50+IF51</f>
        <v>25</v>
      </c>
      <c r="IG52" s="2405">
        <f t="shared" ref="IG52" si="161">IG50+IG51</f>
        <v>26</v>
      </c>
      <c r="IH52" s="2405">
        <f t="shared" ref="IH52" si="162">IH50+IH51</f>
        <v>37</v>
      </c>
      <c r="II52" s="2405">
        <f t="shared" ref="II52" si="163">II50+II51</f>
        <v>31</v>
      </c>
      <c r="IJ52" s="2405">
        <f t="shared" ref="IJ52" si="164">IJ50+IJ51</f>
        <v>38</v>
      </c>
      <c r="IK52" s="2405">
        <f t="shared" ref="IK52" si="165">IK50+IK51</f>
        <v>30</v>
      </c>
      <c r="IL52" s="2405">
        <f t="shared" ref="IL52" si="166">IL50+IL51</f>
        <v>27</v>
      </c>
      <c r="IM52" s="2405">
        <f t="shared" ref="IM52" si="167">IM50+IM51</f>
        <v>15</v>
      </c>
      <c r="IN52" s="2405">
        <f t="shared" ref="IN52" si="168">IN50+IN51</f>
        <v>33</v>
      </c>
      <c r="IO52" s="2405">
        <f t="shared" ref="IO52" si="169">IO50+IO51</f>
        <v>26</v>
      </c>
      <c r="IP52" s="2405">
        <f t="shared" ref="IP52" si="170">IP50+IP51</f>
        <v>32</v>
      </c>
      <c r="IQ52" s="2411">
        <f t="shared" ref="IQ52" si="171">IQ50+IQ51</f>
        <v>10</v>
      </c>
      <c r="IR52" s="2410">
        <f t="shared" ref="IR52" si="172">IR50+IR51</f>
        <v>0</v>
      </c>
      <c r="IS52" s="2405">
        <f t="shared" ref="IS52" si="173">IS50+IS51</f>
        <v>0</v>
      </c>
      <c r="IT52" s="2405">
        <f t="shared" ref="IT52" si="174">IT50+IT51</f>
        <v>0</v>
      </c>
      <c r="IU52" s="2405">
        <f t="shared" ref="IU52" si="175">IU50+IU51</f>
        <v>0</v>
      </c>
      <c r="IV52" s="2405">
        <f t="shared" ref="IV52" si="176">IV50+IV51</f>
        <v>0</v>
      </c>
      <c r="IW52" s="2405">
        <f t="shared" ref="IW52" si="177">IW50+IW51</f>
        <v>0</v>
      </c>
      <c r="IX52" s="2405">
        <f t="shared" ref="IX52" si="178">IX50+IX51</f>
        <v>0</v>
      </c>
      <c r="IY52" s="2405">
        <f t="shared" ref="IY52" si="179">IY50+IY51</f>
        <v>0</v>
      </c>
      <c r="IZ52" s="2405">
        <f t="shared" ref="IZ52" si="180">IZ50+IZ51</f>
        <v>0</v>
      </c>
      <c r="JA52" s="2405">
        <f t="shared" ref="JA52" si="181">JA50+JA51</f>
        <v>0</v>
      </c>
      <c r="JB52" s="2405">
        <f t="shared" ref="JB52" si="182">JB50+JB51</f>
        <v>0</v>
      </c>
      <c r="JC52" s="2411">
        <f t="shared" ref="JC52" si="183">JC50+JC51</f>
        <v>0</v>
      </c>
      <c r="JD52" s="2410">
        <f t="shared" ref="JD52" si="184">JD50+JD51</f>
        <v>3</v>
      </c>
      <c r="JE52" s="2405">
        <f t="shared" ref="JE52" si="185">JE50+JE51</f>
        <v>18</v>
      </c>
      <c r="JF52" s="2405">
        <f t="shared" ref="JF52" si="186">JF50+JF51</f>
        <v>0</v>
      </c>
      <c r="JG52" s="2405">
        <f t="shared" ref="JG52" si="187">JG50+JG51</f>
        <v>17</v>
      </c>
      <c r="JH52" s="2405">
        <f t="shared" ref="JH52" si="188">JH50+JH51</f>
        <v>5</v>
      </c>
      <c r="JI52" s="2405">
        <f t="shared" ref="JI52" si="189">JI50+JI51</f>
        <v>16</v>
      </c>
      <c r="JJ52" s="2405">
        <f t="shared" ref="JJ52" si="190">JJ50+JJ51</f>
        <v>4</v>
      </c>
      <c r="JK52" s="2405">
        <f t="shared" ref="JK52" si="191">JK50+JK51</f>
        <v>14</v>
      </c>
      <c r="JL52" s="2405">
        <f t="shared" ref="JL52" si="192">JL50+JL51</f>
        <v>13</v>
      </c>
      <c r="JM52" s="2405">
        <f t="shared" ref="JM52" si="193">JM50+JM51</f>
        <v>9</v>
      </c>
      <c r="JN52" s="2405">
        <f t="shared" ref="JN52" si="194">JN50+JN51</f>
        <v>13</v>
      </c>
      <c r="JO52" s="2411">
        <f t="shared" ref="JO52" si="195">JO50+JO51</f>
        <v>6</v>
      </c>
      <c r="JP52" s="2410">
        <f t="shared" ref="JP52" si="196">JP50+JP51</f>
        <v>0</v>
      </c>
      <c r="JQ52" s="2405">
        <f t="shared" ref="JQ52" si="197">JQ50+JQ51</f>
        <v>0</v>
      </c>
      <c r="JR52" s="2405">
        <f t="shared" ref="JR52" si="198">JR50+JR51</f>
        <v>0</v>
      </c>
      <c r="JS52" s="2405">
        <f t="shared" ref="JS52" si="199">JS50+JS51</f>
        <v>0</v>
      </c>
      <c r="JT52" s="2405">
        <f t="shared" ref="JT52" si="200">JT50+JT51</f>
        <v>0</v>
      </c>
      <c r="JU52" s="2405">
        <f t="shared" ref="JU52" si="201">JU50+JU51</f>
        <v>0</v>
      </c>
      <c r="JV52" s="2405">
        <f t="shared" ref="JV52" si="202">JV50+JV51</f>
        <v>0</v>
      </c>
      <c r="JW52" s="2405">
        <f t="shared" ref="JW52" si="203">JW50+JW51</f>
        <v>0</v>
      </c>
      <c r="JX52" s="2405">
        <f t="shared" ref="JX52" si="204">JX50+JX51</f>
        <v>0</v>
      </c>
      <c r="JY52" s="2405">
        <f t="shared" ref="JY52" si="205">JY50+JY51</f>
        <v>0</v>
      </c>
      <c r="JZ52" s="2405">
        <f t="shared" ref="JZ52" si="206">JZ50+JZ51</f>
        <v>0</v>
      </c>
      <c r="KA52" s="2411">
        <f t="shared" ref="KA52" si="207">KA50+KA51</f>
        <v>0</v>
      </c>
      <c r="KB52" s="2318"/>
      <c r="KC52" s="2317"/>
      <c r="KD52" s="2317"/>
      <c r="KE52" s="2317"/>
      <c r="KF52" s="2317"/>
      <c r="KG52" s="2319"/>
      <c r="KH52" s="2317"/>
    </row>
    <row r="53" spans="9:294" s="2392" customFormat="1" ht="11.25">
      <c r="I53" s="2312">
        <v>10</v>
      </c>
      <c r="J53" s="3379" t="s">
        <v>2496</v>
      </c>
      <c r="K53" s="3379"/>
      <c r="L53" s="3379" t="s">
        <v>2497</v>
      </c>
      <c r="M53" s="3379"/>
      <c r="N53" s="3379" t="s">
        <v>2498</v>
      </c>
      <c r="O53" s="3379"/>
      <c r="P53" s="3379" t="s">
        <v>2499</v>
      </c>
      <c r="Q53" s="3379"/>
      <c r="R53" s="3379" t="s">
        <v>2500</v>
      </c>
      <c r="S53" s="3379"/>
      <c r="T53" s="3379" t="s">
        <v>2501</v>
      </c>
      <c r="U53" s="3379"/>
      <c r="V53" s="3379" t="s">
        <v>2508</v>
      </c>
      <c r="W53" s="3379"/>
      <c r="X53" s="3379"/>
      <c r="Y53" s="3379"/>
      <c r="Z53" s="3379"/>
      <c r="AA53" s="3379"/>
      <c r="AB53" s="3379"/>
      <c r="AC53" s="3379"/>
      <c r="AD53" s="3379"/>
      <c r="AE53" s="3379"/>
      <c r="AF53" s="3379"/>
      <c r="AG53" s="3379"/>
      <c r="AH53" s="3379" t="s">
        <v>28</v>
      </c>
      <c r="AI53" s="3379"/>
      <c r="AJ53" s="3379"/>
      <c r="AK53" s="3379"/>
      <c r="AL53" s="3379"/>
      <c r="AM53" s="116"/>
      <c r="AN53" s="116"/>
      <c r="AO53" s="116"/>
      <c r="AP53" s="116"/>
      <c r="AQ53" s="116"/>
      <c r="AR53" s="116"/>
      <c r="AS53" s="116"/>
      <c r="AT53" s="116"/>
      <c r="AU53" s="116"/>
      <c r="AV53" s="116"/>
      <c r="AW53" s="2788"/>
      <c r="AX53" s="779">
        <v>10</v>
      </c>
      <c r="AY53" s="3370">
        <f>Plantillas!AL397</f>
        <v>0</v>
      </c>
      <c r="AZ53" s="3370">
        <f>Plantillas!AL398</f>
        <v>0</v>
      </c>
      <c r="BA53" s="3370">
        <f>Plantillas!AL399</f>
        <v>0</v>
      </c>
      <c r="BB53" s="3370">
        <f>Plantillas!AL400</f>
        <v>0</v>
      </c>
      <c r="BC53" s="3370">
        <f>Plantillas!AL401</f>
        <v>0</v>
      </c>
      <c r="BD53" s="3370">
        <f>Plantillas!AL402</f>
        <v>0</v>
      </c>
      <c r="BE53" s="3370">
        <f>Plantillas!AL403</f>
        <v>0</v>
      </c>
      <c r="BF53" s="3370">
        <f>Plantillas!AL404</f>
        <v>0</v>
      </c>
      <c r="BG53" s="3370">
        <f>Plantillas!AL405</f>
        <v>0</v>
      </c>
      <c r="BH53" s="3370">
        <f>Plantillas!AL406</f>
        <v>0</v>
      </c>
      <c r="BI53" s="3370">
        <f>Plantillas!AL407</f>
        <v>0</v>
      </c>
      <c r="BJ53" s="3370">
        <f>Plantillas!AL408</f>
        <v>0</v>
      </c>
      <c r="BK53" s="3370">
        <f>Plantillas!AL409</f>
        <v>0</v>
      </c>
      <c r="BL53" s="3370">
        <f>Plantillas!AL410</f>
        <v>0</v>
      </c>
      <c r="BM53" s="3370">
        <f>Plantillas!AL411</f>
        <v>0</v>
      </c>
      <c r="BN53" s="3370">
        <f>Plantillas!AL412</f>
        <v>0</v>
      </c>
      <c r="BO53" s="3371">
        <f>Plantillas!AL413</f>
        <v>0</v>
      </c>
      <c r="BP53" s="3371">
        <f>Plantillas!AL414</f>
        <v>0</v>
      </c>
      <c r="BQ53" s="3370">
        <f>Plantillas!AL415</f>
        <v>0</v>
      </c>
      <c r="BR53" s="3377">
        <f>Plantillas!AL416</f>
        <v>0</v>
      </c>
      <c r="BS53" s="779">
        <v>10</v>
      </c>
      <c r="BT53" s="3370">
        <f>Plantillas!AM397</f>
        <v>0</v>
      </c>
      <c r="BU53" s="3370">
        <f>Plantillas!AM398</f>
        <v>0</v>
      </c>
      <c r="BV53" s="3370">
        <f>Plantillas!AM399</f>
        <v>0</v>
      </c>
      <c r="BW53" s="3370">
        <f>Plantillas!AM400</f>
        <v>0</v>
      </c>
      <c r="BX53" s="3370">
        <f>Plantillas!AM401</f>
        <v>0</v>
      </c>
      <c r="BY53" s="3370">
        <f>Plantillas!AM402</f>
        <v>0</v>
      </c>
      <c r="BZ53" s="3370">
        <f>Plantillas!AM403</f>
        <v>0</v>
      </c>
      <c r="CA53" s="3370">
        <f>Plantillas!AM404</f>
        <v>0</v>
      </c>
      <c r="CB53" s="3370">
        <f>Plantillas!AM405</f>
        <v>0</v>
      </c>
      <c r="CC53" s="3370">
        <f>Plantillas!AM406</f>
        <v>0</v>
      </c>
      <c r="CD53" s="3370">
        <f>Plantillas!AM407</f>
        <v>0</v>
      </c>
      <c r="CE53" s="3370">
        <f>Plantillas!AM408</f>
        <v>0</v>
      </c>
      <c r="CF53" s="3370">
        <f>Plantillas!AM409</f>
        <v>0</v>
      </c>
      <c r="CG53" s="3370">
        <f>Plantillas!AM410</f>
        <v>0</v>
      </c>
      <c r="CH53" s="3370">
        <f>Plantillas!AM411</f>
        <v>0</v>
      </c>
      <c r="CI53" s="3370">
        <f>Plantillas!AM412</f>
        <v>0</v>
      </c>
      <c r="CJ53" s="3371">
        <f>Plantillas!AM413</f>
        <v>0</v>
      </c>
      <c r="CK53" s="3371">
        <f>Plantillas!AM414</f>
        <v>0</v>
      </c>
      <c r="CL53" s="3370">
        <f>Plantillas!AM415</f>
        <v>0</v>
      </c>
      <c r="CM53" s="3377">
        <f>Plantillas!AM416</f>
        <v>0</v>
      </c>
      <c r="CN53" s="779">
        <v>10</v>
      </c>
      <c r="CO53" s="3370">
        <f>Plantillas!AN397</f>
        <v>0</v>
      </c>
      <c r="CP53" s="3370">
        <f>Plantillas!AN398</f>
        <v>0</v>
      </c>
      <c r="CQ53" s="3370">
        <f>Plantillas!AN399</f>
        <v>0</v>
      </c>
      <c r="CR53" s="3370">
        <f>Plantillas!AN400</f>
        <v>0</v>
      </c>
      <c r="CS53" s="3370">
        <f>Plantillas!AN401</f>
        <v>0</v>
      </c>
      <c r="CT53" s="3370">
        <f>Plantillas!AN402</f>
        <v>0</v>
      </c>
      <c r="CU53" s="3370">
        <f>Plantillas!AN403</f>
        <v>0</v>
      </c>
      <c r="CV53" s="3370">
        <f>Plantillas!AN404</f>
        <v>0</v>
      </c>
      <c r="CW53" s="3370">
        <f>Plantillas!AN405</f>
        <v>0</v>
      </c>
      <c r="CX53" s="3370">
        <f>Plantillas!AN406</f>
        <v>0</v>
      </c>
      <c r="CY53" s="3370">
        <f>Plantillas!AN407</f>
        <v>0</v>
      </c>
      <c r="CZ53" s="3370">
        <f>Plantillas!AN408</f>
        <v>0</v>
      </c>
      <c r="DA53" s="3370">
        <f>Plantillas!AN409</f>
        <v>0</v>
      </c>
      <c r="DB53" s="3370">
        <f>Plantillas!AN410</f>
        <v>0</v>
      </c>
      <c r="DC53" s="3370">
        <f>Plantillas!AN411</f>
        <v>0</v>
      </c>
      <c r="DD53" s="3370">
        <f>Plantillas!AN412</f>
        <v>0</v>
      </c>
      <c r="DE53" s="3371">
        <f>Plantillas!AN413</f>
        <v>0</v>
      </c>
      <c r="DF53" s="3371">
        <f>Plantillas!AN414</f>
        <v>0</v>
      </c>
      <c r="DG53" s="3370">
        <f>Plantillas!AN415</f>
        <v>0</v>
      </c>
      <c r="DH53" s="3377">
        <f>Plantillas!AN416</f>
        <v>0</v>
      </c>
      <c r="DI53" s="779">
        <v>10</v>
      </c>
      <c r="DJ53" s="3370">
        <f>Plantillas!AO397</f>
        <v>0</v>
      </c>
      <c r="DK53" s="3370">
        <f>Plantillas!AO398</f>
        <v>0</v>
      </c>
      <c r="DL53" s="3370">
        <f>Plantillas!AO399</f>
        <v>0</v>
      </c>
      <c r="DM53" s="3370">
        <f>Plantillas!AO400</f>
        <v>0</v>
      </c>
      <c r="DN53" s="3370">
        <f>Plantillas!AO401</f>
        <v>0</v>
      </c>
      <c r="DO53" s="3370">
        <f>Plantillas!AO402</f>
        <v>0</v>
      </c>
      <c r="DP53" s="3370">
        <f>Plantillas!AO403</f>
        <v>0</v>
      </c>
      <c r="DQ53" s="3370">
        <f>Plantillas!AO404</f>
        <v>0</v>
      </c>
      <c r="DR53" s="3370">
        <f>Plantillas!AO405</f>
        <v>0</v>
      </c>
      <c r="DS53" s="3370">
        <f>Plantillas!AO406</f>
        <v>0</v>
      </c>
      <c r="DT53" s="3370">
        <f>Plantillas!AO407</f>
        <v>0</v>
      </c>
      <c r="DU53" s="3370">
        <f>Plantillas!AO408</f>
        <v>0</v>
      </c>
      <c r="DV53" s="3370">
        <f>Plantillas!AO409</f>
        <v>0</v>
      </c>
      <c r="DW53" s="3370">
        <f>Plantillas!AO410</f>
        <v>0</v>
      </c>
      <c r="DX53" s="3370">
        <f>Plantillas!AO411</f>
        <v>0</v>
      </c>
      <c r="DY53" s="3370">
        <f>Plantillas!AO412</f>
        <v>0</v>
      </c>
      <c r="DZ53" s="3371">
        <f>Plantillas!AO413</f>
        <v>0</v>
      </c>
      <c r="EA53" s="3371">
        <f>Plantillas!AO414</f>
        <v>0</v>
      </c>
      <c r="EB53" s="3370">
        <f>Plantillas!AO415</f>
        <v>0</v>
      </c>
      <c r="EC53" s="3377">
        <f>Plantillas!AO416</f>
        <v>0</v>
      </c>
      <c r="ED53" s="779">
        <v>10</v>
      </c>
      <c r="EE53" s="3370">
        <f>Plantillas!AP397</f>
        <v>0</v>
      </c>
      <c r="EF53" s="3370">
        <f>Plantillas!AP398</f>
        <v>0</v>
      </c>
      <c r="EG53" s="3370">
        <f>Plantillas!AP399</f>
        <v>0</v>
      </c>
      <c r="EH53" s="3370">
        <f>Plantillas!AP400</f>
        <v>0</v>
      </c>
      <c r="EI53" s="3370">
        <f>Plantillas!AP401</f>
        <v>0</v>
      </c>
      <c r="EJ53" s="3370">
        <f>Plantillas!AP402</f>
        <v>0</v>
      </c>
      <c r="EK53" s="3370">
        <f>Plantillas!AP403</f>
        <v>0</v>
      </c>
      <c r="EL53" s="3370">
        <f>Plantillas!AP404</f>
        <v>0</v>
      </c>
      <c r="EM53" s="3370">
        <f>Plantillas!AP405</f>
        <v>0</v>
      </c>
      <c r="EN53" s="3370">
        <f>Plantillas!AP406</f>
        <v>0</v>
      </c>
      <c r="EO53" s="3370">
        <f>Plantillas!AP407</f>
        <v>0</v>
      </c>
      <c r="EP53" s="3370">
        <f>Plantillas!AP408</f>
        <v>0</v>
      </c>
      <c r="EQ53" s="3370">
        <f>Plantillas!AP409</f>
        <v>0</v>
      </c>
      <c r="ER53" s="3370">
        <f>Plantillas!AP410</f>
        <v>0</v>
      </c>
      <c r="ES53" s="3370">
        <f>Plantillas!AP411</f>
        <v>0</v>
      </c>
      <c r="ET53" s="3370">
        <f>Plantillas!AP412</f>
        <v>0</v>
      </c>
      <c r="EU53" s="3371">
        <f>Plantillas!AP413</f>
        <v>0</v>
      </c>
      <c r="EV53" s="3371">
        <f>Plantillas!AP414</f>
        <v>0</v>
      </c>
      <c r="EW53" s="3370">
        <f>Plantillas!AP415</f>
        <v>0</v>
      </c>
      <c r="EX53" s="3377">
        <f>Plantillas!AP416</f>
        <v>0</v>
      </c>
      <c r="EY53" s="779">
        <v>10</v>
      </c>
      <c r="EZ53" s="3370">
        <f>Plantillas!AQ397</f>
        <v>0</v>
      </c>
      <c r="FA53" s="3370">
        <f>Plantillas!AQ398</f>
        <v>0</v>
      </c>
      <c r="FB53" s="3370">
        <f>Plantillas!AQ399</f>
        <v>0</v>
      </c>
      <c r="FC53" s="3370">
        <f>Plantillas!AQ400</f>
        <v>0</v>
      </c>
      <c r="FD53" s="3370">
        <f>Plantillas!AQ401</f>
        <v>0</v>
      </c>
      <c r="FE53" s="3370">
        <f>Plantillas!AQ402</f>
        <v>0</v>
      </c>
      <c r="FF53" s="3370">
        <f>Plantillas!AQ403</f>
        <v>0</v>
      </c>
      <c r="FG53" s="3370">
        <f>Plantillas!AQ404</f>
        <v>0</v>
      </c>
      <c r="FH53" s="3370">
        <f>Plantillas!AQ405</f>
        <v>0</v>
      </c>
      <c r="FI53" s="3370">
        <f>Plantillas!AQ406</f>
        <v>0</v>
      </c>
      <c r="FJ53" s="3370">
        <f>Plantillas!AQ407</f>
        <v>0</v>
      </c>
      <c r="FK53" s="3370">
        <f>Plantillas!AQ408</f>
        <v>0</v>
      </c>
      <c r="FL53" s="3370">
        <f>Plantillas!AQ409</f>
        <v>0</v>
      </c>
      <c r="FM53" s="3370">
        <f>Plantillas!AQ410</f>
        <v>0</v>
      </c>
      <c r="FN53" s="3370">
        <f>Plantillas!AQ411</f>
        <v>0</v>
      </c>
      <c r="FO53" s="3370">
        <f>Plantillas!AQ412</f>
        <v>0</v>
      </c>
      <c r="FP53" s="3371">
        <f>Plantillas!AQ413</f>
        <v>0</v>
      </c>
      <c r="FQ53" s="3371">
        <f>Plantillas!AQ414</f>
        <v>0</v>
      </c>
      <c r="FR53" s="3370">
        <f>Plantillas!AQ415</f>
        <v>0</v>
      </c>
      <c r="FS53" s="3377">
        <f>Plantillas!AQ416</f>
        <v>0</v>
      </c>
      <c r="HG53" s="778">
        <v>29</v>
      </c>
      <c r="HH53" s="2435"/>
      <c r="HI53" s="2436"/>
      <c r="HJ53" s="2436"/>
      <c r="HK53" s="2436"/>
      <c r="HL53" s="2436"/>
      <c r="HM53" s="2436"/>
      <c r="HN53" s="2436"/>
      <c r="HO53" s="2436"/>
      <c r="HP53" s="2436"/>
      <c r="HQ53" s="2437">
        <f>HH50+HJ50+HL50+HN50+HP50+HR50</f>
        <v>1525</v>
      </c>
      <c r="HR53" s="2438">
        <f>HI50+HK50+HM50+HO50+HQ50+HS50</f>
        <v>1349</v>
      </c>
      <c r="HS53" s="2439">
        <f>HQ53+HR53</f>
        <v>2874</v>
      </c>
      <c r="HT53" s="2435"/>
      <c r="HU53" s="2436"/>
      <c r="HV53" s="2436"/>
      <c r="HW53" s="2436"/>
      <c r="HX53" s="2436"/>
      <c r="HY53" s="2436"/>
      <c r="HZ53" s="2436"/>
      <c r="IA53" s="2436"/>
      <c r="IB53" s="2436"/>
      <c r="IC53" s="2437">
        <f>HT50+HV50+HX50+HZ50+IB50+ID50</f>
        <v>91</v>
      </c>
      <c r="ID53" s="2438">
        <f>HU50+HW50+HY50+IA50+IC50+IE50</f>
        <v>90</v>
      </c>
      <c r="IE53" s="2439">
        <f>IC53+ID53</f>
        <v>181</v>
      </c>
      <c r="IF53" s="2435"/>
      <c r="IG53" s="2436"/>
      <c r="IH53" s="2436"/>
      <c r="II53" s="2436"/>
      <c r="IJ53" s="2436"/>
      <c r="IK53" s="2436"/>
      <c r="IL53" s="2436"/>
      <c r="IM53" s="2436"/>
      <c r="IN53" s="2436"/>
      <c r="IO53" s="2437">
        <f>IF50+IH50+IJ50+IL50+IN50+IP50</f>
        <v>177</v>
      </c>
      <c r="IP53" s="2438">
        <f>IG50+II50+IK50+IM50+IO50+IQ50</f>
        <v>129</v>
      </c>
      <c r="IQ53" s="2439">
        <f>IO53+IP53</f>
        <v>306</v>
      </c>
      <c r="IR53" s="2435"/>
      <c r="IS53" s="2436"/>
      <c r="IT53" s="2436"/>
      <c r="IU53" s="2436"/>
      <c r="IV53" s="2436"/>
      <c r="IW53" s="2436"/>
      <c r="IX53" s="2436"/>
      <c r="IY53" s="2436"/>
      <c r="IZ53" s="2436"/>
      <c r="JA53" s="2437">
        <f>IR51+IT51+IV51+IX51+IZ51+JB51</f>
        <v>0</v>
      </c>
      <c r="JB53" s="2438">
        <f>IS51+IU51+IW51+IY51+JA51+JC51</f>
        <v>0</v>
      </c>
      <c r="JC53" s="2439">
        <f>JA53+JB53</f>
        <v>0</v>
      </c>
      <c r="JD53" s="2435"/>
      <c r="JE53" s="2436"/>
      <c r="JF53" s="2436"/>
      <c r="JG53" s="2436"/>
      <c r="JH53" s="2436"/>
      <c r="JI53" s="2436"/>
      <c r="JJ53" s="2436"/>
      <c r="JK53" s="2436"/>
      <c r="JL53" s="2436"/>
      <c r="JM53" s="2437">
        <f>JD50+JF50+JH50+JJ50+JL50+JN50</f>
        <v>35</v>
      </c>
      <c r="JN53" s="2438">
        <f>JE50+JG50+JI50+JK50+JM50+JO50</f>
        <v>58</v>
      </c>
      <c r="JO53" s="2439">
        <f>JM53+JN53</f>
        <v>93</v>
      </c>
      <c r="JP53" s="2435"/>
      <c r="JQ53" s="2436"/>
      <c r="JR53" s="2436"/>
      <c r="JS53" s="2436"/>
      <c r="JT53" s="2436"/>
      <c r="JU53" s="2436"/>
      <c r="JV53" s="2436"/>
      <c r="JW53" s="2436"/>
      <c r="JX53" s="2436"/>
      <c r="JY53" s="2437">
        <f>JP50+JR50+JT50+JV50+JX50+JZ50</f>
        <v>0</v>
      </c>
      <c r="JZ53" s="2438">
        <f>JQ50+JS50+JU50+JW50+JY50+KA50</f>
        <v>0</v>
      </c>
      <c r="KA53" s="2439">
        <f>JY53+JZ53</f>
        <v>0</v>
      </c>
      <c r="KB53" s="2440"/>
      <c r="KC53" s="2441"/>
      <c r="KD53" s="2441"/>
      <c r="KE53" s="2441"/>
      <c r="KF53" s="2441"/>
      <c r="KG53" s="2442"/>
      <c r="KH53" s="2441"/>
    </row>
    <row r="54" spans="9:294" s="2392" customFormat="1" ht="11.25">
      <c r="I54" s="2312"/>
      <c r="J54" s="3379"/>
      <c r="K54" s="3379"/>
      <c r="L54" s="3379"/>
      <c r="M54" s="3379"/>
      <c r="N54" s="3379"/>
      <c r="O54" s="3379"/>
      <c r="P54" s="3379"/>
      <c r="Q54" s="3379"/>
      <c r="R54" s="3379"/>
      <c r="S54" s="3379"/>
      <c r="T54" s="3379"/>
      <c r="U54" s="3379"/>
      <c r="V54" s="3379"/>
      <c r="W54" s="3379"/>
      <c r="X54" s="3379"/>
      <c r="Y54" s="3379"/>
      <c r="Z54" s="3379"/>
      <c r="AA54" s="3379"/>
      <c r="AB54" s="3379"/>
      <c r="AC54" s="3379"/>
      <c r="AD54" s="3379"/>
      <c r="AE54" s="3379"/>
      <c r="AF54" s="3379"/>
      <c r="AG54" s="3379"/>
      <c r="AH54" s="3379"/>
      <c r="AI54" s="3379"/>
      <c r="AJ54" s="3379"/>
      <c r="AK54" s="3379"/>
      <c r="AL54" s="3379"/>
      <c r="AM54" s="116"/>
      <c r="AN54" s="116"/>
      <c r="AO54" s="116"/>
      <c r="AP54" s="116"/>
      <c r="AQ54" s="116"/>
      <c r="AR54" s="116"/>
      <c r="AS54" s="116"/>
      <c r="AT54" s="116"/>
      <c r="AU54" s="116"/>
      <c r="AV54" s="116"/>
      <c r="AW54" s="2788"/>
      <c r="AX54" s="779">
        <v>11</v>
      </c>
      <c r="AY54" s="3370">
        <f>Plantillas!AL437</f>
        <v>0</v>
      </c>
      <c r="AZ54" s="3370">
        <f>Plantillas!AL438</f>
        <v>0</v>
      </c>
      <c r="BA54" s="3370">
        <f>Plantillas!AL439</f>
        <v>0</v>
      </c>
      <c r="BB54" s="3370">
        <f>Plantillas!AL440</f>
        <v>0</v>
      </c>
      <c r="BC54" s="3370">
        <f>Plantillas!AL441</f>
        <v>0</v>
      </c>
      <c r="BD54" s="3370">
        <f>Plantillas!AL442</f>
        <v>0</v>
      </c>
      <c r="BE54" s="3370"/>
      <c r="BF54" s="3370">
        <f>Plantillas!AL444</f>
        <v>0</v>
      </c>
      <c r="BG54" s="3370">
        <f>Plantillas!AL445</f>
        <v>0</v>
      </c>
      <c r="BH54" s="3370">
        <f>Plantillas!AL446</f>
        <v>0</v>
      </c>
      <c r="BI54" s="3370">
        <f>Plantillas!AL447</f>
        <v>0</v>
      </c>
      <c r="BJ54" s="3370">
        <f>Plantillas!AL448</f>
        <v>0</v>
      </c>
      <c r="BK54" s="3370">
        <f>Plantillas!AL449</f>
        <v>0</v>
      </c>
      <c r="BL54" s="3370">
        <f>Plantillas!AL450</f>
        <v>0</v>
      </c>
      <c r="BM54" s="3370">
        <f>Plantillas!AL451</f>
        <v>0</v>
      </c>
      <c r="BN54" s="3370">
        <f>Plantillas!AL452</f>
        <v>0</v>
      </c>
      <c r="BO54" s="3371">
        <f>Plantillas!AL453</f>
        <v>0</v>
      </c>
      <c r="BP54" s="3371">
        <f>Plantillas!AL454</f>
        <v>0</v>
      </c>
      <c r="BQ54" s="3370">
        <f>Plantillas!AL455</f>
        <v>0</v>
      </c>
      <c r="BR54" s="3377">
        <f>Plantillas!AL456</f>
        <v>0</v>
      </c>
      <c r="BS54" s="779">
        <v>11</v>
      </c>
      <c r="BT54" s="3370">
        <f>Plantillas!AM437</f>
        <v>0</v>
      </c>
      <c r="BU54" s="3370">
        <f>Plantillas!AM438</f>
        <v>0</v>
      </c>
      <c r="BV54" s="3370">
        <f>Plantillas!AM439</f>
        <v>0</v>
      </c>
      <c r="BW54" s="3370">
        <f>Plantillas!AM440</f>
        <v>0</v>
      </c>
      <c r="BX54" s="3370">
        <f>Plantillas!AM441</f>
        <v>0</v>
      </c>
      <c r="BY54" s="3370">
        <f>Plantillas!AM442</f>
        <v>0</v>
      </c>
      <c r="BZ54" s="3370">
        <f>Plantillas!AM443</f>
        <v>0</v>
      </c>
      <c r="CA54" s="3370">
        <f>Plantillas!AM444</f>
        <v>0</v>
      </c>
      <c r="CB54" s="3370">
        <f>Plantillas!AM445</f>
        <v>0</v>
      </c>
      <c r="CC54" s="3370">
        <f>Plantillas!AM446</f>
        <v>0</v>
      </c>
      <c r="CD54" s="3370">
        <f>Plantillas!AM447</f>
        <v>0</v>
      </c>
      <c r="CE54" s="3370">
        <f>Plantillas!AM448</f>
        <v>0</v>
      </c>
      <c r="CF54" s="3370">
        <f>Plantillas!AM449</f>
        <v>0</v>
      </c>
      <c r="CG54" s="3370">
        <f>Plantillas!AM450</f>
        <v>0</v>
      </c>
      <c r="CH54" s="3370">
        <f>Plantillas!AM451</f>
        <v>0</v>
      </c>
      <c r="CI54" s="3370">
        <f>Plantillas!AM452</f>
        <v>0</v>
      </c>
      <c r="CJ54" s="3371">
        <f>Plantillas!AM453</f>
        <v>0</v>
      </c>
      <c r="CK54" s="3371">
        <f>Plantillas!AM454</f>
        <v>0</v>
      </c>
      <c r="CL54" s="3370">
        <f>Plantillas!AM455</f>
        <v>0</v>
      </c>
      <c r="CM54" s="3377">
        <f>Plantillas!AM456</f>
        <v>0</v>
      </c>
      <c r="CN54" s="779">
        <v>11</v>
      </c>
      <c r="CO54" s="3370">
        <f>Plantillas!AN437</f>
        <v>0</v>
      </c>
      <c r="CP54" s="3370">
        <f>Plantillas!AN438</f>
        <v>0</v>
      </c>
      <c r="CQ54" s="3370">
        <f>Plantillas!AN439</f>
        <v>0</v>
      </c>
      <c r="CR54" s="3370">
        <f>Plantillas!AN440</f>
        <v>0</v>
      </c>
      <c r="CS54" s="3370">
        <f>Plantillas!AN441</f>
        <v>0</v>
      </c>
      <c r="CT54" s="3370">
        <f>Plantillas!AN442</f>
        <v>0</v>
      </c>
      <c r="CU54" s="3370">
        <f>Plantillas!AN443</f>
        <v>0</v>
      </c>
      <c r="CV54" s="3370">
        <f>Plantillas!AN444</f>
        <v>0</v>
      </c>
      <c r="CW54" s="3370">
        <f>Plantillas!AN445</f>
        <v>0</v>
      </c>
      <c r="CX54" s="3370">
        <f>Plantillas!AN446</f>
        <v>0</v>
      </c>
      <c r="CY54" s="3370">
        <f>Plantillas!AN447</f>
        <v>0</v>
      </c>
      <c r="CZ54" s="3370">
        <f>Plantillas!AN448</f>
        <v>0</v>
      </c>
      <c r="DA54" s="3370">
        <f>Plantillas!AN449</f>
        <v>0</v>
      </c>
      <c r="DB54" s="3370">
        <f>Plantillas!AN450</f>
        <v>0</v>
      </c>
      <c r="DC54" s="3370">
        <f>Plantillas!AN451</f>
        <v>0</v>
      </c>
      <c r="DD54" s="3370">
        <f>Plantillas!AN452</f>
        <v>0</v>
      </c>
      <c r="DE54" s="3371">
        <f>Plantillas!AN453</f>
        <v>0</v>
      </c>
      <c r="DF54" s="3371">
        <f>Plantillas!AN454</f>
        <v>0</v>
      </c>
      <c r="DG54" s="3370">
        <f>Plantillas!AN455</f>
        <v>0</v>
      </c>
      <c r="DH54" s="3377">
        <f>Plantillas!AN456</f>
        <v>0</v>
      </c>
      <c r="DI54" s="779">
        <v>11</v>
      </c>
      <c r="DJ54" s="3370">
        <f>Plantillas!AO437</f>
        <v>0</v>
      </c>
      <c r="DK54" s="3370">
        <f>Plantillas!AO438</f>
        <v>0</v>
      </c>
      <c r="DL54" s="3370">
        <f>Plantillas!AO439</f>
        <v>0</v>
      </c>
      <c r="DM54" s="3370">
        <f>Plantillas!AO440</f>
        <v>0</v>
      </c>
      <c r="DN54" s="3370">
        <f>Plantillas!AO441</f>
        <v>0</v>
      </c>
      <c r="DO54" s="3370">
        <f>Plantillas!AO442</f>
        <v>0</v>
      </c>
      <c r="DP54" s="3370">
        <f>Plantillas!AO443</f>
        <v>0</v>
      </c>
      <c r="DQ54" s="3370">
        <f>Plantillas!AO444</f>
        <v>0</v>
      </c>
      <c r="DR54" s="3370">
        <f>Plantillas!AO445</f>
        <v>0</v>
      </c>
      <c r="DS54" s="3370">
        <f>Plantillas!AO446</f>
        <v>0</v>
      </c>
      <c r="DT54" s="3370">
        <f>Plantillas!AO447</f>
        <v>0</v>
      </c>
      <c r="DU54" s="3370">
        <f>Plantillas!AO448</f>
        <v>0</v>
      </c>
      <c r="DV54" s="3370">
        <f>Plantillas!AO449</f>
        <v>0</v>
      </c>
      <c r="DW54" s="3370">
        <f>Plantillas!AO450</f>
        <v>0</v>
      </c>
      <c r="DX54" s="3370">
        <f>Plantillas!AO451</f>
        <v>0</v>
      </c>
      <c r="DY54" s="3370">
        <f>Plantillas!AO452</f>
        <v>0</v>
      </c>
      <c r="DZ54" s="3371">
        <f>Plantillas!AO453</f>
        <v>0</v>
      </c>
      <c r="EA54" s="3371">
        <f>Plantillas!AO454</f>
        <v>0</v>
      </c>
      <c r="EB54" s="3370">
        <f>Plantillas!AO455</f>
        <v>0</v>
      </c>
      <c r="EC54" s="3377">
        <f>Plantillas!AO456</f>
        <v>0</v>
      </c>
      <c r="ED54" s="779">
        <v>11</v>
      </c>
      <c r="EE54" s="3370">
        <f>Plantillas!AP437</f>
        <v>0</v>
      </c>
      <c r="EF54" s="3370">
        <f>Plantillas!AP438</f>
        <v>0</v>
      </c>
      <c r="EG54" s="3370">
        <f>Plantillas!AP439</f>
        <v>0</v>
      </c>
      <c r="EH54" s="3370">
        <f>Plantillas!AP440</f>
        <v>0</v>
      </c>
      <c r="EI54" s="3370">
        <f>Plantillas!AP441</f>
        <v>0</v>
      </c>
      <c r="EJ54" s="3370">
        <f>Plantillas!AP442</f>
        <v>0</v>
      </c>
      <c r="EK54" s="3370">
        <f>Plantillas!AP443</f>
        <v>0</v>
      </c>
      <c r="EL54" s="3370">
        <f>Plantillas!AP444</f>
        <v>0</v>
      </c>
      <c r="EM54" s="3370">
        <f>Plantillas!AP445</f>
        <v>0</v>
      </c>
      <c r="EN54" s="3370">
        <f>Plantillas!AP446</f>
        <v>0</v>
      </c>
      <c r="EO54" s="3370">
        <f>Plantillas!AP447</f>
        <v>0</v>
      </c>
      <c r="EP54" s="3370">
        <f>Plantillas!AP448</f>
        <v>0</v>
      </c>
      <c r="EQ54" s="3370">
        <f>Plantillas!AP449</f>
        <v>0</v>
      </c>
      <c r="ER54" s="3370">
        <f>Plantillas!AP450</f>
        <v>0</v>
      </c>
      <c r="ES54" s="3370">
        <f>Plantillas!AP451</f>
        <v>0</v>
      </c>
      <c r="ET54" s="3370">
        <f>Plantillas!AP452</f>
        <v>0</v>
      </c>
      <c r="EU54" s="3371">
        <f>Plantillas!AP453</f>
        <v>0</v>
      </c>
      <c r="EV54" s="3371">
        <f>Plantillas!AP454</f>
        <v>0</v>
      </c>
      <c r="EW54" s="3370">
        <f>Plantillas!AP455</f>
        <v>0</v>
      </c>
      <c r="EX54" s="3377">
        <f>Plantillas!AP456</f>
        <v>0</v>
      </c>
      <c r="EY54" s="779">
        <v>11</v>
      </c>
      <c r="EZ54" s="3370">
        <f>Plantillas!AQ437</f>
        <v>0</v>
      </c>
      <c r="FA54" s="3370">
        <f>Plantillas!AQ438</f>
        <v>0</v>
      </c>
      <c r="FB54" s="3370">
        <f>Plantillas!AQ439</f>
        <v>0</v>
      </c>
      <c r="FC54" s="3370">
        <f>Plantillas!AQ440</f>
        <v>0</v>
      </c>
      <c r="FD54" s="3370">
        <f>Plantillas!AQ441</f>
        <v>0</v>
      </c>
      <c r="FE54" s="3370">
        <f>Plantillas!AQ442</f>
        <v>0</v>
      </c>
      <c r="FF54" s="3370">
        <f>Plantillas!AQ443</f>
        <v>0</v>
      </c>
      <c r="FG54" s="3370">
        <f>Plantillas!AQ444</f>
        <v>0</v>
      </c>
      <c r="FH54" s="3370">
        <f>Plantillas!AQ445</f>
        <v>0</v>
      </c>
      <c r="FI54" s="3370">
        <f>Plantillas!AQ446</f>
        <v>0</v>
      </c>
      <c r="FJ54" s="3370">
        <f>Plantillas!AQ447</f>
        <v>0</v>
      </c>
      <c r="FK54" s="3370">
        <f>Plantillas!AQ448</f>
        <v>0</v>
      </c>
      <c r="FL54" s="3370">
        <f>Plantillas!AQ449</f>
        <v>0</v>
      </c>
      <c r="FM54" s="3370">
        <f>Plantillas!AQ450</f>
        <v>0</v>
      </c>
      <c r="FN54" s="3370">
        <f>Plantillas!AQ451</f>
        <v>0</v>
      </c>
      <c r="FO54" s="3370">
        <f>Plantillas!AQ452</f>
        <v>0</v>
      </c>
      <c r="FP54" s="3371">
        <f>Plantillas!AQ453</f>
        <v>0</v>
      </c>
      <c r="FQ54" s="3371">
        <f>Plantillas!AQ454</f>
        <v>0</v>
      </c>
      <c r="FR54" s="3370">
        <f>Plantillas!AQ455</f>
        <v>0</v>
      </c>
      <c r="FS54" s="3377">
        <f>Plantillas!AQ456</f>
        <v>0</v>
      </c>
      <c r="GC54" s="778" t="s">
        <v>464</v>
      </c>
      <c r="GD54" s="2383">
        <f t="shared" ref="GD54:GW54" si="208">COUNTIF(EN2:EN12,"10")</f>
        <v>10</v>
      </c>
      <c r="GE54" s="2383">
        <f t="shared" si="208"/>
        <v>7</v>
      </c>
      <c r="GF54" s="2383">
        <f t="shared" si="208"/>
        <v>9</v>
      </c>
      <c r="GG54" s="2383">
        <f t="shared" si="208"/>
        <v>9</v>
      </c>
      <c r="GH54" s="2383">
        <f t="shared" si="208"/>
        <v>7</v>
      </c>
      <c r="GI54" s="2383">
        <f t="shared" si="208"/>
        <v>9</v>
      </c>
      <c r="GJ54" s="2383">
        <f t="shared" si="208"/>
        <v>6</v>
      </c>
      <c r="GK54" s="2383">
        <f t="shared" si="208"/>
        <v>9</v>
      </c>
      <c r="GL54" s="2383">
        <f t="shared" si="208"/>
        <v>8</v>
      </c>
      <c r="GM54" s="2383">
        <f t="shared" si="208"/>
        <v>8</v>
      </c>
      <c r="GN54" s="2383">
        <f t="shared" si="208"/>
        <v>6</v>
      </c>
      <c r="GO54" s="2383">
        <f t="shared" si="208"/>
        <v>5</v>
      </c>
      <c r="GP54" s="2383">
        <f t="shared" si="208"/>
        <v>6</v>
      </c>
      <c r="GQ54" s="2383">
        <f t="shared" si="208"/>
        <v>6</v>
      </c>
      <c r="GR54" s="2383">
        <f t="shared" si="208"/>
        <v>2</v>
      </c>
      <c r="GS54" s="2383">
        <f t="shared" si="208"/>
        <v>3</v>
      </c>
      <c r="GT54" s="2383">
        <f t="shared" si="208"/>
        <v>1</v>
      </c>
      <c r="GU54" s="2383">
        <f t="shared" si="208"/>
        <v>2</v>
      </c>
      <c r="GV54" s="2383">
        <f t="shared" si="208"/>
        <v>2</v>
      </c>
      <c r="GW54" s="2383">
        <f t="shared" si="208"/>
        <v>1</v>
      </c>
      <c r="GX54" s="778"/>
      <c r="GY54" s="2383"/>
      <c r="HG54" s="1991">
        <v>30</v>
      </c>
      <c r="HH54" s="2440"/>
      <c r="HI54" s="2441"/>
      <c r="HJ54" s="2441"/>
      <c r="HK54" s="2441"/>
      <c r="HL54" s="2441"/>
      <c r="HM54" s="2441"/>
      <c r="HN54" s="2441"/>
      <c r="HO54" s="2441"/>
      <c r="HP54" s="2441"/>
      <c r="HQ54" s="2443">
        <f>HH51+HJ51+HL51+HN51+HP51+HR51</f>
        <v>248</v>
      </c>
      <c r="HR54" s="2444">
        <f>HI51+HK51+HM51+HO51+HQ51+HS51</f>
        <v>198</v>
      </c>
      <c r="HS54" s="2442">
        <f>HQ54+HR54</f>
        <v>446</v>
      </c>
      <c r="HT54" s="2440"/>
      <c r="HU54" s="2441"/>
      <c r="HV54" s="2441"/>
      <c r="HW54" s="2441"/>
      <c r="HX54" s="2441"/>
      <c r="HY54" s="2441"/>
      <c r="HZ54" s="2441"/>
      <c r="IA54" s="2441"/>
      <c r="IB54" s="2441"/>
      <c r="IC54" s="2443">
        <f>HT51+HV51+HX51+HZ51+IB51+ID51</f>
        <v>30</v>
      </c>
      <c r="ID54" s="2444">
        <f>HU51+HW51+HY51+IA51+IC51+IE51</f>
        <v>32</v>
      </c>
      <c r="IE54" s="2442">
        <f>IC54+ID54</f>
        <v>62</v>
      </c>
      <c r="IF54" s="2440"/>
      <c r="IG54" s="2441"/>
      <c r="IH54" s="2441"/>
      <c r="II54" s="2441"/>
      <c r="IJ54" s="2441"/>
      <c r="IK54" s="2441"/>
      <c r="IL54" s="2441"/>
      <c r="IM54" s="2441"/>
      <c r="IN54" s="2441"/>
      <c r="IO54" s="2443">
        <f>IF51+IH51+IJ51+IL51+IN51+IP51</f>
        <v>15</v>
      </c>
      <c r="IP54" s="2444">
        <f>IG51+II51+IK51+IM51+IO51+IQ51</f>
        <v>9</v>
      </c>
      <c r="IQ54" s="2442">
        <f>IO54+IP54</f>
        <v>24</v>
      </c>
      <c r="IR54" s="2440"/>
      <c r="IS54" s="2441"/>
      <c r="IT54" s="2441"/>
      <c r="IU54" s="2441"/>
      <c r="IV54" s="2441"/>
      <c r="IW54" s="2441"/>
      <c r="IX54" s="2441"/>
      <c r="IY54" s="2441"/>
      <c r="IZ54" s="2441"/>
      <c r="JA54" s="2443">
        <f>JA52+JA53</f>
        <v>0</v>
      </c>
      <c r="JB54" s="2444">
        <f t="shared" ref="JB54" si="209">JB52+JB53</f>
        <v>0</v>
      </c>
      <c r="JC54" s="2442">
        <f t="shared" ref="JC54" si="210">JC52+JC53</f>
        <v>0</v>
      </c>
      <c r="JD54" s="2440"/>
      <c r="JE54" s="2441"/>
      <c r="JF54" s="2441"/>
      <c r="JG54" s="2441"/>
      <c r="JH54" s="2441"/>
      <c r="JI54" s="2441"/>
      <c r="JJ54" s="2441"/>
      <c r="JK54" s="2441"/>
      <c r="JL54" s="2441"/>
      <c r="JM54" s="2443">
        <f>JD51+JF51+JH51+JJ51+JL51+JN51</f>
        <v>3</v>
      </c>
      <c r="JN54" s="2444">
        <f>JE51+JG51+JI51+JK51+JM51+JO51</f>
        <v>22</v>
      </c>
      <c r="JO54" s="2442">
        <f>JM54+JN54</f>
        <v>25</v>
      </c>
      <c r="JP54" s="2440"/>
      <c r="JQ54" s="2441"/>
      <c r="JR54" s="2441"/>
      <c r="JS54" s="2441"/>
      <c r="JT54" s="2441"/>
      <c r="JU54" s="2441"/>
      <c r="JV54" s="2441"/>
      <c r="JW54" s="2441"/>
      <c r="JX54" s="2441"/>
      <c r="JY54" s="2443">
        <f>JP51+JR51+JT51+JV51+JX51+JZ51</f>
        <v>0</v>
      </c>
      <c r="JZ54" s="2444">
        <f>JQ51+JS51+JU51+JW51+JY51+KA51</f>
        <v>0</v>
      </c>
      <c r="KA54" s="2442">
        <f>JY54+JZ54</f>
        <v>0</v>
      </c>
      <c r="KB54" s="2440"/>
      <c r="KC54" s="2441"/>
      <c r="KD54" s="2441"/>
      <c r="KE54" s="2441"/>
      <c r="KF54" s="2441"/>
      <c r="KG54" s="2442"/>
      <c r="KH54" s="2441"/>
    </row>
    <row r="55" spans="9:294" s="2445" customFormat="1" ht="11.25">
      <c r="I55" s="3366"/>
      <c r="J55" s="3380"/>
      <c r="K55" s="3380"/>
      <c r="L55" s="3380"/>
      <c r="M55" s="3380"/>
      <c r="N55" s="3380"/>
      <c r="O55" s="3380"/>
      <c r="P55" s="3380"/>
      <c r="Q55" s="3380"/>
      <c r="R55" s="3380"/>
      <c r="S55" s="3380"/>
      <c r="T55" s="3380"/>
      <c r="U55" s="3380"/>
      <c r="V55" s="3380"/>
      <c r="W55" s="3380"/>
      <c r="X55" s="3380"/>
      <c r="Y55" s="3380"/>
      <c r="Z55" s="3380"/>
      <c r="AA55" s="3380"/>
      <c r="AB55" s="3380"/>
      <c r="AC55" s="3380"/>
      <c r="AD55" s="3380"/>
      <c r="AE55" s="3380"/>
      <c r="AF55" s="3380"/>
      <c r="AG55" s="3380"/>
      <c r="AH55" s="3380"/>
      <c r="AI55" s="3380"/>
      <c r="AJ55" s="3380"/>
      <c r="AK55" s="3380"/>
      <c r="AL55" s="3380"/>
      <c r="AM55" s="2380"/>
      <c r="AN55" s="2380"/>
      <c r="AO55" s="2380"/>
      <c r="AP55" s="2380"/>
      <c r="AQ55" s="2380"/>
      <c r="AR55" s="2380"/>
      <c r="AS55" s="2380"/>
      <c r="AT55" s="2380"/>
      <c r="AU55" s="2380"/>
      <c r="AV55" s="2380"/>
      <c r="AW55" s="2789"/>
      <c r="AX55" s="779">
        <v>12</v>
      </c>
      <c r="AY55" s="3370">
        <f>Plantillas!AL477</f>
        <v>0</v>
      </c>
      <c r="AZ55" s="3370">
        <f>Plantillas!AL478</f>
        <v>0</v>
      </c>
      <c r="BA55" s="3370">
        <f>Plantillas!AL479</f>
        <v>0</v>
      </c>
      <c r="BB55" s="3370">
        <f>Plantillas!AL480</f>
        <v>0</v>
      </c>
      <c r="BC55" s="3370">
        <f>Plantillas!AL481</f>
        <v>0</v>
      </c>
      <c r="BD55" s="3370">
        <f>Plantillas!AL482</f>
        <v>0</v>
      </c>
      <c r="BE55" s="3370">
        <f>Plantillas!AL483</f>
        <v>0</v>
      </c>
      <c r="BF55" s="3370">
        <f>Plantillas!AL484</f>
        <v>0</v>
      </c>
      <c r="BG55" s="3370">
        <f>Plantillas!AL485</f>
        <v>0</v>
      </c>
      <c r="BH55" s="3370">
        <f>Plantillas!AL486</f>
        <v>0</v>
      </c>
      <c r="BI55" s="3370">
        <f>Plantillas!AL487</f>
        <v>0</v>
      </c>
      <c r="BJ55" s="3370">
        <f>Plantillas!AL488</f>
        <v>0</v>
      </c>
      <c r="BK55" s="3370">
        <f>Plantillas!AL489</f>
        <v>0</v>
      </c>
      <c r="BL55" s="3370">
        <f>Plantillas!AL490</f>
        <v>0</v>
      </c>
      <c r="BM55" s="3370">
        <f>Plantillas!AL491</f>
        <v>0</v>
      </c>
      <c r="BN55" s="3370">
        <f>Plantillas!AL492</f>
        <v>0</v>
      </c>
      <c r="BO55" s="3371">
        <f>Plantillas!AL493</f>
        <v>0</v>
      </c>
      <c r="BP55" s="3371">
        <f>Plantillas!AL494</f>
        <v>0</v>
      </c>
      <c r="BQ55" s="3370">
        <f>Plantillas!AL495</f>
        <v>0</v>
      </c>
      <c r="BR55" s="3377">
        <f>Plantillas!AL496</f>
        <v>0</v>
      </c>
      <c r="BS55" s="779">
        <v>12</v>
      </c>
      <c r="BT55" s="3370">
        <f>Plantillas!AM477</f>
        <v>0</v>
      </c>
      <c r="BU55" s="3370">
        <f>Plantillas!AM478</f>
        <v>0</v>
      </c>
      <c r="BV55" s="3370">
        <f>Plantillas!AM479</f>
        <v>0</v>
      </c>
      <c r="BW55" s="3370">
        <f>Plantillas!AM480</f>
        <v>0</v>
      </c>
      <c r="BX55" s="3370">
        <f>Plantillas!AM481</f>
        <v>0</v>
      </c>
      <c r="BY55" s="3370">
        <f>Plantillas!AM482</f>
        <v>0</v>
      </c>
      <c r="BZ55" s="3370">
        <f>Plantillas!AM483</f>
        <v>0</v>
      </c>
      <c r="CA55" s="3370">
        <f>Plantillas!AM484</f>
        <v>0</v>
      </c>
      <c r="CB55" s="3370">
        <f>Plantillas!AM485</f>
        <v>0</v>
      </c>
      <c r="CC55" s="3370">
        <f>Plantillas!AM486</f>
        <v>0</v>
      </c>
      <c r="CD55" s="3370">
        <f>Plantillas!AM487</f>
        <v>0</v>
      </c>
      <c r="CE55" s="3370">
        <f>Plantillas!AM488</f>
        <v>0</v>
      </c>
      <c r="CF55" s="3370">
        <f>Plantillas!AM489</f>
        <v>0</v>
      </c>
      <c r="CG55" s="3370">
        <f>Plantillas!AM490</f>
        <v>0</v>
      </c>
      <c r="CH55" s="3370">
        <f>Plantillas!AM491</f>
        <v>0</v>
      </c>
      <c r="CI55" s="3370">
        <f>Plantillas!AM492</f>
        <v>0</v>
      </c>
      <c r="CJ55" s="3371">
        <f>Plantillas!AM493</f>
        <v>0</v>
      </c>
      <c r="CK55" s="3371">
        <f>Plantillas!AM494</f>
        <v>0</v>
      </c>
      <c r="CL55" s="3370">
        <f>Plantillas!AM495</f>
        <v>0</v>
      </c>
      <c r="CM55" s="3377">
        <f>Plantillas!AM496</f>
        <v>0</v>
      </c>
      <c r="CN55" s="779">
        <v>12</v>
      </c>
      <c r="CO55" s="3370">
        <f>Plantillas!AN477</f>
        <v>0</v>
      </c>
      <c r="CP55" s="3370">
        <f>Plantillas!AN478</f>
        <v>0</v>
      </c>
      <c r="CQ55" s="3370">
        <f>Plantillas!AN479</f>
        <v>0</v>
      </c>
      <c r="CR55" s="3370">
        <f>Plantillas!AN480</f>
        <v>0</v>
      </c>
      <c r="CS55" s="3370">
        <f>Plantillas!AN481</f>
        <v>0</v>
      </c>
      <c r="CT55" s="3370">
        <f>Plantillas!AN482</f>
        <v>0</v>
      </c>
      <c r="CU55" s="3370">
        <f>Plantillas!AN483</f>
        <v>0</v>
      </c>
      <c r="CV55" s="3370">
        <f>Plantillas!AN484</f>
        <v>0</v>
      </c>
      <c r="CW55" s="3370">
        <f>Plantillas!AN485</f>
        <v>0</v>
      </c>
      <c r="CX55" s="3370">
        <f>Plantillas!AN486</f>
        <v>0</v>
      </c>
      <c r="CY55" s="3370">
        <f>Plantillas!AN487</f>
        <v>0</v>
      </c>
      <c r="CZ55" s="3370">
        <f>Plantillas!AN488</f>
        <v>0</v>
      </c>
      <c r="DA55" s="3370">
        <f>Plantillas!AN489</f>
        <v>0</v>
      </c>
      <c r="DB55" s="3370">
        <f>Plantillas!AN490</f>
        <v>0</v>
      </c>
      <c r="DC55" s="3370">
        <f>Plantillas!AN491</f>
        <v>0</v>
      </c>
      <c r="DD55" s="3370">
        <f>Plantillas!AN492</f>
        <v>0</v>
      </c>
      <c r="DE55" s="3371">
        <f>Plantillas!AN493</f>
        <v>0</v>
      </c>
      <c r="DF55" s="3371">
        <f>Plantillas!AN494</f>
        <v>0</v>
      </c>
      <c r="DG55" s="3370">
        <f>Plantillas!AN495</f>
        <v>0</v>
      </c>
      <c r="DH55" s="3377">
        <f>Plantillas!AN496</f>
        <v>0</v>
      </c>
      <c r="DI55" s="779">
        <v>12</v>
      </c>
      <c r="DJ55" s="3370">
        <f>Plantillas!AO477</f>
        <v>0</v>
      </c>
      <c r="DK55" s="3370">
        <f>Plantillas!AO478</f>
        <v>0</v>
      </c>
      <c r="DL55" s="3370">
        <f>Plantillas!AO479</f>
        <v>0</v>
      </c>
      <c r="DM55" s="3370">
        <f>Plantillas!AO480</f>
        <v>0</v>
      </c>
      <c r="DN55" s="3370">
        <f>Plantillas!AO481</f>
        <v>0</v>
      </c>
      <c r="DO55" s="3370">
        <f>Plantillas!AO482</f>
        <v>0</v>
      </c>
      <c r="DP55" s="3370">
        <f>Plantillas!AO483</f>
        <v>0</v>
      </c>
      <c r="DQ55" s="3370">
        <f>Plantillas!AO484</f>
        <v>0</v>
      </c>
      <c r="DR55" s="3370">
        <f>Plantillas!AO485</f>
        <v>0</v>
      </c>
      <c r="DS55" s="3370">
        <f>Plantillas!AO486</f>
        <v>0</v>
      </c>
      <c r="DT55" s="3370">
        <f>Plantillas!AO487</f>
        <v>0</v>
      </c>
      <c r="DU55" s="3370">
        <f>Plantillas!AO488</f>
        <v>0</v>
      </c>
      <c r="DV55" s="3370">
        <f>Plantillas!AO489</f>
        <v>0</v>
      </c>
      <c r="DW55" s="3370">
        <f>Plantillas!AO490</f>
        <v>0</v>
      </c>
      <c r="DX55" s="3370">
        <f>Plantillas!AO491</f>
        <v>0</v>
      </c>
      <c r="DY55" s="3370">
        <f>Plantillas!AO492</f>
        <v>0</v>
      </c>
      <c r="DZ55" s="3371">
        <f>Plantillas!AO493</f>
        <v>0</v>
      </c>
      <c r="EA55" s="3371">
        <f>Plantillas!AO494</f>
        <v>0</v>
      </c>
      <c r="EB55" s="3370">
        <f>Plantillas!AO495</f>
        <v>0</v>
      </c>
      <c r="EC55" s="3377">
        <f>Plantillas!AO496</f>
        <v>0</v>
      </c>
      <c r="ED55" s="779">
        <v>12</v>
      </c>
      <c r="EE55" s="3370">
        <f>Plantillas!AP477</f>
        <v>0</v>
      </c>
      <c r="EF55" s="3370">
        <f>Plantillas!AP478</f>
        <v>0</v>
      </c>
      <c r="EG55" s="3370">
        <f>Plantillas!AP479</f>
        <v>0</v>
      </c>
      <c r="EH55" s="3370">
        <f>Plantillas!AP480</f>
        <v>0</v>
      </c>
      <c r="EI55" s="3370">
        <f>Plantillas!AP481</f>
        <v>0</v>
      </c>
      <c r="EJ55" s="3370">
        <f>Plantillas!AP482</f>
        <v>0</v>
      </c>
      <c r="EK55" s="3370">
        <f>Plantillas!AP483</f>
        <v>0</v>
      </c>
      <c r="EL55" s="3370">
        <f>Plantillas!AP484</f>
        <v>0</v>
      </c>
      <c r="EM55" s="3370">
        <f>Plantillas!AP485</f>
        <v>0</v>
      </c>
      <c r="EN55" s="3370">
        <f>Plantillas!AP486</f>
        <v>0</v>
      </c>
      <c r="EO55" s="3370">
        <f>Plantillas!AP487</f>
        <v>0</v>
      </c>
      <c r="EP55" s="3370">
        <f>Plantillas!AP488</f>
        <v>0</v>
      </c>
      <c r="EQ55" s="3370">
        <f>Plantillas!AP489</f>
        <v>0</v>
      </c>
      <c r="ER55" s="3370">
        <f>Plantillas!AP490</f>
        <v>0</v>
      </c>
      <c r="ES55" s="3370">
        <f>Plantillas!AP491</f>
        <v>0</v>
      </c>
      <c r="ET55" s="3370">
        <f>Plantillas!AP492</f>
        <v>0</v>
      </c>
      <c r="EU55" s="3371">
        <f>Plantillas!AP493</f>
        <v>0</v>
      </c>
      <c r="EV55" s="3371">
        <f>Plantillas!AP494</f>
        <v>0</v>
      </c>
      <c r="EW55" s="3370">
        <f>Plantillas!AP495</f>
        <v>0</v>
      </c>
      <c r="EX55" s="3377">
        <f>Plantillas!AP496</f>
        <v>0</v>
      </c>
      <c r="EY55" s="779">
        <v>12</v>
      </c>
      <c r="EZ55" s="3370">
        <f>Plantillas!AQ477</f>
        <v>0</v>
      </c>
      <c r="FA55" s="3370">
        <f>Plantillas!AQ478</f>
        <v>0</v>
      </c>
      <c r="FB55" s="3370">
        <f>Plantillas!AQ479</f>
        <v>0</v>
      </c>
      <c r="FC55" s="3370">
        <f>Plantillas!AQ480</f>
        <v>0</v>
      </c>
      <c r="FD55" s="3370">
        <f>Plantillas!AQ481</f>
        <v>0</v>
      </c>
      <c r="FE55" s="3370">
        <f>Plantillas!AQ482</f>
        <v>0</v>
      </c>
      <c r="FF55" s="3370">
        <f>Plantillas!AQ483</f>
        <v>0</v>
      </c>
      <c r="FG55" s="3370">
        <f>Plantillas!AQ484</f>
        <v>0</v>
      </c>
      <c r="FH55" s="3370">
        <f>Plantillas!AQ485</f>
        <v>0</v>
      </c>
      <c r="FI55" s="3370">
        <f>Plantillas!AQ486</f>
        <v>0</v>
      </c>
      <c r="FJ55" s="3370">
        <f>Plantillas!AQ487</f>
        <v>0</v>
      </c>
      <c r="FK55" s="3370">
        <f>Plantillas!AQ488</f>
        <v>0</v>
      </c>
      <c r="FL55" s="3370">
        <f>Plantillas!AQ489</f>
        <v>0</v>
      </c>
      <c r="FM55" s="3370">
        <f>Plantillas!AQ490</f>
        <v>0</v>
      </c>
      <c r="FN55" s="3370">
        <f>Plantillas!AQ491</f>
        <v>0</v>
      </c>
      <c r="FO55" s="3370">
        <f>Plantillas!AQ492</f>
        <v>0</v>
      </c>
      <c r="FP55" s="3371">
        <f>Plantillas!AQ493</f>
        <v>0</v>
      </c>
      <c r="FQ55" s="3371">
        <f>Plantillas!AQ494</f>
        <v>0</v>
      </c>
      <c r="FR55" s="3370">
        <f>Plantillas!AQ495</f>
        <v>0</v>
      </c>
      <c r="FS55" s="3377">
        <f>Plantillas!AQ496</f>
        <v>0</v>
      </c>
      <c r="GC55" s="778" t="s">
        <v>470</v>
      </c>
      <c r="GD55" s="2386">
        <f t="shared" ref="GD55:GW55" si="211">COUNTIF(EN13:EN17,"20")</f>
        <v>3</v>
      </c>
      <c r="GE55" s="2386">
        <f t="shared" si="211"/>
        <v>1</v>
      </c>
      <c r="GF55" s="2386">
        <f t="shared" si="211"/>
        <v>2</v>
      </c>
      <c r="GG55" s="2386">
        <f t="shared" si="211"/>
        <v>4</v>
      </c>
      <c r="GH55" s="2386">
        <f t="shared" si="211"/>
        <v>2</v>
      </c>
      <c r="GI55" s="2386">
        <f t="shared" si="211"/>
        <v>3</v>
      </c>
      <c r="GJ55" s="2386">
        <f t="shared" si="211"/>
        <v>3</v>
      </c>
      <c r="GK55" s="2386">
        <f t="shared" si="211"/>
        <v>4</v>
      </c>
      <c r="GL55" s="2386">
        <f t="shared" si="211"/>
        <v>3</v>
      </c>
      <c r="GM55" s="2386">
        <f t="shared" si="211"/>
        <v>2</v>
      </c>
      <c r="GN55" s="2386">
        <f t="shared" si="211"/>
        <v>2</v>
      </c>
      <c r="GO55" s="2386">
        <f t="shared" si="211"/>
        <v>2</v>
      </c>
      <c r="GP55" s="2386">
        <f t="shared" si="211"/>
        <v>2</v>
      </c>
      <c r="GQ55" s="2386">
        <f t="shared" si="211"/>
        <v>2</v>
      </c>
      <c r="GR55" s="2386">
        <f t="shared" si="211"/>
        <v>1</v>
      </c>
      <c r="GS55" s="2386">
        <f t="shared" si="211"/>
        <v>1</v>
      </c>
      <c r="GT55" s="2386">
        <f t="shared" si="211"/>
        <v>1</v>
      </c>
      <c r="GU55" s="2386">
        <f t="shared" si="211"/>
        <v>0</v>
      </c>
      <c r="GV55" s="2386">
        <f t="shared" si="211"/>
        <v>0</v>
      </c>
      <c r="GW55" s="2386">
        <f t="shared" si="211"/>
        <v>0</v>
      </c>
      <c r="GX55" s="778"/>
      <c r="GY55" s="2386"/>
      <c r="HG55" s="778">
        <v>31</v>
      </c>
      <c r="HH55" s="2446"/>
      <c r="HI55" s="2447"/>
      <c r="HJ55" s="2447"/>
      <c r="HK55" s="2447"/>
      <c r="HL55" s="2447"/>
      <c r="HM55" s="2447"/>
      <c r="HN55" s="2447"/>
      <c r="HO55" s="2447"/>
      <c r="HP55" s="2447"/>
      <c r="HQ55" s="2448">
        <f>HQ53+HQ54</f>
        <v>1773</v>
      </c>
      <c r="HR55" s="2449">
        <f t="shared" ref="HR55:HS55" si="212">HR53+HR54</f>
        <v>1547</v>
      </c>
      <c r="HS55" s="2450">
        <f t="shared" si="212"/>
        <v>3320</v>
      </c>
      <c r="HT55" s="2446"/>
      <c r="HU55" s="2447"/>
      <c r="HV55" s="2447"/>
      <c r="HW55" s="2447"/>
      <c r="HX55" s="2447"/>
      <c r="HY55" s="2447"/>
      <c r="HZ55" s="2447"/>
      <c r="IA55" s="2447"/>
      <c r="IB55" s="2447"/>
      <c r="IC55" s="2448">
        <f>IC53+IC54</f>
        <v>121</v>
      </c>
      <c r="ID55" s="2449">
        <f t="shared" ref="ID55" si="213">ID53+ID54</f>
        <v>122</v>
      </c>
      <c r="IE55" s="2450">
        <f t="shared" ref="IE55" si="214">IE53+IE54</f>
        <v>243</v>
      </c>
      <c r="IF55" s="2446"/>
      <c r="IG55" s="2447"/>
      <c r="IH55" s="2447"/>
      <c r="II55" s="2447"/>
      <c r="IJ55" s="2447"/>
      <c r="IK55" s="2447"/>
      <c r="IL55" s="2447"/>
      <c r="IM55" s="2447"/>
      <c r="IN55" s="2447"/>
      <c r="IO55" s="2448">
        <f>IO53+IO54</f>
        <v>192</v>
      </c>
      <c r="IP55" s="2449">
        <f t="shared" ref="IP55" si="215">IP53+IP54</f>
        <v>138</v>
      </c>
      <c r="IQ55" s="2450">
        <f t="shared" ref="IQ55" si="216">IQ53+IQ54</f>
        <v>330</v>
      </c>
      <c r="IR55" s="2446"/>
      <c r="IS55" s="2447"/>
      <c r="IT55" s="2447"/>
      <c r="IU55" s="2447"/>
      <c r="IV55" s="2447"/>
      <c r="IW55" s="2447"/>
      <c r="IX55" s="2447"/>
      <c r="IY55" s="2447"/>
      <c r="IZ55" s="2447"/>
      <c r="JA55" s="2447"/>
      <c r="JB55" s="2447"/>
      <c r="JC55" s="2451"/>
      <c r="JD55" s="2446"/>
      <c r="JE55" s="2447"/>
      <c r="JF55" s="2447"/>
      <c r="JG55" s="2447"/>
      <c r="JH55" s="2447"/>
      <c r="JI55" s="2447"/>
      <c r="JJ55" s="2447"/>
      <c r="JK55" s="2447"/>
      <c r="JL55" s="2447"/>
      <c r="JM55" s="2448">
        <f>JM53+JM54</f>
        <v>38</v>
      </c>
      <c r="JN55" s="2449">
        <f t="shared" ref="JN55" si="217">JN53+JN54</f>
        <v>80</v>
      </c>
      <c r="JO55" s="2450">
        <f t="shared" ref="JO55" si="218">JO53+JO54</f>
        <v>118</v>
      </c>
      <c r="JP55" s="2446"/>
      <c r="JQ55" s="2447"/>
      <c r="JR55" s="2447"/>
      <c r="JS55" s="2447"/>
      <c r="JT55" s="2447"/>
      <c r="JU55" s="2447"/>
      <c r="JV55" s="2447"/>
      <c r="JW55" s="2447"/>
      <c r="JX55" s="2447"/>
      <c r="JY55" s="2448">
        <f>JY53+JY54</f>
        <v>0</v>
      </c>
      <c r="JZ55" s="2449">
        <f t="shared" ref="JZ55" si="219">JZ53+JZ54</f>
        <v>0</v>
      </c>
      <c r="KA55" s="2450">
        <f t="shared" ref="KA55" si="220">KA53+KA54</f>
        <v>0</v>
      </c>
      <c r="KB55" s="2446"/>
      <c r="KC55" s="2447"/>
      <c r="KD55" s="2447"/>
      <c r="KE55" s="2447"/>
      <c r="KF55" s="2447"/>
      <c r="KG55" s="2451"/>
    </row>
    <row r="56" spans="9:294">
      <c r="I56" s="74"/>
      <c r="J56" s="2164"/>
      <c r="K56" s="2164"/>
      <c r="L56" s="2164"/>
      <c r="M56" s="2164"/>
      <c r="N56" s="2164"/>
      <c r="O56" s="2164"/>
      <c r="P56" s="2164"/>
      <c r="Q56" s="2164"/>
      <c r="R56" s="2164"/>
      <c r="S56" s="2164"/>
      <c r="T56" s="2164"/>
      <c r="U56" s="2164"/>
      <c r="V56" s="2164"/>
      <c r="W56" s="2164"/>
      <c r="X56" s="2164"/>
      <c r="Y56" s="2164"/>
      <c r="Z56" s="2164"/>
      <c r="AA56" s="2164"/>
      <c r="AB56" s="2164"/>
      <c r="AC56" s="2164"/>
      <c r="AD56" s="2164"/>
      <c r="AE56" s="2164"/>
      <c r="AF56" s="2164"/>
      <c r="AG56" s="2164"/>
      <c r="AH56" s="2164"/>
      <c r="AI56" s="2164"/>
      <c r="AJ56" s="2164"/>
      <c r="AK56" s="2164"/>
      <c r="AL56" s="2164"/>
      <c r="AM56" s="27"/>
      <c r="AN56" s="27"/>
      <c r="AO56" s="27"/>
      <c r="AP56" s="27"/>
      <c r="AQ56" s="27"/>
      <c r="AR56" s="27"/>
      <c r="AS56" s="27"/>
      <c r="AT56" s="27"/>
      <c r="AU56" s="27"/>
      <c r="AV56" s="27"/>
      <c r="AX56" s="779">
        <v>13</v>
      </c>
      <c r="AY56" s="3370">
        <f>Plantillas!AL517</f>
        <v>0</v>
      </c>
      <c r="AZ56" s="3370">
        <f>Plantillas!AL518</f>
        <v>6.5</v>
      </c>
      <c r="BA56" s="3370">
        <f>Plantillas!AL519</f>
        <v>8.1999999999999993</v>
      </c>
      <c r="BB56" s="3370">
        <f>Plantillas!AL520</f>
        <v>6.4</v>
      </c>
      <c r="BC56" s="3370">
        <f>Plantillas!AL521</f>
        <v>7.5</v>
      </c>
      <c r="BD56" s="3370">
        <f>Plantillas!AL522</f>
        <v>7</v>
      </c>
      <c r="BE56" s="3370">
        <f>Plantillas!AL523</f>
        <v>6.1</v>
      </c>
      <c r="BF56" s="3370">
        <f>Plantillas!AL524</f>
        <v>0</v>
      </c>
      <c r="BG56" s="3370">
        <f>Plantillas!AL525</f>
        <v>0</v>
      </c>
      <c r="BH56" s="3370">
        <f>Plantillas!AL526</f>
        <v>0</v>
      </c>
      <c r="BI56" s="3370">
        <f>Plantillas!AL527</f>
        <v>0</v>
      </c>
      <c r="BJ56" s="3370">
        <f>Plantillas!AL528</f>
        <v>0</v>
      </c>
      <c r="BK56" s="3370">
        <f>Plantillas!AL529</f>
        <v>0</v>
      </c>
      <c r="BL56" s="3370">
        <f>Plantillas!AL530</f>
        <v>0</v>
      </c>
      <c r="BM56" s="3370">
        <f>Plantillas!AL531</f>
        <v>0</v>
      </c>
      <c r="BN56" s="3370">
        <f>Plantillas!AL532</f>
        <v>0</v>
      </c>
      <c r="BO56" s="3371">
        <f>Plantillas!AL533</f>
        <v>0</v>
      </c>
      <c r="BP56" s="3371">
        <f>Plantillas!AL534</f>
        <v>0</v>
      </c>
      <c r="BQ56" s="3370">
        <f>Plantillas!AL535</f>
        <v>0</v>
      </c>
      <c r="BR56" s="3377">
        <f>Plantillas!AL536</f>
        <v>0</v>
      </c>
      <c r="BS56" s="779">
        <v>13</v>
      </c>
      <c r="BT56" s="3370">
        <f>Plantillas!AM517</f>
        <v>0</v>
      </c>
      <c r="BU56" s="3370">
        <f>Plantillas!AM518</f>
        <v>0</v>
      </c>
      <c r="BV56" s="3370">
        <f>Plantillas!AM519</f>
        <v>0</v>
      </c>
      <c r="BW56" s="3370">
        <f>Plantillas!AM520</f>
        <v>0</v>
      </c>
      <c r="BX56" s="3370">
        <f>Plantillas!AM521</f>
        <v>0</v>
      </c>
      <c r="BY56" s="3370">
        <f>Plantillas!AM522</f>
        <v>0</v>
      </c>
      <c r="BZ56" s="3370">
        <f>Plantillas!AM523</f>
        <v>0</v>
      </c>
      <c r="CA56" s="3370">
        <f>Plantillas!AM524</f>
        <v>0</v>
      </c>
      <c r="CB56" s="3370">
        <f>Plantillas!AM525</f>
        <v>0</v>
      </c>
      <c r="CC56" s="3370">
        <f>Plantillas!AM526</f>
        <v>0</v>
      </c>
      <c r="CD56" s="3370">
        <f>Plantillas!AM527</f>
        <v>0</v>
      </c>
      <c r="CE56" s="3370">
        <f>Plantillas!AM528</f>
        <v>0</v>
      </c>
      <c r="CF56" s="3370">
        <f>Plantillas!AM529</f>
        <v>0</v>
      </c>
      <c r="CG56" s="3370">
        <f>Plantillas!AM530</f>
        <v>0</v>
      </c>
      <c r="CH56" s="3370">
        <f>Plantillas!AM531</f>
        <v>0</v>
      </c>
      <c r="CI56" s="3370">
        <f>Plantillas!AM532</f>
        <v>0</v>
      </c>
      <c r="CJ56" s="3371">
        <f>Plantillas!AM533</f>
        <v>0</v>
      </c>
      <c r="CK56" s="3371">
        <f>Plantillas!AM534</f>
        <v>0</v>
      </c>
      <c r="CL56" s="3370">
        <f>Plantillas!AM535</f>
        <v>0</v>
      </c>
      <c r="CM56" s="3377">
        <f>Plantillas!AM536</f>
        <v>0</v>
      </c>
      <c r="CN56" s="779">
        <v>13</v>
      </c>
      <c r="CO56" s="3370">
        <f>Plantillas!AN517</f>
        <v>0</v>
      </c>
      <c r="CP56" s="3370">
        <f>Plantillas!AN518</f>
        <v>0</v>
      </c>
      <c r="CQ56" s="3370">
        <f>Plantillas!AN519</f>
        <v>0</v>
      </c>
      <c r="CR56" s="3370">
        <f>Plantillas!AN520</f>
        <v>0</v>
      </c>
      <c r="CS56" s="3370">
        <f>Plantillas!AN521</f>
        <v>0</v>
      </c>
      <c r="CT56" s="3370">
        <f>Plantillas!AN522</f>
        <v>0</v>
      </c>
      <c r="CU56" s="3370">
        <f>Plantillas!AN523</f>
        <v>0</v>
      </c>
      <c r="CV56" s="3370">
        <f>Plantillas!AN524</f>
        <v>0</v>
      </c>
      <c r="CW56" s="3370">
        <f>Plantillas!AN525</f>
        <v>0</v>
      </c>
      <c r="CX56" s="3370">
        <f>Plantillas!AN526</f>
        <v>0</v>
      </c>
      <c r="CY56" s="3370">
        <f>Plantillas!AN527</f>
        <v>0</v>
      </c>
      <c r="CZ56" s="3370">
        <f>Plantillas!AN528</f>
        <v>0</v>
      </c>
      <c r="DA56" s="3370">
        <f>Plantillas!AN529</f>
        <v>0</v>
      </c>
      <c r="DB56" s="3370">
        <f>Plantillas!AN530</f>
        <v>0</v>
      </c>
      <c r="DC56" s="3370">
        <f>Plantillas!AN531</f>
        <v>0</v>
      </c>
      <c r="DD56" s="3370">
        <f>Plantillas!AN532</f>
        <v>0</v>
      </c>
      <c r="DE56" s="3371">
        <f>Plantillas!AN533</f>
        <v>0</v>
      </c>
      <c r="DF56" s="3371">
        <f>Plantillas!AN534</f>
        <v>0</v>
      </c>
      <c r="DG56" s="3370">
        <f>Plantillas!AN535</f>
        <v>0</v>
      </c>
      <c r="DH56" s="3377">
        <f>Plantillas!AN536</f>
        <v>0</v>
      </c>
      <c r="DI56" s="779">
        <v>13</v>
      </c>
      <c r="DJ56" s="3370">
        <f>Plantillas!AO517</f>
        <v>0</v>
      </c>
      <c r="DK56" s="3370">
        <f>Plantillas!AO518</f>
        <v>0</v>
      </c>
      <c r="DL56" s="3370">
        <f>Plantillas!AO519</f>
        <v>0</v>
      </c>
      <c r="DM56" s="3370">
        <f>Plantillas!AO520</f>
        <v>0</v>
      </c>
      <c r="DN56" s="3370">
        <f>Plantillas!AO521</f>
        <v>0</v>
      </c>
      <c r="DO56" s="3370">
        <f>Plantillas!AO522</f>
        <v>0</v>
      </c>
      <c r="DP56" s="3370">
        <f>Plantillas!AO523</f>
        <v>0</v>
      </c>
      <c r="DQ56" s="3370">
        <f>Plantillas!AO524</f>
        <v>0</v>
      </c>
      <c r="DR56" s="3370">
        <f>Plantillas!AO525</f>
        <v>0</v>
      </c>
      <c r="DS56" s="3370">
        <f>Plantillas!AO526</f>
        <v>0</v>
      </c>
      <c r="DT56" s="3370">
        <f>Plantillas!AO527</f>
        <v>0</v>
      </c>
      <c r="DU56" s="3370">
        <f>Plantillas!AO528</f>
        <v>0</v>
      </c>
      <c r="DV56" s="3370">
        <f>Plantillas!AO529</f>
        <v>0</v>
      </c>
      <c r="DW56" s="3370">
        <f>Plantillas!AO530</f>
        <v>0</v>
      </c>
      <c r="DX56" s="3370">
        <f>Plantillas!AO531</f>
        <v>0</v>
      </c>
      <c r="DY56" s="3370">
        <f>Plantillas!AO532</f>
        <v>0</v>
      </c>
      <c r="DZ56" s="3371">
        <f>Plantillas!AO533</f>
        <v>0</v>
      </c>
      <c r="EA56" s="3371">
        <f>Plantillas!AO534</f>
        <v>0</v>
      </c>
      <c r="EB56" s="3370">
        <f>Plantillas!AO535</f>
        <v>0</v>
      </c>
      <c r="EC56" s="3377">
        <f>Plantillas!AO536</f>
        <v>0</v>
      </c>
      <c r="ED56" s="779">
        <v>13</v>
      </c>
      <c r="EE56" s="3370">
        <f>Plantillas!AP517</f>
        <v>0</v>
      </c>
      <c r="EF56" s="3370">
        <f>Plantillas!AP518</f>
        <v>0</v>
      </c>
      <c r="EG56" s="3370">
        <f>Plantillas!AP519</f>
        <v>0</v>
      </c>
      <c r="EH56" s="3370">
        <f>Plantillas!AP520</f>
        <v>0</v>
      </c>
      <c r="EI56" s="3370">
        <f>Plantillas!AP521</f>
        <v>0</v>
      </c>
      <c r="EJ56" s="3370">
        <f>Plantillas!AP522</f>
        <v>0</v>
      </c>
      <c r="EK56" s="3370">
        <f>Plantillas!AP523</f>
        <v>0</v>
      </c>
      <c r="EL56" s="3370">
        <f>Plantillas!AP524</f>
        <v>0</v>
      </c>
      <c r="EM56" s="3370">
        <f>Plantillas!AP525</f>
        <v>0</v>
      </c>
      <c r="EN56" s="3370">
        <f>Plantillas!AP526</f>
        <v>0</v>
      </c>
      <c r="EO56" s="3370">
        <f>Plantillas!AP527</f>
        <v>0</v>
      </c>
      <c r="EP56" s="3370">
        <f>Plantillas!AP528</f>
        <v>0</v>
      </c>
      <c r="EQ56" s="3370">
        <f>Plantillas!AP529</f>
        <v>0</v>
      </c>
      <c r="ER56" s="3370">
        <f>Plantillas!AP530</f>
        <v>0</v>
      </c>
      <c r="ES56" s="3370">
        <f>Plantillas!AP531</f>
        <v>0</v>
      </c>
      <c r="ET56" s="3370">
        <f>Plantillas!AP532</f>
        <v>0</v>
      </c>
      <c r="EU56" s="3371">
        <f>Plantillas!AP533</f>
        <v>0</v>
      </c>
      <c r="EV56" s="3371">
        <f>Plantillas!AP534</f>
        <v>0</v>
      </c>
      <c r="EW56" s="3370">
        <f>Plantillas!AP535</f>
        <v>0</v>
      </c>
      <c r="EX56" s="3377">
        <f>Plantillas!AP536</f>
        <v>0</v>
      </c>
      <c r="EY56" s="779">
        <v>13</v>
      </c>
      <c r="EZ56" s="3370">
        <f>Plantillas!AQ517</f>
        <v>0</v>
      </c>
      <c r="FA56" s="3370">
        <f>Plantillas!AQ518</f>
        <v>0</v>
      </c>
      <c r="FB56" s="3370">
        <f>Plantillas!AQ519</f>
        <v>0</v>
      </c>
      <c r="FC56" s="3370">
        <f>Plantillas!AQ520</f>
        <v>0</v>
      </c>
      <c r="FD56" s="3370">
        <f>Plantillas!AQ521</f>
        <v>0</v>
      </c>
      <c r="FE56" s="3370">
        <f>Plantillas!AQ522</f>
        <v>0</v>
      </c>
      <c r="FF56" s="3370">
        <f>Plantillas!AQ523</f>
        <v>0</v>
      </c>
      <c r="FG56" s="3370">
        <f>Plantillas!AQ524</f>
        <v>0</v>
      </c>
      <c r="FH56" s="3370">
        <f>Plantillas!AQ525</f>
        <v>0</v>
      </c>
      <c r="FI56" s="3370">
        <f>Plantillas!AQ526</f>
        <v>0</v>
      </c>
      <c r="FJ56" s="3370">
        <f>Plantillas!AQ527</f>
        <v>0</v>
      </c>
      <c r="FK56" s="3370">
        <f>Plantillas!AQ528</f>
        <v>0</v>
      </c>
      <c r="FL56" s="3370">
        <f>Plantillas!AQ529</f>
        <v>0</v>
      </c>
      <c r="FM56" s="3370">
        <f>Plantillas!AQ530</f>
        <v>0</v>
      </c>
      <c r="FN56" s="3370">
        <f>Plantillas!AQ531</f>
        <v>0</v>
      </c>
      <c r="FO56" s="3370">
        <f>Plantillas!AQ532</f>
        <v>0</v>
      </c>
      <c r="FP56" s="3371">
        <f>Plantillas!AQ533</f>
        <v>0</v>
      </c>
      <c r="FQ56" s="3371">
        <f>Plantillas!AQ534</f>
        <v>0</v>
      </c>
      <c r="FR56" s="3370">
        <f>Plantillas!AQ535</f>
        <v>0</v>
      </c>
      <c r="FS56" s="3377">
        <f>Plantillas!AQ536</f>
        <v>0</v>
      </c>
    </row>
    <row r="57" spans="9:294">
      <c r="J57" s="27"/>
      <c r="K57" s="27"/>
      <c r="L57" s="27"/>
      <c r="M57" s="27"/>
      <c r="N57" s="27"/>
      <c r="O57" s="27"/>
      <c r="P57" s="27"/>
      <c r="Q57" s="27"/>
      <c r="R57" s="27"/>
      <c r="S57" s="27"/>
      <c r="T57" s="27"/>
      <c r="U57" s="27"/>
      <c r="V57" s="27"/>
      <c r="W57" s="27"/>
      <c r="X57" s="27"/>
      <c r="Y57" s="27"/>
      <c r="Z57" s="27"/>
      <c r="AA57" s="27"/>
      <c r="AB57" s="27"/>
      <c r="AC57" s="27"/>
      <c r="AD57" s="27"/>
      <c r="AE57" s="27"/>
      <c r="AF57" s="27"/>
      <c r="AG57" s="27"/>
      <c r="AH57" s="27"/>
      <c r="AI57" s="27"/>
      <c r="AJ57" s="27"/>
      <c r="AK57" s="27"/>
      <c r="AL57" s="27"/>
      <c r="AM57" s="27"/>
      <c r="AN57" s="27"/>
      <c r="AO57" s="27"/>
      <c r="AP57" s="27"/>
      <c r="AQ57" s="27"/>
      <c r="AR57" s="27"/>
      <c r="AS57" s="27"/>
      <c r="AT57" s="27"/>
      <c r="AU57" s="27"/>
      <c r="AV57" s="27"/>
      <c r="AX57" s="779">
        <v>14</v>
      </c>
      <c r="AY57" s="3370">
        <f>Plantillas!AL557</f>
        <v>0</v>
      </c>
      <c r="AZ57" s="3370">
        <f>Plantillas!AL558</f>
        <v>0</v>
      </c>
      <c r="BA57" s="3370">
        <f>Plantillas!AL559</f>
        <v>0</v>
      </c>
      <c r="BB57" s="3370">
        <f>Plantillas!AL560</f>
        <v>0</v>
      </c>
      <c r="BC57" s="3370">
        <f>Plantillas!AL561</f>
        <v>0</v>
      </c>
      <c r="BD57" s="3370">
        <f>Plantillas!AL562</f>
        <v>0</v>
      </c>
      <c r="BE57" s="3370">
        <f>Plantillas!AL563</f>
        <v>0</v>
      </c>
      <c r="BF57" s="3370">
        <f>Plantillas!AL564</f>
        <v>0</v>
      </c>
      <c r="BG57" s="3370">
        <f>Plantillas!AL565</f>
        <v>0</v>
      </c>
      <c r="BH57" s="3370">
        <f>Plantillas!AL566</f>
        <v>0</v>
      </c>
      <c r="BI57" s="3370">
        <f>Plantillas!AL567</f>
        <v>0</v>
      </c>
      <c r="BJ57" s="3370">
        <f>Plantillas!AL568</f>
        <v>0</v>
      </c>
      <c r="BK57" s="3370">
        <f>Plantillas!AL569</f>
        <v>0</v>
      </c>
      <c r="BL57" s="3370">
        <f>Plantillas!AL570</f>
        <v>0</v>
      </c>
      <c r="BM57" s="3370">
        <f>Plantillas!AL571</f>
        <v>0</v>
      </c>
      <c r="BN57" s="3370">
        <f>Plantillas!AL572</f>
        <v>0</v>
      </c>
      <c r="BO57" s="3371">
        <f>Plantillas!AL573</f>
        <v>0</v>
      </c>
      <c r="BP57" s="3371">
        <f>Plantillas!AL574</f>
        <v>0</v>
      </c>
      <c r="BQ57" s="3370">
        <f>Plantillas!AL575</f>
        <v>0</v>
      </c>
      <c r="BR57" s="3377">
        <f>Plantillas!AL576</f>
        <v>0</v>
      </c>
      <c r="BS57" s="779">
        <v>14</v>
      </c>
      <c r="BT57" s="3370">
        <f>Plantillas!AM557</f>
        <v>0</v>
      </c>
      <c r="BU57" s="3370">
        <f>Plantillas!AM558</f>
        <v>0</v>
      </c>
      <c r="BV57" s="3370">
        <f>Plantillas!AM559</f>
        <v>0</v>
      </c>
      <c r="BW57" s="3370">
        <f>Plantillas!AM560</f>
        <v>0</v>
      </c>
      <c r="BX57" s="3370">
        <f>Plantillas!AM561</f>
        <v>0</v>
      </c>
      <c r="BY57" s="3370">
        <f>Plantillas!AM562</f>
        <v>0</v>
      </c>
      <c r="BZ57" s="3370">
        <f>Plantillas!AM563</f>
        <v>0</v>
      </c>
      <c r="CA57" s="3370">
        <f>Plantillas!AM564</f>
        <v>0</v>
      </c>
      <c r="CB57" s="3370">
        <f>Plantillas!AM565</f>
        <v>0</v>
      </c>
      <c r="CC57" s="3370">
        <f>Plantillas!AM566</f>
        <v>0</v>
      </c>
      <c r="CD57" s="3370">
        <f>Plantillas!AM567</f>
        <v>0</v>
      </c>
      <c r="CE57" s="3370">
        <f>Plantillas!AM568</f>
        <v>0</v>
      </c>
      <c r="CF57" s="3370">
        <f>Plantillas!AM569</f>
        <v>0</v>
      </c>
      <c r="CG57" s="3370">
        <f>Plantillas!AM570</f>
        <v>0</v>
      </c>
      <c r="CH57" s="3370">
        <f>Plantillas!AM571</f>
        <v>0</v>
      </c>
      <c r="CI57" s="3370">
        <f>Plantillas!AM572</f>
        <v>0</v>
      </c>
      <c r="CJ57" s="3371">
        <f>Plantillas!AM573</f>
        <v>0</v>
      </c>
      <c r="CK57" s="3371">
        <f>Plantillas!AM574</f>
        <v>0</v>
      </c>
      <c r="CL57" s="3370">
        <f>Plantillas!AM575</f>
        <v>0</v>
      </c>
      <c r="CM57" s="3377">
        <f>Plantillas!AM576</f>
        <v>0</v>
      </c>
      <c r="CN57" s="779">
        <v>14</v>
      </c>
      <c r="CO57" s="3370">
        <f>Plantillas!AN557</f>
        <v>0</v>
      </c>
      <c r="CP57" s="3370">
        <f>Plantillas!AN558</f>
        <v>0</v>
      </c>
      <c r="CQ57" s="3370">
        <f>Plantillas!AN559</f>
        <v>0</v>
      </c>
      <c r="CR57" s="3370">
        <f>Plantillas!AN560</f>
        <v>0</v>
      </c>
      <c r="CS57" s="3370">
        <f>Plantillas!AN561</f>
        <v>0</v>
      </c>
      <c r="CT57" s="3370">
        <f>Plantillas!AN562</f>
        <v>0</v>
      </c>
      <c r="CU57" s="3370">
        <f>Plantillas!AN563</f>
        <v>0</v>
      </c>
      <c r="CV57" s="3370">
        <f>Plantillas!AN564</f>
        <v>0</v>
      </c>
      <c r="CW57" s="3370">
        <f>Plantillas!AN565</f>
        <v>0</v>
      </c>
      <c r="CX57" s="3370">
        <f>Plantillas!AN566</f>
        <v>0</v>
      </c>
      <c r="CY57" s="3370">
        <f>Plantillas!AN567</f>
        <v>0</v>
      </c>
      <c r="CZ57" s="3370">
        <f>Plantillas!AN568</f>
        <v>0</v>
      </c>
      <c r="DA57" s="3370">
        <f>Plantillas!AN569</f>
        <v>0</v>
      </c>
      <c r="DB57" s="3370">
        <f>Plantillas!AN570</f>
        <v>0</v>
      </c>
      <c r="DC57" s="3370">
        <f>Plantillas!AN571</f>
        <v>0</v>
      </c>
      <c r="DD57" s="3370">
        <f>Plantillas!AN572</f>
        <v>0</v>
      </c>
      <c r="DE57" s="3371">
        <f>Plantillas!AN573</f>
        <v>0</v>
      </c>
      <c r="DF57" s="3371">
        <f>Plantillas!AN574</f>
        <v>0</v>
      </c>
      <c r="DG57" s="3370">
        <f>Plantillas!AN575</f>
        <v>0</v>
      </c>
      <c r="DH57" s="3377">
        <f>Plantillas!AN576</f>
        <v>0</v>
      </c>
      <c r="DI57" s="779">
        <v>14</v>
      </c>
      <c r="DJ57" s="3370">
        <f>Plantillas!AO557</f>
        <v>0</v>
      </c>
      <c r="DK57" s="3370">
        <f>Plantillas!AO558</f>
        <v>0</v>
      </c>
      <c r="DL57" s="3370">
        <f>Plantillas!AO559</f>
        <v>0</v>
      </c>
      <c r="DM57" s="3370">
        <f>Plantillas!AO560</f>
        <v>0</v>
      </c>
      <c r="DN57" s="3370">
        <f>Plantillas!AO561</f>
        <v>0</v>
      </c>
      <c r="DO57" s="3370">
        <f>Plantillas!AO562</f>
        <v>0</v>
      </c>
      <c r="DP57" s="3370">
        <f>Plantillas!AO563</f>
        <v>0</v>
      </c>
      <c r="DQ57" s="3370">
        <f>Plantillas!AO564</f>
        <v>0</v>
      </c>
      <c r="DR57" s="3370">
        <f>Plantillas!AO565</f>
        <v>0</v>
      </c>
      <c r="DS57" s="3370">
        <f>Plantillas!AO566</f>
        <v>0</v>
      </c>
      <c r="DT57" s="3370">
        <f>Plantillas!AO567</f>
        <v>0</v>
      </c>
      <c r="DU57" s="3370">
        <f>Plantillas!AO568</f>
        <v>0</v>
      </c>
      <c r="DV57" s="3370">
        <f>Plantillas!AO569</f>
        <v>0</v>
      </c>
      <c r="DW57" s="3370">
        <f>Plantillas!AO570</f>
        <v>0</v>
      </c>
      <c r="DX57" s="3370">
        <f>Plantillas!AO571</f>
        <v>0</v>
      </c>
      <c r="DY57" s="3370">
        <f>Plantillas!AO572</f>
        <v>0</v>
      </c>
      <c r="DZ57" s="3371">
        <f>Plantillas!AO573</f>
        <v>0</v>
      </c>
      <c r="EA57" s="3371">
        <f>Plantillas!AO574</f>
        <v>0</v>
      </c>
      <c r="EB57" s="3370">
        <f>Plantillas!AO575</f>
        <v>0</v>
      </c>
      <c r="EC57" s="3377">
        <f>Plantillas!AO576</f>
        <v>0</v>
      </c>
      <c r="ED57" s="779">
        <v>14</v>
      </c>
      <c r="EE57" s="3370">
        <f>Plantillas!AP557</f>
        <v>0</v>
      </c>
      <c r="EF57" s="3370">
        <f>Plantillas!AP558</f>
        <v>0</v>
      </c>
      <c r="EG57" s="3370">
        <f>Plantillas!AP559</f>
        <v>0</v>
      </c>
      <c r="EH57" s="3370">
        <f>Plantillas!AP560</f>
        <v>0</v>
      </c>
      <c r="EI57" s="3370">
        <f>Plantillas!AP561</f>
        <v>0</v>
      </c>
      <c r="EJ57" s="3370">
        <f>Plantillas!AP562</f>
        <v>0</v>
      </c>
      <c r="EK57" s="3370">
        <f>Plantillas!AP563</f>
        <v>0</v>
      </c>
      <c r="EL57" s="3370">
        <f>Plantillas!AP564</f>
        <v>0</v>
      </c>
      <c r="EM57" s="3370">
        <f>Plantillas!AP565</f>
        <v>0</v>
      </c>
      <c r="EN57" s="3370">
        <f>Plantillas!AP566</f>
        <v>0</v>
      </c>
      <c r="EO57" s="3370">
        <f>Plantillas!AP567</f>
        <v>0</v>
      </c>
      <c r="EP57" s="3370">
        <f>Plantillas!AP568</f>
        <v>0</v>
      </c>
      <c r="EQ57" s="3370">
        <f>Plantillas!AP569</f>
        <v>0</v>
      </c>
      <c r="ER57" s="3370">
        <f>Plantillas!AP570</f>
        <v>0</v>
      </c>
      <c r="ES57" s="3370">
        <f>Plantillas!AP571</f>
        <v>0</v>
      </c>
      <c r="ET57" s="3370">
        <f>Plantillas!AP572</f>
        <v>0</v>
      </c>
      <c r="EU57" s="3371">
        <f>Plantillas!AP573</f>
        <v>0</v>
      </c>
      <c r="EV57" s="3371">
        <f>Plantillas!AP574</f>
        <v>0</v>
      </c>
      <c r="EW57" s="3370">
        <f>Plantillas!AP575</f>
        <v>0</v>
      </c>
      <c r="EX57" s="3377">
        <f>Plantillas!AP576</f>
        <v>0</v>
      </c>
      <c r="EY57" s="779">
        <v>14</v>
      </c>
      <c r="EZ57" s="3370">
        <f>Plantillas!AQ557</f>
        <v>0</v>
      </c>
      <c r="FA57" s="3370">
        <f>Plantillas!AQ558</f>
        <v>0</v>
      </c>
      <c r="FB57" s="3370">
        <f>Plantillas!AQ559</f>
        <v>0</v>
      </c>
      <c r="FC57" s="3370">
        <f>Plantillas!AQ560</f>
        <v>0</v>
      </c>
      <c r="FD57" s="3370">
        <f>Plantillas!AQ561</f>
        <v>0</v>
      </c>
      <c r="FE57" s="3370">
        <f>Plantillas!AQ562</f>
        <v>0</v>
      </c>
      <c r="FF57" s="3370">
        <f>Plantillas!AQ563</f>
        <v>0</v>
      </c>
      <c r="FG57" s="3370">
        <f>Plantillas!AQ564</f>
        <v>0</v>
      </c>
      <c r="FH57" s="3370">
        <f>Plantillas!AQ565</f>
        <v>0</v>
      </c>
      <c r="FI57" s="3370">
        <f>Plantillas!AQ566</f>
        <v>0</v>
      </c>
      <c r="FJ57" s="3370">
        <f>Plantillas!AQ567</f>
        <v>0</v>
      </c>
      <c r="FK57" s="3370">
        <f>Plantillas!AQ568</f>
        <v>0</v>
      </c>
      <c r="FL57" s="3370">
        <f>Plantillas!AQ569</f>
        <v>0</v>
      </c>
      <c r="FM57" s="3370">
        <f>Plantillas!AQ570</f>
        <v>0</v>
      </c>
      <c r="FN57" s="3370">
        <f>Plantillas!AQ571</f>
        <v>0</v>
      </c>
      <c r="FO57" s="3370">
        <f>Plantillas!AQ572</f>
        <v>0</v>
      </c>
      <c r="FP57" s="3371">
        <f>Plantillas!AQ573</f>
        <v>0</v>
      </c>
      <c r="FQ57" s="3371">
        <f>Plantillas!AQ574</f>
        <v>0</v>
      </c>
      <c r="FR57" s="3370">
        <f>Plantillas!AQ575</f>
        <v>0</v>
      </c>
      <c r="FS57" s="3377">
        <f>Plantillas!AQ576</f>
        <v>0</v>
      </c>
    </row>
    <row r="58" spans="9:294">
      <c r="J58" s="27"/>
      <c r="K58" s="27"/>
      <c r="L58" s="27"/>
      <c r="M58" s="27"/>
      <c r="N58" s="27"/>
      <c r="O58" s="27"/>
      <c r="P58" s="27"/>
      <c r="Q58" s="27"/>
      <c r="R58" s="27"/>
      <c r="S58" s="27"/>
      <c r="T58" s="27"/>
      <c r="U58" s="27"/>
      <c r="V58" s="27"/>
      <c r="W58" s="27"/>
      <c r="X58" s="27"/>
      <c r="Y58" s="27"/>
      <c r="Z58" s="27"/>
      <c r="AA58" s="27"/>
      <c r="AB58" s="27"/>
      <c r="AC58" s="27"/>
      <c r="AD58" s="27"/>
      <c r="AE58" s="27"/>
      <c r="AF58" s="27"/>
      <c r="AG58" s="27"/>
      <c r="AH58" s="27"/>
      <c r="AI58" s="27"/>
      <c r="AJ58" s="27"/>
      <c r="AK58" s="27"/>
      <c r="AL58" s="27"/>
      <c r="AM58" s="27"/>
      <c r="AN58" s="27"/>
      <c r="AO58" s="27"/>
      <c r="AP58" s="27"/>
      <c r="AQ58" s="27"/>
      <c r="AR58" s="27"/>
      <c r="AS58" s="27"/>
      <c r="AT58" s="27"/>
      <c r="AU58" s="27"/>
      <c r="AV58" s="27"/>
      <c r="AX58" s="779">
        <v>15</v>
      </c>
      <c r="AY58" s="3370">
        <f>Plantillas!AL597</f>
        <v>0</v>
      </c>
      <c r="AZ58" s="3370">
        <f>Plantillas!AL598</f>
        <v>0</v>
      </c>
      <c r="BA58" s="3370">
        <f>Plantillas!AL599</f>
        <v>0</v>
      </c>
      <c r="BB58" s="3370">
        <f>Plantillas!AL600</f>
        <v>0</v>
      </c>
      <c r="BC58" s="3370">
        <f>Plantillas!AL601</f>
        <v>0</v>
      </c>
      <c r="BD58" s="3370">
        <f>Plantillas!AL602</f>
        <v>0</v>
      </c>
      <c r="BE58" s="3370">
        <f>Plantillas!AL603</f>
        <v>0</v>
      </c>
      <c r="BF58" s="3370">
        <f>Plantillas!AL604</f>
        <v>0</v>
      </c>
      <c r="BG58" s="3370">
        <f>Plantillas!AL605</f>
        <v>0</v>
      </c>
      <c r="BH58" s="3370">
        <f>Plantillas!AL606</f>
        <v>0</v>
      </c>
      <c r="BI58" s="3370">
        <f>Plantillas!AL607</f>
        <v>0</v>
      </c>
      <c r="BJ58" s="3370">
        <f>Plantillas!AL608</f>
        <v>0</v>
      </c>
      <c r="BK58" s="3370">
        <f>Plantillas!AL609</f>
        <v>0</v>
      </c>
      <c r="BL58" s="3370">
        <f>Plantillas!AL610</f>
        <v>0</v>
      </c>
      <c r="BM58" s="3370">
        <f>Plantillas!AL611</f>
        <v>0</v>
      </c>
      <c r="BN58" s="3370">
        <f>Plantillas!AL612</f>
        <v>0</v>
      </c>
      <c r="BO58" s="3371">
        <f>Plantillas!AL613</f>
        <v>0</v>
      </c>
      <c r="BP58" s="3371">
        <f>Plantillas!AL614</f>
        <v>0</v>
      </c>
      <c r="BQ58" s="3370">
        <f>Plantillas!AL615</f>
        <v>0</v>
      </c>
      <c r="BR58" s="3377">
        <f>Plantillas!AL616</f>
        <v>0</v>
      </c>
      <c r="BS58" s="779">
        <v>15</v>
      </c>
      <c r="BT58" s="3370">
        <f>Plantillas!AM597</f>
        <v>0</v>
      </c>
      <c r="BU58" s="3370">
        <f>Plantillas!AM598</f>
        <v>0</v>
      </c>
      <c r="BV58" s="3370">
        <f>Plantillas!AM599</f>
        <v>0</v>
      </c>
      <c r="BW58" s="3370">
        <f>Plantillas!AM600</f>
        <v>0</v>
      </c>
      <c r="BX58" s="3370">
        <f>Plantillas!AM601</f>
        <v>0</v>
      </c>
      <c r="BY58" s="3370">
        <f>Plantillas!AM602</f>
        <v>0</v>
      </c>
      <c r="BZ58" s="3370">
        <f>Plantillas!AM603</f>
        <v>0</v>
      </c>
      <c r="CA58" s="3370">
        <f>Plantillas!AM604</f>
        <v>0</v>
      </c>
      <c r="CB58" s="3370">
        <f>Plantillas!AM605</f>
        <v>0</v>
      </c>
      <c r="CC58" s="3370">
        <f>Plantillas!AM606</f>
        <v>0</v>
      </c>
      <c r="CD58" s="3370">
        <f>Plantillas!AM607</f>
        <v>0</v>
      </c>
      <c r="CE58" s="3370">
        <f>Plantillas!AM608</f>
        <v>0</v>
      </c>
      <c r="CF58" s="3370">
        <f>Plantillas!AM609</f>
        <v>0</v>
      </c>
      <c r="CG58" s="3370">
        <f>Plantillas!AM610</f>
        <v>0</v>
      </c>
      <c r="CH58" s="3370">
        <f>Plantillas!AM611</f>
        <v>0</v>
      </c>
      <c r="CI58" s="3370">
        <f>Plantillas!AM612</f>
        <v>0</v>
      </c>
      <c r="CJ58" s="3371">
        <f>Plantillas!AM613</f>
        <v>0</v>
      </c>
      <c r="CK58" s="3371">
        <f>Plantillas!AM614</f>
        <v>0</v>
      </c>
      <c r="CL58" s="3370">
        <f>Plantillas!AM615</f>
        <v>0</v>
      </c>
      <c r="CM58" s="3377">
        <f>Plantillas!AM616</f>
        <v>0</v>
      </c>
      <c r="CN58" s="779">
        <v>15</v>
      </c>
      <c r="CO58" s="3370">
        <f>Plantillas!AN597</f>
        <v>0</v>
      </c>
      <c r="CP58" s="3370">
        <f>Plantillas!AN598</f>
        <v>0</v>
      </c>
      <c r="CQ58" s="3370">
        <f>Plantillas!AN599</f>
        <v>0</v>
      </c>
      <c r="CR58" s="3370">
        <f>Plantillas!AN600</f>
        <v>0</v>
      </c>
      <c r="CS58" s="3370">
        <f>Plantillas!AN601</f>
        <v>0</v>
      </c>
      <c r="CT58" s="3370">
        <f>Plantillas!AN602</f>
        <v>0</v>
      </c>
      <c r="CU58" s="3370">
        <f>Plantillas!AN603</f>
        <v>0</v>
      </c>
      <c r="CV58" s="3370">
        <f>Plantillas!AN604</f>
        <v>0</v>
      </c>
      <c r="CW58" s="3370">
        <f>Plantillas!AN605</f>
        <v>0</v>
      </c>
      <c r="CX58" s="3370">
        <f>Plantillas!AN606</f>
        <v>0</v>
      </c>
      <c r="CY58" s="3370">
        <f>Plantillas!AN607</f>
        <v>0</v>
      </c>
      <c r="CZ58" s="3370">
        <f>Plantillas!AN608</f>
        <v>0</v>
      </c>
      <c r="DA58" s="3370">
        <f>Plantillas!AN609</f>
        <v>0</v>
      </c>
      <c r="DB58" s="3370">
        <f>Plantillas!AN610</f>
        <v>0</v>
      </c>
      <c r="DC58" s="3370">
        <f>Plantillas!AN611</f>
        <v>0</v>
      </c>
      <c r="DD58" s="3370">
        <f>Plantillas!AN612</f>
        <v>0</v>
      </c>
      <c r="DE58" s="3371">
        <f>Plantillas!AN613</f>
        <v>0</v>
      </c>
      <c r="DF58" s="3371">
        <f>Plantillas!AN614</f>
        <v>0</v>
      </c>
      <c r="DG58" s="3370">
        <f>Plantillas!AN615</f>
        <v>0</v>
      </c>
      <c r="DH58" s="3377">
        <f>Plantillas!AN616</f>
        <v>0</v>
      </c>
      <c r="DI58" s="779">
        <v>15</v>
      </c>
      <c r="DJ58" s="3370">
        <f>Plantillas!AO597</f>
        <v>0</v>
      </c>
      <c r="DK58" s="3370">
        <f>Plantillas!AO598</f>
        <v>0</v>
      </c>
      <c r="DL58" s="3370">
        <f>Plantillas!AO599</f>
        <v>0</v>
      </c>
      <c r="DM58" s="3370">
        <f>Plantillas!AO600</f>
        <v>0</v>
      </c>
      <c r="DN58" s="3370">
        <f>Plantillas!AO601</f>
        <v>0</v>
      </c>
      <c r="DO58" s="3370">
        <f>Plantillas!AO602</f>
        <v>0</v>
      </c>
      <c r="DP58" s="3370">
        <f>Plantillas!AO603</f>
        <v>0</v>
      </c>
      <c r="DQ58" s="3370">
        <f>Plantillas!AO604</f>
        <v>0</v>
      </c>
      <c r="DR58" s="3370">
        <f>Plantillas!AO605</f>
        <v>0</v>
      </c>
      <c r="DS58" s="3370">
        <f>Plantillas!AO606</f>
        <v>0</v>
      </c>
      <c r="DT58" s="3370">
        <f>Plantillas!AO607</f>
        <v>0</v>
      </c>
      <c r="DU58" s="3370">
        <f>Plantillas!AO608</f>
        <v>0</v>
      </c>
      <c r="DV58" s="3370">
        <f>Plantillas!AO609</f>
        <v>0</v>
      </c>
      <c r="DW58" s="3370">
        <f>Plantillas!AO610</f>
        <v>0</v>
      </c>
      <c r="DX58" s="3370">
        <f>Plantillas!AO611</f>
        <v>0</v>
      </c>
      <c r="DY58" s="3370">
        <f>Plantillas!AO612</f>
        <v>0</v>
      </c>
      <c r="DZ58" s="3371">
        <f>Plantillas!AO613</f>
        <v>0</v>
      </c>
      <c r="EA58" s="3371">
        <f>Plantillas!AO614</f>
        <v>0</v>
      </c>
      <c r="EB58" s="3370">
        <f>Plantillas!AO615</f>
        <v>0</v>
      </c>
      <c r="EC58" s="3377">
        <f>Plantillas!AO616</f>
        <v>0</v>
      </c>
      <c r="ED58" s="779">
        <v>15</v>
      </c>
      <c r="EE58" s="3370">
        <f>Plantillas!AP597</f>
        <v>0</v>
      </c>
      <c r="EF58" s="3370">
        <f>Plantillas!AP598</f>
        <v>0</v>
      </c>
      <c r="EG58" s="3370">
        <f>Plantillas!AP599</f>
        <v>0</v>
      </c>
      <c r="EH58" s="3370">
        <f>Plantillas!AP600</f>
        <v>0</v>
      </c>
      <c r="EI58" s="3370">
        <f>Plantillas!AP601</f>
        <v>0</v>
      </c>
      <c r="EJ58" s="3370">
        <f>Plantillas!AP602</f>
        <v>0</v>
      </c>
      <c r="EK58" s="3370">
        <f>Plantillas!AP603</f>
        <v>0</v>
      </c>
      <c r="EL58" s="3370">
        <f>Plantillas!AP604</f>
        <v>0</v>
      </c>
      <c r="EM58" s="3370">
        <f>Plantillas!AP605</f>
        <v>0</v>
      </c>
      <c r="EN58" s="3370">
        <f>Plantillas!AP606</f>
        <v>0</v>
      </c>
      <c r="EO58" s="3370">
        <f>Plantillas!AP607</f>
        <v>0</v>
      </c>
      <c r="EP58" s="3370">
        <f>Plantillas!AP608</f>
        <v>0</v>
      </c>
      <c r="EQ58" s="3370">
        <f>Plantillas!AP609</f>
        <v>0</v>
      </c>
      <c r="ER58" s="3370">
        <f>Plantillas!AP610</f>
        <v>0</v>
      </c>
      <c r="ES58" s="3370">
        <f>Plantillas!AP611</f>
        <v>0</v>
      </c>
      <c r="ET58" s="3370">
        <f>Plantillas!AP612</f>
        <v>0</v>
      </c>
      <c r="EU58" s="3371">
        <f>Plantillas!AP613</f>
        <v>0</v>
      </c>
      <c r="EV58" s="3371">
        <f>Plantillas!AP614</f>
        <v>0</v>
      </c>
      <c r="EW58" s="3370">
        <f>Plantillas!AP615</f>
        <v>0</v>
      </c>
      <c r="EX58" s="3377">
        <f>Plantillas!AP616</f>
        <v>0</v>
      </c>
      <c r="EY58" s="779">
        <v>15</v>
      </c>
      <c r="EZ58" s="3370">
        <f>Plantillas!AQ597</f>
        <v>0</v>
      </c>
      <c r="FA58" s="3370">
        <f>Plantillas!AQ598</f>
        <v>0</v>
      </c>
      <c r="FB58" s="3370">
        <f>Plantillas!AQ599</f>
        <v>0</v>
      </c>
      <c r="FC58" s="3370">
        <f>Plantillas!AQ600</f>
        <v>0</v>
      </c>
      <c r="FD58" s="3370">
        <f>Plantillas!AQ601</f>
        <v>0</v>
      </c>
      <c r="FE58" s="3370">
        <f>Plantillas!EM602</f>
        <v>0</v>
      </c>
      <c r="FF58" s="3370">
        <f>Plantillas!AQ603</f>
        <v>0</v>
      </c>
      <c r="FG58" s="3370">
        <f>Plantillas!AQ604</f>
        <v>0</v>
      </c>
      <c r="FH58" s="3370">
        <f>Plantillas!AQ605</f>
        <v>0</v>
      </c>
      <c r="FI58" s="3370">
        <f>Plantillas!AQ606</f>
        <v>0</v>
      </c>
      <c r="FJ58" s="3370">
        <f>Plantillas!AQ607</f>
        <v>0</v>
      </c>
      <c r="FK58" s="3370">
        <f>Plantillas!AQ608</f>
        <v>0</v>
      </c>
      <c r="FL58" s="3370">
        <f>Plantillas!AQ609</f>
        <v>0</v>
      </c>
      <c r="FM58" s="3370">
        <f>Plantillas!AQ610</f>
        <v>0</v>
      </c>
      <c r="FN58" s="3370">
        <f>Plantillas!AQ611</f>
        <v>0</v>
      </c>
      <c r="FO58" s="3370">
        <f>Plantillas!AQ612</f>
        <v>0</v>
      </c>
      <c r="FP58" s="3371">
        <f>Plantillas!AQ613</f>
        <v>0</v>
      </c>
      <c r="FQ58" s="3371">
        <f>Plantillas!EM614</f>
        <v>0</v>
      </c>
      <c r="FR58" s="3370">
        <f>Plantillas!EM615</f>
        <v>0</v>
      </c>
      <c r="FS58" s="3377">
        <f>Plantillas!EM616</f>
        <v>0</v>
      </c>
    </row>
    <row r="59" spans="9:294">
      <c r="J59" s="27"/>
      <c r="K59" s="27"/>
      <c r="L59" s="27"/>
      <c r="M59" s="27"/>
      <c r="N59" s="27"/>
      <c r="O59" s="27"/>
      <c r="P59" s="27"/>
      <c r="Q59" s="27"/>
      <c r="R59" s="27"/>
      <c r="S59" s="27"/>
      <c r="T59" s="27"/>
      <c r="U59" s="27"/>
      <c r="V59" s="27"/>
      <c r="W59" s="27"/>
      <c r="X59" s="27"/>
      <c r="Y59" s="27"/>
      <c r="Z59" s="27"/>
      <c r="AA59" s="27"/>
      <c r="AB59" s="27"/>
      <c r="AC59" s="27"/>
      <c r="AD59" s="27"/>
      <c r="AE59" s="27"/>
      <c r="AF59" s="27"/>
      <c r="AG59" s="27"/>
      <c r="AH59" s="27"/>
      <c r="AI59" s="27"/>
      <c r="AJ59" s="27"/>
      <c r="AK59" s="27"/>
      <c r="AL59" s="27"/>
      <c r="AM59" s="27"/>
      <c r="AN59" s="27"/>
      <c r="AO59" s="27"/>
      <c r="AP59" s="27"/>
      <c r="AQ59" s="27"/>
      <c r="AR59" s="27"/>
      <c r="AS59" s="27"/>
      <c r="AT59" s="27"/>
      <c r="AU59" s="27"/>
      <c r="AV59" s="27"/>
      <c r="AX59" s="779">
        <v>16</v>
      </c>
      <c r="AY59" s="3370"/>
      <c r="AZ59" s="3371"/>
      <c r="BA59" s="3372"/>
      <c r="BB59" s="3370"/>
      <c r="BC59" s="3371"/>
      <c r="BD59" s="3371"/>
      <c r="BE59" s="3370"/>
      <c r="BF59" s="3371"/>
      <c r="BG59" s="3371"/>
      <c r="BH59" s="3370"/>
      <c r="BI59" s="3371"/>
      <c r="BJ59" s="3371"/>
      <c r="BK59" s="3370"/>
      <c r="BL59" s="3371"/>
      <c r="BM59" s="3371"/>
      <c r="BN59" s="3370"/>
      <c r="BO59" s="3371"/>
      <c r="BP59" s="3371"/>
      <c r="BQ59" s="3370"/>
      <c r="BR59" s="3377"/>
      <c r="BS59" s="779">
        <v>16</v>
      </c>
      <c r="BT59" s="3370"/>
      <c r="BU59" s="3371"/>
      <c r="BV59" s="3372"/>
      <c r="BW59" s="3370"/>
      <c r="BX59" s="3371"/>
      <c r="BY59" s="3371"/>
      <c r="BZ59" s="3370"/>
      <c r="CA59" s="3371"/>
      <c r="CB59" s="3371"/>
      <c r="CC59" s="3370"/>
      <c r="CD59" s="3371"/>
      <c r="CE59" s="3371"/>
      <c r="CF59" s="3370"/>
      <c r="CG59" s="3371"/>
      <c r="CH59" s="3371"/>
      <c r="CI59" s="3370"/>
      <c r="CJ59" s="3371"/>
      <c r="CK59" s="3371"/>
      <c r="CL59" s="3370"/>
      <c r="CM59" s="3377"/>
      <c r="CN59" s="779">
        <v>16</v>
      </c>
      <c r="CO59" s="3370"/>
      <c r="CP59" s="3371"/>
      <c r="CQ59" s="3372"/>
      <c r="CR59" s="3370"/>
      <c r="CS59" s="3371"/>
      <c r="CT59" s="3371"/>
      <c r="CU59" s="3370"/>
      <c r="CV59" s="3371"/>
      <c r="CW59" s="3371"/>
      <c r="CX59" s="3370"/>
      <c r="CY59" s="3371"/>
      <c r="CZ59" s="3371"/>
      <c r="DA59" s="3370"/>
      <c r="DB59" s="3371"/>
      <c r="DC59" s="3371"/>
      <c r="DD59" s="3370"/>
      <c r="DE59" s="3371"/>
      <c r="DF59" s="3371"/>
      <c r="DG59" s="3370"/>
      <c r="DH59" s="3377"/>
      <c r="DI59" s="779">
        <v>16</v>
      </c>
      <c r="DJ59" s="3370"/>
      <c r="DK59" s="3371"/>
      <c r="DL59" s="3372"/>
      <c r="DM59" s="3370"/>
      <c r="DN59" s="3371"/>
      <c r="DO59" s="3371"/>
      <c r="DP59" s="3370"/>
      <c r="DQ59" s="3371"/>
      <c r="DR59" s="3371"/>
      <c r="DS59" s="3370"/>
      <c r="DT59" s="3371"/>
      <c r="DU59" s="3371"/>
      <c r="DV59" s="3370"/>
      <c r="DW59" s="3371"/>
      <c r="DX59" s="3371"/>
      <c r="DY59" s="3370"/>
      <c r="DZ59" s="3371"/>
      <c r="EA59" s="3371"/>
      <c r="EB59" s="3370"/>
      <c r="EC59" s="3377"/>
      <c r="ED59" s="779">
        <v>16</v>
      </c>
      <c r="EE59" s="3370"/>
      <c r="EF59" s="3371"/>
      <c r="EG59" s="3372"/>
      <c r="EH59" s="3370"/>
      <c r="EI59" s="3371"/>
      <c r="EJ59" s="3371"/>
      <c r="EK59" s="3370"/>
      <c r="EL59" s="3371"/>
      <c r="EM59" s="3371"/>
      <c r="EN59" s="3370"/>
      <c r="EO59" s="3371"/>
      <c r="EP59" s="3371"/>
      <c r="EQ59" s="3370"/>
      <c r="ER59" s="3371"/>
      <c r="ES59" s="3371"/>
      <c r="ET59" s="3370"/>
      <c r="EU59" s="3371"/>
      <c r="EV59" s="3371"/>
      <c r="EW59" s="3370"/>
      <c r="EX59" s="3377"/>
      <c r="EY59" s="779">
        <v>16</v>
      </c>
      <c r="EZ59" s="3370"/>
      <c r="FA59" s="3371"/>
      <c r="FB59" s="3372"/>
      <c r="FC59" s="3370"/>
      <c r="FD59" s="3371"/>
      <c r="FE59" s="3371"/>
      <c r="FF59" s="3370"/>
      <c r="FG59" s="3371"/>
      <c r="FH59" s="3371"/>
      <c r="FI59" s="3370"/>
      <c r="FJ59" s="3371"/>
      <c r="FK59" s="3371"/>
      <c r="FL59" s="3370"/>
      <c r="FM59" s="3371"/>
      <c r="FN59" s="3371"/>
      <c r="FO59" s="3370"/>
      <c r="FP59" s="3371"/>
      <c r="FQ59" s="3371"/>
      <c r="FR59" s="3370"/>
      <c r="FS59" s="3377"/>
    </row>
    <row r="60" spans="9:294">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7"/>
      <c r="AO60" s="27"/>
      <c r="AP60" s="27"/>
      <c r="AQ60" s="27"/>
      <c r="AR60" s="27"/>
      <c r="AS60" s="27"/>
      <c r="AT60" s="27"/>
      <c r="AU60" s="27"/>
      <c r="AV60" s="27"/>
      <c r="AX60" s="779">
        <v>17</v>
      </c>
      <c r="AY60" s="3370"/>
      <c r="AZ60" s="3371"/>
      <c r="BA60" s="3372"/>
      <c r="BB60" s="3370"/>
      <c r="BC60" s="3371"/>
      <c r="BD60" s="3371"/>
      <c r="BE60" s="3370"/>
      <c r="BF60" s="3371"/>
      <c r="BG60" s="3371"/>
      <c r="BH60" s="3370"/>
      <c r="BI60" s="3371"/>
      <c r="BJ60" s="3371"/>
      <c r="BK60" s="3370"/>
      <c r="BL60" s="3371"/>
      <c r="BM60" s="3371"/>
      <c r="BN60" s="3370"/>
      <c r="BO60" s="3371"/>
      <c r="BP60" s="3371"/>
      <c r="BQ60" s="3370"/>
      <c r="BR60" s="3377"/>
      <c r="BS60" s="779">
        <v>17</v>
      </c>
      <c r="BT60" s="3370"/>
      <c r="BU60" s="3371"/>
      <c r="BV60" s="3372"/>
      <c r="BW60" s="3370"/>
      <c r="BX60" s="3371"/>
      <c r="BY60" s="3371"/>
      <c r="BZ60" s="3370"/>
      <c r="CA60" s="3371"/>
      <c r="CB60" s="3371"/>
      <c r="CC60" s="3370"/>
      <c r="CD60" s="3371"/>
      <c r="CE60" s="3371"/>
      <c r="CF60" s="3370"/>
      <c r="CG60" s="3371"/>
      <c r="CH60" s="3371"/>
      <c r="CI60" s="3370"/>
      <c r="CJ60" s="3371"/>
      <c r="CK60" s="3371"/>
      <c r="CL60" s="3370"/>
      <c r="CM60" s="3377"/>
      <c r="CN60" s="779">
        <v>17</v>
      </c>
      <c r="CO60" s="3370"/>
      <c r="CP60" s="3371"/>
      <c r="CQ60" s="3372"/>
      <c r="CR60" s="3370"/>
      <c r="CS60" s="3371"/>
      <c r="CT60" s="3371"/>
      <c r="CU60" s="3370"/>
      <c r="CV60" s="3371"/>
      <c r="CW60" s="3371"/>
      <c r="CX60" s="3370"/>
      <c r="CY60" s="3371"/>
      <c r="CZ60" s="3371"/>
      <c r="DA60" s="3370"/>
      <c r="DB60" s="3371"/>
      <c r="DC60" s="3371"/>
      <c r="DD60" s="3370"/>
      <c r="DE60" s="3371"/>
      <c r="DF60" s="3371"/>
      <c r="DG60" s="3370"/>
      <c r="DH60" s="3377"/>
      <c r="DI60" s="779">
        <v>17</v>
      </c>
      <c r="DJ60" s="3370"/>
      <c r="DK60" s="3371"/>
      <c r="DL60" s="3372"/>
      <c r="DM60" s="3370"/>
      <c r="DN60" s="3371"/>
      <c r="DO60" s="3371"/>
      <c r="DP60" s="3370"/>
      <c r="DQ60" s="3371"/>
      <c r="DR60" s="3371"/>
      <c r="DS60" s="3370"/>
      <c r="DT60" s="3371"/>
      <c r="DU60" s="3371"/>
      <c r="DV60" s="3370"/>
      <c r="DW60" s="3371"/>
      <c r="DX60" s="3371"/>
      <c r="DY60" s="3370"/>
      <c r="DZ60" s="3371"/>
      <c r="EA60" s="3371"/>
      <c r="EB60" s="3370"/>
      <c r="EC60" s="3377"/>
      <c r="ED60" s="779">
        <v>17</v>
      </c>
      <c r="EE60" s="3370"/>
      <c r="EF60" s="3371"/>
      <c r="EG60" s="3372"/>
      <c r="EH60" s="3370"/>
      <c r="EI60" s="3371"/>
      <c r="EJ60" s="3371"/>
      <c r="EK60" s="3370"/>
      <c r="EL60" s="3371"/>
      <c r="EM60" s="3371"/>
      <c r="EN60" s="3370"/>
      <c r="EO60" s="3371"/>
      <c r="EP60" s="3371"/>
      <c r="EQ60" s="3370"/>
      <c r="ER60" s="3371"/>
      <c r="ES60" s="3371"/>
      <c r="ET60" s="3370"/>
      <c r="EU60" s="3371"/>
      <c r="EV60" s="3371"/>
      <c r="EW60" s="3370"/>
      <c r="EX60" s="3377"/>
      <c r="EY60" s="779">
        <v>17</v>
      </c>
      <c r="EZ60" s="3370"/>
      <c r="FA60" s="3371"/>
      <c r="FB60" s="3372"/>
      <c r="FC60" s="3370"/>
      <c r="FD60" s="3371"/>
      <c r="FE60" s="3371"/>
      <c r="FF60" s="3370"/>
      <c r="FG60" s="3371"/>
      <c r="FH60" s="3371"/>
      <c r="FI60" s="3370"/>
      <c r="FJ60" s="3371"/>
      <c r="FK60" s="3371"/>
      <c r="FL60" s="3370"/>
      <c r="FM60" s="3371"/>
      <c r="FN60" s="3371"/>
      <c r="FO60" s="3370"/>
      <c r="FP60" s="3371"/>
      <c r="FQ60" s="3371"/>
      <c r="FR60" s="3370"/>
      <c r="FS60" s="3377"/>
    </row>
    <row r="61" spans="9:294">
      <c r="J61" s="27"/>
      <c r="K61" s="27"/>
      <c r="L61" s="27"/>
      <c r="M61" s="27"/>
      <c r="N61" s="27"/>
      <c r="O61" s="27"/>
      <c r="P61" s="27"/>
      <c r="Q61" s="27"/>
      <c r="R61" s="27"/>
      <c r="S61" s="27"/>
      <c r="T61" s="27"/>
      <c r="U61" s="27"/>
      <c r="V61" s="27"/>
      <c r="W61" s="27"/>
      <c r="X61" s="27"/>
      <c r="Y61" s="27"/>
      <c r="Z61" s="27"/>
      <c r="AA61" s="27"/>
      <c r="AB61" s="27"/>
      <c r="AC61" s="27"/>
      <c r="AD61" s="27"/>
      <c r="AE61" s="27"/>
      <c r="AF61" s="27"/>
      <c r="AG61" s="27"/>
      <c r="AH61" s="27"/>
      <c r="AI61" s="27"/>
      <c r="AJ61" s="27"/>
      <c r="AK61" s="27"/>
      <c r="AL61" s="27"/>
      <c r="AM61" s="27"/>
      <c r="AN61" s="27"/>
      <c r="AO61" s="27"/>
      <c r="AP61" s="27"/>
      <c r="AQ61" s="27"/>
      <c r="AR61" s="27"/>
      <c r="AS61" s="27"/>
      <c r="AT61" s="27"/>
      <c r="AU61" s="27"/>
      <c r="AV61" s="27"/>
      <c r="AX61" s="779">
        <v>18</v>
      </c>
      <c r="AY61" s="3370"/>
      <c r="AZ61" s="3371"/>
      <c r="BA61" s="3372"/>
      <c r="BB61" s="3370"/>
      <c r="BC61" s="3371"/>
      <c r="BD61" s="3371"/>
      <c r="BE61" s="3370"/>
      <c r="BF61" s="3371"/>
      <c r="BG61" s="3371"/>
      <c r="BH61" s="3370"/>
      <c r="BI61" s="3371"/>
      <c r="BJ61" s="3371"/>
      <c r="BK61" s="3370"/>
      <c r="BL61" s="3371"/>
      <c r="BM61" s="3371"/>
      <c r="BN61" s="3370"/>
      <c r="BO61" s="3371"/>
      <c r="BP61" s="3371"/>
      <c r="BQ61" s="3370"/>
      <c r="BR61" s="3377"/>
      <c r="BS61" s="779">
        <v>18</v>
      </c>
      <c r="BT61" s="3370"/>
      <c r="BU61" s="3371"/>
      <c r="BV61" s="3372"/>
      <c r="BW61" s="3370"/>
      <c r="BX61" s="3371"/>
      <c r="BY61" s="3371"/>
      <c r="BZ61" s="3370"/>
      <c r="CA61" s="3371"/>
      <c r="CB61" s="3371"/>
      <c r="CC61" s="3370"/>
      <c r="CD61" s="3371"/>
      <c r="CE61" s="3371"/>
      <c r="CF61" s="3370"/>
      <c r="CG61" s="3371"/>
      <c r="CH61" s="3371"/>
      <c r="CI61" s="3370"/>
      <c r="CJ61" s="3371"/>
      <c r="CK61" s="3371"/>
      <c r="CL61" s="3370"/>
      <c r="CM61" s="3377"/>
      <c r="CN61" s="779">
        <v>18</v>
      </c>
      <c r="CO61" s="3370"/>
      <c r="CP61" s="3371"/>
      <c r="CQ61" s="3372"/>
      <c r="CR61" s="3370"/>
      <c r="CS61" s="3371"/>
      <c r="CT61" s="3371"/>
      <c r="CU61" s="3370"/>
      <c r="CV61" s="3371"/>
      <c r="CW61" s="3371"/>
      <c r="CX61" s="3370"/>
      <c r="CY61" s="3371"/>
      <c r="CZ61" s="3371"/>
      <c r="DA61" s="3370"/>
      <c r="DB61" s="3371"/>
      <c r="DC61" s="3371"/>
      <c r="DD61" s="3370"/>
      <c r="DE61" s="3371"/>
      <c r="DF61" s="3371"/>
      <c r="DG61" s="3370"/>
      <c r="DH61" s="3377"/>
      <c r="DI61" s="779">
        <v>18</v>
      </c>
      <c r="DJ61" s="3370"/>
      <c r="DK61" s="3371"/>
      <c r="DL61" s="3372"/>
      <c r="DM61" s="3370"/>
      <c r="DN61" s="3371"/>
      <c r="DO61" s="3371"/>
      <c r="DP61" s="3370"/>
      <c r="DQ61" s="3371"/>
      <c r="DR61" s="3371"/>
      <c r="DS61" s="3370"/>
      <c r="DT61" s="3371"/>
      <c r="DU61" s="3371"/>
      <c r="DV61" s="3370"/>
      <c r="DW61" s="3371"/>
      <c r="DX61" s="3371"/>
      <c r="DY61" s="3370"/>
      <c r="DZ61" s="3371"/>
      <c r="EA61" s="3371"/>
      <c r="EB61" s="3370"/>
      <c r="EC61" s="3377"/>
      <c r="ED61" s="779">
        <v>18</v>
      </c>
      <c r="EE61" s="3370"/>
      <c r="EF61" s="3371"/>
      <c r="EG61" s="3372"/>
      <c r="EH61" s="3370"/>
      <c r="EI61" s="3371"/>
      <c r="EJ61" s="3371"/>
      <c r="EK61" s="3370"/>
      <c r="EL61" s="3371"/>
      <c r="EM61" s="3371"/>
      <c r="EN61" s="3370"/>
      <c r="EO61" s="3371"/>
      <c r="EP61" s="3371"/>
      <c r="EQ61" s="3370"/>
      <c r="ER61" s="3371"/>
      <c r="ES61" s="3371"/>
      <c r="ET61" s="3370"/>
      <c r="EU61" s="3371"/>
      <c r="EV61" s="3371"/>
      <c r="EW61" s="3370"/>
      <c r="EX61" s="3377"/>
      <c r="EY61" s="779">
        <v>18</v>
      </c>
      <c r="EZ61" s="3370"/>
      <c r="FA61" s="3371"/>
      <c r="FB61" s="3372"/>
      <c r="FC61" s="3370"/>
      <c r="FD61" s="3371"/>
      <c r="FE61" s="3371"/>
      <c r="FF61" s="3370"/>
      <c r="FG61" s="3371"/>
      <c r="FH61" s="3371"/>
      <c r="FI61" s="3370"/>
      <c r="FJ61" s="3371"/>
      <c r="FK61" s="3371"/>
      <c r="FL61" s="3370"/>
      <c r="FM61" s="3371"/>
      <c r="FN61" s="3371"/>
      <c r="FO61" s="3370"/>
      <c r="FP61" s="3371"/>
      <c r="FQ61" s="3371"/>
      <c r="FR61" s="3370"/>
      <c r="FS61" s="3377"/>
    </row>
    <row r="62" spans="9:294">
      <c r="AX62" s="779">
        <v>19</v>
      </c>
      <c r="AY62" s="3370"/>
      <c r="AZ62" s="3371"/>
      <c r="BA62" s="3372"/>
      <c r="BB62" s="3370"/>
      <c r="BC62" s="3371"/>
      <c r="BD62" s="3371"/>
      <c r="BE62" s="3370"/>
      <c r="BF62" s="3371"/>
      <c r="BG62" s="3371"/>
      <c r="BH62" s="3370"/>
      <c r="BI62" s="3371"/>
      <c r="BJ62" s="3371"/>
      <c r="BK62" s="3370"/>
      <c r="BL62" s="3371"/>
      <c r="BM62" s="3371"/>
      <c r="BN62" s="3370"/>
      <c r="BO62" s="3371"/>
      <c r="BP62" s="3371"/>
      <c r="BQ62" s="3370"/>
      <c r="BR62" s="3377"/>
      <c r="BS62" s="779">
        <v>19</v>
      </c>
      <c r="BT62" s="3370"/>
      <c r="BU62" s="3371"/>
      <c r="BV62" s="3372"/>
      <c r="BW62" s="3370"/>
      <c r="BX62" s="3371"/>
      <c r="BY62" s="3371"/>
      <c r="BZ62" s="3370"/>
      <c r="CA62" s="3371"/>
      <c r="CB62" s="3371"/>
      <c r="CC62" s="3370"/>
      <c r="CD62" s="3371"/>
      <c r="CE62" s="3371"/>
      <c r="CF62" s="3370"/>
      <c r="CG62" s="3371"/>
      <c r="CH62" s="3371"/>
      <c r="CI62" s="3370"/>
      <c r="CJ62" s="3371"/>
      <c r="CK62" s="3371"/>
      <c r="CL62" s="3370"/>
      <c r="CM62" s="3377"/>
      <c r="CN62" s="779">
        <v>19</v>
      </c>
      <c r="CO62" s="3370"/>
      <c r="CP62" s="3371"/>
      <c r="CQ62" s="3372"/>
      <c r="CR62" s="3370"/>
      <c r="CS62" s="3371"/>
      <c r="CT62" s="3371"/>
      <c r="CU62" s="3370"/>
      <c r="CV62" s="3371"/>
      <c r="CW62" s="3371"/>
      <c r="CX62" s="3370"/>
      <c r="CY62" s="3371"/>
      <c r="CZ62" s="3371"/>
      <c r="DA62" s="3370"/>
      <c r="DB62" s="3371"/>
      <c r="DC62" s="3371"/>
      <c r="DD62" s="3370"/>
      <c r="DE62" s="3371"/>
      <c r="DF62" s="3371"/>
      <c r="DG62" s="3370"/>
      <c r="DH62" s="3377"/>
      <c r="DI62" s="779">
        <v>19</v>
      </c>
      <c r="DJ62" s="3370"/>
      <c r="DK62" s="3371"/>
      <c r="DL62" s="3372"/>
      <c r="DM62" s="3370"/>
      <c r="DN62" s="3371"/>
      <c r="DO62" s="3371"/>
      <c r="DP62" s="3370"/>
      <c r="DQ62" s="3371"/>
      <c r="DR62" s="3371"/>
      <c r="DS62" s="3370"/>
      <c r="DT62" s="3371"/>
      <c r="DU62" s="3371"/>
      <c r="DV62" s="3370"/>
      <c r="DW62" s="3371"/>
      <c r="DX62" s="3371"/>
      <c r="DY62" s="3370"/>
      <c r="DZ62" s="3371"/>
      <c r="EA62" s="3371"/>
      <c r="EB62" s="3370"/>
      <c r="EC62" s="3377"/>
      <c r="ED62" s="779">
        <v>19</v>
      </c>
      <c r="EE62" s="3370"/>
      <c r="EF62" s="3371"/>
      <c r="EG62" s="3372"/>
      <c r="EH62" s="3370"/>
      <c r="EI62" s="3371"/>
      <c r="EJ62" s="3371"/>
      <c r="EK62" s="3370"/>
      <c r="EL62" s="3371"/>
      <c r="EM62" s="3371"/>
      <c r="EN62" s="3370"/>
      <c r="EO62" s="3371"/>
      <c r="EP62" s="3371"/>
      <c r="EQ62" s="3370"/>
      <c r="ER62" s="3371"/>
      <c r="ES62" s="3371"/>
      <c r="ET62" s="3370"/>
      <c r="EU62" s="3371"/>
      <c r="EV62" s="3371"/>
      <c r="EW62" s="3370"/>
      <c r="EX62" s="3377"/>
      <c r="EY62" s="779">
        <v>19</v>
      </c>
      <c r="EZ62" s="3370"/>
      <c r="FA62" s="3371"/>
      <c r="FB62" s="3372"/>
      <c r="FC62" s="3370"/>
      <c r="FD62" s="3371"/>
      <c r="FE62" s="3371"/>
      <c r="FF62" s="3370"/>
      <c r="FG62" s="3371"/>
      <c r="FH62" s="3371"/>
      <c r="FI62" s="3370"/>
      <c r="FJ62" s="3371"/>
      <c r="FK62" s="3371"/>
      <c r="FL62" s="3370"/>
      <c r="FM62" s="3371"/>
      <c r="FN62" s="3371"/>
      <c r="FO62" s="3370"/>
      <c r="FP62" s="3371"/>
      <c r="FQ62" s="3371"/>
      <c r="FR62" s="3370"/>
      <c r="FS62" s="3377"/>
    </row>
    <row r="63" spans="9:294">
      <c r="AX63" s="780">
        <v>20</v>
      </c>
      <c r="AY63" s="3373"/>
      <c r="AZ63" s="3374"/>
      <c r="BA63" s="3375"/>
      <c r="BB63" s="3373"/>
      <c r="BC63" s="3374"/>
      <c r="BD63" s="3374"/>
      <c r="BE63" s="3373"/>
      <c r="BF63" s="3374"/>
      <c r="BG63" s="3374"/>
      <c r="BH63" s="3373"/>
      <c r="BI63" s="3374"/>
      <c r="BJ63" s="3374"/>
      <c r="BK63" s="3373"/>
      <c r="BL63" s="3374"/>
      <c r="BM63" s="3374"/>
      <c r="BN63" s="3373"/>
      <c r="BO63" s="3374"/>
      <c r="BP63" s="3374"/>
      <c r="BQ63" s="3373"/>
      <c r="BR63" s="3378"/>
      <c r="BS63" s="780">
        <v>20</v>
      </c>
      <c r="BT63" s="3373"/>
      <c r="BU63" s="3374"/>
      <c r="BV63" s="3375"/>
      <c r="BW63" s="3373"/>
      <c r="BX63" s="3374"/>
      <c r="BY63" s="3374"/>
      <c r="BZ63" s="3373"/>
      <c r="CA63" s="3374"/>
      <c r="CB63" s="3374"/>
      <c r="CC63" s="3373"/>
      <c r="CD63" s="3374"/>
      <c r="CE63" s="3374"/>
      <c r="CF63" s="3373"/>
      <c r="CG63" s="3374"/>
      <c r="CH63" s="3374"/>
      <c r="CI63" s="3373"/>
      <c r="CJ63" s="3374"/>
      <c r="CK63" s="3374"/>
      <c r="CL63" s="3373"/>
      <c r="CM63" s="3378"/>
      <c r="CN63" s="780">
        <v>20</v>
      </c>
      <c r="CO63" s="3373"/>
      <c r="CP63" s="3374"/>
      <c r="CQ63" s="3375"/>
      <c r="CR63" s="3373"/>
      <c r="CS63" s="3374"/>
      <c r="CT63" s="3374"/>
      <c r="CU63" s="3373"/>
      <c r="CV63" s="3374"/>
      <c r="CW63" s="3374"/>
      <c r="CX63" s="3373"/>
      <c r="CY63" s="3374"/>
      <c r="CZ63" s="3374"/>
      <c r="DA63" s="3373"/>
      <c r="DB63" s="3374"/>
      <c r="DC63" s="3374"/>
      <c r="DD63" s="3373"/>
      <c r="DE63" s="3374"/>
      <c r="DF63" s="3374"/>
      <c r="DG63" s="3373"/>
      <c r="DH63" s="3378"/>
      <c r="DI63" s="780">
        <v>20</v>
      </c>
      <c r="DJ63" s="3373"/>
      <c r="DK63" s="3374"/>
      <c r="DL63" s="3375"/>
      <c r="DM63" s="3373"/>
      <c r="DN63" s="3374"/>
      <c r="DO63" s="3374"/>
      <c r="DP63" s="3373"/>
      <c r="DQ63" s="3374"/>
      <c r="DR63" s="3374"/>
      <c r="DS63" s="3373"/>
      <c r="DT63" s="3374"/>
      <c r="DU63" s="3374"/>
      <c r="DV63" s="3373"/>
      <c r="DW63" s="3374"/>
      <c r="DX63" s="3374"/>
      <c r="DY63" s="3373"/>
      <c r="DZ63" s="3374"/>
      <c r="EA63" s="3374"/>
      <c r="EB63" s="3373"/>
      <c r="EC63" s="3378"/>
      <c r="ED63" s="780">
        <v>20</v>
      </c>
      <c r="EE63" s="3373"/>
      <c r="EF63" s="3374"/>
      <c r="EG63" s="3375"/>
      <c r="EH63" s="3373"/>
      <c r="EI63" s="3374"/>
      <c r="EJ63" s="3374"/>
      <c r="EK63" s="3373"/>
      <c r="EL63" s="3374"/>
      <c r="EM63" s="3374"/>
      <c r="EN63" s="3373"/>
      <c r="EO63" s="3374"/>
      <c r="EP63" s="3374"/>
      <c r="EQ63" s="3373"/>
      <c r="ER63" s="3374"/>
      <c r="ES63" s="3374"/>
      <c r="ET63" s="3373"/>
      <c r="EU63" s="3374"/>
      <c r="EV63" s="3374"/>
      <c r="EW63" s="3373"/>
      <c r="EX63" s="3378"/>
      <c r="EY63" s="780">
        <v>20</v>
      </c>
      <c r="EZ63" s="3373"/>
      <c r="FA63" s="3374"/>
      <c r="FB63" s="3375"/>
      <c r="FC63" s="3373"/>
      <c r="FD63" s="3374"/>
      <c r="FE63" s="3374"/>
      <c r="FF63" s="3373"/>
      <c r="FG63" s="3374"/>
      <c r="FH63" s="3374"/>
      <c r="FI63" s="3373"/>
      <c r="FJ63" s="3374"/>
      <c r="FK63" s="3374"/>
      <c r="FL63" s="3373"/>
      <c r="FM63" s="3374"/>
      <c r="FN63" s="3374"/>
      <c r="FO63" s="3373"/>
      <c r="FP63" s="3374"/>
      <c r="FQ63" s="3374"/>
      <c r="FR63" s="3373"/>
      <c r="FS63" s="3378"/>
    </row>
  </sheetData>
  <sheetProtection selectLockedCells="1"/>
  <mergeCells count="385">
    <mergeCell ref="LC1:LW1"/>
    <mergeCell ref="KH1:LB1"/>
    <mergeCell ref="KH23:LB23"/>
    <mergeCell ref="KF1:KG1"/>
    <mergeCell ref="HR23:HS23"/>
    <mergeCell ref="ID23:IE23"/>
    <mergeCell ref="IP23:IQ23"/>
    <mergeCell ref="JB23:JC23"/>
    <mergeCell ref="JN23:JO23"/>
    <mergeCell ref="JZ23:KA23"/>
    <mergeCell ref="JV1:JY1"/>
    <mergeCell ref="JP1:JS1"/>
    <mergeCell ref="JJ1:JM1"/>
    <mergeCell ref="JD1:JG1"/>
    <mergeCell ref="KB1:KE1"/>
    <mergeCell ref="JH1:JI1"/>
    <mergeCell ref="JN1:JO1"/>
    <mergeCell ref="JT1:JU1"/>
    <mergeCell ref="IG1:IU1"/>
    <mergeCell ref="IH23:IO23"/>
    <mergeCell ref="KB23:KG23"/>
    <mergeCell ref="HV23:IC23"/>
    <mergeCell ref="IZ45:JA45"/>
    <mergeCell ref="JB45:JC45"/>
    <mergeCell ref="JD45:JE45"/>
    <mergeCell ref="JF45:JG45"/>
    <mergeCell ref="JH45:JI45"/>
    <mergeCell ref="JZ1:KA1"/>
    <mergeCell ref="JJ45:JK45"/>
    <mergeCell ref="JL45:JM45"/>
    <mergeCell ref="JN45:JO45"/>
    <mergeCell ref="JP45:JQ45"/>
    <mergeCell ref="JR45:JS45"/>
    <mergeCell ref="JT45:JU45"/>
    <mergeCell ref="JV45:JW45"/>
    <mergeCell ref="JX45:JY45"/>
    <mergeCell ref="JZ45:KA45"/>
    <mergeCell ref="IV1:JA1"/>
    <mergeCell ref="JF23:JM23"/>
    <mergeCell ref="IT23:JA23"/>
    <mergeCell ref="JR23:JY23"/>
    <mergeCell ref="IH45:II45"/>
    <mergeCell ref="IJ45:IK45"/>
    <mergeCell ref="IL45:IM45"/>
    <mergeCell ref="IN45:IO45"/>
    <mergeCell ref="IP45:IQ45"/>
    <mergeCell ref="IR45:IS45"/>
    <mergeCell ref="IT45:IU45"/>
    <mergeCell ref="IV45:IW45"/>
    <mergeCell ref="IX45:IY45"/>
    <mergeCell ref="AH36:AI36"/>
    <mergeCell ref="HN45:HO45"/>
    <mergeCell ref="HP45:HQ45"/>
    <mergeCell ref="HR45:HS45"/>
    <mergeCell ref="HT45:HU45"/>
    <mergeCell ref="AJ25:AK25"/>
    <mergeCell ref="AJ26:AK26"/>
    <mergeCell ref="AJ27:AK27"/>
    <mergeCell ref="AJ28:AK28"/>
    <mergeCell ref="AJ29:AK29"/>
    <mergeCell ref="AJ30:AK30"/>
    <mergeCell ref="AJ31:AK31"/>
    <mergeCell ref="AJ32:AK32"/>
    <mergeCell ref="AJ33:AK33"/>
    <mergeCell ref="AH32:AI32"/>
    <mergeCell ref="AH33:AI33"/>
    <mergeCell ref="AH34:AI34"/>
    <mergeCell ref="AH37:AI37"/>
    <mergeCell ref="AH35:AI35"/>
    <mergeCell ref="AH25:AI25"/>
    <mergeCell ref="AX43:BR43"/>
    <mergeCell ref="AJ20:AK20"/>
    <mergeCell ref="AJ21:AK21"/>
    <mergeCell ref="AD37:AE37"/>
    <mergeCell ref="AJ34:AK34"/>
    <mergeCell ref="AJ35:AK35"/>
    <mergeCell ref="AJ36:AK36"/>
    <mergeCell ref="AJ37:AK37"/>
    <mergeCell ref="AD17:AE17"/>
    <mergeCell ref="AD18:AE18"/>
    <mergeCell ref="AD19:AE19"/>
    <mergeCell ref="AD20:AE20"/>
    <mergeCell ref="AD21:AE21"/>
    <mergeCell ref="AD22:AE22"/>
    <mergeCell ref="AD23:AE23"/>
    <mergeCell ref="AD24:AE24"/>
    <mergeCell ref="AD25:AE25"/>
    <mergeCell ref="AD26:AE26"/>
    <mergeCell ref="AD27:AE27"/>
    <mergeCell ref="AD28:AE28"/>
    <mergeCell ref="AD29:AE29"/>
    <mergeCell ref="AJ22:AK22"/>
    <mergeCell ref="AJ23:AK23"/>
    <mergeCell ref="AJ24:AK24"/>
    <mergeCell ref="AH27:AI27"/>
    <mergeCell ref="P40:Q40"/>
    <mergeCell ref="AD9:AE9"/>
    <mergeCell ref="DJ22:DQ22"/>
    <mergeCell ref="J20:K20"/>
    <mergeCell ref="P21:Q21"/>
    <mergeCell ref="R21:S21"/>
    <mergeCell ref="N18:O18"/>
    <mergeCell ref="N19:O19"/>
    <mergeCell ref="L18:M18"/>
    <mergeCell ref="J18:K18"/>
    <mergeCell ref="N30:O30"/>
    <mergeCell ref="N31:O31"/>
    <mergeCell ref="N21:O21"/>
    <mergeCell ref="R17:S17"/>
    <mergeCell ref="P18:Q18"/>
    <mergeCell ref="J32:K32"/>
    <mergeCell ref="J33:K33"/>
    <mergeCell ref="R34:S34"/>
    <mergeCell ref="P28:Q28"/>
    <mergeCell ref="R28:S28"/>
    <mergeCell ref="R33:S33"/>
    <mergeCell ref="N33:O33"/>
    <mergeCell ref="J19:K19"/>
    <mergeCell ref="AD33:AE33"/>
    <mergeCell ref="AB31:AC31"/>
    <mergeCell ref="AB30:AC30"/>
    <mergeCell ref="AB32:AC32"/>
    <mergeCell ref="X32:Y32"/>
    <mergeCell ref="L33:M33"/>
    <mergeCell ref="J36:K36"/>
    <mergeCell ref="L36:M36"/>
    <mergeCell ref="N36:O36"/>
    <mergeCell ref="N35:O35"/>
    <mergeCell ref="R35:S35"/>
    <mergeCell ref="N34:O34"/>
    <mergeCell ref="P36:Q36"/>
    <mergeCell ref="R36:S36"/>
    <mergeCell ref="P34:Q34"/>
    <mergeCell ref="J34:K34"/>
    <mergeCell ref="J35:K35"/>
    <mergeCell ref="P35:Q35"/>
    <mergeCell ref="L35:M35"/>
    <mergeCell ref="L34:M34"/>
    <mergeCell ref="P33:Q33"/>
    <mergeCell ref="L32:M32"/>
    <mergeCell ref="N32:O32"/>
    <mergeCell ref="P32:Q32"/>
    <mergeCell ref="R32:S32"/>
    <mergeCell ref="V26:W26"/>
    <mergeCell ref="V28:W28"/>
    <mergeCell ref="V32:W32"/>
    <mergeCell ref="X31:Y31"/>
    <mergeCell ref="Z31:AA31"/>
    <mergeCell ref="T32:U32"/>
    <mergeCell ref="T31:U31"/>
    <mergeCell ref="P29:Q29"/>
    <mergeCell ref="R29:S29"/>
    <mergeCell ref="P30:Q30"/>
    <mergeCell ref="R30:S30"/>
    <mergeCell ref="T30:U30"/>
    <mergeCell ref="V30:W30"/>
    <mergeCell ref="Z32:AA32"/>
    <mergeCell ref="J31:K31"/>
    <mergeCell ref="Z24:AA24"/>
    <mergeCell ref="N25:O25"/>
    <mergeCell ref="T25:U25"/>
    <mergeCell ref="T28:U28"/>
    <mergeCell ref="V24:W24"/>
    <mergeCell ref="T29:U29"/>
    <mergeCell ref="T26:U26"/>
    <mergeCell ref="T27:U27"/>
    <mergeCell ref="V31:W31"/>
    <mergeCell ref="P25:Q25"/>
    <mergeCell ref="R25:S25"/>
    <mergeCell ref="L24:M24"/>
    <mergeCell ref="L30:M30"/>
    <mergeCell ref="L31:M31"/>
    <mergeCell ref="P24:Q24"/>
    <mergeCell ref="R24:S24"/>
    <mergeCell ref="T24:U24"/>
    <mergeCell ref="N24:O24"/>
    <mergeCell ref="Z29:AA29"/>
    <mergeCell ref="X28:Y28"/>
    <mergeCell ref="Z27:AA27"/>
    <mergeCell ref="Z28:AA28"/>
    <mergeCell ref="X26:Y26"/>
    <mergeCell ref="J28:K28"/>
    <mergeCell ref="D11:I16"/>
    <mergeCell ref="L20:M20"/>
    <mergeCell ref="J17:K17"/>
    <mergeCell ref="J29:K29"/>
    <mergeCell ref="L29:M29"/>
    <mergeCell ref="J30:K30"/>
    <mergeCell ref="N26:O26"/>
    <mergeCell ref="N27:O27"/>
    <mergeCell ref="N28:O28"/>
    <mergeCell ref="L25:M25"/>
    <mergeCell ref="L27:M27"/>
    <mergeCell ref="N29:O29"/>
    <mergeCell ref="L26:M26"/>
    <mergeCell ref="L28:M28"/>
    <mergeCell ref="L22:M22"/>
    <mergeCell ref="J24:K24"/>
    <mergeCell ref="J25:K25"/>
    <mergeCell ref="J26:K26"/>
    <mergeCell ref="J27:K27"/>
    <mergeCell ref="L23:M23"/>
    <mergeCell ref="J22:K22"/>
    <mergeCell ref="J23:K23"/>
    <mergeCell ref="N22:O22"/>
    <mergeCell ref="N20:O20"/>
    <mergeCell ref="AH20:AI20"/>
    <mergeCell ref="X17:Y17"/>
    <mergeCell ref="X18:Y18"/>
    <mergeCell ref="R26:S26"/>
    <mergeCell ref="P27:Q27"/>
    <mergeCell ref="R27:S27"/>
    <mergeCell ref="P26:Q26"/>
    <mergeCell ref="P31:Q31"/>
    <mergeCell ref="R31:S31"/>
    <mergeCell ref="P23:Q23"/>
    <mergeCell ref="Z23:AA23"/>
    <mergeCell ref="P20:Q20"/>
    <mergeCell ref="R20:S20"/>
    <mergeCell ref="P22:Q22"/>
    <mergeCell ref="R22:S22"/>
    <mergeCell ref="N23:O23"/>
    <mergeCell ref="R23:S23"/>
    <mergeCell ref="AB25:AC25"/>
    <mergeCell ref="AB27:AC27"/>
    <mergeCell ref="X25:Y25"/>
    <mergeCell ref="V27:W27"/>
    <mergeCell ref="V29:W29"/>
    <mergeCell ref="V25:W25"/>
    <mergeCell ref="AS8:AV8"/>
    <mergeCell ref="AH17:AI17"/>
    <mergeCell ref="AH18:AI18"/>
    <mergeCell ref="AH19:AI19"/>
    <mergeCell ref="X11:Y16"/>
    <mergeCell ref="L19:M19"/>
    <mergeCell ref="AD11:AE16"/>
    <mergeCell ref="AB11:AC16"/>
    <mergeCell ref="Z11:AA16"/>
    <mergeCell ref="Z17:AA17"/>
    <mergeCell ref="AB17:AC17"/>
    <mergeCell ref="Z18:AA18"/>
    <mergeCell ref="P17:Q17"/>
    <mergeCell ref="L17:M17"/>
    <mergeCell ref="N17:O17"/>
    <mergeCell ref="AI8:AJ8"/>
    <mergeCell ref="P11:Q16"/>
    <mergeCell ref="AB18:AC18"/>
    <mergeCell ref="AJ11:AK16"/>
    <mergeCell ref="AJ17:AK17"/>
    <mergeCell ref="AJ18:AK18"/>
    <mergeCell ref="AJ19:AK19"/>
    <mergeCell ref="AF11:AG16"/>
    <mergeCell ref="T17:U17"/>
    <mergeCell ref="B11:B16"/>
    <mergeCell ref="C11:C16"/>
    <mergeCell ref="AH21:AI21"/>
    <mergeCell ref="Z19:AA19"/>
    <mergeCell ref="AB19:AC19"/>
    <mergeCell ref="T11:U16"/>
    <mergeCell ref="R18:S18"/>
    <mergeCell ref="P19:Q19"/>
    <mergeCell ref="R19:S19"/>
    <mergeCell ref="V11:W16"/>
    <mergeCell ref="R11:S16"/>
    <mergeCell ref="L11:M16"/>
    <mergeCell ref="J11:K16"/>
    <mergeCell ref="N11:O16"/>
    <mergeCell ref="X20:Y20"/>
    <mergeCell ref="X21:Y21"/>
    <mergeCell ref="AB20:AC20"/>
    <mergeCell ref="V17:W17"/>
    <mergeCell ref="V19:W19"/>
    <mergeCell ref="V20:W20"/>
    <mergeCell ref="X19:Y19"/>
    <mergeCell ref="J21:K21"/>
    <mergeCell ref="L21:M21"/>
    <mergeCell ref="AB21:AC21"/>
    <mergeCell ref="Z22:AA22"/>
    <mergeCell ref="AB22:AC22"/>
    <mergeCell ref="X22:Y22"/>
    <mergeCell ref="Z21:AA21"/>
    <mergeCell ref="AH22:AI22"/>
    <mergeCell ref="AH23:AI23"/>
    <mergeCell ref="AH24:AI24"/>
    <mergeCell ref="V18:W18"/>
    <mergeCell ref="T21:U21"/>
    <mergeCell ref="AB23:AC23"/>
    <mergeCell ref="AB24:AC24"/>
    <mergeCell ref="Z20:AA20"/>
    <mergeCell ref="T18:U18"/>
    <mergeCell ref="T19:U19"/>
    <mergeCell ref="V21:W21"/>
    <mergeCell ref="X24:Y24"/>
    <mergeCell ref="T22:U22"/>
    <mergeCell ref="T23:U23"/>
    <mergeCell ref="V23:W23"/>
    <mergeCell ref="V22:W22"/>
    <mergeCell ref="X23:Y23"/>
    <mergeCell ref="T20:U20"/>
    <mergeCell ref="C39:G39"/>
    <mergeCell ref="J37:K37"/>
    <mergeCell ref="L37:M37"/>
    <mergeCell ref="N37:O37"/>
    <mergeCell ref="P37:Q37"/>
    <mergeCell ref="R37:S37"/>
    <mergeCell ref="T37:U37"/>
    <mergeCell ref="V37:W37"/>
    <mergeCell ref="P39:Q39"/>
    <mergeCell ref="C38:G38"/>
    <mergeCell ref="X37:Y37"/>
    <mergeCell ref="Z37:AA37"/>
    <mergeCell ref="GD49:GK49"/>
    <mergeCell ref="AH26:AI26"/>
    <mergeCell ref="AD31:AE31"/>
    <mergeCell ref="AD32:AE32"/>
    <mergeCell ref="Z25:AA25"/>
    <mergeCell ref="Z26:AA26"/>
    <mergeCell ref="X27:Y27"/>
    <mergeCell ref="AB26:AC26"/>
    <mergeCell ref="AD34:AE34"/>
    <mergeCell ref="AH31:AI31"/>
    <mergeCell ref="AH30:AI30"/>
    <mergeCell ref="AH28:AI28"/>
    <mergeCell ref="AH29:AI29"/>
    <mergeCell ref="AD30:AE30"/>
    <mergeCell ref="X30:Y30"/>
    <mergeCell ref="Z30:AA30"/>
    <mergeCell ref="AB37:AC37"/>
    <mergeCell ref="AB36:AC36"/>
    <mergeCell ref="Z36:AA36"/>
    <mergeCell ref="AB29:AC29"/>
    <mergeCell ref="X29:Y29"/>
    <mergeCell ref="AB28:AC28"/>
    <mergeCell ref="GM49:HF49"/>
    <mergeCell ref="GN22:HD22"/>
    <mergeCell ref="GC22:GK22"/>
    <mergeCell ref="HE22:HF22"/>
    <mergeCell ref="GL1:HD1"/>
    <mergeCell ref="HE1:HF1"/>
    <mergeCell ref="HV45:HW45"/>
    <mergeCell ref="BG1:CA1"/>
    <mergeCell ref="AD36:AE36"/>
    <mergeCell ref="AD35:AE35"/>
    <mergeCell ref="AX1:BF1"/>
    <mergeCell ref="HJ23:HQ23"/>
    <mergeCell ref="HI1:HP1"/>
    <mergeCell ref="HQ1:IF1"/>
    <mergeCell ref="HH45:HI45"/>
    <mergeCell ref="HJ45:HK45"/>
    <mergeCell ref="HL45:HM45"/>
    <mergeCell ref="GD45:GK45"/>
    <mergeCell ref="HX45:HY45"/>
    <mergeCell ref="HZ45:IA45"/>
    <mergeCell ref="IB45:IC45"/>
    <mergeCell ref="ID45:IE45"/>
    <mergeCell ref="AH11:AI16"/>
    <mergeCell ref="AU7:AV7"/>
    <mergeCell ref="T36:U36"/>
    <mergeCell ref="T35:U35"/>
    <mergeCell ref="V35:W35"/>
    <mergeCell ref="T33:U33"/>
    <mergeCell ref="T34:U34"/>
    <mergeCell ref="AB34:AC34"/>
    <mergeCell ref="V36:W36"/>
    <mergeCell ref="AB35:AC35"/>
    <mergeCell ref="Z35:AA35"/>
    <mergeCell ref="X36:Y36"/>
    <mergeCell ref="X35:Y35"/>
    <mergeCell ref="X33:Y33"/>
    <mergeCell ref="X34:Y34"/>
    <mergeCell ref="Z34:AA34"/>
    <mergeCell ref="V34:W34"/>
    <mergeCell ref="Z33:AA33"/>
    <mergeCell ref="V33:W33"/>
    <mergeCell ref="AB33:AC33"/>
    <mergeCell ref="IF45:IG45"/>
    <mergeCell ref="CB1:CV1"/>
    <mergeCell ref="CW1:DQ1"/>
    <mergeCell ref="DR1:EL1"/>
    <mergeCell ref="EM1:FG1"/>
    <mergeCell ref="FH1:GB1"/>
    <mergeCell ref="DR22:EL22"/>
    <mergeCell ref="EM22:FG22"/>
    <mergeCell ref="FH22:GB22"/>
    <mergeCell ref="GM45:HF45"/>
  </mergeCells>
  <phoneticPr fontId="0" type="noConversion"/>
  <conditionalFormatting sqref="P41 E7 G8 V7 AE7:AG7 B17:D36 AU7:AV7">
    <cfRule type="cellIs" dxfId="979" priority="139" stopIfTrue="1" operator="equal">
      <formula>0</formula>
    </cfRule>
  </conditionalFormatting>
  <conditionalFormatting sqref="AJ17:AK36 J17:AF36">
    <cfRule type="cellIs" dxfId="978" priority="140" stopIfTrue="1" operator="equal">
      <formula>"C"</formula>
    </cfRule>
    <cfRule type="cellIs" dxfId="977" priority="141" stopIfTrue="1" operator="equal">
      <formula>"I"</formula>
    </cfRule>
    <cfRule type="cellIs" dxfId="976" priority="142" stopIfTrue="1" operator="equal">
      <formula>"N"</formula>
    </cfRule>
  </conditionalFormatting>
  <conditionalFormatting sqref="AH17:AI36">
    <cfRule type="cellIs" dxfId="975" priority="138" stopIfTrue="1" operator="equal">
      <formula>0</formula>
    </cfRule>
  </conditionalFormatting>
  <conditionalFormatting sqref="GL1 AX2:HF20 GN22 BG1 AX1 CB1 CW1 DR1 EM1 FH1 AX22:DR22 EM22 AX23:HF42 GC22:GK22 FH22 AX21:BJ21 CW21:DU21 CB21:CE21 EM21:HF21 DJ43:EC43 EE43:EX43 EZ43:FG43">
    <cfRule type="cellIs" dxfId="974" priority="137" stopIfTrue="1" operator="equal">
      <formula>0</formula>
    </cfRule>
  </conditionalFormatting>
  <conditionalFormatting sqref="AL17:AU36">
    <cfRule type="cellIs" dxfId="973" priority="135" stopIfTrue="1" operator="equal">
      <formula>0</formula>
    </cfRule>
    <cfRule type="cellIs" dxfId="972" priority="136" stopIfTrue="1" operator="equal">
      <formula>0</formula>
    </cfRule>
  </conditionalFormatting>
  <conditionalFormatting sqref="AH37:AI37">
    <cfRule type="cellIs" dxfId="971" priority="124" operator="equal">
      <formula>#REF!</formula>
    </cfRule>
    <cfRule type="cellIs" dxfId="970" priority="125" operator="greaterThan">
      <formula>#REF!</formula>
    </cfRule>
    <cfRule type="cellIs" dxfId="969" priority="127" operator="lessThan">
      <formula>#REF!</formula>
    </cfRule>
  </conditionalFormatting>
  <conditionalFormatting sqref="HG1:JD1 HG25:JO44 KB3:KG21 HG2:KG2 JY22:KG22 HG24:KG24 JR23 JP1 JH1 JJ1 JF23 IT23 IH23 HR23 HV23 HG23 HJ23 HG45:HG55 HG3:JU22">
    <cfRule type="cellIs" dxfId="968" priority="117" operator="equal">
      <formula>0</formula>
    </cfRule>
  </conditionalFormatting>
  <conditionalFormatting sqref="JE2:JI22 JJ1 JP1 JJ3:JU22 JJ2:KG2 JP24:KG24 HG24:JO44 JF23 IT23 IH23 HR23 HV23 HG22:KG22 GN22 AX23:HG23 HJ23 GK24:GK42 BG1 AX1 CB1 CW1 DR1 EM1 GC1:GL1 FH1 DR22 EM22 GC22:GK22 FH22 HQ53:HS55 HT53:IB54 IC53:IE55 IF53:IN54 IO53:IQ55 IR53:JL54 JM53:JO55 JP53:JX54 KB52:KG54 JY53:KA55 FT52:HF53 HH53:HP54 HH52:KA52 HG45:HG55 HG1:JD22 GC54:GC55 FT54:GB54 GZ54:HF54">
    <cfRule type="cellIs" dxfId="967" priority="116" operator="equal">
      <formula>0</formula>
    </cfRule>
  </conditionalFormatting>
  <conditionalFormatting sqref="JV1 JV22:JX22 JV3:KA21">
    <cfRule type="cellIs" dxfId="966" priority="114" operator="equal">
      <formula>0</formula>
    </cfRule>
  </conditionalFormatting>
  <conditionalFormatting sqref="JV1 JV22:JX22 JV3:KA21">
    <cfRule type="cellIs" dxfId="965" priority="113" operator="equal">
      <formula>0</formula>
    </cfRule>
  </conditionalFormatting>
  <conditionalFormatting sqref="JV1 JV22:JX22 JV3:KA21">
    <cfRule type="cellIs" dxfId="964" priority="112" operator="equal">
      <formula>0</formula>
    </cfRule>
  </conditionalFormatting>
  <conditionalFormatting sqref="JP44:KG44">
    <cfRule type="cellIs" dxfId="963" priority="111" operator="equal">
      <formula>0</formula>
    </cfRule>
  </conditionalFormatting>
  <conditionalFormatting sqref="JP44:KG44">
    <cfRule type="cellIs" dxfId="962" priority="110" operator="equal">
      <formula>0</formula>
    </cfRule>
  </conditionalFormatting>
  <conditionalFormatting sqref="JP25:KA43">
    <cfRule type="cellIs" dxfId="961" priority="109" operator="equal">
      <formula>0</formula>
    </cfRule>
  </conditionalFormatting>
  <conditionalFormatting sqref="JP25:KA43">
    <cfRule type="cellIs" dxfId="960" priority="108" operator="equal">
      <formula>0</formula>
    </cfRule>
  </conditionalFormatting>
  <conditionalFormatting sqref="KB25:KG43">
    <cfRule type="cellIs" dxfId="959" priority="107" operator="equal">
      <formula>0</formula>
    </cfRule>
  </conditionalFormatting>
  <conditionalFormatting sqref="FT45:GD45 HT45 HJ45 HL45 HN45 HP45 HR45 KB45:KG45 HV45 HX45 HZ45 IB45 ID45 IF45 IH45 IJ45 IL45 IN45 IP45 IR45 IT45 IV45 IX45 IZ45 JB45 JD45 JF45 JH45 JJ45 JL45 JN45 JP45 JR45 JT45 JV45 JX45 JZ45 JR23 KB1 JV1 JP1 JH1 JJ1 KB23:KG23 JF23 IT23 IH23 HR23 HV23 AX22:DQ22 AX24:KG42 HH46:KG47 GX54:GX55 FT46:GB47 GD47:HE47 GD46:HF46 FT50:GB51 FT48:HF48 GL45:GM45 FT49:GD49 GL49 HH45 HH50:KG51 HH49 AX64:KG1048576 HT55:IB55 IF55:IN55 IR55:JL55 JP55:JX55 KB55:KG55 HH55:HP55 IF48:KG49 HT48:IB48 HH48:HP48 HG45:HG55 AX2:KG20 AX21:BJ21 CW21:DU21 CB21:CE21 EM21:KG21 FT57:KG63 DJ43:EC43 FT44:KG44 FT55:GB56 GZ56:KG56 GZ55:HF55 EE43:EX43 EZ43:KG43">
    <cfRule type="cellIs" dxfId="958" priority="106" operator="equal">
      <formula>0</formula>
    </cfRule>
  </conditionalFormatting>
  <conditionalFormatting sqref="JN1">
    <cfRule type="cellIs" dxfId="957" priority="105" operator="equal">
      <formula>0</formula>
    </cfRule>
  </conditionalFormatting>
  <conditionalFormatting sqref="JN1">
    <cfRule type="cellIs" dxfId="956" priority="104" operator="equal">
      <formula>0</formula>
    </cfRule>
  </conditionalFormatting>
  <conditionalFormatting sqref="JT1">
    <cfRule type="cellIs" dxfId="955" priority="103" operator="equal">
      <formula>0</formula>
    </cfRule>
  </conditionalFormatting>
  <conditionalFormatting sqref="JT1">
    <cfRule type="cellIs" dxfId="954" priority="102" operator="equal">
      <formula>0</formula>
    </cfRule>
  </conditionalFormatting>
  <conditionalFormatting sqref="JZ1">
    <cfRule type="cellIs" dxfId="953" priority="101" operator="equal">
      <formula>0</formula>
    </cfRule>
  </conditionalFormatting>
  <conditionalFormatting sqref="JZ1">
    <cfRule type="cellIs" dxfId="952" priority="100" operator="equal">
      <formula>0</formula>
    </cfRule>
  </conditionalFormatting>
  <conditionalFormatting sqref="JZ23">
    <cfRule type="cellIs" dxfId="951" priority="78" operator="equal">
      <formula>0</formula>
    </cfRule>
  </conditionalFormatting>
  <conditionalFormatting sqref="KF1">
    <cfRule type="cellIs" dxfId="950" priority="97" operator="equal">
      <formula>0</formula>
    </cfRule>
  </conditionalFormatting>
  <conditionalFormatting sqref="KF1">
    <cfRule type="cellIs" dxfId="949" priority="96" operator="equal">
      <formula>0</formula>
    </cfRule>
  </conditionalFormatting>
  <conditionalFormatting sqref="ID23">
    <cfRule type="cellIs" dxfId="948" priority="95" operator="equal">
      <formula>0</formula>
    </cfRule>
  </conditionalFormatting>
  <conditionalFormatting sqref="ID23">
    <cfRule type="cellIs" dxfId="947" priority="94" operator="equal">
      <formula>0</formula>
    </cfRule>
  </conditionalFormatting>
  <conditionalFormatting sqref="ID23">
    <cfRule type="cellIs" dxfId="946" priority="93" operator="equal">
      <formula>0</formula>
    </cfRule>
  </conditionalFormatting>
  <conditionalFormatting sqref="IP23">
    <cfRule type="cellIs" dxfId="945" priority="92" operator="equal">
      <formula>0</formula>
    </cfRule>
  </conditionalFormatting>
  <conditionalFormatting sqref="IP23">
    <cfRule type="cellIs" dxfId="944" priority="91" operator="equal">
      <formula>0</formula>
    </cfRule>
  </conditionalFormatting>
  <conditionalFormatting sqref="IP23">
    <cfRule type="cellIs" dxfId="943" priority="90" operator="equal">
      <formula>0</formula>
    </cfRule>
  </conditionalFormatting>
  <conditionalFormatting sqref="JB23">
    <cfRule type="cellIs" dxfId="942" priority="89" operator="equal">
      <formula>0</formula>
    </cfRule>
  </conditionalFormatting>
  <conditionalFormatting sqref="JB23">
    <cfRule type="cellIs" dxfId="941" priority="88" operator="equal">
      <formula>0</formula>
    </cfRule>
  </conditionalFormatting>
  <conditionalFormatting sqref="JB23">
    <cfRule type="cellIs" dxfId="940" priority="87" operator="equal">
      <formula>0</formula>
    </cfRule>
  </conditionalFormatting>
  <conditionalFormatting sqref="JN23">
    <cfRule type="cellIs" dxfId="939" priority="86" operator="equal">
      <formula>0</formula>
    </cfRule>
  </conditionalFormatting>
  <conditionalFormatting sqref="JN23">
    <cfRule type="cellIs" dxfId="938" priority="85" operator="equal">
      <formula>0</formula>
    </cfRule>
  </conditionalFormatting>
  <conditionalFormatting sqref="JN23">
    <cfRule type="cellIs" dxfId="937" priority="84" operator="equal">
      <formula>0</formula>
    </cfRule>
  </conditionalFormatting>
  <conditionalFormatting sqref="JZ23">
    <cfRule type="cellIs" dxfId="936" priority="80" operator="equal">
      <formula>0</formula>
    </cfRule>
  </conditionalFormatting>
  <conditionalFormatting sqref="JZ23">
    <cfRule type="cellIs" dxfId="935" priority="79" operator="equal">
      <formula>0</formula>
    </cfRule>
  </conditionalFormatting>
  <conditionalFormatting sqref="GD54:GW55">
    <cfRule type="cellIs" dxfId="934" priority="77" operator="equal">
      <formula>0</formula>
    </cfRule>
  </conditionalFormatting>
  <conditionalFormatting sqref="GY54:GY55">
    <cfRule type="cellIs" dxfId="933" priority="76" operator="equal">
      <formula>0</formula>
    </cfRule>
  </conditionalFormatting>
  <conditionalFormatting sqref="GC46:GC47">
    <cfRule type="cellIs" dxfId="932" priority="75" operator="equal">
      <formula>0</formula>
    </cfRule>
  </conditionalFormatting>
  <conditionalFormatting sqref="GD50:HF50 GD51:HE51">
    <cfRule type="cellIs" dxfId="931" priority="74" operator="equal">
      <formula>0</formula>
    </cfRule>
  </conditionalFormatting>
  <conditionalFormatting sqref="GC50:GC51">
    <cfRule type="cellIs" dxfId="930" priority="73" operator="equal">
      <formula>0</formula>
    </cfRule>
  </conditionalFormatting>
  <conditionalFormatting sqref="GM49">
    <cfRule type="cellIs" dxfId="929" priority="72" operator="equal">
      <formula>0</formula>
    </cfRule>
  </conditionalFormatting>
  <conditionalFormatting sqref="HT49">
    <cfRule type="cellIs" dxfId="928" priority="71" operator="equal">
      <formula>0</formula>
    </cfRule>
  </conditionalFormatting>
  <conditionalFormatting sqref="IC48:IE49">
    <cfRule type="cellIs" dxfId="927" priority="68" operator="equal">
      <formula>0</formula>
    </cfRule>
  </conditionalFormatting>
  <conditionalFormatting sqref="HQ48:HS49">
    <cfRule type="cellIs" dxfId="926" priority="67" operator="equal">
      <formula>0</formula>
    </cfRule>
  </conditionalFormatting>
  <conditionalFormatting sqref="AH37:AK37">
    <cfRule type="cellIs" dxfId="925" priority="66" operator="equal">
      <formula>0</formula>
    </cfRule>
  </conditionalFormatting>
  <conditionalFormatting sqref="KH1 KH2:LB21">
    <cfRule type="cellIs" dxfId="924" priority="65" stopIfTrue="1" operator="equal">
      <formula>0</formula>
    </cfRule>
  </conditionalFormatting>
  <conditionalFormatting sqref="KH1">
    <cfRule type="cellIs" dxfId="923" priority="64" operator="equal">
      <formula>0</formula>
    </cfRule>
  </conditionalFormatting>
  <conditionalFormatting sqref="KH2:LB21">
    <cfRule type="cellIs" dxfId="922" priority="63" operator="equal">
      <formula>0</formula>
    </cfRule>
  </conditionalFormatting>
  <conditionalFormatting sqref="KH23 KH24:LB43">
    <cfRule type="cellIs" dxfId="921" priority="62" stopIfTrue="1" operator="equal">
      <formula>0</formula>
    </cfRule>
  </conditionalFormatting>
  <conditionalFormatting sqref="KH23">
    <cfRule type="cellIs" dxfId="920" priority="61" operator="equal">
      <formula>0</formula>
    </cfRule>
  </conditionalFormatting>
  <conditionalFormatting sqref="KH24:LB43">
    <cfRule type="cellIs" dxfId="919" priority="60" operator="equal">
      <formula>0</formula>
    </cfRule>
  </conditionalFormatting>
  <conditionalFormatting sqref="CF21:CV21">
    <cfRule type="cellIs" dxfId="918" priority="59" stopIfTrue="1" operator="equal">
      <formula>0</formula>
    </cfRule>
  </conditionalFormatting>
  <conditionalFormatting sqref="CF21:CV21">
    <cfRule type="cellIs" dxfId="917" priority="58" operator="equal">
      <formula>0</formula>
    </cfRule>
  </conditionalFormatting>
  <conditionalFormatting sqref="BK21:CA21">
    <cfRule type="cellIs" dxfId="916" priority="57" stopIfTrue="1" operator="equal">
      <formula>0</formula>
    </cfRule>
  </conditionalFormatting>
  <conditionalFormatting sqref="BK21:CA21">
    <cfRule type="cellIs" dxfId="915" priority="56" operator="equal">
      <formula>0</formula>
    </cfRule>
  </conditionalFormatting>
  <conditionalFormatting sqref="DV21:EL21">
    <cfRule type="cellIs" dxfId="914" priority="55" stopIfTrue="1" operator="equal">
      <formula>0</formula>
    </cfRule>
  </conditionalFormatting>
  <conditionalFormatting sqref="DV21:EL21">
    <cfRule type="cellIs" dxfId="913" priority="54" operator="equal">
      <formula>0</formula>
    </cfRule>
  </conditionalFormatting>
  <conditionalFormatting sqref="LC1:LC21 LC23">
    <cfRule type="cellIs" dxfId="912" priority="53" stopIfTrue="1" operator="equal">
      <formula>0</formula>
    </cfRule>
  </conditionalFormatting>
  <conditionalFormatting sqref="LC1">
    <cfRule type="cellIs" dxfId="911" priority="52" operator="equal">
      <formula>0</formula>
    </cfRule>
  </conditionalFormatting>
  <conditionalFormatting sqref="LC2:LC21 LC23">
    <cfRule type="cellIs" dxfId="910" priority="51" operator="equal">
      <formula>0</formula>
    </cfRule>
  </conditionalFormatting>
  <conditionalFormatting sqref="LD2:LW21">
    <cfRule type="cellIs" dxfId="909" priority="50" stopIfTrue="1" operator="equal">
      <formula>0</formula>
    </cfRule>
  </conditionalFormatting>
  <conditionalFormatting sqref="LD2:LW2">
    <cfRule type="cellIs" dxfId="908" priority="49" operator="equal">
      <formula>0</formula>
    </cfRule>
  </conditionalFormatting>
  <conditionalFormatting sqref="LD3:LW21">
    <cfRule type="cellIs" dxfId="907" priority="48" operator="equal">
      <formula>0</formula>
    </cfRule>
  </conditionalFormatting>
  <conditionalFormatting sqref="LC24:LC43">
    <cfRule type="cellIs" dxfId="906" priority="47" stopIfTrue="1" operator="equal">
      <formula>0</formula>
    </cfRule>
  </conditionalFormatting>
  <conditionalFormatting sqref="LC24:LC43">
    <cfRule type="cellIs" dxfId="905" priority="46" operator="equal">
      <formula>0</formula>
    </cfRule>
  </conditionalFormatting>
  <conditionalFormatting sqref="AX43 BS43 CN43 DI43 AX44:DH63">
    <cfRule type="cellIs" dxfId="904" priority="45" stopIfTrue="1" operator="equal">
      <formula>0</formula>
    </cfRule>
  </conditionalFormatting>
  <conditionalFormatting sqref="AY45:AY63 BT45:BT63 CO45:CO63 AX44:DH44 AY45:BR58 BT45:CM58 CO45:DH58">
    <cfRule type="cellIs" dxfId="903" priority="44" operator="equal">
      <formula>0</formula>
    </cfRule>
  </conditionalFormatting>
  <conditionalFormatting sqref="AX43 BS43 CN43 DI43 AX45:DH63">
    <cfRule type="cellIs" dxfId="902" priority="43" operator="equal">
      <formula>0</formula>
    </cfRule>
  </conditionalFormatting>
  <conditionalFormatting sqref="J11:AK16">
    <cfRule type="cellIs" dxfId="901" priority="42" operator="equal">
      <formula>0</formula>
    </cfRule>
  </conditionalFormatting>
  <conditionalFormatting sqref="DI59:EC63 DI44:DI58">
    <cfRule type="cellIs" dxfId="900" priority="41" stopIfTrue="1" operator="equal">
      <formula>0</formula>
    </cfRule>
  </conditionalFormatting>
  <conditionalFormatting sqref="DJ59:DJ63 DI44">
    <cfRule type="cellIs" dxfId="899" priority="40" operator="equal">
      <formula>0</formula>
    </cfRule>
  </conditionalFormatting>
  <conditionalFormatting sqref="DI59:EC63 DI45:DI58">
    <cfRule type="cellIs" dxfId="898" priority="39" operator="equal">
      <formula>0</formula>
    </cfRule>
  </conditionalFormatting>
  <conditionalFormatting sqref="ED59:EX63 ED44:ED58">
    <cfRule type="cellIs" dxfId="897" priority="38" stopIfTrue="1" operator="equal">
      <formula>0</formula>
    </cfRule>
  </conditionalFormatting>
  <conditionalFormatting sqref="EE59:EE63 ED44">
    <cfRule type="cellIs" dxfId="896" priority="37" operator="equal">
      <formula>0</formula>
    </cfRule>
  </conditionalFormatting>
  <conditionalFormatting sqref="ED59:EX63 ED45:ED58">
    <cfRule type="cellIs" dxfId="895" priority="36" operator="equal">
      <formula>0</formula>
    </cfRule>
  </conditionalFormatting>
  <conditionalFormatting sqref="EY59:FS63 EY44:EY58">
    <cfRule type="cellIs" dxfId="894" priority="35" stopIfTrue="1" operator="equal">
      <formula>0</formula>
    </cfRule>
  </conditionalFormatting>
  <conditionalFormatting sqref="EZ59:EZ63 EY44">
    <cfRule type="cellIs" dxfId="893" priority="34" operator="equal">
      <formula>0</formula>
    </cfRule>
  </conditionalFormatting>
  <conditionalFormatting sqref="EY59:FS63 EY45:EY58">
    <cfRule type="cellIs" dxfId="892" priority="33" operator="equal">
      <formula>0</formula>
    </cfRule>
  </conditionalFormatting>
  <conditionalFormatting sqref="ED43">
    <cfRule type="cellIs" dxfId="891" priority="32" stopIfTrue="1" operator="equal">
      <formula>0</formula>
    </cfRule>
  </conditionalFormatting>
  <conditionalFormatting sqref="ED43">
    <cfRule type="cellIs" dxfId="890" priority="31" operator="equal">
      <formula>0</formula>
    </cfRule>
  </conditionalFormatting>
  <conditionalFormatting sqref="EY43">
    <cfRule type="cellIs" dxfId="889" priority="30" stopIfTrue="1" operator="equal">
      <formula>0</formula>
    </cfRule>
  </conditionalFormatting>
  <conditionalFormatting sqref="EY43">
    <cfRule type="cellIs" dxfId="888" priority="29" operator="equal">
      <formula>0</formula>
    </cfRule>
  </conditionalFormatting>
  <conditionalFormatting sqref="DJ44:EC44">
    <cfRule type="cellIs" dxfId="887" priority="28" stopIfTrue="1" operator="equal">
      <formula>0</formula>
    </cfRule>
  </conditionalFormatting>
  <conditionalFormatting sqref="DJ44:EC44">
    <cfRule type="cellIs" dxfId="886" priority="27" operator="equal">
      <formula>0</formula>
    </cfRule>
  </conditionalFormatting>
  <conditionalFormatting sqref="EE44:EX44">
    <cfRule type="cellIs" dxfId="885" priority="26" stopIfTrue="1" operator="equal">
      <formula>0</formula>
    </cfRule>
  </conditionalFormatting>
  <conditionalFormatting sqref="EE44:EX44">
    <cfRule type="cellIs" dxfId="884" priority="25" operator="equal">
      <formula>0</formula>
    </cfRule>
  </conditionalFormatting>
  <conditionalFormatting sqref="EZ44:FS44">
    <cfRule type="cellIs" dxfId="883" priority="24" stopIfTrue="1" operator="equal">
      <formula>0</formula>
    </cfRule>
  </conditionalFormatting>
  <conditionalFormatting sqref="EZ44:FS44">
    <cfRule type="cellIs" dxfId="882" priority="23" operator="equal">
      <formula>0</formula>
    </cfRule>
  </conditionalFormatting>
  <conditionalFormatting sqref="J17:AE36">
    <cfRule type="cellIs" dxfId="881" priority="22" operator="equal">
      <formula>0</formula>
    </cfRule>
  </conditionalFormatting>
  <conditionalFormatting sqref="DJ45:EC58">
    <cfRule type="cellIs" dxfId="880" priority="21" stopIfTrue="1" operator="equal">
      <formula>0</formula>
    </cfRule>
  </conditionalFormatting>
  <conditionalFormatting sqref="DJ45:EC58">
    <cfRule type="cellIs" dxfId="879" priority="20" operator="equal">
      <formula>0</formula>
    </cfRule>
  </conditionalFormatting>
  <conditionalFormatting sqref="DJ45:EC58">
    <cfRule type="cellIs" dxfId="878" priority="19" operator="equal">
      <formula>0</formula>
    </cfRule>
  </conditionalFormatting>
  <conditionalFormatting sqref="EE45:EX58">
    <cfRule type="cellIs" dxfId="877" priority="18" stopIfTrue="1" operator="equal">
      <formula>0</formula>
    </cfRule>
  </conditionalFormatting>
  <conditionalFormatting sqref="EE45:EX58">
    <cfRule type="cellIs" dxfId="876" priority="17" operator="equal">
      <formula>0</formula>
    </cfRule>
  </conditionalFormatting>
  <conditionalFormatting sqref="EE45:EX58">
    <cfRule type="cellIs" dxfId="875" priority="16" operator="equal">
      <formula>0</formula>
    </cfRule>
  </conditionalFormatting>
  <conditionalFormatting sqref="EZ45:FS58">
    <cfRule type="cellIs" dxfId="874" priority="15" stopIfTrue="1" operator="equal">
      <formula>0</formula>
    </cfRule>
  </conditionalFormatting>
  <conditionalFormatting sqref="EZ45:FS58">
    <cfRule type="cellIs" dxfId="873" priority="14" operator="equal">
      <formula>0</formula>
    </cfRule>
  </conditionalFormatting>
  <conditionalFormatting sqref="EZ45:FS58">
    <cfRule type="cellIs" dxfId="872" priority="13" operator="equal">
      <formula>0</formula>
    </cfRule>
  </conditionalFormatting>
  <conditionalFormatting sqref="J17:W36">
    <cfRule type="cellIs" dxfId="871" priority="2" operator="equal">
      <formula>0</formula>
    </cfRule>
    <cfRule type="cellIs" dxfId="870" priority="3" operator="lessThan">
      <formula>6</formula>
    </cfRule>
    <cfRule type="cellIs" dxfId="869" priority="4" operator="greaterThan">
      <formula>6</formula>
    </cfRule>
    <cfRule type="cellIs" dxfId="868" priority="5" operator="greaterThan">
      <formula>5</formula>
    </cfRule>
    <cfRule type="cellIs" dxfId="867" priority="8" operator="lessThan">
      <formula>6</formula>
    </cfRule>
  </conditionalFormatting>
  <conditionalFormatting sqref="AX1:LW64">
    <cfRule type="cellIs" dxfId="866" priority="1" operator="equal">
      <formula>0</formula>
    </cfRule>
  </conditionalFormatting>
  <pageMargins left="0.31496062992125984" right="0.19685039370078741" top="0.39370078740157483" bottom="0.19685039370078741" header="0" footer="0"/>
  <pageSetup paperSize="9" scale="94" orientation="landscape" r:id="rId1"/>
  <headerFooter alignWithMargins="0"/>
  <drawing r:id="rId2"/>
  <legacyDrawing r:id="rId3"/>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4">
    <tabColor rgb="FF00B050"/>
  </sheetPr>
  <dimension ref="A1:Y47"/>
  <sheetViews>
    <sheetView view="pageBreakPreview" topLeftCell="A5" zoomScale="96" zoomScaleSheetLayoutView="96" workbookViewId="0">
      <selection activeCell="S12" sqref="S12:X12"/>
    </sheetView>
  </sheetViews>
  <sheetFormatPr baseColWidth="10" defaultRowHeight="12.75"/>
  <cols>
    <col min="1" max="22" width="3.7109375" style="17" customWidth="1"/>
    <col min="23" max="23" width="4.5703125" style="17" customWidth="1"/>
    <col min="24" max="24" width="3.7109375" style="17" customWidth="1"/>
    <col min="25" max="25" width="0.7109375" style="17" customWidth="1"/>
    <col min="26" max="16384" width="11.42578125" style="17"/>
  </cols>
  <sheetData>
    <row r="1" spans="1:25" ht="15.75" customHeight="1">
      <c r="B1" s="1279"/>
      <c r="C1" s="1279"/>
      <c r="D1" s="1279"/>
      <c r="F1" s="1279"/>
      <c r="G1" s="1279"/>
      <c r="H1" s="1279"/>
      <c r="I1" s="1279"/>
      <c r="J1" s="1279"/>
      <c r="K1" s="1279"/>
      <c r="L1" s="1279"/>
      <c r="M1" s="1278" t="s">
        <v>196</v>
      </c>
      <c r="N1" s="1279"/>
      <c r="O1" s="1279"/>
      <c r="P1" s="1279"/>
      <c r="Q1" s="1279"/>
      <c r="R1" s="1279"/>
      <c r="S1" s="1279"/>
      <c r="T1" s="1279"/>
      <c r="U1" s="1279"/>
      <c r="V1" s="1279"/>
      <c r="W1" s="1279"/>
      <c r="X1" s="1280"/>
      <c r="Y1" s="690"/>
    </row>
    <row r="2" spans="1:25" ht="15.75" customHeight="1">
      <c r="B2" s="1281"/>
      <c r="C2" s="1281"/>
      <c r="D2" s="1281"/>
      <c r="E2" s="1281"/>
      <c r="F2" s="1281"/>
      <c r="G2" s="1281"/>
      <c r="H2" s="1281"/>
      <c r="I2" s="1281"/>
      <c r="J2" s="1281"/>
      <c r="K2" s="1281"/>
      <c r="L2" s="1281"/>
      <c r="M2" s="1278" t="s">
        <v>261</v>
      </c>
      <c r="N2" s="1281"/>
      <c r="O2" s="1281"/>
      <c r="P2" s="1281"/>
      <c r="Q2" s="1281"/>
      <c r="R2" s="1281"/>
      <c r="S2" s="1281"/>
      <c r="T2" s="1281"/>
      <c r="U2" s="1281"/>
      <c r="V2" s="1281"/>
      <c r="W2" s="1281"/>
      <c r="X2" s="1282"/>
      <c r="Y2" s="25"/>
    </row>
    <row r="3" spans="1:25" ht="15.75" customHeight="1">
      <c r="B3" s="1279"/>
      <c r="C3" s="1279"/>
      <c r="D3" s="1279"/>
      <c r="E3" s="1279"/>
      <c r="F3" s="1279"/>
      <c r="G3" s="1279"/>
      <c r="H3" s="1279"/>
      <c r="I3" s="1279"/>
      <c r="J3" s="1279"/>
      <c r="K3" s="1279"/>
      <c r="L3" s="1279"/>
      <c r="M3" s="1278" t="s">
        <v>262</v>
      </c>
      <c r="N3" s="1279"/>
      <c r="O3" s="1279"/>
      <c r="P3" s="1279"/>
      <c r="Q3" s="1279"/>
      <c r="R3" s="1279"/>
      <c r="S3" s="1279"/>
      <c r="T3" s="1279"/>
      <c r="U3" s="1279"/>
      <c r="V3" s="1279"/>
      <c r="W3" s="1279"/>
      <c r="X3" s="1283"/>
      <c r="Y3" s="25"/>
    </row>
    <row r="4" spans="1:25" ht="15.75">
      <c r="A4" s="355"/>
      <c r="B4" s="356"/>
      <c r="C4" s="356"/>
      <c r="D4" s="357"/>
      <c r="E4" s="357"/>
      <c r="F4" s="357"/>
      <c r="G4" s="358"/>
      <c r="H4" s="796"/>
      <c r="I4" s="1164"/>
      <c r="J4" s="796"/>
      <c r="K4" s="359"/>
      <c r="L4" s="1163"/>
      <c r="M4" s="359"/>
      <c r="N4" s="359"/>
      <c r="O4" s="359"/>
      <c r="P4" s="359"/>
      <c r="Q4" s="359"/>
      <c r="R4" s="360"/>
      <c r="T4" s="362"/>
      <c r="U4" s="362"/>
      <c r="V4" s="362"/>
      <c r="W4" s="362"/>
      <c r="X4" s="401"/>
      <c r="Y4" s="25"/>
    </row>
    <row r="5" spans="1:25" ht="18.75">
      <c r="A5" s="355"/>
      <c r="B5" s="356"/>
      <c r="C5" s="356"/>
      <c r="D5" s="357"/>
      <c r="E5" s="357"/>
      <c r="F5" s="357"/>
      <c r="G5" s="358"/>
      <c r="H5" s="796"/>
      <c r="I5" s="1165"/>
      <c r="K5" s="364"/>
      <c r="M5" s="1284" t="s">
        <v>290</v>
      </c>
      <c r="N5" s="364"/>
      <c r="O5" s="364"/>
      <c r="P5" s="364"/>
      <c r="Q5" s="364"/>
      <c r="S5" s="796"/>
      <c r="T5" s="365"/>
      <c r="U5" s="366"/>
      <c r="V5" s="366"/>
      <c r="W5" s="1276">
        <f>'VISITA DE INSP.'!T6</f>
        <v>1</v>
      </c>
      <c r="X5" s="1277">
        <v>14</v>
      </c>
      <c r="Y5" s="1167"/>
    </row>
    <row r="6" spans="1:25" ht="15.75">
      <c r="A6" s="355"/>
      <c r="B6" s="4434" t="str">
        <f>VLOOKUP(X5,'VISITA DE INSP.'!A17:AI36,4)</f>
        <v>GONGORA * TERESITA DEL CARMEN</v>
      </c>
      <c r="C6" s="4435"/>
      <c r="D6" s="4435"/>
      <c r="E6" s="4435"/>
      <c r="F6" s="4435"/>
      <c r="G6" s="4435"/>
      <c r="H6" s="4435"/>
      <c r="I6" s="4435"/>
      <c r="J6" s="4435"/>
      <c r="K6" s="4435"/>
      <c r="L6" s="4435"/>
      <c r="M6" s="4436"/>
      <c r="N6" s="366"/>
      <c r="O6" s="366"/>
      <c r="P6" s="366"/>
      <c r="Q6" s="366"/>
      <c r="R6" s="366"/>
      <c r="S6" s="367"/>
      <c r="T6" s="366"/>
      <c r="U6" s="366"/>
      <c r="V6" s="366"/>
      <c r="W6" s="366"/>
      <c r="X6" s="381"/>
      <c r="Y6" s="25"/>
    </row>
    <row r="7" spans="1:25" ht="15.75">
      <c r="A7" s="369"/>
      <c r="B7" s="370"/>
      <c r="C7" s="370"/>
      <c r="D7" s="371"/>
      <c r="E7" s="371"/>
      <c r="F7" s="371"/>
      <c r="G7" s="372"/>
      <c r="H7" s="373"/>
      <c r="I7" s="367"/>
      <c r="J7" s="367"/>
      <c r="K7" s="367"/>
      <c r="L7" s="367"/>
      <c r="M7" s="374"/>
      <c r="N7" s="366"/>
      <c r="O7" s="366"/>
      <c r="P7" s="366"/>
      <c r="Q7" s="366"/>
      <c r="R7" s="366"/>
      <c r="S7" s="366"/>
      <c r="T7" s="366"/>
      <c r="U7" s="366"/>
      <c r="V7" s="366"/>
      <c r="W7" s="366"/>
      <c r="X7" s="368"/>
      <c r="Y7" s="25"/>
    </row>
    <row r="8" spans="1:25" ht="13.5">
      <c r="A8" s="4437" t="str">
        <f>MID([3]MENU!$E$15,4,25)</f>
        <v xml:space="preserve"> CANCUN</v>
      </c>
      <c r="B8" s="4438"/>
      <c r="C8" s="4438"/>
      <c r="D8" s="4439"/>
      <c r="E8" s="375"/>
      <c r="F8" s="375"/>
      <c r="G8" s="4440" t="str">
        <f>'VISITA DE INSP.'!K9</f>
        <v>042</v>
      </c>
      <c r="H8" s="4440"/>
      <c r="I8" s="375"/>
      <c r="J8" s="375"/>
      <c r="K8" s="4441" t="str">
        <f>'VISITA DE INSP.'!V7</f>
        <v>23DPR0055K</v>
      </c>
      <c r="L8" s="4442"/>
      <c r="M8" s="4442"/>
      <c r="N8" s="4442"/>
      <c r="O8" s="4442" t="str">
        <f>'VISITA DE INSP.'!E7</f>
        <v>KABAH</v>
      </c>
      <c r="P8" s="4442"/>
      <c r="Q8" s="4442"/>
      <c r="R8" s="4442"/>
      <c r="S8" s="4442"/>
      <c r="T8" s="4442"/>
      <c r="U8" s="4442"/>
      <c r="V8" s="4442"/>
      <c r="W8" s="4442"/>
      <c r="X8" s="4443"/>
      <c r="Y8" s="25"/>
    </row>
    <row r="9" spans="1:25" ht="15.75">
      <c r="A9" s="367"/>
      <c r="B9" s="376" t="s">
        <v>291</v>
      </c>
      <c r="C9" s="367"/>
      <c r="D9" s="367"/>
      <c r="E9" s="366"/>
      <c r="F9" s="366"/>
      <c r="G9" s="4444" t="s">
        <v>292</v>
      </c>
      <c r="H9" s="4444"/>
      <c r="I9" s="366"/>
      <c r="J9" s="366"/>
      <c r="K9" s="4445" t="s">
        <v>293</v>
      </c>
      <c r="L9" s="4446"/>
      <c r="M9" s="4446"/>
      <c r="N9" s="4446"/>
      <c r="O9" s="4446"/>
      <c r="P9" s="4446"/>
      <c r="Q9" s="4446"/>
      <c r="R9" s="4446"/>
      <c r="S9" s="4446"/>
      <c r="T9" s="4446"/>
      <c r="U9" s="4446"/>
      <c r="V9" s="4446"/>
      <c r="W9" s="4446"/>
      <c r="X9" s="4446"/>
      <c r="Y9" s="25"/>
    </row>
    <row r="10" spans="1:25" ht="15.75">
      <c r="A10" s="366"/>
      <c r="B10" s="366"/>
      <c r="C10" s="366"/>
      <c r="D10" s="366"/>
      <c r="E10" s="366"/>
      <c r="F10" s="366"/>
      <c r="G10" s="366"/>
      <c r="H10" s="366"/>
      <c r="I10" s="366"/>
      <c r="J10" s="366"/>
      <c r="K10" s="366"/>
      <c r="L10" s="366"/>
      <c r="M10" s="366"/>
      <c r="N10" s="366"/>
      <c r="O10" s="366"/>
      <c r="P10" s="366"/>
      <c r="Q10" s="366"/>
      <c r="R10" s="366"/>
      <c r="S10" s="366"/>
      <c r="T10" s="366"/>
      <c r="U10" s="366"/>
      <c r="V10" s="366"/>
      <c r="W10" s="366"/>
      <c r="X10" s="368"/>
      <c r="Y10" s="25"/>
    </row>
    <row r="11" spans="1:25" ht="15.75">
      <c r="A11" s="4447" t="s">
        <v>294</v>
      </c>
      <c r="B11" s="4448"/>
      <c r="C11" s="4448"/>
      <c r="D11" s="4448"/>
      <c r="E11" s="4448"/>
      <c r="F11" s="4448"/>
      <c r="G11" s="4449"/>
      <c r="H11" s="4437" t="str">
        <f>B6</f>
        <v>GONGORA * TERESITA DEL CARMEN</v>
      </c>
      <c r="I11" s="4438"/>
      <c r="J11" s="4438"/>
      <c r="K11" s="4438"/>
      <c r="L11" s="4438"/>
      <c r="M11" s="4438"/>
      <c r="N11" s="4438"/>
      <c r="O11" s="4438"/>
      <c r="P11" s="4438"/>
      <c r="Q11" s="4438"/>
      <c r="R11" s="4438"/>
      <c r="S11" s="4438"/>
      <c r="T11" s="4439"/>
      <c r="U11" s="377" t="s">
        <v>343</v>
      </c>
      <c r="V11" s="378"/>
      <c r="W11" s="378"/>
      <c r="X11" s="379"/>
      <c r="Y11" s="25"/>
    </row>
    <row r="12" spans="1:25" ht="15.75">
      <c r="A12" s="367"/>
      <c r="B12" s="367"/>
      <c r="C12" s="367"/>
      <c r="D12" s="367"/>
      <c r="E12" s="367"/>
      <c r="F12" s="367"/>
      <c r="G12" s="367"/>
      <c r="H12" s="367"/>
      <c r="I12" s="367"/>
      <c r="J12" s="367"/>
      <c r="K12" s="367"/>
      <c r="L12" s="367"/>
      <c r="M12" s="367"/>
      <c r="N12" s="367"/>
      <c r="O12" s="367"/>
      <c r="P12" s="367"/>
      <c r="Q12" s="367"/>
      <c r="R12" s="367"/>
      <c r="S12" s="367"/>
      <c r="T12" s="367"/>
      <c r="U12" s="366"/>
      <c r="V12" s="366"/>
      <c r="W12" s="366"/>
      <c r="X12" s="368"/>
      <c r="Y12" s="25"/>
    </row>
    <row r="13" spans="1:25" ht="15.75">
      <c r="A13" s="4450">
        <f>VLOOKUP(X5,'VISITA DE INSP.'!A17:AI36,2)</f>
        <v>0</v>
      </c>
      <c r="B13" s="4450"/>
      <c r="C13" s="4451" t="s">
        <v>295</v>
      </c>
      <c r="D13" s="4452"/>
      <c r="E13" s="4452"/>
      <c r="F13" s="4453"/>
      <c r="G13" s="4437">
        <f>VLOOKUP(X5,'VISITA DE INSP.'!A17:AI36,3)</f>
        <v>0</v>
      </c>
      <c r="H13" s="4439"/>
      <c r="I13" s="4454" t="s">
        <v>296</v>
      </c>
      <c r="J13" s="4455"/>
      <c r="K13" s="4455"/>
      <c r="L13" s="4455"/>
      <c r="M13" s="4455"/>
      <c r="N13" s="4455"/>
      <c r="O13" s="4455"/>
      <c r="P13" s="4455"/>
      <c r="Q13" s="4455"/>
      <c r="R13" s="4455"/>
      <c r="S13" s="4455"/>
      <c r="T13" s="4455"/>
      <c r="U13" s="4455"/>
      <c r="V13" s="4455"/>
      <c r="W13" s="4455"/>
      <c r="X13" s="4455"/>
      <c r="Y13" s="25"/>
    </row>
    <row r="14" spans="1:25" ht="15.75">
      <c r="A14" s="1297"/>
      <c r="B14" s="1297"/>
      <c r="C14" s="1296">
        <v>0</v>
      </c>
      <c r="D14" s="1296" t="s">
        <v>1115</v>
      </c>
      <c r="E14" s="1296"/>
      <c r="F14" s="1298"/>
      <c r="G14" s="1295">
        <v>0</v>
      </c>
      <c r="H14" s="1296" t="s">
        <v>1111</v>
      </c>
      <c r="I14" s="1299"/>
      <c r="J14" s="366"/>
      <c r="K14" s="366"/>
      <c r="L14" s="366"/>
      <c r="M14" s="366"/>
      <c r="N14" s="366"/>
      <c r="O14" s="366"/>
      <c r="P14" s="366"/>
      <c r="Q14" s="366"/>
      <c r="R14" s="366"/>
      <c r="S14" s="366"/>
      <c r="T14" s="366"/>
      <c r="U14" s="366"/>
      <c r="V14" s="366"/>
      <c r="W14" s="366"/>
      <c r="X14" s="368"/>
      <c r="Y14" s="25"/>
    </row>
    <row r="15" spans="1:25" ht="15.75">
      <c r="A15" s="1300">
        <f>A13</f>
        <v>0</v>
      </c>
      <c r="B15" s="1294" t="e">
        <f>VLOOKUP(A15,B39:C44,2,2)</f>
        <v>#N/A</v>
      </c>
      <c r="C15" s="1296">
        <v>2</v>
      </c>
      <c r="D15" s="1296" t="s">
        <v>1111</v>
      </c>
      <c r="E15" s="1296"/>
      <c r="F15" s="1298"/>
      <c r="G15" s="1295">
        <v>2</v>
      </c>
      <c r="H15" s="1296" t="s">
        <v>1115</v>
      </c>
      <c r="I15" s="1299"/>
      <c r="J15" s="366"/>
      <c r="K15" s="366"/>
      <c r="L15" s="366"/>
      <c r="M15" s="366"/>
      <c r="N15" s="366"/>
      <c r="O15" s="377" t="s">
        <v>269</v>
      </c>
      <c r="P15" s="378"/>
      <c r="Q15" s="378"/>
      <c r="R15" s="380"/>
      <c r="S15" s="4456" t="s">
        <v>6</v>
      </c>
      <c r="T15" s="4456"/>
      <c r="U15" s="4456"/>
      <c r="V15" s="4456"/>
      <c r="W15" s="4456"/>
      <c r="X15" s="4451"/>
      <c r="Y15" s="25"/>
    </row>
    <row r="16" spans="1:25" ht="15.75">
      <c r="A16" s="1299"/>
      <c r="B16" s="1299"/>
      <c r="C16" s="1296">
        <v>3</v>
      </c>
      <c r="D16" s="1296" t="s">
        <v>1111</v>
      </c>
      <c r="E16" s="1296"/>
      <c r="F16" s="1298"/>
      <c r="G16" s="1295">
        <v>3</v>
      </c>
      <c r="H16" s="1296" t="s">
        <v>1111</v>
      </c>
      <c r="I16" s="1299"/>
      <c r="J16" s="366"/>
      <c r="K16" s="366"/>
      <c r="L16" s="366"/>
      <c r="M16" s="366"/>
      <c r="N16" s="366"/>
      <c r="O16" s="366"/>
      <c r="P16" s="366"/>
      <c r="Q16" s="366"/>
      <c r="R16" s="366"/>
      <c r="S16" s="366"/>
      <c r="T16" s="366"/>
      <c r="U16" s="366"/>
      <c r="V16" s="366"/>
      <c r="W16" s="366"/>
      <c r="X16" s="368"/>
      <c r="Y16" s="25"/>
    </row>
    <row r="17" spans="1:25" ht="16.5">
      <c r="A17" s="377" t="s">
        <v>297</v>
      </c>
      <c r="B17" s="378"/>
      <c r="C17" s="378"/>
      <c r="D17" s="378"/>
      <c r="E17" s="378"/>
      <c r="F17" s="378"/>
      <c r="G17" s="378"/>
      <c r="H17" s="380"/>
      <c r="I17" s="366"/>
      <c r="J17" s="366"/>
      <c r="K17" s="366"/>
      <c r="L17" s="366"/>
      <c r="M17" s="366"/>
      <c r="N17" s="366"/>
      <c r="O17" s="4450">
        <v>1</v>
      </c>
      <c r="P17" s="4450"/>
      <c r="Q17" s="4450"/>
      <c r="R17" s="1294"/>
      <c r="S17" s="4457" t="str">
        <f>VLOOKUP(R17,C14:D15,2,2)</f>
        <v>APLICA</v>
      </c>
      <c r="T17" s="4457"/>
      <c r="U17" s="4457"/>
      <c r="V17" s="4457"/>
      <c r="W17" s="4457"/>
      <c r="X17" s="4458"/>
      <c r="Y17" s="25"/>
    </row>
    <row r="18" spans="1:25" ht="15.75">
      <c r="A18" s="366"/>
      <c r="B18" s="366"/>
      <c r="C18" s="366"/>
      <c r="D18" s="366"/>
      <c r="E18" s="366"/>
      <c r="F18" s="366"/>
      <c r="G18" s="366"/>
      <c r="H18" s="366"/>
      <c r="I18" s="366"/>
      <c r="J18" s="366"/>
      <c r="K18" s="366"/>
      <c r="L18" s="366"/>
      <c r="M18" s="366"/>
      <c r="N18" s="366"/>
      <c r="O18" s="367"/>
      <c r="P18" s="367"/>
      <c r="Q18" s="367"/>
      <c r="R18" s="1294"/>
      <c r="S18" s="1289"/>
      <c r="T18" s="1289"/>
      <c r="U18" s="1289"/>
      <c r="V18" s="1289"/>
      <c r="W18" s="1289"/>
      <c r="X18" s="1290"/>
      <c r="Y18" s="25"/>
    </row>
    <row r="19" spans="1:25" ht="16.5">
      <c r="A19" s="377" t="s">
        <v>298</v>
      </c>
      <c r="B19" s="378"/>
      <c r="C19" s="378"/>
      <c r="D19" s="378"/>
      <c r="E19" s="378"/>
      <c r="F19" s="378"/>
      <c r="G19" s="378"/>
      <c r="H19" s="378"/>
      <c r="I19" s="378"/>
      <c r="J19" s="378"/>
      <c r="K19" s="378"/>
      <c r="L19" s="378"/>
      <c r="M19" s="380"/>
      <c r="N19" s="366"/>
      <c r="O19" s="4450">
        <v>1</v>
      </c>
      <c r="P19" s="4450"/>
      <c r="Q19" s="4450"/>
      <c r="R19" s="1294"/>
      <c r="S19" s="4457" t="str">
        <f>VLOOKUP(R17,C14:D15,2,2)</f>
        <v>APLICA</v>
      </c>
      <c r="T19" s="4457"/>
      <c r="U19" s="4457"/>
      <c r="V19" s="4457"/>
      <c r="W19" s="4457"/>
      <c r="X19" s="4458"/>
      <c r="Y19" s="25"/>
    </row>
    <row r="20" spans="1:25" ht="15.75">
      <c r="A20" s="366"/>
      <c r="B20" s="366"/>
      <c r="C20" s="366"/>
      <c r="D20" s="366"/>
      <c r="E20" s="366"/>
      <c r="F20" s="366"/>
      <c r="G20" s="366"/>
      <c r="H20" s="366"/>
      <c r="I20" s="366"/>
      <c r="J20" s="366"/>
      <c r="K20" s="366"/>
      <c r="L20" s="366"/>
      <c r="M20" s="366"/>
      <c r="N20" s="366"/>
      <c r="O20" s="367"/>
      <c r="P20" s="367"/>
      <c r="Q20" s="367"/>
      <c r="R20" s="1294"/>
      <c r="S20" s="1289"/>
      <c r="T20" s="1289"/>
      <c r="U20" s="1289"/>
      <c r="V20" s="1289"/>
      <c r="W20" s="1289"/>
      <c r="X20" s="1290"/>
      <c r="Y20" s="25"/>
    </row>
    <row r="21" spans="1:25" ht="16.5">
      <c r="A21" s="377" t="s">
        <v>299</v>
      </c>
      <c r="B21" s="378"/>
      <c r="C21" s="378"/>
      <c r="D21" s="378"/>
      <c r="E21" s="378"/>
      <c r="F21" s="378"/>
      <c r="G21" s="378"/>
      <c r="H21" s="378"/>
      <c r="I21" s="378"/>
      <c r="J21" s="378"/>
      <c r="K21" s="378"/>
      <c r="L21" s="378"/>
      <c r="M21" s="380"/>
      <c r="N21" s="1270" t="e">
        <f>O21+B15</f>
        <v>#N/A</v>
      </c>
      <c r="O21" s="4437">
        <f>VLOOKUP(X5,'VISITA DE INSP.'!A17:AI36,30)</f>
        <v>0</v>
      </c>
      <c r="P21" s="4438"/>
      <c r="Q21" s="4439"/>
      <c r="R21" s="1294" t="e">
        <f>N24</f>
        <v>#N/A</v>
      </c>
      <c r="S21" s="4457" t="e">
        <f>VLOOKUP(R21,C14:D15,2,2)</f>
        <v>#N/A</v>
      </c>
      <c r="T21" s="4457"/>
      <c r="U21" s="4457"/>
      <c r="V21" s="4457"/>
      <c r="W21" s="4457"/>
      <c r="X21" s="4458"/>
      <c r="Y21" s="25"/>
    </row>
    <row r="22" spans="1:25" ht="15.75">
      <c r="A22" s="382" t="s">
        <v>300</v>
      </c>
      <c r="C22" s="383"/>
      <c r="D22" s="366"/>
      <c r="F22" s="366"/>
      <c r="G22" s="366"/>
      <c r="H22" s="366"/>
      <c r="I22" s="366"/>
      <c r="J22" s="366"/>
      <c r="K22" s="366"/>
      <c r="L22" s="366"/>
      <c r="M22" s="366"/>
      <c r="N22" s="1293"/>
      <c r="O22" s="367"/>
      <c r="P22" s="367"/>
      <c r="Q22" s="367"/>
      <c r="R22" s="1294"/>
      <c r="S22" s="1289"/>
      <c r="T22" s="1289"/>
      <c r="U22" s="1289"/>
      <c r="V22" s="1289"/>
      <c r="W22" s="1289"/>
      <c r="X22" s="1290"/>
      <c r="Y22" s="25"/>
    </row>
    <row r="23" spans="1:25" ht="15.75">
      <c r="A23" s="366"/>
      <c r="B23" s="366"/>
      <c r="C23" s="366"/>
      <c r="D23" s="366"/>
      <c r="E23" s="366"/>
      <c r="F23" s="366"/>
      <c r="G23" s="366"/>
      <c r="H23" s="366"/>
      <c r="I23" s="366"/>
      <c r="J23" s="366"/>
      <c r="K23" s="366"/>
      <c r="L23" s="366"/>
      <c r="M23" s="366"/>
      <c r="N23" s="1293"/>
      <c r="O23" s="366"/>
      <c r="P23" s="366"/>
      <c r="Q23" s="366"/>
      <c r="R23" s="1294"/>
      <c r="S23" s="1291"/>
      <c r="T23" s="1291"/>
      <c r="U23" s="1291"/>
      <c r="V23" s="1291"/>
      <c r="W23" s="1291"/>
      <c r="X23" s="1292"/>
      <c r="Y23" s="25"/>
    </row>
    <row r="24" spans="1:25" ht="16.5">
      <c r="A24" s="4459" t="s">
        <v>301</v>
      </c>
      <c r="B24" s="4459"/>
      <c r="C24" s="4459"/>
      <c r="D24" s="4459"/>
      <c r="E24" s="4459"/>
      <c r="F24" s="4459"/>
      <c r="G24" s="4459"/>
      <c r="H24" s="4459"/>
      <c r="I24" s="4459"/>
      <c r="J24" s="4459"/>
      <c r="K24" s="366"/>
      <c r="L24" s="366"/>
      <c r="M24" s="366"/>
      <c r="N24" s="1270" t="e">
        <f>O24+B15</f>
        <v>#N/A</v>
      </c>
      <c r="O24" s="4450">
        <v>1</v>
      </c>
      <c r="P24" s="4450"/>
      <c r="Q24" s="4450"/>
      <c r="R24" s="1294" t="e">
        <f>N24</f>
        <v>#N/A</v>
      </c>
      <c r="S24" s="4457" t="e">
        <f>VLOOKUP(R24,C14:D15,2,2)</f>
        <v>#N/A</v>
      </c>
      <c r="T24" s="4457"/>
      <c r="U24" s="4457"/>
      <c r="V24" s="4457"/>
      <c r="W24" s="4457"/>
      <c r="X24" s="4458"/>
      <c r="Y24" s="25"/>
    </row>
    <row r="25" spans="1:25" ht="15.75">
      <c r="A25" s="366"/>
      <c r="B25" s="366"/>
      <c r="C25" s="366"/>
      <c r="D25" s="366"/>
      <c r="E25" s="366"/>
      <c r="F25" s="366"/>
      <c r="G25" s="366"/>
      <c r="H25" s="366"/>
      <c r="I25" s="366"/>
      <c r="J25" s="366"/>
      <c r="K25" s="366"/>
      <c r="L25" s="366"/>
      <c r="M25" s="366"/>
      <c r="N25" s="1293"/>
      <c r="O25" s="367"/>
      <c r="P25" s="367"/>
      <c r="Q25" s="367"/>
      <c r="R25" s="1293"/>
      <c r="S25" s="1289"/>
      <c r="T25" s="1289"/>
      <c r="U25" s="1289"/>
      <c r="V25" s="1289"/>
      <c r="W25" s="1289"/>
      <c r="X25" s="1290"/>
      <c r="Y25" s="25"/>
    </row>
    <row r="26" spans="1:25" ht="15.75">
      <c r="A26" s="377" t="s">
        <v>302</v>
      </c>
      <c r="B26" s="366"/>
      <c r="C26" s="366"/>
      <c r="D26" s="366"/>
      <c r="E26" s="366"/>
      <c r="F26" s="366"/>
      <c r="G26" s="366"/>
      <c r="H26" s="366"/>
      <c r="I26" s="366"/>
      <c r="J26" s="366"/>
      <c r="K26" s="366"/>
      <c r="L26" s="366"/>
      <c r="M26" s="366"/>
      <c r="N26" s="1293"/>
      <c r="O26" s="366"/>
      <c r="P26" s="366"/>
      <c r="Q26" s="366"/>
      <c r="R26" s="1293"/>
      <c r="S26" s="1291"/>
      <c r="T26" s="1291"/>
      <c r="U26" s="1291"/>
      <c r="V26" s="1291"/>
      <c r="W26" s="1291"/>
      <c r="X26" s="1292"/>
      <c r="Y26" s="25"/>
    </row>
    <row r="27" spans="1:25" ht="15.75">
      <c r="A27" s="366"/>
      <c r="B27" s="366"/>
      <c r="C27" s="366"/>
      <c r="D27" s="366"/>
      <c r="E27" s="366"/>
      <c r="F27" s="366"/>
      <c r="G27" s="366"/>
      <c r="H27" s="366"/>
      <c r="I27" s="366"/>
      <c r="J27" s="366"/>
      <c r="K27" s="366"/>
      <c r="L27" s="366"/>
      <c r="M27" s="366"/>
      <c r="N27" s="1293"/>
      <c r="O27" s="366"/>
      <c r="P27" s="366"/>
      <c r="Q27" s="366"/>
      <c r="R27" s="1293"/>
      <c r="S27" s="1291"/>
      <c r="T27" s="1291"/>
      <c r="U27" s="1291"/>
      <c r="V27" s="1291"/>
      <c r="W27" s="1291"/>
      <c r="X27" s="1292"/>
      <c r="Y27" s="25"/>
    </row>
    <row r="28" spans="1:25" ht="16.5">
      <c r="A28" s="366" t="s">
        <v>1105</v>
      </c>
      <c r="B28" s="366"/>
      <c r="C28" s="366"/>
      <c r="D28" s="366"/>
      <c r="E28" s="366"/>
      <c r="F28" s="366"/>
      <c r="G28" s="366"/>
      <c r="H28" s="366"/>
      <c r="I28" s="366"/>
      <c r="J28" s="366"/>
      <c r="K28" s="366"/>
      <c r="L28" s="366"/>
      <c r="M28" s="366"/>
      <c r="N28" s="1271" t="e">
        <f>O28+B15</f>
        <v>#N/A</v>
      </c>
      <c r="O28" s="4450">
        <v>1</v>
      </c>
      <c r="P28" s="4450"/>
      <c r="Q28" s="4450"/>
      <c r="R28" s="1295" t="e">
        <f>N28</f>
        <v>#N/A</v>
      </c>
      <c r="S28" s="4457" t="e">
        <f>VLOOKUP(R28,G14:H15,2,2)</f>
        <v>#N/A</v>
      </c>
      <c r="T28" s="4457"/>
      <c r="U28" s="4457"/>
      <c r="V28" s="4457"/>
      <c r="W28" s="4457"/>
      <c r="X28" s="4458"/>
      <c r="Y28" s="25"/>
    </row>
    <row r="29" spans="1:25" ht="15.75">
      <c r="A29" s="366"/>
      <c r="B29" s="366"/>
      <c r="C29" s="366"/>
      <c r="D29" s="366"/>
      <c r="E29" s="366"/>
      <c r="F29" s="366"/>
      <c r="G29" s="366"/>
      <c r="H29" s="366"/>
      <c r="I29" s="366"/>
      <c r="J29" s="366"/>
      <c r="K29" s="366"/>
      <c r="L29" s="366"/>
      <c r="M29" s="366"/>
      <c r="N29" s="1293"/>
      <c r="O29" s="367"/>
      <c r="P29" s="367"/>
      <c r="Q29" s="367"/>
      <c r="R29" s="1295"/>
      <c r="S29" s="1289"/>
      <c r="T29" s="1289"/>
      <c r="U29" s="1289"/>
      <c r="V29" s="1289"/>
      <c r="W29" s="1289"/>
      <c r="X29" s="1290"/>
      <c r="Y29" s="25"/>
    </row>
    <row r="30" spans="1:25" ht="16.5">
      <c r="A30" s="377" t="s">
        <v>303</v>
      </c>
      <c r="B30" s="378"/>
      <c r="C30" s="378"/>
      <c r="D30" s="378"/>
      <c r="E30" s="378"/>
      <c r="F30" s="378"/>
      <c r="G30" s="378"/>
      <c r="H30" s="378"/>
      <c r="I30" s="378"/>
      <c r="J30" s="380"/>
      <c r="K30" s="366"/>
      <c r="L30" s="366"/>
      <c r="M30" s="366"/>
      <c r="N30" s="1270" t="e">
        <f>O30+B15</f>
        <v>#N/A</v>
      </c>
      <c r="O30" s="4450">
        <f>VLOOKUP(X5,'VISITA DE INSP.'!A17:AI36,30)</f>
        <v>0</v>
      </c>
      <c r="P30" s="4450"/>
      <c r="Q30" s="4450"/>
      <c r="R30" s="1295" t="e">
        <f>N28</f>
        <v>#N/A</v>
      </c>
      <c r="S30" s="4457" t="e">
        <f>VLOOKUP(R28,G14:H15,2,2)</f>
        <v>#N/A</v>
      </c>
      <c r="T30" s="4457"/>
      <c r="U30" s="4457"/>
      <c r="V30" s="4457"/>
      <c r="W30" s="4457"/>
      <c r="X30" s="4458"/>
      <c r="Y30" s="25"/>
    </row>
    <row r="31" spans="1:25" ht="15.75">
      <c r="A31" s="366"/>
      <c r="B31" s="366"/>
      <c r="C31" s="366"/>
      <c r="D31" s="366"/>
      <c r="E31" s="366"/>
      <c r="F31" s="366"/>
      <c r="G31" s="366"/>
      <c r="H31" s="366"/>
      <c r="I31" s="366"/>
      <c r="J31" s="366"/>
      <c r="K31" s="366"/>
      <c r="L31" s="366"/>
      <c r="M31" s="366"/>
      <c r="N31" s="366"/>
      <c r="O31" s="367"/>
      <c r="P31" s="367"/>
      <c r="Q31" s="367"/>
      <c r="R31" s="1295"/>
      <c r="S31" s="1289"/>
      <c r="T31" s="1289"/>
      <c r="U31" s="1289"/>
      <c r="V31" s="1289"/>
      <c r="W31" s="1289"/>
      <c r="X31" s="1290"/>
      <c r="Y31" s="25"/>
    </row>
    <row r="32" spans="1:25" ht="16.5">
      <c r="A32" s="382" t="s">
        <v>304</v>
      </c>
      <c r="B32" s="366"/>
      <c r="C32" s="366"/>
      <c r="D32" s="366"/>
      <c r="E32" s="366"/>
      <c r="F32" s="366"/>
      <c r="G32" s="366"/>
      <c r="H32" s="366"/>
      <c r="I32" s="366"/>
      <c r="J32" s="366"/>
      <c r="K32" s="366"/>
      <c r="L32" s="366"/>
      <c r="M32" s="366"/>
      <c r="N32" s="1294">
        <v>2</v>
      </c>
      <c r="O32" s="4450"/>
      <c r="P32" s="4450"/>
      <c r="Q32" s="4450"/>
      <c r="R32" s="1295" t="e">
        <f>N32+B15</f>
        <v>#N/A</v>
      </c>
      <c r="S32" s="4457" t="e">
        <f>VLOOKUP(R32,G14:H16,2,2)</f>
        <v>#N/A</v>
      </c>
      <c r="T32" s="4457"/>
      <c r="U32" s="4457"/>
      <c r="V32" s="4457"/>
      <c r="W32" s="4457"/>
      <c r="X32" s="4458"/>
      <c r="Y32" s="25"/>
    </row>
    <row r="33" spans="1:25" ht="15.75">
      <c r="A33" s="366"/>
      <c r="B33" s="366"/>
      <c r="C33" s="366"/>
      <c r="D33" s="366"/>
      <c r="E33" s="366"/>
      <c r="F33" s="366"/>
      <c r="G33" s="366"/>
      <c r="H33" s="366"/>
      <c r="I33" s="366"/>
      <c r="J33" s="366"/>
      <c r="K33" s="366"/>
      <c r="L33" s="366"/>
      <c r="M33" s="366"/>
      <c r="N33" s="366"/>
      <c r="O33" s="367"/>
      <c r="P33" s="367"/>
      <c r="Q33" s="367"/>
      <c r="R33" s="366"/>
      <c r="S33" s="367"/>
      <c r="T33" s="367"/>
      <c r="U33" s="367"/>
      <c r="V33" s="367"/>
      <c r="W33" s="367"/>
      <c r="X33" s="381"/>
      <c r="Y33" s="25"/>
    </row>
    <row r="34" spans="1:25" ht="14.25">
      <c r="A34" s="4460" t="s">
        <v>758</v>
      </c>
      <c r="B34" s="4461"/>
      <c r="C34" s="4461"/>
      <c r="D34" s="4461"/>
      <c r="E34" s="4461"/>
      <c r="F34" s="4461"/>
      <c r="G34" s="4461"/>
      <c r="H34" s="4461"/>
      <c r="I34" s="4461"/>
      <c r="J34" s="4461"/>
      <c r="K34" s="4461"/>
      <c r="L34" s="4461"/>
      <c r="M34" s="4461"/>
      <c r="N34" s="4461"/>
      <c r="O34" s="4461"/>
      <c r="P34" s="4461"/>
      <c r="Q34" s="4461"/>
      <c r="R34" s="4461"/>
      <c r="S34" s="4461"/>
      <c r="T34" s="4461"/>
      <c r="U34" s="4461"/>
      <c r="V34" s="4461"/>
      <c r="W34" s="4461"/>
      <c r="X34" s="4461"/>
      <c r="Y34" s="25"/>
    </row>
    <row r="35" spans="1:25" ht="14.25">
      <c r="A35" s="4462" t="s">
        <v>305</v>
      </c>
      <c r="B35" s="4463"/>
      <c r="C35" s="4463"/>
      <c r="D35" s="4463"/>
      <c r="E35" s="4463"/>
      <c r="F35" s="4463"/>
      <c r="G35" s="4463"/>
      <c r="H35" s="4463"/>
      <c r="I35" s="4463"/>
      <c r="J35" s="4463"/>
      <c r="K35" s="4463"/>
      <c r="L35" s="4463"/>
      <c r="M35" s="4464"/>
      <c r="N35" s="4465" t="str">
        <f>'VISITA DE INSP.'!AS9</f>
        <v>2012</v>
      </c>
      <c r="O35" s="4466"/>
      <c r="P35" s="4467">
        <f>N35+1</f>
        <v>2013</v>
      </c>
      <c r="Q35" s="4468"/>
      <c r="R35" s="4460" t="s">
        <v>306</v>
      </c>
      <c r="S35" s="4461"/>
      <c r="T35" s="4461"/>
      <c r="U35" s="4461"/>
      <c r="V35" s="4461"/>
      <c r="W35" s="4461"/>
      <c r="X35" s="4461"/>
      <c r="Y35" s="25"/>
    </row>
    <row r="36" spans="1:25" ht="14.25">
      <c r="A36" s="4460" t="s">
        <v>307</v>
      </c>
      <c r="B36" s="4461"/>
      <c r="C36" s="4461"/>
      <c r="D36" s="4461"/>
      <c r="E36" s="4461"/>
      <c r="F36" s="4473"/>
      <c r="G36" s="1166">
        <f>'LIB. DTOR'!C46+2</f>
        <v>2</v>
      </c>
      <c r="H36" s="384" t="s">
        <v>308</v>
      </c>
      <c r="I36" s="4467" t="str">
        <f>'LIB. DTOR'!G46</f>
        <v>Agosto</v>
      </c>
      <c r="J36" s="4466"/>
      <c r="K36" s="4468"/>
      <c r="L36" s="385" t="s">
        <v>309</v>
      </c>
      <c r="M36" s="4474">
        <f>P35</f>
        <v>2013</v>
      </c>
      <c r="N36" s="4475"/>
      <c r="O36" s="4476" t="s">
        <v>310</v>
      </c>
      <c r="P36" s="4477"/>
      <c r="Q36" s="4477"/>
      <c r="R36" s="4478"/>
      <c r="S36" s="4478"/>
      <c r="T36" s="4478"/>
      <c r="U36" s="4478"/>
      <c r="V36" s="4478"/>
      <c r="W36" s="4478"/>
      <c r="X36" s="4478"/>
      <c r="Y36" s="25"/>
    </row>
    <row r="37" spans="1:25">
      <c r="A37" s="375"/>
      <c r="B37" s="375"/>
      <c r="C37" s="375"/>
      <c r="D37" s="375"/>
      <c r="E37" s="375"/>
      <c r="F37" s="375"/>
      <c r="G37" s="386"/>
      <c r="H37" s="386"/>
      <c r="I37" s="386"/>
      <c r="J37" s="386"/>
      <c r="K37" s="386"/>
      <c r="L37" s="387"/>
      <c r="M37" s="386"/>
      <c r="N37" s="386"/>
      <c r="O37" s="375"/>
      <c r="P37" s="375"/>
      <c r="Q37" s="375"/>
      <c r="R37" s="386"/>
      <c r="S37" s="387"/>
      <c r="T37" s="387"/>
      <c r="U37" s="375"/>
      <c r="V37" s="375"/>
      <c r="W37" s="375"/>
      <c r="X37" s="388"/>
      <c r="Y37" s="25"/>
    </row>
    <row r="38" spans="1:25" ht="13.5">
      <c r="A38" s="375"/>
      <c r="B38" s="375"/>
      <c r="C38" s="375"/>
      <c r="D38" s="375"/>
      <c r="E38" s="375"/>
      <c r="F38" s="375"/>
      <c r="G38" s="375"/>
      <c r="H38" s="375"/>
      <c r="I38" s="389"/>
      <c r="J38" s="389"/>
      <c r="K38" s="389"/>
      <c r="L38" s="390" t="s">
        <v>311</v>
      </c>
      <c r="M38" s="755">
        <v>8</v>
      </c>
      <c r="N38" s="391" t="s">
        <v>309</v>
      </c>
      <c r="O38" s="4480" t="s">
        <v>757</v>
      </c>
      <c r="P38" s="4481"/>
      <c r="Q38" s="4482"/>
      <c r="R38" s="392" t="s">
        <v>309</v>
      </c>
      <c r="S38" s="4479">
        <f>'LIB. DTOR'!K46</f>
        <v>2013</v>
      </c>
      <c r="T38" s="4479"/>
      <c r="U38" s="388"/>
      <c r="V38" s="388"/>
      <c r="W38" s="388"/>
      <c r="X38" s="388"/>
      <c r="Y38" s="25"/>
    </row>
    <row r="39" spans="1:25">
      <c r="A39" s="375"/>
      <c r="B39" s="1272" t="s">
        <v>765</v>
      </c>
      <c r="C39" s="1273">
        <v>-1</v>
      </c>
      <c r="D39" s="375"/>
      <c r="E39" s="375"/>
      <c r="F39" s="375"/>
      <c r="G39" s="393"/>
      <c r="H39" s="394"/>
      <c r="I39" s="394"/>
      <c r="J39" s="394"/>
      <c r="K39" s="394"/>
      <c r="L39" s="394"/>
      <c r="M39" s="395"/>
      <c r="N39" s="393"/>
      <c r="O39" s="393"/>
      <c r="P39" s="393"/>
      <c r="Q39" s="393"/>
      <c r="R39" s="393"/>
      <c r="S39" s="393"/>
      <c r="T39" s="393"/>
      <c r="U39" s="375"/>
      <c r="V39" s="375"/>
      <c r="W39" s="375"/>
      <c r="X39" s="388"/>
      <c r="Y39" s="25"/>
    </row>
    <row r="40" spans="1:25">
      <c r="A40" s="362"/>
      <c r="B40" s="1272" t="s">
        <v>766</v>
      </c>
      <c r="C40" s="1273">
        <v>-1</v>
      </c>
      <c r="D40" s="362"/>
      <c r="E40" s="362"/>
      <c r="F40" s="362"/>
      <c r="G40" s="362"/>
      <c r="H40" s="362"/>
      <c r="I40" s="362"/>
      <c r="J40" s="362"/>
      <c r="K40" s="362"/>
      <c r="L40" s="362"/>
      <c r="M40" s="362"/>
      <c r="N40" s="362"/>
      <c r="O40" s="362"/>
      <c r="P40" s="362"/>
      <c r="Q40" s="362"/>
      <c r="R40" s="362"/>
      <c r="S40" s="362"/>
      <c r="T40" s="362"/>
      <c r="U40" s="362"/>
      <c r="V40" s="362"/>
      <c r="W40" s="362"/>
      <c r="X40" s="363"/>
      <c r="Y40" s="25"/>
    </row>
    <row r="41" spans="1:25">
      <c r="A41" s="362"/>
      <c r="B41" s="1272" t="s">
        <v>767</v>
      </c>
      <c r="C41" s="1274">
        <v>-1</v>
      </c>
      <c r="D41" s="362"/>
      <c r="E41" s="362"/>
      <c r="F41" s="362"/>
      <c r="G41" s="362"/>
      <c r="H41" s="4469" t="s">
        <v>312</v>
      </c>
      <c r="I41" s="4470"/>
      <c r="J41" s="4470"/>
      <c r="K41" s="4470"/>
      <c r="L41" s="4470"/>
      <c r="M41" s="4470"/>
      <c r="N41" s="4470"/>
      <c r="O41" s="4470"/>
      <c r="P41" s="4470"/>
      <c r="Q41" s="4470"/>
      <c r="R41" s="4471"/>
      <c r="S41" s="362"/>
      <c r="T41" s="362"/>
      <c r="U41" s="362"/>
      <c r="V41" s="362"/>
      <c r="W41" s="362"/>
      <c r="X41" s="363"/>
      <c r="Y41" s="25"/>
    </row>
    <row r="42" spans="1:25">
      <c r="A42" s="362"/>
      <c r="B42" s="1275" t="s">
        <v>771</v>
      </c>
      <c r="C42" s="1273">
        <v>-1</v>
      </c>
      <c r="D42" s="362"/>
      <c r="E42" s="362"/>
      <c r="F42" s="362"/>
      <c r="G42" s="362"/>
      <c r="H42" s="362"/>
      <c r="I42" s="362"/>
      <c r="J42" s="391"/>
      <c r="K42" s="391"/>
      <c r="L42" s="391"/>
      <c r="M42" s="391"/>
      <c r="N42" s="391"/>
      <c r="O42" s="391"/>
      <c r="P42" s="362"/>
      <c r="Q42" s="362"/>
      <c r="R42" s="362"/>
      <c r="S42" s="362"/>
      <c r="T42" s="362"/>
      <c r="U42" s="362"/>
      <c r="V42" s="362"/>
      <c r="W42" s="362"/>
      <c r="X42" s="363"/>
      <c r="Y42" s="25"/>
    </row>
    <row r="43" spans="1:25">
      <c r="A43" s="362"/>
      <c r="B43" s="1272" t="s">
        <v>772</v>
      </c>
      <c r="C43" s="1273">
        <v>-1</v>
      </c>
      <c r="D43" s="362"/>
      <c r="E43" s="362"/>
      <c r="F43" s="362"/>
      <c r="G43" s="362"/>
      <c r="H43" s="362"/>
      <c r="I43" s="362"/>
      <c r="J43" s="362"/>
      <c r="K43" s="362"/>
      <c r="L43" s="362"/>
      <c r="M43" s="362"/>
      <c r="N43" s="362"/>
      <c r="O43" s="362"/>
      <c r="P43" s="362"/>
      <c r="Q43" s="362"/>
      <c r="R43" s="362"/>
      <c r="S43" s="362"/>
      <c r="T43" s="362"/>
      <c r="U43" s="362"/>
      <c r="V43" s="362"/>
      <c r="W43" s="362"/>
      <c r="X43" s="363"/>
      <c r="Y43" s="25"/>
    </row>
    <row r="44" spans="1:25">
      <c r="A44" s="362"/>
      <c r="B44" s="1272" t="s">
        <v>773</v>
      </c>
      <c r="C44" s="1273">
        <v>1</v>
      </c>
      <c r="D44" s="362"/>
      <c r="E44" s="362"/>
      <c r="F44" s="362"/>
      <c r="G44" s="362"/>
      <c r="H44" s="362"/>
      <c r="I44" s="362"/>
      <c r="J44" s="362"/>
      <c r="K44" s="362"/>
      <c r="L44" s="362"/>
      <c r="M44" s="362"/>
      <c r="N44" s="362"/>
      <c r="O44" s="362"/>
      <c r="P44" s="362"/>
      <c r="Q44" s="362"/>
      <c r="R44" s="362"/>
      <c r="S44" s="362"/>
      <c r="T44" s="362"/>
      <c r="U44" s="362"/>
      <c r="V44" s="362"/>
      <c r="W44" s="362"/>
      <c r="X44" s="363"/>
      <c r="Y44" s="25"/>
    </row>
    <row r="45" spans="1:25">
      <c r="A45" s="362"/>
      <c r="B45" s="362"/>
      <c r="C45" s="362"/>
      <c r="D45" s="362"/>
      <c r="E45" s="362"/>
      <c r="F45" s="362"/>
      <c r="G45" s="362"/>
      <c r="H45" s="396"/>
      <c r="I45" s="396"/>
      <c r="J45" s="396"/>
      <c r="K45" s="396"/>
      <c r="L45" s="396"/>
      <c r="M45" s="396"/>
      <c r="N45" s="396"/>
      <c r="O45" s="396"/>
      <c r="P45" s="396"/>
      <c r="Q45" s="396"/>
      <c r="R45" s="396"/>
      <c r="S45" s="362"/>
      <c r="T45" s="362"/>
      <c r="U45" s="362"/>
      <c r="V45" s="362"/>
      <c r="W45" s="362"/>
      <c r="X45" s="363"/>
      <c r="Y45" s="25"/>
    </row>
    <row r="46" spans="1:25">
      <c r="A46" s="362"/>
      <c r="B46" s="362"/>
      <c r="C46" s="362"/>
      <c r="D46" s="362"/>
      <c r="E46" s="362"/>
      <c r="F46" s="362"/>
      <c r="G46" s="363"/>
      <c r="H46" s="4472" t="s">
        <v>313</v>
      </c>
      <c r="I46" s="4472"/>
      <c r="J46" s="397"/>
      <c r="K46" s="398"/>
      <c r="L46" s="398"/>
      <c r="M46" s="398"/>
      <c r="N46" s="399" t="str">
        <f>'VISITA DE INSP.'!G8</f>
        <v>CERVANTES BENITEZ * ANTONIA</v>
      </c>
      <c r="O46" s="398"/>
      <c r="P46" s="398"/>
      <c r="Q46" s="398"/>
      <c r="R46" s="398"/>
      <c r="S46" s="360"/>
      <c r="T46" s="362"/>
      <c r="U46" s="362"/>
      <c r="V46" s="362"/>
      <c r="W46" s="362"/>
      <c r="X46" s="363"/>
      <c r="Y46" s="25"/>
    </row>
    <row r="47" spans="1:25">
      <c r="A47" s="361"/>
      <c r="B47" s="361"/>
      <c r="C47" s="361"/>
      <c r="D47" s="361"/>
      <c r="E47" s="361"/>
      <c r="F47" s="361"/>
      <c r="G47" s="361"/>
      <c r="H47" s="400"/>
      <c r="I47" s="400"/>
      <c r="J47" s="400"/>
      <c r="K47" s="400"/>
      <c r="L47" s="400"/>
      <c r="M47" s="400"/>
      <c r="N47" s="400"/>
      <c r="O47" s="400"/>
      <c r="P47" s="400"/>
      <c r="Q47" s="400"/>
      <c r="R47" s="400"/>
      <c r="S47" s="361"/>
      <c r="T47" s="361"/>
      <c r="U47" s="361"/>
      <c r="V47" s="361"/>
      <c r="W47" s="361"/>
      <c r="X47" s="401"/>
      <c r="Y47" s="132"/>
    </row>
  </sheetData>
  <sheetProtection selectLockedCells="1"/>
  <mergeCells count="42">
    <mergeCell ref="H41:R41"/>
    <mergeCell ref="H46:I46"/>
    <mergeCell ref="A36:F36"/>
    <mergeCell ref="I36:K36"/>
    <mergeCell ref="M36:N36"/>
    <mergeCell ref="O36:X36"/>
    <mergeCell ref="S38:T38"/>
    <mergeCell ref="O38:Q38"/>
    <mergeCell ref="A34:X34"/>
    <mergeCell ref="A35:M35"/>
    <mergeCell ref="N35:O35"/>
    <mergeCell ref="P35:Q35"/>
    <mergeCell ref="R35:X35"/>
    <mergeCell ref="O28:Q28"/>
    <mergeCell ref="S28:X28"/>
    <mergeCell ref="O30:Q30"/>
    <mergeCell ref="S30:X30"/>
    <mergeCell ref="O32:Q32"/>
    <mergeCell ref="S32:X32"/>
    <mergeCell ref="O21:Q21"/>
    <mergeCell ref="S21:X21"/>
    <mergeCell ref="A24:J24"/>
    <mergeCell ref="O24:Q24"/>
    <mergeCell ref="S24:X24"/>
    <mergeCell ref="S15:X15"/>
    <mergeCell ref="O17:Q17"/>
    <mergeCell ref="S17:X17"/>
    <mergeCell ref="O19:Q19"/>
    <mergeCell ref="S19:X19"/>
    <mergeCell ref="G9:H9"/>
    <mergeCell ref="K9:X9"/>
    <mergeCell ref="A11:G11"/>
    <mergeCell ref="H11:T11"/>
    <mergeCell ref="A13:B13"/>
    <mergeCell ref="C13:F13"/>
    <mergeCell ref="G13:H13"/>
    <mergeCell ref="I13:X13"/>
    <mergeCell ref="B6:M6"/>
    <mergeCell ref="A8:D8"/>
    <mergeCell ref="G8:H8"/>
    <mergeCell ref="K8:N8"/>
    <mergeCell ref="O8:X8"/>
  </mergeCells>
  <conditionalFormatting sqref="S38:T38 G13 A13:B13 B6:M6 A8:D8 G8:H8 K8:X8 M36:N36 N35:Q35 P17:Q20 P22:Q29 O17:O29 O31:Q32">
    <cfRule type="cellIs" dxfId="812" priority="25" stopIfTrue="1" operator="equal">
      <formula>0</formula>
    </cfRule>
  </conditionalFormatting>
  <conditionalFormatting sqref="G36">
    <cfRule type="cellIs" dxfId="811" priority="24" stopIfTrue="1" operator="equal">
      <formula>0</formula>
    </cfRule>
  </conditionalFormatting>
  <conditionalFormatting sqref="C14">
    <cfRule type="cellIs" dxfId="810" priority="20" stopIfTrue="1" operator="greaterThan">
      <formula>"$b$15=6"</formula>
    </cfRule>
  </conditionalFormatting>
  <conditionalFormatting sqref="O30:Q30">
    <cfRule type="cellIs" dxfId="809" priority="3" stopIfTrue="1" operator="equal">
      <formula>0</formula>
    </cfRule>
    <cfRule type="cellIs" dxfId="808" priority="6" stopIfTrue="1" operator="greaterThanOrEqual">
      <formula>$N$30</formula>
    </cfRule>
  </conditionalFormatting>
  <conditionalFormatting sqref="O21:Q21">
    <cfRule type="cellIs" dxfId="807" priority="4" stopIfTrue="1" operator="lessThanOrEqual">
      <formula>$N$21</formula>
    </cfRule>
  </conditionalFormatting>
  <conditionalFormatting sqref="O24:Q24">
    <cfRule type="cellIs" dxfId="806" priority="2" stopIfTrue="1" operator="lessThanOrEqual">
      <formula>$N$24</formula>
    </cfRule>
  </conditionalFormatting>
  <conditionalFormatting sqref="O28:Q28">
    <cfRule type="cellIs" dxfId="805" priority="1" stopIfTrue="1" operator="greaterThanOrEqual">
      <formula>$N$28</formula>
    </cfRule>
  </conditionalFormatting>
  <pageMargins left="0.39370078740157483" right="0.59055118110236227" top="0.55118110236220474" bottom="0.35433070866141736" header="0.31496062992125984" footer="0.31496062992125984"/>
  <pageSetup paperSize="9" orientation="portrait" horizontalDpi="4294967293" verticalDpi="300" r:id="rId1"/>
  <drawing r:id="rId2"/>
  <legacyDrawing r:id="rId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5">
    <tabColor rgb="FF002060"/>
  </sheetPr>
  <dimension ref="A1:Z55"/>
  <sheetViews>
    <sheetView view="pageBreakPreview" zoomScaleSheetLayoutView="100" workbookViewId="0">
      <selection activeCell="M10" sqref="M10"/>
    </sheetView>
  </sheetViews>
  <sheetFormatPr baseColWidth="10" defaultRowHeight="12.75"/>
  <cols>
    <col min="1" max="1" width="3.5703125" style="17" customWidth="1"/>
    <col min="2" max="2" width="2.7109375" style="17" customWidth="1"/>
    <col min="3" max="3" width="3.28515625" style="17" customWidth="1"/>
    <col min="4" max="13" width="3.7109375" style="17" customWidth="1"/>
    <col min="14" max="14" width="4.7109375" style="17" customWidth="1"/>
    <col min="15" max="15" width="3.7109375" style="17" customWidth="1"/>
    <col min="16" max="16" width="4.28515625" style="17" customWidth="1"/>
    <col min="17" max="18" width="3.7109375" style="17" customWidth="1"/>
    <col min="19" max="24" width="3.85546875" style="17" customWidth="1"/>
    <col min="25" max="25" width="0.7109375" style="17" customWidth="1"/>
    <col min="26" max="16384" width="11.42578125" style="17"/>
  </cols>
  <sheetData>
    <row r="1" spans="1:26" ht="15.75" customHeight="1">
      <c r="A1" s="318"/>
      <c r="B1" s="318"/>
      <c r="C1" s="318"/>
      <c r="D1" s="318"/>
      <c r="E1" s="318"/>
      <c r="F1" s="318"/>
      <c r="G1" s="318"/>
      <c r="I1" s="319"/>
      <c r="J1" s="796"/>
      <c r="K1" s="796"/>
      <c r="L1" s="2643"/>
      <c r="M1" s="2643" t="s">
        <v>196</v>
      </c>
      <c r="N1" s="320"/>
      <c r="O1" s="320"/>
      <c r="P1" s="320"/>
      <c r="Q1" s="320"/>
      <c r="R1" s="320"/>
      <c r="S1" s="320"/>
      <c r="T1" s="320"/>
      <c r="U1" s="320"/>
      <c r="V1" s="320"/>
      <c r="W1" s="320"/>
      <c r="X1" s="321"/>
      <c r="Y1" s="322"/>
    </row>
    <row r="2" spans="1:26" ht="15.75" customHeight="1">
      <c r="A2" s="318"/>
      <c r="B2" s="318"/>
      <c r="C2" s="318"/>
      <c r="D2" s="318"/>
      <c r="E2" s="318"/>
      <c r="F2" s="318"/>
      <c r="G2" s="318"/>
      <c r="H2" s="796"/>
      <c r="I2" s="1161"/>
      <c r="J2" s="796"/>
      <c r="K2" s="796"/>
      <c r="L2" s="2643"/>
      <c r="M2" s="2643" t="s">
        <v>261</v>
      </c>
      <c r="N2" s="320"/>
      <c r="O2" s="320"/>
      <c r="P2" s="320"/>
      <c r="Q2" s="320"/>
      <c r="R2" s="320"/>
      <c r="S2" s="320"/>
      <c r="T2" s="320"/>
      <c r="U2" s="320"/>
      <c r="V2" s="320"/>
      <c r="W2" s="320"/>
      <c r="X2" s="321"/>
      <c r="Y2" s="45"/>
    </row>
    <row r="3" spans="1:26" ht="15.75" customHeight="1">
      <c r="A3" s="318"/>
      <c r="B3" s="318"/>
      <c r="C3" s="318"/>
      <c r="D3" s="318"/>
      <c r="E3" s="318"/>
      <c r="F3" s="318"/>
      <c r="G3" s="318"/>
      <c r="H3" s="796"/>
      <c r="I3" s="1161"/>
      <c r="J3" s="796"/>
      <c r="K3" s="796"/>
      <c r="L3" s="2643"/>
      <c r="M3" s="2643" t="s">
        <v>262</v>
      </c>
      <c r="N3" s="320"/>
      <c r="O3" s="320"/>
      <c r="P3" s="320"/>
      <c r="Q3" s="320"/>
      <c r="R3" s="320"/>
      <c r="S3" s="320"/>
      <c r="T3" s="320"/>
      <c r="U3" s="320"/>
      <c r="V3" s="320"/>
      <c r="W3" s="320"/>
      <c r="X3" s="321"/>
      <c r="Y3" s="45"/>
    </row>
    <row r="4" spans="1:26" ht="15.75" customHeight="1">
      <c r="A4" s="318"/>
      <c r="B4" s="318"/>
      <c r="C4" s="318"/>
      <c r="D4" s="318"/>
      <c r="E4" s="318"/>
      <c r="F4" s="318"/>
      <c r="G4" s="318"/>
      <c r="I4" s="319"/>
      <c r="J4" s="796"/>
      <c r="K4" s="796"/>
      <c r="L4" s="2643"/>
      <c r="M4" s="2643" t="s">
        <v>263</v>
      </c>
      <c r="N4" s="323"/>
      <c r="O4" s="323"/>
      <c r="P4" s="323"/>
      <c r="Q4" s="323"/>
      <c r="S4" s="323"/>
      <c r="T4" s="323"/>
      <c r="U4" s="323"/>
      <c r="V4" s="323"/>
      <c r="W4" s="323"/>
      <c r="X4" s="758">
        <f>'VISITA DE INSP.'!T6</f>
        <v>1</v>
      </c>
      <c r="Y4" s="45"/>
    </row>
    <row r="5" spans="1:26" ht="6.75" customHeight="1">
      <c r="A5" s="44"/>
      <c r="B5" s="44"/>
      <c r="C5" s="44"/>
      <c r="D5" s="44"/>
      <c r="E5" s="44"/>
      <c r="F5" s="44"/>
      <c r="G5" s="44"/>
      <c r="H5" s="44"/>
      <c r="I5" s="44"/>
      <c r="J5" s="44"/>
      <c r="K5" s="44"/>
      <c r="L5" s="44"/>
      <c r="M5" s="44"/>
      <c r="N5" s="44"/>
      <c r="O5" s="44"/>
      <c r="P5" s="44"/>
      <c r="Q5" s="44"/>
      <c r="R5" s="44"/>
      <c r="S5" s="324"/>
      <c r="T5" s="44"/>
      <c r="U5" s="44"/>
      <c r="V5" s="44"/>
      <c r="W5" s="44"/>
      <c r="X5" s="44"/>
      <c r="Y5" s="45"/>
    </row>
    <row r="6" spans="1:26" ht="17.25" customHeight="1">
      <c r="A6" s="4483" t="s">
        <v>1947</v>
      </c>
      <c r="B6" s="4483"/>
      <c r="C6" s="4483"/>
      <c r="D6" s="4483"/>
      <c r="E6" s="4483"/>
      <c r="F6" s="4483"/>
      <c r="G6" s="4483"/>
      <c r="H6" s="325" t="str">
        <f>'VISITA DE INSP.'!G8</f>
        <v>CERVANTES BENITEZ * ANTONIA</v>
      </c>
      <c r="I6" s="325"/>
      <c r="J6" s="326"/>
      <c r="K6" s="326"/>
      <c r="L6" s="326"/>
      <c r="M6" s="326"/>
      <c r="N6" s="326"/>
      <c r="O6" s="326"/>
      <c r="P6" s="326"/>
      <c r="Q6" s="326"/>
      <c r="R6" s="327"/>
      <c r="S6" s="4483" t="s">
        <v>264</v>
      </c>
      <c r="T6" s="4483"/>
      <c r="U6" s="4483"/>
      <c r="V6" s="4483"/>
      <c r="W6" s="4483"/>
      <c r="X6" s="4483"/>
      <c r="Y6" s="45"/>
    </row>
    <row r="7" spans="1:26" ht="17.25" customHeight="1">
      <c r="A7" s="4484" t="s">
        <v>265</v>
      </c>
      <c r="B7" s="4485"/>
      <c r="C7" s="4486"/>
      <c r="D7" s="330" t="str">
        <f>'VISITA DE INSP.'!E7</f>
        <v>KABAH</v>
      </c>
      <c r="E7" s="10"/>
      <c r="F7" s="10"/>
      <c r="G7" s="10"/>
      <c r="H7" s="10"/>
      <c r="I7" s="10"/>
      <c r="J7" s="10"/>
      <c r="K7" s="331"/>
      <c r="L7" s="331"/>
      <c r="M7" s="331"/>
      <c r="N7" s="4487" t="s">
        <v>266</v>
      </c>
      <c r="O7" s="4488"/>
      <c r="P7" s="4489"/>
      <c r="Q7" s="332" t="str">
        <f>'VISITA DE INSP.'!V7</f>
        <v>23DPR0055K</v>
      </c>
      <c r="R7" s="332"/>
      <c r="S7" s="332"/>
      <c r="T7" s="332"/>
      <c r="U7" s="4490" t="s">
        <v>267</v>
      </c>
      <c r="V7" s="4491"/>
      <c r="W7" s="4491"/>
      <c r="X7" s="4492"/>
      <c r="Y7" s="45"/>
    </row>
    <row r="8" spans="1:26" ht="17.25" customHeight="1">
      <c r="A8" s="4484" t="s">
        <v>268</v>
      </c>
      <c r="B8" s="4485"/>
      <c r="C8" s="4485"/>
      <c r="D8" s="4493"/>
      <c r="E8" s="4493"/>
      <c r="F8" s="4493"/>
      <c r="G8" s="4493"/>
      <c r="H8" s="4493"/>
      <c r="I8" s="4493"/>
      <c r="J8" s="4493"/>
      <c r="K8" s="4493"/>
      <c r="L8" s="4485"/>
      <c r="M8" s="4485"/>
      <c r="N8" s="4485"/>
      <c r="O8" s="4493"/>
      <c r="P8" s="4493"/>
      <c r="Q8" s="4493"/>
      <c r="R8" s="4493"/>
      <c r="S8" s="4493"/>
      <c r="T8" s="4493"/>
      <c r="U8" s="4485"/>
      <c r="V8" s="4485"/>
      <c r="W8" s="4485"/>
      <c r="X8" s="4486"/>
      <c r="Y8" s="45"/>
      <c r="Z8" s="333"/>
    </row>
    <row r="9" spans="1:26" ht="6" customHeight="1">
      <c r="A9" s="328"/>
      <c r="B9" s="334"/>
      <c r="C9" s="334"/>
      <c r="D9" s="334"/>
      <c r="E9" s="334"/>
      <c r="F9" s="334"/>
      <c r="G9" s="334"/>
      <c r="H9" s="334"/>
      <c r="I9" s="334"/>
      <c r="J9" s="334"/>
      <c r="K9" s="334"/>
      <c r="L9" s="334"/>
      <c r="M9" s="334"/>
      <c r="N9" s="334"/>
      <c r="O9" s="334"/>
      <c r="P9" s="334"/>
      <c r="Q9" s="334"/>
      <c r="R9" s="334"/>
      <c r="S9" s="334"/>
      <c r="T9" s="334"/>
      <c r="U9" s="334"/>
      <c r="V9" s="334"/>
      <c r="W9" s="334"/>
      <c r="X9" s="329"/>
      <c r="Y9" s="45"/>
      <c r="Z9" s="333"/>
    </row>
    <row r="10" spans="1:26" ht="14.85" customHeight="1">
      <c r="A10" s="334"/>
      <c r="B10" s="334"/>
      <c r="C10" s="334"/>
      <c r="D10" s="334"/>
      <c r="E10" s="334"/>
      <c r="F10" s="334"/>
      <c r="G10" s="334"/>
      <c r="H10" s="334"/>
      <c r="I10" s="334"/>
      <c r="J10" s="334"/>
      <c r="K10" s="334"/>
      <c r="L10" s="334"/>
      <c r="M10" s="334"/>
      <c r="N10" s="334"/>
      <c r="O10" s="4494" t="s">
        <v>269</v>
      </c>
      <c r="P10" s="4495"/>
      <c r="Q10" s="4496"/>
      <c r="R10" s="335"/>
      <c r="S10" s="4484" t="s">
        <v>270</v>
      </c>
      <c r="T10" s="4485"/>
      <c r="U10" s="4485"/>
      <c r="V10" s="4485"/>
      <c r="W10" s="4485"/>
      <c r="X10" s="4486"/>
      <c r="Y10" s="45"/>
    </row>
    <row r="11" spans="1:26" ht="6" customHeight="1">
      <c r="A11" s="335"/>
      <c r="B11" s="335"/>
      <c r="C11" s="335"/>
      <c r="D11" s="335"/>
      <c r="E11" s="335"/>
      <c r="F11" s="335"/>
      <c r="G11" s="335"/>
      <c r="H11" s="335"/>
      <c r="I11" s="335"/>
      <c r="J11" s="335"/>
      <c r="K11" s="335"/>
      <c r="L11" s="335"/>
      <c r="M11" s="335"/>
      <c r="N11" s="335"/>
      <c r="O11" s="335"/>
      <c r="P11" s="335"/>
      <c r="Q11" s="335"/>
      <c r="R11" s="335"/>
      <c r="S11" s="335"/>
      <c r="T11" s="335"/>
      <c r="U11" s="335"/>
      <c r="V11" s="44"/>
      <c r="W11" s="44"/>
      <c r="X11" s="44"/>
      <c r="Y11" s="45"/>
    </row>
    <row r="12" spans="1:26" ht="14.85" customHeight="1">
      <c r="A12" s="336" t="s">
        <v>271</v>
      </c>
      <c r="B12" s="337"/>
      <c r="C12" s="337"/>
      <c r="D12" s="337"/>
      <c r="E12" s="337"/>
      <c r="F12" s="338"/>
      <c r="G12" s="335"/>
      <c r="H12" s="335"/>
      <c r="I12" s="335"/>
      <c r="J12" s="335"/>
      <c r="K12" s="335"/>
      <c r="L12" s="335"/>
      <c r="M12" s="335"/>
      <c r="N12" s="335"/>
      <c r="O12" s="4497">
        <v>1</v>
      </c>
      <c r="P12" s="4497"/>
      <c r="Q12" s="4497"/>
      <c r="R12" s="335"/>
      <c r="S12" s="4498" t="s">
        <v>1112</v>
      </c>
      <c r="T12" s="4499"/>
      <c r="U12" s="4499"/>
      <c r="V12" s="4499"/>
      <c r="W12" s="4499"/>
      <c r="X12" s="4500"/>
      <c r="Y12" s="45"/>
    </row>
    <row r="13" spans="1:26" ht="6" customHeight="1">
      <c r="A13" s="335"/>
      <c r="B13" s="335"/>
      <c r="C13" s="335"/>
      <c r="D13" s="335"/>
      <c r="E13" s="335"/>
      <c r="F13" s="335"/>
      <c r="G13" s="335"/>
      <c r="H13" s="335"/>
      <c r="I13" s="335"/>
      <c r="J13" s="335"/>
      <c r="K13" s="335"/>
      <c r="L13" s="335"/>
      <c r="M13" s="335"/>
      <c r="N13" s="335"/>
      <c r="O13" s="339"/>
      <c r="P13" s="339"/>
      <c r="Q13" s="339"/>
      <c r="R13" s="335"/>
      <c r="S13" s="1286"/>
      <c r="T13" s="1286"/>
      <c r="U13" s="1287"/>
      <c r="V13" s="1287"/>
      <c r="W13" s="1287"/>
      <c r="X13" s="1286"/>
      <c r="Y13" s="45"/>
    </row>
    <row r="14" spans="1:26" ht="14.85" customHeight="1">
      <c r="A14" s="336" t="s">
        <v>272</v>
      </c>
      <c r="B14" s="337"/>
      <c r="C14" s="337"/>
      <c r="D14" s="337"/>
      <c r="E14" s="337"/>
      <c r="F14" s="337"/>
      <c r="G14" s="338"/>
      <c r="H14" s="335"/>
      <c r="I14" s="335"/>
      <c r="J14" s="335"/>
      <c r="K14" s="335"/>
      <c r="L14" s="335"/>
      <c r="M14" s="335"/>
      <c r="N14" s="335"/>
      <c r="O14" s="4501">
        <v>1</v>
      </c>
      <c r="P14" s="4497"/>
      <c r="Q14" s="4497"/>
      <c r="R14" s="335"/>
      <c r="S14" s="4498" t="s">
        <v>1112</v>
      </c>
      <c r="T14" s="4499"/>
      <c r="U14" s="4499"/>
      <c r="V14" s="4499"/>
      <c r="W14" s="4499"/>
      <c r="X14" s="4500"/>
      <c r="Y14" s="45"/>
    </row>
    <row r="15" spans="1:26" ht="6" customHeight="1">
      <c r="A15" s="335"/>
      <c r="B15" s="335"/>
      <c r="C15" s="335"/>
      <c r="D15" s="335"/>
      <c r="E15" s="335"/>
      <c r="F15" s="335"/>
      <c r="G15" s="335"/>
      <c r="H15" s="335"/>
      <c r="I15" s="335"/>
      <c r="J15" s="335"/>
      <c r="K15" s="335"/>
      <c r="L15" s="335"/>
      <c r="M15" s="335"/>
      <c r="N15" s="335"/>
      <c r="O15" s="339"/>
      <c r="P15" s="339"/>
      <c r="Q15" s="339"/>
      <c r="R15" s="335"/>
      <c r="S15" s="1285"/>
      <c r="T15" s="1286"/>
      <c r="U15" s="1287"/>
      <c r="V15" s="1287"/>
      <c r="W15" s="1287"/>
      <c r="X15" s="1285"/>
      <c r="Y15" s="45"/>
    </row>
    <row r="16" spans="1:26" ht="14.85" customHeight="1">
      <c r="A16" s="336" t="s">
        <v>273</v>
      </c>
      <c r="B16" s="337"/>
      <c r="C16" s="337"/>
      <c r="D16" s="337"/>
      <c r="E16" s="338"/>
      <c r="F16" s="335"/>
      <c r="G16" s="335"/>
      <c r="H16" s="335"/>
      <c r="I16" s="335"/>
      <c r="J16" s="335"/>
      <c r="K16" s="335"/>
      <c r="L16" s="335"/>
      <c r="M16" s="335"/>
      <c r="N16" s="335"/>
      <c r="O16" s="4497">
        <f>'VISITA DE INSP.'!AL39</f>
        <v>10</v>
      </c>
      <c r="P16" s="4497"/>
      <c r="Q16" s="4497"/>
      <c r="R16" s="335"/>
      <c r="S16" s="4498" t="s">
        <v>1112</v>
      </c>
      <c r="T16" s="4499"/>
      <c r="U16" s="4499"/>
      <c r="V16" s="4499"/>
      <c r="W16" s="4499"/>
      <c r="X16" s="4500"/>
      <c r="Y16" s="45"/>
    </row>
    <row r="17" spans="1:25" ht="6" customHeight="1">
      <c r="A17" s="335"/>
      <c r="B17" s="335"/>
      <c r="C17" s="335"/>
      <c r="D17" s="335"/>
      <c r="E17" s="335"/>
      <c r="F17" s="335"/>
      <c r="G17" s="335"/>
      <c r="H17" s="335"/>
      <c r="I17" s="335"/>
      <c r="J17" s="335"/>
      <c r="K17" s="335"/>
      <c r="L17" s="335"/>
      <c r="M17" s="335"/>
      <c r="N17" s="335"/>
      <c r="O17" s="339"/>
      <c r="P17" s="339"/>
      <c r="Q17" s="339"/>
      <c r="R17" s="335"/>
      <c r="S17" s="1285"/>
      <c r="T17" s="1286"/>
      <c r="U17" s="1287"/>
      <c r="V17" s="1287"/>
      <c r="W17" s="1287"/>
      <c r="X17" s="1285"/>
      <c r="Y17" s="45"/>
    </row>
    <row r="18" spans="1:25" ht="14.85" customHeight="1">
      <c r="A18" s="336" t="s">
        <v>274</v>
      </c>
      <c r="B18" s="337"/>
      <c r="C18" s="337"/>
      <c r="D18" s="337"/>
      <c r="E18" s="337"/>
      <c r="F18" s="337"/>
      <c r="G18" s="337"/>
      <c r="H18" s="338"/>
      <c r="I18" s="335"/>
      <c r="J18" s="335"/>
      <c r="K18" s="335"/>
      <c r="L18" s="335"/>
      <c r="M18" s="335"/>
      <c r="N18" s="335"/>
      <c r="O18" s="4502">
        <v>1</v>
      </c>
      <c r="P18" s="4503"/>
      <c r="Q18" s="4504"/>
      <c r="R18" s="335"/>
      <c r="S18" s="4498" t="s">
        <v>1112</v>
      </c>
      <c r="T18" s="4499"/>
      <c r="U18" s="4499"/>
      <c r="V18" s="4499"/>
      <c r="W18" s="4499"/>
      <c r="X18" s="4500"/>
      <c r="Y18" s="45"/>
    </row>
    <row r="19" spans="1:25" ht="6" customHeight="1">
      <c r="A19" s="335"/>
      <c r="B19" s="335"/>
      <c r="C19" s="335"/>
      <c r="D19" s="335"/>
      <c r="E19" s="335"/>
      <c r="F19" s="335"/>
      <c r="G19" s="335"/>
      <c r="H19" s="335"/>
      <c r="I19" s="335"/>
      <c r="J19" s="335"/>
      <c r="K19" s="335"/>
      <c r="L19" s="335"/>
      <c r="M19" s="335"/>
      <c r="N19" s="335"/>
      <c r="O19" s="339"/>
      <c r="P19" s="339"/>
      <c r="Q19" s="339"/>
      <c r="R19" s="335"/>
      <c r="S19" s="1285"/>
      <c r="T19" s="1286"/>
      <c r="U19" s="1287"/>
      <c r="V19" s="1287"/>
      <c r="W19" s="1287"/>
      <c r="X19" s="1285"/>
      <c r="Y19" s="45"/>
    </row>
    <row r="20" spans="1:25" ht="14.85" customHeight="1">
      <c r="A20" s="336" t="s">
        <v>275</v>
      </c>
      <c r="B20" s="337"/>
      <c r="C20" s="337"/>
      <c r="D20" s="337"/>
      <c r="E20" s="337"/>
      <c r="F20" s="337"/>
      <c r="G20" s="337"/>
      <c r="H20" s="337"/>
      <c r="I20" s="338"/>
      <c r="J20" s="334"/>
      <c r="K20" s="334"/>
      <c r="L20" s="334"/>
      <c r="M20" s="334"/>
      <c r="N20" s="334"/>
      <c r="O20" s="4497"/>
      <c r="P20" s="4497"/>
      <c r="Q20" s="4497"/>
      <c r="R20" s="334"/>
      <c r="S20" s="4498" t="s">
        <v>1109</v>
      </c>
      <c r="T20" s="4499"/>
      <c r="U20" s="4499"/>
      <c r="V20" s="4499"/>
      <c r="W20" s="4499"/>
      <c r="X20" s="4500"/>
      <c r="Y20" s="45"/>
    </row>
    <row r="21" spans="1:25" ht="6" customHeight="1">
      <c r="A21" s="334"/>
      <c r="B21" s="334"/>
      <c r="C21" s="334"/>
      <c r="D21" s="334"/>
      <c r="E21" s="334"/>
      <c r="F21" s="334"/>
      <c r="G21" s="334"/>
      <c r="H21" s="334"/>
      <c r="I21" s="334"/>
      <c r="J21" s="334"/>
      <c r="K21" s="334"/>
      <c r="L21" s="334"/>
      <c r="M21" s="334"/>
      <c r="N21" s="334"/>
      <c r="O21" s="340"/>
      <c r="P21" s="340"/>
      <c r="Q21" s="340"/>
      <c r="R21" s="334"/>
      <c r="S21" s="1285"/>
      <c r="T21" s="1286"/>
      <c r="U21" s="1287"/>
      <c r="V21" s="1287"/>
      <c r="W21" s="1287"/>
      <c r="X21" s="1285"/>
      <c r="Y21" s="45"/>
    </row>
    <row r="22" spans="1:25" ht="14.85" customHeight="1">
      <c r="A22" s="336" t="s">
        <v>276</v>
      </c>
      <c r="B22" s="337"/>
      <c r="C22" s="337"/>
      <c r="D22" s="337"/>
      <c r="E22" s="337"/>
      <c r="F22" s="337"/>
      <c r="G22" s="337"/>
      <c r="H22" s="337"/>
      <c r="I22" s="337"/>
      <c r="J22" s="337"/>
      <c r="K22" s="338"/>
      <c r="L22" s="334"/>
      <c r="M22" s="334"/>
      <c r="N22" s="334"/>
      <c r="O22" s="4497">
        <v>1</v>
      </c>
      <c r="P22" s="4497"/>
      <c r="Q22" s="4497"/>
      <c r="R22" s="334"/>
      <c r="S22" s="4498" t="s">
        <v>1110</v>
      </c>
      <c r="T22" s="4499"/>
      <c r="U22" s="4499"/>
      <c r="V22" s="4499"/>
      <c r="W22" s="4499"/>
      <c r="X22" s="4500"/>
      <c r="Y22" s="45"/>
    </row>
    <row r="23" spans="1:25" ht="14.85" customHeight="1">
      <c r="A23" s="336" t="s">
        <v>881</v>
      </c>
      <c r="B23" s="337"/>
      <c r="C23" s="337"/>
      <c r="D23" s="337"/>
      <c r="E23" s="337"/>
      <c r="F23" s="337"/>
      <c r="G23" s="337"/>
      <c r="H23" s="337"/>
      <c r="I23" s="338"/>
      <c r="J23" s="342"/>
      <c r="K23" s="342"/>
      <c r="L23" s="334"/>
      <c r="M23" s="334"/>
      <c r="N23" s="334"/>
      <c r="O23" s="340"/>
      <c r="P23" s="340"/>
      <c r="Q23" s="340"/>
      <c r="R23" s="334"/>
      <c r="S23" s="1285"/>
      <c r="T23" s="1286"/>
      <c r="U23" s="1287"/>
      <c r="V23" s="1287"/>
      <c r="W23" s="1287"/>
      <c r="X23" s="1285"/>
      <c r="Y23" s="45"/>
    </row>
    <row r="24" spans="1:25" ht="6" customHeight="1">
      <c r="A24" s="334"/>
      <c r="B24" s="334"/>
      <c r="C24" s="334"/>
      <c r="D24" s="334"/>
      <c r="E24" s="334"/>
      <c r="F24" s="334"/>
      <c r="G24" s="334"/>
      <c r="H24" s="334"/>
      <c r="I24" s="334"/>
      <c r="J24" s="334"/>
      <c r="K24" s="334"/>
      <c r="L24" s="334"/>
      <c r="M24" s="334"/>
      <c r="N24" s="334"/>
      <c r="O24" s="343"/>
      <c r="P24" s="343"/>
      <c r="Q24" s="343"/>
      <c r="R24" s="334"/>
      <c r="S24" s="1285"/>
      <c r="T24" s="1285"/>
      <c r="U24" s="1288"/>
      <c r="V24" s="1288"/>
      <c r="W24" s="1288"/>
      <c r="X24" s="1285"/>
      <c r="Y24" s="45"/>
    </row>
    <row r="25" spans="1:25" ht="14.85" customHeight="1">
      <c r="A25" s="336" t="s">
        <v>277</v>
      </c>
      <c r="B25" s="337"/>
      <c r="C25" s="337"/>
      <c r="D25" s="337"/>
      <c r="E25" s="337"/>
      <c r="F25" s="337"/>
      <c r="G25" s="337"/>
      <c r="H25" s="337"/>
      <c r="I25" s="337"/>
      <c r="J25" s="337"/>
      <c r="K25" s="338"/>
      <c r="L25" s="334"/>
      <c r="M25" s="334"/>
      <c r="N25" s="334"/>
      <c r="O25" s="4497">
        <f>'VISITA DE INSP.'!AK39</f>
        <v>12</v>
      </c>
      <c r="P25" s="4497"/>
      <c r="Q25" s="4497"/>
      <c r="R25" s="334"/>
      <c r="S25" s="4498" t="s">
        <v>1112</v>
      </c>
      <c r="T25" s="4499"/>
      <c r="U25" s="4499"/>
      <c r="V25" s="4499"/>
      <c r="W25" s="4499"/>
      <c r="X25" s="4500"/>
      <c r="Y25" s="45"/>
    </row>
    <row r="26" spans="1:25" ht="14.85" customHeight="1">
      <c r="A26" s="336" t="s">
        <v>346</v>
      </c>
      <c r="B26" s="337"/>
      <c r="C26" s="337"/>
      <c r="D26" s="337"/>
      <c r="E26" s="337"/>
      <c r="F26" s="338"/>
      <c r="G26" s="342"/>
      <c r="H26" s="334"/>
      <c r="I26" s="334"/>
      <c r="J26" s="334"/>
      <c r="K26" s="334"/>
      <c r="L26" s="334"/>
      <c r="M26" s="334"/>
      <c r="N26" s="334"/>
      <c r="O26" s="340"/>
      <c r="P26" s="340"/>
      <c r="Q26" s="340"/>
      <c r="R26" s="334"/>
      <c r="S26" s="1285"/>
      <c r="T26" s="1286"/>
      <c r="U26" s="1287"/>
      <c r="V26" s="1287"/>
      <c r="W26" s="1287"/>
      <c r="X26" s="1285"/>
      <c r="Y26" s="45"/>
    </row>
    <row r="27" spans="1:25" ht="6" customHeight="1">
      <c r="A27" s="334"/>
      <c r="B27" s="334"/>
      <c r="C27" s="334"/>
      <c r="D27" s="334"/>
      <c r="E27" s="334"/>
      <c r="F27" s="334"/>
      <c r="G27" s="334"/>
      <c r="H27" s="334"/>
      <c r="I27" s="334"/>
      <c r="J27" s="334"/>
      <c r="K27" s="334"/>
      <c r="L27" s="334"/>
      <c r="M27" s="334"/>
      <c r="N27" s="334"/>
      <c r="O27" s="343"/>
      <c r="P27" s="343"/>
      <c r="Q27" s="343"/>
      <c r="R27" s="334"/>
      <c r="S27" s="1285"/>
      <c r="T27" s="1285"/>
      <c r="U27" s="1288"/>
      <c r="V27" s="1288"/>
      <c r="W27" s="1288"/>
      <c r="X27" s="1285"/>
      <c r="Y27" s="45"/>
    </row>
    <row r="28" spans="1:25" ht="14.85" customHeight="1">
      <c r="A28" s="336" t="s">
        <v>278</v>
      </c>
      <c r="B28" s="337"/>
      <c r="C28" s="337"/>
      <c r="D28" s="337"/>
      <c r="E28" s="338"/>
      <c r="F28" s="334"/>
      <c r="G28" s="334"/>
      <c r="H28" s="334"/>
      <c r="I28" s="334"/>
      <c r="J28" s="334"/>
      <c r="K28" s="334"/>
      <c r="L28" s="334"/>
      <c r="M28" s="334"/>
      <c r="N28" s="334"/>
      <c r="O28" s="4497">
        <v>1</v>
      </c>
      <c r="P28" s="4497"/>
      <c r="Q28" s="4497"/>
      <c r="R28" s="334"/>
      <c r="S28" s="4498" t="s">
        <v>1112</v>
      </c>
      <c r="T28" s="4499"/>
      <c r="U28" s="4499"/>
      <c r="V28" s="4499"/>
      <c r="W28" s="4499"/>
      <c r="X28" s="4500"/>
      <c r="Y28" s="45"/>
    </row>
    <row r="29" spans="1:25" ht="6" customHeight="1">
      <c r="A29" s="334"/>
      <c r="B29" s="334"/>
      <c r="C29" s="334"/>
      <c r="D29" s="334"/>
      <c r="E29" s="334"/>
      <c r="F29" s="334"/>
      <c r="G29" s="334"/>
      <c r="H29" s="334"/>
      <c r="I29" s="334"/>
      <c r="J29" s="334"/>
      <c r="K29" s="334"/>
      <c r="L29" s="334"/>
      <c r="M29" s="334"/>
      <c r="N29" s="334"/>
      <c r="O29" s="340"/>
      <c r="P29" s="340"/>
      <c r="Q29" s="340"/>
      <c r="R29" s="334"/>
      <c r="S29" s="1285"/>
      <c r="T29" s="1286"/>
      <c r="U29" s="1287"/>
      <c r="V29" s="1287"/>
      <c r="W29" s="1287"/>
      <c r="X29" s="1285"/>
      <c r="Y29" s="45"/>
    </row>
    <row r="30" spans="1:25" ht="14.85" customHeight="1">
      <c r="A30" s="336" t="s">
        <v>1116</v>
      </c>
      <c r="B30" s="337"/>
      <c r="C30" s="337"/>
      <c r="D30" s="338"/>
      <c r="E30" s="334"/>
      <c r="F30" s="334"/>
      <c r="G30" s="334"/>
      <c r="H30" s="334"/>
      <c r="I30" s="334"/>
      <c r="J30" s="334"/>
      <c r="K30" s="334"/>
      <c r="L30" s="334"/>
      <c r="M30" s="334"/>
      <c r="N30" s="334"/>
      <c r="O30" s="4497">
        <v>1</v>
      </c>
      <c r="P30" s="4497"/>
      <c r="Q30" s="4497"/>
      <c r="R30" s="334"/>
      <c r="S30" s="4498" t="s">
        <v>1112</v>
      </c>
      <c r="T30" s="4499"/>
      <c r="U30" s="4499"/>
      <c r="V30" s="4499"/>
      <c r="W30" s="4499"/>
      <c r="X30" s="4500"/>
      <c r="Y30" s="45"/>
    </row>
    <row r="31" spans="1:25" ht="6" customHeight="1">
      <c r="A31" s="334"/>
      <c r="B31" s="334"/>
      <c r="C31" s="334"/>
      <c r="D31" s="334"/>
      <c r="E31" s="334"/>
      <c r="F31" s="334"/>
      <c r="G31" s="334"/>
      <c r="H31" s="334"/>
      <c r="I31" s="334"/>
      <c r="J31" s="334"/>
      <c r="K31" s="334"/>
      <c r="L31" s="334"/>
      <c r="M31" s="334"/>
      <c r="N31" s="334"/>
      <c r="O31" s="340"/>
      <c r="P31" s="340"/>
      <c r="Q31" s="340"/>
      <c r="R31" s="334"/>
      <c r="S31" s="1285"/>
      <c r="T31" s="1286"/>
      <c r="U31" s="1287"/>
      <c r="V31" s="1287"/>
      <c r="W31" s="1287"/>
      <c r="X31" s="1285"/>
      <c r="Y31" s="45"/>
    </row>
    <row r="32" spans="1:25" ht="14.85" customHeight="1">
      <c r="A32" s="336" t="s">
        <v>1106</v>
      </c>
      <c r="B32" s="337"/>
      <c r="C32" s="337"/>
      <c r="D32" s="337"/>
      <c r="E32" s="338"/>
      <c r="F32" s="334"/>
      <c r="G32" s="334"/>
      <c r="H32" s="334"/>
      <c r="I32" s="334"/>
      <c r="J32" s="334"/>
      <c r="K32" s="334"/>
      <c r="L32" s="334"/>
      <c r="M32" s="334"/>
      <c r="N32" s="334"/>
      <c r="O32" s="4497">
        <f>'VISITA DE INSP.'!AM39</f>
        <v>2</v>
      </c>
      <c r="P32" s="4497"/>
      <c r="Q32" s="4497"/>
      <c r="R32" s="334"/>
      <c r="S32" s="4498" t="s">
        <v>1112</v>
      </c>
      <c r="T32" s="4499"/>
      <c r="U32" s="4499"/>
      <c r="V32" s="4499"/>
      <c r="W32" s="4499"/>
      <c r="X32" s="4500"/>
      <c r="Y32" s="45"/>
    </row>
    <row r="33" spans="1:25" ht="6" customHeight="1">
      <c r="A33" s="334"/>
      <c r="B33" s="334"/>
      <c r="C33" s="334"/>
      <c r="D33" s="334"/>
      <c r="E33" s="334"/>
      <c r="F33" s="334"/>
      <c r="G33" s="334"/>
      <c r="H33" s="334"/>
      <c r="I33" s="334"/>
      <c r="J33" s="334"/>
      <c r="K33" s="334"/>
      <c r="L33" s="334"/>
      <c r="M33" s="334"/>
      <c r="N33" s="334"/>
      <c r="O33" s="340"/>
      <c r="P33" s="340"/>
      <c r="Q33" s="340"/>
      <c r="R33" s="334"/>
      <c r="S33" s="1285"/>
      <c r="T33" s="1286"/>
      <c r="U33" s="1287"/>
      <c r="V33" s="1287"/>
      <c r="W33" s="1287"/>
      <c r="X33" s="1285"/>
      <c r="Y33" s="45"/>
    </row>
    <row r="34" spans="1:25" ht="14.85" customHeight="1">
      <c r="A34" s="336" t="s">
        <v>878</v>
      </c>
      <c r="B34" s="346"/>
      <c r="C34" s="346"/>
      <c r="D34" s="346"/>
      <c r="E34" s="346"/>
      <c r="F34" s="346"/>
      <c r="G34" s="346"/>
      <c r="H34" s="346"/>
      <c r="I34" s="346"/>
      <c r="J34" s="346"/>
      <c r="K34" s="347"/>
      <c r="L34" s="348"/>
      <c r="M34" s="348"/>
      <c r="N34" s="348"/>
      <c r="O34" s="4497"/>
      <c r="P34" s="4497"/>
      <c r="Q34" s="4497"/>
      <c r="R34" s="348"/>
      <c r="S34" s="4498" t="s">
        <v>1111</v>
      </c>
      <c r="T34" s="4499"/>
      <c r="U34" s="4499"/>
      <c r="V34" s="4499"/>
      <c r="W34" s="4499"/>
      <c r="X34" s="4500"/>
      <c r="Y34" s="45"/>
    </row>
    <row r="35" spans="1:25" ht="14.85" customHeight="1">
      <c r="A35" s="336" t="s">
        <v>879</v>
      </c>
      <c r="B35" s="337"/>
      <c r="C35" s="337"/>
      <c r="D35" s="337"/>
      <c r="E35" s="337"/>
      <c r="F35" s="337"/>
      <c r="G35" s="338"/>
      <c r="H35" s="342"/>
      <c r="I35" s="342"/>
      <c r="J35" s="348"/>
      <c r="K35" s="348"/>
      <c r="L35" s="348"/>
      <c r="M35" s="348"/>
      <c r="N35" s="348"/>
      <c r="O35" s="341"/>
      <c r="P35" s="341"/>
      <c r="Q35" s="341"/>
      <c r="R35" s="348"/>
      <c r="S35" s="1285"/>
      <c r="T35" s="1286"/>
      <c r="U35" s="1287"/>
      <c r="V35" s="1287"/>
      <c r="W35" s="1287"/>
      <c r="X35" s="1285"/>
      <c r="Y35" s="45"/>
    </row>
    <row r="36" spans="1:25" ht="6" customHeight="1">
      <c r="A36" s="348"/>
      <c r="B36" s="348"/>
      <c r="C36" s="348"/>
      <c r="D36" s="348"/>
      <c r="E36" s="348"/>
      <c r="F36" s="348"/>
      <c r="G36" s="348"/>
      <c r="H36" s="348"/>
      <c r="I36" s="348"/>
      <c r="J36" s="348"/>
      <c r="K36" s="348"/>
      <c r="L36" s="348"/>
      <c r="M36" s="348"/>
      <c r="N36" s="348"/>
      <c r="O36" s="344"/>
      <c r="P36" s="344"/>
      <c r="Q36" s="344"/>
      <c r="R36" s="348"/>
      <c r="S36" s="1285"/>
      <c r="T36" s="1285"/>
      <c r="U36" s="1288"/>
      <c r="V36" s="1288"/>
      <c r="W36" s="1288"/>
      <c r="X36" s="1285"/>
      <c r="Y36" s="45"/>
    </row>
    <row r="37" spans="1:25" ht="14.85" customHeight="1">
      <c r="A37" s="336" t="s">
        <v>279</v>
      </c>
      <c r="B37" s="337"/>
      <c r="C37" s="337"/>
      <c r="D37" s="337"/>
      <c r="E37" s="337"/>
      <c r="F37" s="337"/>
      <c r="G37" s="337"/>
      <c r="H37" s="337"/>
      <c r="I37" s="337"/>
      <c r="J37" s="337"/>
      <c r="K37" s="338"/>
      <c r="L37" s="348"/>
      <c r="M37" s="348"/>
      <c r="N37" s="348"/>
      <c r="O37" s="4497">
        <v>1</v>
      </c>
      <c r="P37" s="4497"/>
      <c r="Q37" s="4497"/>
      <c r="R37" s="348"/>
      <c r="S37" s="4498" t="s">
        <v>1112</v>
      </c>
      <c r="T37" s="4499"/>
      <c r="U37" s="4499"/>
      <c r="V37" s="4499"/>
      <c r="W37" s="4499"/>
      <c r="X37" s="4500"/>
      <c r="Y37" s="45"/>
    </row>
    <row r="38" spans="1:25" ht="6" customHeight="1">
      <c r="A38" s="348"/>
      <c r="B38" s="348"/>
      <c r="C38" s="348"/>
      <c r="D38" s="348"/>
      <c r="E38" s="348"/>
      <c r="F38" s="348"/>
      <c r="G38" s="348"/>
      <c r="H38" s="348"/>
      <c r="I38" s="348"/>
      <c r="J38" s="348"/>
      <c r="K38" s="348"/>
      <c r="L38" s="348"/>
      <c r="M38" s="348"/>
      <c r="N38" s="348"/>
      <c r="O38" s="341"/>
      <c r="P38" s="341"/>
      <c r="Q38" s="341"/>
      <c r="R38" s="348"/>
      <c r="S38" s="1285"/>
      <c r="T38" s="1286"/>
      <c r="U38" s="1287"/>
      <c r="V38" s="1287"/>
      <c r="W38" s="1287"/>
      <c r="X38" s="1285"/>
      <c r="Y38" s="45"/>
    </row>
    <row r="39" spans="1:25" ht="14.85" customHeight="1">
      <c r="A39" s="336" t="s">
        <v>280</v>
      </c>
      <c r="B39" s="337"/>
      <c r="C39" s="337"/>
      <c r="D39" s="337"/>
      <c r="E39" s="337"/>
      <c r="F39" s="337"/>
      <c r="G39" s="337"/>
      <c r="H39" s="337"/>
      <c r="I39" s="337"/>
      <c r="J39" s="337"/>
      <c r="K39" s="337"/>
      <c r="L39" s="338"/>
      <c r="M39" s="348"/>
      <c r="N39" s="348"/>
      <c r="O39" s="4497">
        <v>1</v>
      </c>
      <c r="P39" s="4497"/>
      <c r="Q39" s="4497"/>
      <c r="R39" s="348"/>
      <c r="S39" s="4498" t="s">
        <v>1112</v>
      </c>
      <c r="T39" s="4499"/>
      <c r="U39" s="4499"/>
      <c r="V39" s="4499"/>
      <c r="W39" s="4499"/>
      <c r="X39" s="4500"/>
      <c r="Y39" s="45"/>
    </row>
    <row r="40" spans="1:25" ht="6" customHeight="1">
      <c r="A40" s="348"/>
      <c r="B40" s="348"/>
      <c r="C40" s="348"/>
      <c r="D40" s="348"/>
      <c r="E40" s="348"/>
      <c r="F40" s="348"/>
      <c r="G40" s="348"/>
      <c r="H40" s="348"/>
      <c r="I40" s="348"/>
      <c r="J40" s="348"/>
      <c r="K40" s="348"/>
      <c r="L40" s="348"/>
      <c r="M40" s="348"/>
      <c r="N40" s="348"/>
      <c r="O40" s="341"/>
      <c r="P40" s="341"/>
      <c r="Q40" s="341"/>
      <c r="R40" s="348"/>
      <c r="S40" s="1285"/>
      <c r="T40" s="1286"/>
      <c r="U40" s="1287"/>
      <c r="V40" s="1287"/>
      <c r="W40" s="1287"/>
      <c r="X40" s="1285"/>
      <c r="Y40" s="45"/>
    </row>
    <row r="41" spans="1:25" ht="14.85" customHeight="1">
      <c r="A41" s="336" t="s">
        <v>880</v>
      </c>
      <c r="B41" s="337"/>
      <c r="C41" s="346"/>
      <c r="D41" s="346"/>
      <c r="E41" s="346"/>
      <c r="F41" s="346"/>
      <c r="G41" s="346"/>
      <c r="H41" s="346"/>
      <c r="I41" s="346"/>
      <c r="J41" s="346"/>
      <c r="K41" s="346"/>
      <c r="L41" s="347"/>
      <c r="M41" s="348"/>
      <c r="N41" s="348"/>
      <c r="O41" s="4497">
        <v>1</v>
      </c>
      <c r="P41" s="4497"/>
      <c r="Q41" s="4497"/>
      <c r="R41" s="348"/>
      <c r="S41" s="4498" t="s">
        <v>1112</v>
      </c>
      <c r="T41" s="4499"/>
      <c r="U41" s="4499"/>
      <c r="V41" s="4499"/>
      <c r="W41" s="4499"/>
      <c r="X41" s="4500"/>
      <c r="Y41" s="45"/>
    </row>
    <row r="42" spans="1:25" ht="14.85" customHeight="1">
      <c r="A42" s="336" t="s">
        <v>345</v>
      </c>
      <c r="B42" s="346"/>
      <c r="C42" s="346"/>
      <c r="D42" s="346"/>
      <c r="E42" s="346"/>
      <c r="F42" s="347"/>
      <c r="G42" s="348"/>
      <c r="H42" s="348"/>
      <c r="I42" s="348"/>
      <c r="J42" s="348"/>
      <c r="K42" s="348"/>
      <c r="L42" s="348"/>
      <c r="M42" s="348"/>
      <c r="N42" s="348"/>
      <c r="O42" s="349"/>
      <c r="P42" s="349"/>
      <c r="Q42" s="349"/>
      <c r="R42" s="348"/>
      <c r="S42" s="348"/>
      <c r="T42" s="349"/>
      <c r="U42" s="349"/>
      <c r="V42" s="349"/>
      <c r="W42" s="349"/>
      <c r="X42" s="44"/>
      <c r="Y42" s="45"/>
    </row>
    <row r="43" spans="1:25" ht="9" customHeight="1">
      <c r="A43" s="348"/>
      <c r="B43" s="348"/>
      <c r="C43" s="348"/>
      <c r="D43" s="348"/>
      <c r="E43" s="348"/>
      <c r="F43" s="348"/>
      <c r="G43" s="348"/>
      <c r="H43" s="348"/>
      <c r="I43" s="348"/>
      <c r="J43" s="348"/>
      <c r="K43" s="348"/>
      <c r="L43" s="348"/>
      <c r="M43" s="348"/>
      <c r="N43" s="348"/>
      <c r="O43" s="348"/>
      <c r="P43" s="348"/>
      <c r="Q43" s="348"/>
      <c r="R43" s="348"/>
      <c r="S43" s="348"/>
      <c r="T43" s="348"/>
      <c r="U43" s="348"/>
      <c r="V43" s="348"/>
      <c r="W43" s="348"/>
      <c r="X43" s="348"/>
      <c r="Y43" s="45"/>
    </row>
    <row r="44" spans="1:25" ht="18.75" customHeight="1">
      <c r="A44" s="4514" t="s">
        <v>1946</v>
      </c>
      <c r="B44" s="4515"/>
      <c r="C44" s="4515"/>
      <c r="D44" s="4515"/>
      <c r="E44" s="4515"/>
      <c r="F44" s="4515"/>
      <c r="G44" s="4515"/>
      <c r="H44" s="4515"/>
      <c r="I44" s="4515"/>
      <c r="J44" s="4515"/>
      <c r="K44" s="4515"/>
      <c r="L44" s="4515"/>
      <c r="M44" s="4515"/>
      <c r="N44" s="4515"/>
      <c r="O44" s="4515"/>
      <c r="P44" s="4515"/>
      <c r="Q44" s="4515"/>
      <c r="R44" s="4515"/>
      <c r="S44" s="4515"/>
      <c r="T44" s="4515"/>
      <c r="U44" s="4515"/>
      <c r="V44" s="4515"/>
      <c r="W44" s="4515"/>
      <c r="X44" s="4516"/>
      <c r="Y44" s="45"/>
    </row>
    <row r="45" spans="1:25" ht="18.75" customHeight="1">
      <c r="A45" s="4517" t="s">
        <v>281</v>
      </c>
      <c r="B45" s="4518"/>
      <c r="C45" s="4518"/>
      <c r="D45" s="4518"/>
      <c r="E45" s="4518"/>
      <c r="F45" s="4518"/>
      <c r="G45" s="4518"/>
      <c r="H45" s="4518"/>
      <c r="I45" s="4518"/>
      <c r="J45" s="4518"/>
      <c r="K45" s="4518"/>
      <c r="L45" s="4518"/>
      <c r="M45" s="4518"/>
      <c r="N45" s="4519"/>
      <c r="O45" s="4520" t="str">
        <f>'VISITA DE INSP.'!AS9</f>
        <v>2012</v>
      </c>
      <c r="P45" s="4521"/>
      <c r="Q45" s="4521">
        <f>O45+1</f>
        <v>2013</v>
      </c>
      <c r="R45" s="4521"/>
      <c r="S45" s="4522" t="s">
        <v>282</v>
      </c>
      <c r="T45" s="4515"/>
      <c r="U45" s="4515"/>
      <c r="V45" s="4515"/>
      <c r="W45" s="4515"/>
      <c r="X45" s="4516"/>
      <c r="Y45" s="45"/>
    </row>
    <row r="46" spans="1:25" ht="18.75" customHeight="1">
      <c r="A46" s="4523" t="s">
        <v>283</v>
      </c>
      <c r="B46" s="4524"/>
      <c r="C46" s="691"/>
      <c r="D46" s="4525" t="s">
        <v>284</v>
      </c>
      <c r="E46" s="4526"/>
      <c r="F46" s="4526"/>
      <c r="G46" s="4502" t="s">
        <v>344</v>
      </c>
      <c r="H46" s="4503"/>
      <c r="I46" s="4504"/>
      <c r="J46" s="350" t="s">
        <v>285</v>
      </c>
      <c r="K46" s="4497">
        <f>Q45</f>
        <v>2013</v>
      </c>
      <c r="L46" s="4497"/>
      <c r="M46" s="4505" t="s">
        <v>286</v>
      </c>
      <c r="N46" s="4506"/>
      <c r="O46" s="4506"/>
      <c r="P46" s="4506"/>
      <c r="Q46" s="4506"/>
      <c r="R46" s="4506"/>
      <c r="S46" s="4506"/>
      <c r="T46" s="4506"/>
      <c r="U46" s="4506"/>
      <c r="V46" s="4506"/>
      <c r="W46" s="4506"/>
      <c r="X46" s="4507"/>
      <c r="Y46" s="45"/>
    </row>
    <row r="47" spans="1:25" ht="18.75" customHeight="1">
      <c r="A47" s="4508" t="s">
        <v>287</v>
      </c>
      <c r="B47" s="4509"/>
      <c r="C47" s="4509"/>
      <c r="D47" s="4509"/>
      <c r="E47" s="4509"/>
      <c r="F47" s="4509"/>
      <c r="G47" s="4509"/>
      <c r="H47" s="4509"/>
      <c r="I47" s="4509"/>
      <c r="J47" s="4509"/>
      <c r="K47" s="4509"/>
      <c r="L47" s="4509"/>
      <c r="M47" s="4509"/>
      <c r="N47" s="4509"/>
      <c r="O47" s="4509"/>
      <c r="P47" s="4509"/>
      <c r="Q47" s="4509"/>
      <c r="R47" s="4509"/>
      <c r="S47" s="4509"/>
      <c r="T47" s="4509"/>
      <c r="U47" s="4509"/>
      <c r="V47" s="4509"/>
      <c r="W47" s="4509"/>
      <c r="X47" s="4510"/>
      <c r="Y47" s="45"/>
    </row>
    <row r="48" spans="1:25" ht="15" customHeight="1">
      <c r="A48" s="348"/>
      <c r="B48" s="348"/>
      <c r="C48" s="348"/>
      <c r="D48" s="348"/>
      <c r="E48" s="348"/>
      <c r="F48" s="348"/>
      <c r="G48" s="348"/>
      <c r="H48" s="348"/>
      <c r="I48" s="348"/>
      <c r="J48" s="348"/>
      <c r="K48" s="348"/>
      <c r="L48" s="348"/>
      <c r="M48" s="348"/>
      <c r="N48" s="348"/>
      <c r="O48" s="348"/>
      <c r="P48" s="348"/>
      <c r="Q48" s="348"/>
      <c r="R48" s="348"/>
      <c r="S48" s="348"/>
      <c r="T48" s="348"/>
      <c r="U48" s="348"/>
      <c r="V48" s="348"/>
      <c r="W48" s="348"/>
      <c r="X48" s="44"/>
      <c r="Y48" s="45"/>
    </row>
    <row r="49" spans="1:26" ht="14.1" customHeight="1">
      <c r="A49" s="348"/>
      <c r="B49" s="348"/>
      <c r="C49" s="348"/>
      <c r="D49" s="348"/>
      <c r="E49" s="348"/>
      <c r="F49" s="348"/>
      <c r="G49" s="348"/>
      <c r="H49" s="4511" t="s">
        <v>288</v>
      </c>
      <c r="I49" s="4512"/>
      <c r="J49" s="4512"/>
      <c r="K49" s="4512"/>
      <c r="L49" s="4512"/>
      <c r="M49" s="4512"/>
      <c r="N49" s="4512"/>
      <c r="O49" s="4512"/>
      <c r="P49" s="4512"/>
      <c r="Q49" s="4512"/>
      <c r="R49" s="4513"/>
      <c r="S49" s="348"/>
      <c r="T49" s="348"/>
      <c r="U49" s="348"/>
      <c r="V49" s="348"/>
      <c r="W49" s="348"/>
      <c r="X49" s="44"/>
      <c r="Y49" s="45"/>
    </row>
    <row r="50" spans="1:26" ht="15.75" customHeight="1">
      <c r="A50" s="44"/>
      <c r="B50" s="44"/>
      <c r="C50" s="44"/>
      <c r="D50" s="44"/>
      <c r="E50" s="44"/>
      <c r="F50" s="44"/>
      <c r="G50" s="44"/>
      <c r="H50" s="44"/>
      <c r="I50" s="44"/>
      <c r="J50" s="44"/>
      <c r="K50" s="44"/>
      <c r="L50" s="44"/>
      <c r="M50" s="44"/>
      <c r="N50" s="44"/>
      <c r="O50" s="44"/>
      <c r="P50" s="44"/>
      <c r="Q50" s="44"/>
      <c r="R50" s="44"/>
      <c r="S50" s="44"/>
      <c r="T50" s="44"/>
      <c r="U50" s="44"/>
      <c r="V50" s="44"/>
      <c r="W50" s="44"/>
      <c r="X50" s="44"/>
      <c r="Y50" s="45"/>
    </row>
    <row r="51" spans="1:26" ht="15.75" customHeight="1">
      <c r="A51" s="44"/>
      <c r="B51" s="345"/>
      <c r="C51" s="44"/>
      <c r="D51" s="44"/>
      <c r="E51" s="44"/>
      <c r="F51" s="44"/>
      <c r="G51" s="44"/>
      <c r="H51" s="44"/>
      <c r="I51" s="44"/>
      <c r="J51" s="44"/>
      <c r="K51" s="44"/>
      <c r="L51" s="44"/>
      <c r="M51" s="44"/>
      <c r="N51" s="44"/>
      <c r="O51" s="44"/>
      <c r="P51" s="44"/>
      <c r="Q51" s="44"/>
      <c r="R51" s="44"/>
      <c r="S51" s="44"/>
      <c r="T51" s="44"/>
      <c r="U51" s="44"/>
      <c r="V51" s="44"/>
      <c r="W51" s="44"/>
      <c r="X51" s="44"/>
      <c r="Y51" s="45"/>
    </row>
    <row r="52" spans="1:26" ht="15.75" customHeight="1">
      <c r="A52" s="44"/>
      <c r="B52" s="44"/>
      <c r="C52" s="44"/>
      <c r="D52" s="44"/>
      <c r="E52" s="44"/>
      <c r="F52" s="44"/>
      <c r="G52" s="44"/>
      <c r="H52" s="44"/>
      <c r="I52" s="44"/>
      <c r="J52" s="44"/>
      <c r="K52" s="44"/>
      <c r="L52" s="44"/>
      <c r="M52" s="44"/>
      <c r="N52" s="44"/>
      <c r="O52" s="44"/>
      <c r="P52" s="44"/>
      <c r="Q52" s="44"/>
      <c r="R52" s="44"/>
      <c r="S52" s="44"/>
      <c r="T52" s="44"/>
      <c r="U52" s="44"/>
      <c r="V52" s="44"/>
      <c r="W52" s="44"/>
      <c r="X52" s="44"/>
      <c r="Y52" s="45"/>
    </row>
    <row r="53" spans="1:26" ht="14.1" customHeight="1">
      <c r="A53" s="58"/>
      <c r="B53" s="58"/>
      <c r="C53" s="58"/>
      <c r="D53" s="58"/>
      <c r="E53" s="58"/>
      <c r="F53" s="58"/>
      <c r="G53" s="58"/>
      <c r="H53" s="56"/>
      <c r="I53" s="351" t="s">
        <v>289</v>
      </c>
      <c r="L53" s="352"/>
      <c r="M53" s="352"/>
      <c r="N53" s="402" t="str">
        <f>'VISITA DE INSP.'!AJ41</f>
        <v>JESUS MARTIN RICALDE CASTRO</v>
      </c>
      <c r="O53" s="352"/>
      <c r="P53" s="352"/>
      <c r="Q53" s="352"/>
      <c r="R53" s="353"/>
      <c r="S53" s="58"/>
      <c r="T53" s="58"/>
      <c r="U53" s="58"/>
      <c r="V53" s="58"/>
      <c r="W53" s="58"/>
      <c r="X53" s="58"/>
      <c r="Y53" s="354"/>
    </row>
    <row r="54" spans="1:26" ht="6.75" customHeight="1">
      <c r="A54" s="58"/>
      <c r="B54" s="58"/>
      <c r="C54" s="58"/>
      <c r="D54" s="58"/>
      <c r="E54" s="58"/>
      <c r="F54" s="58"/>
      <c r="G54" s="58"/>
      <c r="H54" s="58"/>
      <c r="I54" s="58"/>
      <c r="J54" s="58"/>
      <c r="K54" s="58"/>
      <c r="L54" s="58"/>
      <c r="M54" s="58"/>
      <c r="N54" s="58"/>
      <c r="O54" s="58"/>
      <c r="P54" s="58"/>
      <c r="Q54" s="58"/>
      <c r="R54" s="58"/>
      <c r="S54" s="58"/>
      <c r="T54" s="58"/>
      <c r="U54" s="58"/>
      <c r="V54" s="58"/>
      <c r="W54" s="58"/>
      <c r="X54" s="58"/>
      <c r="Y54" s="354"/>
      <c r="Z54" s="16"/>
    </row>
    <row r="55" spans="1:26">
      <c r="A55" s="16"/>
      <c r="B55" s="16"/>
      <c r="C55" s="16"/>
      <c r="D55" s="16"/>
      <c r="E55" s="16"/>
      <c r="F55" s="16"/>
      <c r="G55" s="16"/>
      <c r="H55" s="16"/>
      <c r="I55" s="16"/>
      <c r="J55" s="16"/>
      <c r="K55" s="16"/>
      <c r="L55" s="16"/>
      <c r="M55" s="16"/>
      <c r="N55" s="16"/>
      <c r="O55" s="16"/>
      <c r="P55" s="16"/>
      <c r="Q55" s="16"/>
      <c r="R55" s="16"/>
      <c r="S55" s="16"/>
      <c r="T55" s="16"/>
      <c r="U55" s="16"/>
      <c r="V55" s="16"/>
      <c r="W55" s="16"/>
      <c r="X55" s="16"/>
      <c r="Y55" s="16"/>
    </row>
  </sheetData>
  <sheetProtection selectLockedCells="1"/>
  <mergeCells count="48">
    <mergeCell ref="A47:X47"/>
    <mergeCell ref="H49:R49"/>
    <mergeCell ref="A44:X44"/>
    <mergeCell ref="A45:N45"/>
    <mergeCell ref="O45:P45"/>
    <mergeCell ref="Q45:R45"/>
    <mergeCell ref="S45:X45"/>
    <mergeCell ref="A46:B46"/>
    <mergeCell ref="D46:F46"/>
    <mergeCell ref="G46:I46"/>
    <mergeCell ref="O34:Q34"/>
    <mergeCell ref="S34:X34"/>
    <mergeCell ref="K46:L46"/>
    <mergeCell ref="M46:X46"/>
    <mergeCell ref="O37:Q37"/>
    <mergeCell ref="S37:X37"/>
    <mergeCell ref="O39:Q39"/>
    <mergeCell ref="S39:X39"/>
    <mergeCell ref="O41:Q41"/>
    <mergeCell ref="S41:X41"/>
    <mergeCell ref="O28:Q28"/>
    <mergeCell ref="S28:X28"/>
    <mergeCell ref="O30:Q30"/>
    <mergeCell ref="S30:X30"/>
    <mergeCell ref="O32:Q32"/>
    <mergeCell ref="S32:X32"/>
    <mergeCell ref="O20:Q20"/>
    <mergeCell ref="S20:X20"/>
    <mergeCell ref="O22:Q22"/>
    <mergeCell ref="S22:X22"/>
    <mergeCell ref="O25:Q25"/>
    <mergeCell ref="S25:X25"/>
    <mergeCell ref="O14:Q14"/>
    <mergeCell ref="S14:X14"/>
    <mergeCell ref="O16:Q16"/>
    <mergeCell ref="S16:X16"/>
    <mergeCell ref="O18:Q18"/>
    <mergeCell ref="S18:X18"/>
    <mergeCell ref="A8:X8"/>
    <mergeCell ref="O10:Q10"/>
    <mergeCell ref="S10:X10"/>
    <mergeCell ref="O12:Q12"/>
    <mergeCell ref="S12:X12"/>
    <mergeCell ref="A6:G6"/>
    <mergeCell ref="S6:X6"/>
    <mergeCell ref="A7:C7"/>
    <mergeCell ref="N7:P7"/>
    <mergeCell ref="U7:X7"/>
  </mergeCells>
  <conditionalFormatting sqref="H6:I6 Q7 D7 K46:L46 O45:R45 O41:Q41 O39:Q39 O37:Q37 O32:Q32 O34:Q34 O30:Q30 O28:Q28 O25:Q25 O22:Q22 O20:Q20 O18:Q18 O16:Q16 O14:Q14 O12:Q12">
    <cfRule type="cellIs" dxfId="804" priority="1" stopIfTrue="1" operator="equal">
      <formula>0</formula>
    </cfRule>
  </conditionalFormatting>
  <pageMargins left="0.47244094488188981" right="0.31496062992125984" top="0.74803149606299213" bottom="0.74803149606299213" header="0" footer="0"/>
  <pageSetup paperSize="9" scale="105" orientation="portrait" r:id="rId1"/>
  <drawing r:id="rId2"/>
  <legacyDrawing r:id="rId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0">
    <tabColor rgb="FFFFC000"/>
  </sheetPr>
  <dimension ref="B1:T109"/>
  <sheetViews>
    <sheetView view="pageBreakPreview" topLeftCell="A81" zoomScale="85" zoomScaleSheetLayoutView="85" workbookViewId="0">
      <selection activeCell="X28" sqref="X28"/>
    </sheetView>
  </sheetViews>
  <sheetFormatPr baseColWidth="10" defaultRowHeight="15.75"/>
  <cols>
    <col min="1" max="1" width="0.42578125" style="146" customWidth="1"/>
    <col min="2" max="2" width="4.140625" style="146" customWidth="1"/>
    <col min="3" max="3" width="3.7109375" style="171" customWidth="1"/>
    <col min="4" max="4" width="1" style="146" customWidth="1"/>
    <col min="5" max="5" width="1.28515625" style="146" customWidth="1"/>
    <col min="6" max="6" width="5" style="146" customWidth="1"/>
    <col min="7" max="7" width="7.42578125" style="146" customWidth="1"/>
    <col min="8" max="8" width="6.7109375" style="146" customWidth="1"/>
    <col min="9" max="9" width="6.140625" style="146" customWidth="1"/>
    <col min="10" max="10" width="4.28515625" style="146" customWidth="1"/>
    <col min="11" max="11" width="6.5703125" style="146" customWidth="1"/>
    <col min="12" max="12" width="9.28515625" style="146" customWidth="1"/>
    <col min="13" max="13" width="7.28515625" style="146" customWidth="1"/>
    <col min="14" max="14" width="5.5703125" style="146" customWidth="1"/>
    <col min="15" max="15" width="8.140625" style="146" customWidth="1"/>
    <col min="16" max="16" width="8.28515625" style="146" customWidth="1"/>
    <col min="17" max="17" width="3.28515625" style="231" customWidth="1"/>
    <col min="18" max="18" width="8.7109375" style="172" customWidth="1"/>
    <col min="19" max="19" width="3.7109375" style="172" customWidth="1"/>
    <col min="20" max="20" width="3.28515625" style="231" customWidth="1"/>
    <col min="21" max="21" width="0.42578125" style="146" customWidth="1"/>
    <col min="22" max="16384" width="11.42578125" style="146"/>
  </cols>
  <sheetData>
    <row r="1" spans="2:20" ht="16.5" customHeight="1">
      <c r="B1" s="142"/>
      <c r="C1" s="143"/>
      <c r="D1" s="144"/>
      <c r="E1" s="144"/>
      <c r="F1" s="144"/>
      <c r="G1" s="144"/>
      <c r="H1" s="144"/>
      <c r="I1" s="144"/>
      <c r="J1" s="144"/>
      <c r="K1" s="144"/>
      <c r="L1" s="144"/>
      <c r="M1" s="1303" t="s">
        <v>105</v>
      </c>
      <c r="N1" s="144"/>
      <c r="P1" s="215"/>
      <c r="Q1" s="220"/>
      <c r="R1" s="145"/>
      <c r="S1" s="145"/>
    </row>
    <row r="2" spans="2:20" ht="16.5" customHeight="1">
      <c r="B2" s="147"/>
      <c r="C2" s="148"/>
      <c r="D2" s="149"/>
      <c r="E2" s="149"/>
      <c r="F2" s="149"/>
      <c r="G2" s="149"/>
      <c r="H2" s="149"/>
      <c r="I2" s="149"/>
      <c r="J2" s="149"/>
      <c r="K2" s="149"/>
      <c r="L2" s="149"/>
      <c r="M2" s="1304" t="s">
        <v>106</v>
      </c>
      <c r="N2" s="164"/>
      <c r="O2" s="1090"/>
      <c r="P2" s="216"/>
      <c r="Q2" s="221"/>
      <c r="R2" s="151"/>
      <c r="S2" s="151"/>
      <c r="T2" s="221"/>
    </row>
    <row r="3" spans="2:20" ht="16.5" customHeight="1">
      <c r="B3" s="147"/>
      <c r="C3" s="148"/>
      <c r="D3" s="149"/>
      <c r="E3" s="149"/>
      <c r="F3" s="149"/>
      <c r="G3" s="149"/>
      <c r="H3" s="149"/>
      <c r="I3" s="149"/>
      <c r="J3" s="149"/>
      <c r="K3" s="149"/>
      <c r="L3" s="164"/>
      <c r="M3" s="1305" t="s">
        <v>173</v>
      </c>
      <c r="N3" s="147"/>
      <c r="P3" s="216"/>
      <c r="Q3" s="221"/>
      <c r="R3" s="151"/>
      <c r="S3" s="151"/>
      <c r="T3" s="221"/>
    </row>
    <row r="4" spans="2:20" ht="9" customHeight="1">
      <c r="B4" s="147"/>
      <c r="C4" s="148"/>
      <c r="D4" s="149"/>
      <c r="E4" s="149"/>
      <c r="F4" s="149"/>
      <c r="G4" s="149"/>
      <c r="H4" s="149"/>
      <c r="I4" s="149"/>
      <c r="J4" s="149"/>
      <c r="K4" s="151"/>
      <c r="L4" s="1306">
        <f>'VISITA DE INSP.'!T6</f>
        <v>1</v>
      </c>
      <c r="M4" s="212">
        <v>2</v>
      </c>
      <c r="N4" s="142"/>
      <c r="O4" s="149"/>
      <c r="P4" s="149"/>
      <c r="Q4" s="222"/>
      <c r="R4" s="150"/>
      <c r="S4" s="151"/>
      <c r="T4" s="221"/>
    </row>
    <row r="5" spans="2:20">
      <c r="B5" s="152" t="s">
        <v>107</v>
      </c>
      <c r="C5" s="149"/>
      <c r="D5" s="149"/>
      <c r="E5" s="149"/>
      <c r="F5" s="4527" t="str">
        <f>'VISITA DE INSP.'!E7</f>
        <v>KABAH</v>
      </c>
      <c r="G5" s="4528"/>
      <c r="H5" s="4528"/>
      <c r="I5" s="4528"/>
      <c r="J5" s="4528"/>
      <c r="K5" s="4528"/>
      <c r="L5" s="4538"/>
      <c r="M5" s="1333"/>
      <c r="N5" s="153" t="s">
        <v>19</v>
      </c>
      <c r="O5" s="4527" t="str">
        <f>'VISITA DE INSP.'!V7</f>
        <v>23DPR0055K</v>
      </c>
      <c r="P5" s="4528"/>
      <c r="Q5" s="1332"/>
      <c r="R5" s="153" t="s">
        <v>183</v>
      </c>
      <c r="S5" s="4529" t="s">
        <v>100</v>
      </c>
      <c r="T5" s="4530"/>
    </row>
    <row r="6" spans="2:20" ht="10.5" customHeight="1">
      <c r="B6" s="152"/>
      <c r="C6" s="149"/>
      <c r="D6" s="149"/>
      <c r="E6" s="144"/>
      <c r="F6" s="144"/>
      <c r="G6" s="144"/>
      <c r="H6" s="144"/>
      <c r="I6" s="144"/>
      <c r="J6" s="144"/>
      <c r="K6" s="144"/>
      <c r="L6" s="144"/>
      <c r="M6" s="149"/>
      <c r="N6" s="149"/>
      <c r="O6" s="211"/>
      <c r="P6" s="211"/>
      <c r="Q6" s="219"/>
      <c r="R6" s="144"/>
      <c r="S6" s="154"/>
      <c r="T6" s="232"/>
    </row>
    <row r="7" spans="2:20">
      <c r="B7" s="152" t="s">
        <v>108</v>
      </c>
      <c r="C7" s="149"/>
      <c r="D7" s="149"/>
      <c r="E7" s="4527" t="str">
        <f>VLOOKUP(M4,'VISITA DE INSP.'!A17:AI36,2,2)</f>
        <v>1º</v>
      </c>
      <c r="F7" s="4539"/>
      <c r="G7" s="1335"/>
      <c r="H7" s="153" t="s">
        <v>187</v>
      </c>
      <c r="I7" s="1331" t="str">
        <f>VLOOKUP(M4,'VISITA DE INSP.'!A17:AI36,3,3)</f>
        <v>A</v>
      </c>
      <c r="J7" s="1334"/>
      <c r="K7" s="149"/>
      <c r="L7" s="153" t="s">
        <v>188</v>
      </c>
      <c r="M7" s="4551" t="str">
        <f>VLOOKUP(M4,'VISITA DE INSP.'!A17:AI36,4,4)</f>
        <v>ARANDA ESCALANTE * ARELI GUADALUPE</v>
      </c>
      <c r="N7" s="4552"/>
      <c r="O7" s="4552"/>
      <c r="P7" s="4552"/>
      <c r="Q7" s="4552"/>
      <c r="R7" s="4552"/>
      <c r="S7" s="4552"/>
      <c r="T7" s="4552"/>
    </row>
    <row r="8" spans="2:20" ht="5.25" customHeight="1">
      <c r="B8" s="152"/>
      <c r="C8" s="149"/>
      <c r="D8" s="149"/>
      <c r="E8" s="144"/>
      <c r="F8" s="144"/>
      <c r="G8" s="153"/>
      <c r="H8" s="150"/>
      <c r="I8" s="144"/>
      <c r="J8" s="153"/>
      <c r="K8" s="149"/>
      <c r="L8" s="149"/>
      <c r="M8" s="144"/>
      <c r="N8" s="144"/>
      <c r="O8" s="144"/>
      <c r="P8" s="144"/>
      <c r="Q8" s="223"/>
      <c r="R8" s="144"/>
      <c r="S8" s="154"/>
      <c r="T8" s="232"/>
    </row>
    <row r="9" spans="2:20" ht="5.25" customHeight="1">
      <c r="B9" s="152"/>
      <c r="C9" s="149"/>
      <c r="D9" s="149"/>
      <c r="E9" s="144"/>
      <c r="F9" s="144"/>
      <c r="G9" s="153"/>
      <c r="H9" s="150"/>
      <c r="I9" s="144"/>
      <c r="J9" s="153"/>
      <c r="K9" s="149"/>
      <c r="L9" s="149"/>
      <c r="M9" s="144"/>
      <c r="N9" s="144"/>
      <c r="O9" s="144"/>
      <c r="P9" s="144"/>
      <c r="Q9" s="223"/>
      <c r="R9" s="144"/>
      <c r="S9" s="154"/>
      <c r="T9" s="232"/>
    </row>
    <row r="10" spans="2:20">
      <c r="B10" s="152" t="s">
        <v>109</v>
      </c>
      <c r="C10" s="149"/>
      <c r="D10" s="1055"/>
      <c r="E10" s="1056"/>
      <c r="F10" s="1329"/>
      <c r="G10" s="1329"/>
      <c r="H10" s="1329"/>
      <c r="I10" s="1329"/>
      <c r="J10" s="1329"/>
      <c r="K10" s="1329"/>
      <c r="L10" s="1330" t="s">
        <v>893</v>
      </c>
      <c r="M10" s="4550">
        <f ca="1">TODAY()</f>
        <v>41787</v>
      </c>
      <c r="N10" s="4550"/>
      <c r="O10" s="4550"/>
      <c r="P10" s="4550"/>
      <c r="Q10" s="4550"/>
      <c r="R10" s="4550"/>
      <c r="S10" s="4550"/>
      <c r="T10" s="4550"/>
    </row>
    <row r="11" spans="2:20" ht="20.25" customHeight="1">
      <c r="B11" s="152"/>
      <c r="C11" s="149"/>
      <c r="D11" s="144"/>
      <c r="E11" s="144"/>
      <c r="F11" s="144"/>
      <c r="G11" s="144"/>
      <c r="H11" s="144"/>
      <c r="I11" s="144"/>
      <c r="J11" s="144"/>
      <c r="K11" s="144"/>
      <c r="L11" s="144"/>
      <c r="M11" s="144"/>
      <c r="N11" s="144"/>
      <c r="O11" s="144"/>
      <c r="P11" s="144"/>
      <c r="Q11" s="223"/>
      <c r="R11" s="144"/>
      <c r="S11" s="154"/>
      <c r="T11" s="232"/>
    </row>
    <row r="12" spans="2:20">
      <c r="B12" s="1338" t="s">
        <v>1137</v>
      </c>
      <c r="C12" s="149"/>
      <c r="D12" s="149"/>
      <c r="E12" s="149"/>
      <c r="F12" s="149"/>
      <c r="G12" s="149"/>
      <c r="H12" s="149"/>
      <c r="I12" s="149"/>
      <c r="J12" s="149"/>
      <c r="K12" s="149"/>
      <c r="L12" s="149"/>
      <c r="M12" s="149"/>
      <c r="N12" s="149"/>
      <c r="O12" s="149"/>
      <c r="P12" s="149"/>
      <c r="Q12" s="222"/>
      <c r="R12" s="150"/>
      <c r="S12" s="156"/>
      <c r="T12" s="233"/>
    </row>
    <row r="13" spans="2:20" ht="12" customHeight="1">
      <c r="B13" s="152"/>
      <c r="C13" s="149"/>
      <c r="D13" s="149"/>
      <c r="E13" s="149"/>
      <c r="F13" s="149"/>
      <c r="G13" s="149"/>
      <c r="H13" s="149"/>
      <c r="I13" s="149"/>
      <c r="J13" s="149"/>
      <c r="K13" s="149"/>
      <c r="L13" s="149"/>
      <c r="M13" s="149"/>
      <c r="N13" s="149"/>
      <c r="O13" s="149"/>
      <c r="P13" s="149"/>
      <c r="Q13" s="222"/>
      <c r="R13" s="150"/>
      <c r="S13" s="156"/>
      <c r="T13" s="233"/>
    </row>
    <row r="14" spans="2:20">
      <c r="B14" s="147" t="s">
        <v>110</v>
      </c>
      <c r="C14" s="148" t="s">
        <v>111</v>
      </c>
      <c r="D14" s="149"/>
      <c r="E14" s="149"/>
      <c r="F14" s="149"/>
      <c r="G14" s="149"/>
      <c r="H14" s="149"/>
      <c r="I14" s="149"/>
      <c r="J14" s="149"/>
      <c r="K14" s="149"/>
      <c r="L14" s="149"/>
      <c r="M14" s="149"/>
      <c r="N14" s="4536"/>
      <c r="O14" s="4537"/>
      <c r="P14" s="4537"/>
      <c r="Q14" s="4537"/>
      <c r="R14" s="4537"/>
      <c r="S14" s="4537"/>
      <c r="T14" s="4537"/>
    </row>
    <row r="15" spans="2:20" ht="13.5" customHeight="1">
      <c r="B15" s="147"/>
      <c r="C15" s="149"/>
      <c r="D15" s="149"/>
      <c r="E15" s="149"/>
      <c r="F15" s="149"/>
      <c r="G15" s="149"/>
      <c r="H15" s="149"/>
      <c r="I15" s="149"/>
      <c r="J15" s="149"/>
      <c r="K15" s="149"/>
      <c r="L15" s="149"/>
      <c r="M15" s="144"/>
      <c r="N15" s="144"/>
      <c r="O15" s="144"/>
      <c r="P15" s="144"/>
      <c r="Q15" s="223"/>
      <c r="R15" s="144"/>
      <c r="S15" s="154"/>
      <c r="T15" s="232"/>
    </row>
    <row r="16" spans="2:20">
      <c r="B16" s="147" t="s">
        <v>112</v>
      </c>
      <c r="C16" s="148" t="s">
        <v>113</v>
      </c>
      <c r="D16" s="149"/>
      <c r="E16" s="149"/>
      <c r="F16" s="149"/>
      <c r="G16" s="149"/>
      <c r="H16" s="149"/>
      <c r="I16" s="149"/>
      <c r="J16" s="149"/>
      <c r="K16" s="149"/>
      <c r="L16" s="149"/>
      <c r="M16" s="149"/>
      <c r="N16" s="4536"/>
      <c r="O16" s="4537"/>
      <c r="P16" s="4537"/>
      <c r="Q16" s="4537"/>
      <c r="R16" s="4537"/>
      <c r="S16" s="4537"/>
      <c r="T16" s="4537"/>
    </row>
    <row r="17" spans="2:20" ht="13.5" customHeight="1">
      <c r="B17" s="147"/>
      <c r="C17" s="149"/>
      <c r="D17" s="149"/>
      <c r="E17" s="149"/>
      <c r="F17" s="149"/>
      <c r="G17" s="149"/>
      <c r="H17" s="149"/>
      <c r="I17" s="149"/>
      <c r="J17" s="149"/>
      <c r="K17" s="149"/>
      <c r="L17" s="149"/>
      <c r="M17" s="144"/>
      <c r="N17" s="144"/>
      <c r="O17" s="144"/>
      <c r="P17" s="157"/>
      <c r="Q17" s="224"/>
      <c r="R17" s="144"/>
      <c r="S17" s="156"/>
      <c r="T17" s="234"/>
    </row>
    <row r="18" spans="2:20">
      <c r="B18" s="147" t="s">
        <v>114</v>
      </c>
      <c r="C18" s="149" t="s">
        <v>115</v>
      </c>
      <c r="D18" s="149"/>
      <c r="E18" s="149"/>
      <c r="F18" s="149"/>
      <c r="G18" s="149"/>
      <c r="H18" s="149"/>
      <c r="I18" s="149"/>
      <c r="J18" s="149"/>
      <c r="K18" s="149"/>
      <c r="L18" s="149"/>
      <c r="M18" s="149"/>
      <c r="N18" s="149"/>
      <c r="O18" s="149"/>
      <c r="P18" s="151"/>
      <c r="Q18" s="225" t="s">
        <v>116</v>
      </c>
      <c r="R18" s="158"/>
      <c r="S18" s="156"/>
      <c r="T18" s="225" t="s">
        <v>117</v>
      </c>
    </row>
    <row r="19" spans="2:20" ht="15" customHeight="1">
      <c r="B19" s="147"/>
      <c r="C19" s="148"/>
      <c r="D19" s="149"/>
      <c r="E19" s="149"/>
      <c r="F19" s="149"/>
      <c r="G19" s="149"/>
      <c r="H19" s="149"/>
      <c r="I19" s="149"/>
      <c r="J19" s="149"/>
      <c r="K19" s="149"/>
      <c r="L19" s="149"/>
      <c r="M19" s="149"/>
      <c r="N19" s="149"/>
      <c r="O19" s="149"/>
      <c r="P19" s="144"/>
      <c r="Q19" s="220"/>
      <c r="R19" s="150"/>
      <c r="S19" s="156"/>
      <c r="T19" s="235"/>
    </row>
    <row r="20" spans="2:20">
      <c r="B20" s="1338" t="s">
        <v>118</v>
      </c>
      <c r="C20" s="149"/>
      <c r="D20" s="149"/>
      <c r="E20" s="149"/>
      <c r="F20" s="149"/>
      <c r="G20" s="149"/>
      <c r="H20" s="149"/>
      <c r="I20" s="149"/>
      <c r="J20" s="149"/>
      <c r="K20" s="149"/>
      <c r="L20" s="149"/>
      <c r="M20" s="149"/>
      <c r="N20" s="149"/>
      <c r="O20" s="149"/>
      <c r="P20" s="149"/>
      <c r="Q20" s="222"/>
      <c r="R20" s="150"/>
      <c r="S20" s="156"/>
      <c r="T20" s="233"/>
    </row>
    <row r="21" spans="2:20" ht="12" customHeight="1">
      <c r="B21" s="152"/>
      <c r="C21" s="149"/>
      <c r="D21" s="149"/>
      <c r="E21" s="149"/>
      <c r="F21" s="149"/>
      <c r="G21" s="149"/>
      <c r="H21" s="149"/>
      <c r="I21" s="149"/>
      <c r="J21" s="149"/>
      <c r="K21" s="149"/>
      <c r="L21" s="149"/>
      <c r="M21" s="149"/>
      <c r="N21" s="149"/>
      <c r="O21" s="149"/>
      <c r="P21" s="164"/>
      <c r="Q21" s="226"/>
      <c r="R21" s="150"/>
      <c r="S21" s="156"/>
      <c r="T21" s="236"/>
    </row>
    <row r="22" spans="2:20">
      <c r="B22" s="147" t="s">
        <v>110</v>
      </c>
      <c r="C22" s="149" t="s">
        <v>119</v>
      </c>
      <c r="D22" s="149"/>
      <c r="E22" s="149"/>
      <c r="F22" s="149"/>
      <c r="G22" s="149"/>
      <c r="H22" s="149"/>
      <c r="I22" s="149"/>
      <c r="J22" s="149"/>
      <c r="K22" s="149"/>
      <c r="L22" s="149"/>
      <c r="M22" s="149"/>
      <c r="N22" s="149"/>
      <c r="O22" s="149"/>
      <c r="P22" s="151"/>
      <c r="Q22" s="225" t="s">
        <v>116</v>
      </c>
      <c r="R22" s="158"/>
      <c r="S22" s="156"/>
      <c r="T22" s="225" t="s">
        <v>117</v>
      </c>
    </row>
    <row r="23" spans="2:20">
      <c r="B23" s="147"/>
      <c r="C23" s="148" t="s">
        <v>120</v>
      </c>
      <c r="D23" s="149"/>
      <c r="E23" s="149"/>
      <c r="F23" s="149"/>
      <c r="G23" s="149"/>
      <c r="H23" s="149"/>
      <c r="I23" s="149"/>
      <c r="J23" s="149"/>
      <c r="K23" s="149"/>
      <c r="L23" s="149"/>
      <c r="M23" s="149"/>
      <c r="N23" s="149"/>
      <c r="O23" s="149"/>
      <c r="P23" s="144"/>
      <c r="Q23" s="223"/>
      <c r="R23" s="149"/>
      <c r="S23" s="156"/>
      <c r="T23" s="232"/>
    </row>
    <row r="24" spans="2:20" ht="12" customHeight="1">
      <c r="B24" s="147"/>
      <c r="C24" s="162"/>
      <c r="D24" s="162"/>
      <c r="E24" s="162"/>
      <c r="F24" s="162"/>
      <c r="G24" s="162"/>
      <c r="H24" s="162"/>
      <c r="I24" s="162"/>
      <c r="J24" s="162"/>
      <c r="K24" s="162"/>
      <c r="L24" s="162"/>
      <c r="M24" s="162"/>
      <c r="N24" s="162"/>
      <c r="O24" s="162"/>
      <c r="P24" s="162"/>
      <c r="Q24" s="227"/>
      <c r="R24" s="162"/>
      <c r="S24" s="156"/>
      <c r="T24" s="237"/>
    </row>
    <row r="25" spans="2:20">
      <c r="B25" s="147" t="s">
        <v>110</v>
      </c>
      <c r="C25" s="149" t="s">
        <v>121</v>
      </c>
      <c r="D25" s="149"/>
      <c r="E25" s="149"/>
      <c r="F25" s="149"/>
      <c r="G25" s="149"/>
      <c r="H25" s="149"/>
      <c r="I25" s="149"/>
      <c r="J25" s="149"/>
      <c r="K25" s="149"/>
      <c r="L25" s="149"/>
      <c r="M25" s="149"/>
      <c r="N25" s="149"/>
      <c r="O25" s="149"/>
      <c r="P25" s="149"/>
      <c r="Q25" s="219"/>
      <c r="R25" s="149"/>
      <c r="S25" s="151"/>
      <c r="T25" s="221"/>
    </row>
    <row r="26" spans="2:20">
      <c r="B26" s="147"/>
      <c r="D26" s="218"/>
      <c r="E26" s="219"/>
      <c r="F26" s="1307" t="s">
        <v>122</v>
      </c>
      <c r="G26" s="1308" t="s">
        <v>1060</v>
      </c>
      <c r="H26" s="163"/>
      <c r="J26" s="1307" t="s">
        <v>123</v>
      </c>
      <c r="K26" s="1308" t="s">
        <v>1060</v>
      </c>
      <c r="L26" s="149"/>
      <c r="M26" s="149"/>
      <c r="N26" s="1307" t="s">
        <v>124</v>
      </c>
      <c r="O26" s="1308" t="s">
        <v>1060</v>
      </c>
      <c r="P26" s="149"/>
      <c r="Q26" s="219"/>
      <c r="S26" s="1307" t="s">
        <v>125</v>
      </c>
      <c r="T26" s="1309" t="s">
        <v>1060</v>
      </c>
    </row>
    <row r="27" spans="2:20" ht="12" customHeight="1">
      <c r="B27" s="147"/>
      <c r="C27" s="163"/>
      <c r="D27" s="163"/>
      <c r="E27" s="149"/>
      <c r="F27" s="149"/>
      <c r="G27" s="149"/>
      <c r="H27" s="163"/>
      <c r="I27" s="163"/>
      <c r="J27" s="149"/>
      <c r="K27" s="149"/>
      <c r="L27" s="149"/>
      <c r="M27" s="149"/>
      <c r="N27" s="163"/>
      <c r="O27" s="149"/>
      <c r="P27" s="164"/>
      <c r="Q27" s="228"/>
      <c r="R27" s="163"/>
      <c r="S27" s="217"/>
      <c r="T27" s="236"/>
    </row>
    <row r="28" spans="2:20">
      <c r="B28" s="147" t="s">
        <v>114</v>
      </c>
      <c r="C28" s="149" t="s">
        <v>126</v>
      </c>
      <c r="D28" s="149"/>
      <c r="E28" s="149"/>
      <c r="F28" s="149"/>
      <c r="G28" s="149"/>
      <c r="H28" s="149"/>
      <c r="I28" s="149"/>
      <c r="J28" s="149"/>
      <c r="K28" s="149"/>
      <c r="L28" s="149"/>
      <c r="M28" s="149"/>
      <c r="N28" s="149"/>
      <c r="O28" s="149"/>
      <c r="P28" s="151"/>
      <c r="Q28" s="225" t="s">
        <v>116</v>
      </c>
      <c r="R28" s="158"/>
      <c r="S28" s="217"/>
      <c r="T28" s="225" t="s">
        <v>117</v>
      </c>
    </row>
    <row r="29" spans="2:20" ht="12" customHeight="1">
      <c r="B29" s="147"/>
      <c r="C29" s="149"/>
      <c r="D29" s="149"/>
      <c r="E29" s="149"/>
      <c r="F29" s="149"/>
      <c r="G29" s="149"/>
      <c r="H29" s="149"/>
      <c r="I29" s="149"/>
      <c r="J29" s="149"/>
      <c r="K29" s="149"/>
      <c r="L29" s="149"/>
      <c r="M29" s="149"/>
      <c r="N29" s="149"/>
      <c r="O29" s="149"/>
      <c r="P29" s="157"/>
      <c r="Q29" s="229"/>
      <c r="R29" s="150"/>
      <c r="S29" s="217"/>
      <c r="T29" s="238"/>
    </row>
    <row r="30" spans="2:20">
      <c r="B30" s="147" t="s">
        <v>127</v>
      </c>
      <c r="C30" s="148" t="s">
        <v>128</v>
      </c>
      <c r="D30" s="149"/>
      <c r="E30" s="149"/>
      <c r="F30" s="149"/>
      <c r="G30" s="149"/>
      <c r="H30" s="149"/>
      <c r="I30" s="149"/>
      <c r="J30" s="149"/>
      <c r="K30" s="149"/>
      <c r="L30" s="149"/>
      <c r="M30" s="149"/>
      <c r="N30" s="149"/>
      <c r="O30" s="149"/>
      <c r="P30" s="151"/>
      <c r="Q30" s="225" t="s">
        <v>116</v>
      </c>
      <c r="R30" s="150"/>
      <c r="S30" s="150"/>
      <c r="T30" s="225" t="s">
        <v>117</v>
      </c>
    </row>
    <row r="31" spans="2:20">
      <c r="B31" s="147"/>
      <c r="C31" s="148" t="s">
        <v>120</v>
      </c>
      <c r="D31" s="149"/>
      <c r="E31" s="149"/>
      <c r="F31" s="149"/>
      <c r="G31" s="4544"/>
      <c r="H31" s="4545"/>
      <c r="I31" s="4545"/>
      <c r="J31" s="4545"/>
      <c r="K31" s="4545"/>
      <c r="L31" s="4545"/>
      <c r="M31" s="4545"/>
      <c r="N31" s="4545"/>
      <c r="O31" s="4545"/>
      <c r="P31" s="4545"/>
      <c r="Q31" s="4545"/>
      <c r="R31" s="4545"/>
      <c r="S31" s="4545"/>
      <c r="T31" s="4545"/>
    </row>
    <row r="32" spans="2:20" ht="12" customHeight="1">
      <c r="B32" s="147"/>
      <c r="C32" s="148"/>
      <c r="D32" s="149"/>
      <c r="E32" s="149"/>
      <c r="F32" s="149"/>
      <c r="G32" s="144"/>
      <c r="H32" s="144"/>
      <c r="I32" s="144"/>
      <c r="J32" s="144"/>
      <c r="K32" s="144"/>
      <c r="L32" s="144"/>
      <c r="M32" s="144"/>
      <c r="N32" s="144"/>
      <c r="O32" s="144"/>
      <c r="P32" s="157"/>
      <c r="Q32" s="224"/>
      <c r="R32" s="144"/>
      <c r="S32" s="144"/>
      <c r="T32" s="234"/>
    </row>
    <row r="33" spans="2:20">
      <c r="B33" s="147" t="s">
        <v>129</v>
      </c>
      <c r="C33" s="148" t="s">
        <v>130</v>
      </c>
      <c r="D33" s="149"/>
      <c r="E33" s="149"/>
      <c r="F33" s="149"/>
      <c r="G33" s="149"/>
      <c r="H33" s="149"/>
      <c r="I33" s="149"/>
      <c r="J33" s="149"/>
      <c r="K33" s="149"/>
      <c r="L33" s="149"/>
      <c r="M33" s="149"/>
      <c r="N33" s="149"/>
      <c r="O33" s="149"/>
      <c r="P33" s="151"/>
      <c r="Q33" s="225" t="s">
        <v>116</v>
      </c>
      <c r="R33" s="144"/>
      <c r="S33" s="144"/>
      <c r="T33" s="225" t="s">
        <v>117</v>
      </c>
    </row>
    <row r="34" spans="2:20" ht="12" customHeight="1">
      <c r="B34" s="147"/>
      <c r="C34" s="148"/>
      <c r="D34" s="149"/>
      <c r="E34" s="149"/>
      <c r="F34" s="149"/>
      <c r="G34" s="149"/>
      <c r="H34" s="149"/>
      <c r="I34" s="149"/>
      <c r="J34" s="149"/>
      <c r="K34" s="149"/>
      <c r="L34" s="149"/>
      <c r="M34" s="149"/>
      <c r="N34" s="149"/>
      <c r="O34" s="149"/>
      <c r="P34" s="157"/>
      <c r="Q34" s="229"/>
      <c r="R34" s="144"/>
      <c r="S34" s="144"/>
      <c r="T34" s="238"/>
    </row>
    <row r="35" spans="2:20">
      <c r="B35" s="147" t="s">
        <v>131</v>
      </c>
      <c r="C35" s="148" t="s">
        <v>132</v>
      </c>
      <c r="D35" s="149"/>
      <c r="E35" s="149"/>
      <c r="F35" s="149"/>
      <c r="G35" s="149"/>
      <c r="H35" s="149"/>
      <c r="I35" s="149"/>
      <c r="J35" s="149"/>
      <c r="K35" s="149"/>
      <c r="L35" s="149"/>
      <c r="M35" s="149"/>
      <c r="N35" s="149"/>
      <c r="O35" s="149"/>
      <c r="P35" s="151"/>
      <c r="Q35" s="225" t="s">
        <v>116</v>
      </c>
      <c r="R35" s="144"/>
      <c r="S35" s="144"/>
      <c r="T35" s="225" t="s">
        <v>117</v>
      </c>
    </row>
    <row r="36" spans="2:20" ht="12" customHeight="1">
      <c r="B36" s="147"/>
      <c r="C36" s="148"/>
      <c r="D36" s="149"/>
      <c r="E36" s="149"/>
      <c r="F36" s="149"/>
      <c r="G36" s="149"/>
      <c r="H36" s="149"/>
      <c r="I36" s="149"/>
      <c r="J36" s="149"/>
      <c r="K36" s="149"/>
      <c r="L36" s="149"/>
      <c r="M36" s="149"/>
      <c r="N36" s="149"/>
      <c r="O36" s="149"/>
      <c r="P36" s="144"/>
      <c r="Q36" s="220"/>
      <c r="R36" s="150"/>
      <c r="S36" s="150"/>
      <c r="T36" s="235"/>
    </row>
    <row r="37" spans="2:20" ht="15.75" customHeight="1">
      <c r="B37" s="147" t="s">
        <v>133</v>
      </c>
      <c r="C37" s="4534" t="s">
        <v>134</v>
      </c>
      <c r="D37" s="4535"/>
      <c r="E37" s="4535"/>
      <c r="F37" s="4535"/>
      <c r="G37" s="4535"/>
      <c r="H37" s="4535"/>
      <c r="I37" s="4535"/>
      <c r="J37" s="4535"/>
      <c r="K37" s="4535"/>
      <c r="L37" s="4535"/>
      <c r="M37" s="4535"/>
      <c r="N37" s="4535"/>
      <c r="O37" s="4535"/>
      <c r="P37" s="4535"/>
      <c r="Q37" s="4535"/>
      <c r="R37" s="4535"/>
      <c r="S37" s="4535"/>
      <c r="T37" s="4535"/>
    </row>
    <row r="38" spans="2:20">
      <c r="B38" s="147"/>
      <c r="C38" s="149" t="s">
        <v>135</v>
      </c>
      <c r="D38" s="149"/>
      <c r="E38" s="149"/>
      <c r="F38" s="149"/>
      <c r="G38" s="149"/>
      <c r="H38" s="149"/>
      <c r="I38" s="149"/>
      <c r="J38" s="149"/>
      <c r="K38" s="149"/>
      <c r="L38" s="149"/>
      <c r="M38" s="149"/>
      <c r="N38" s="149"/>
      <c r="O38" s="149"/>
      <c r="P38" s="151"/>
      <c r="Q38" s="225" t="s">
        <v>116</v>
      </c>
      <c r="R38" s="150"/>
      <c r="S38" s="150"/>
      <c r="T38" s="225" t="s">
        <v>117</v>
      </c>
    </row>
    <row r="39" spans="2:20" ht="12" customHeight="1">
      <c r="B39" s="147"/>
      <c r="C39" s="148"/>
      <c r="D39" s="149"/>
      <c r="E39" s="149"/>
      <c r="F39" s="149"/>
      <c r="G39" s="149"/>
      <c r="H39" s="149"/>
      <c r="I39" s="149"/>
      <c r="J39" s="149"/>
      <c r="K39" s="149"/>
      <c r="L39" s="149"/>
      <c r="M39" s="149"/>
      <c r="N39" s="149"/>
      <c r="O39" s="149"/>
      <c r="P39" s="157"/>
      <c r="Q39" s="229"/>
      <c r="R39" s="150"/>
      <c r="S39" s="150"/>
      <c r="T39" s="238"/>
    </row>
    <row r="40" spans="2:20">
      <c r="B40" s="147" t="s">
        <v>136</v>
      </c>
      <c r="C40" s="148" t="s">
        <v>137</v>
      </c>
      <c r="D40" s="149"/>
      <c r="E40" s="149"/>
      <c r="F40" s="149"/>
      <c r="G40" s="149"/>
      <c r="H40" s="149"/>
      <c r="I40" s="149"/>
      <c r="J40" s="149"/>
      <c r="K40" s="149"/>
      <c r="L40" s="149"/>
      <c r="M40" s="149"/>
      <c r="N40" s="149"/>
      <c r="O40" s="149"/>
      <c r="P40" s="151"/>
      <c r="Q40" s="225" t="s">
        <v>116</v>
      </c>
      <c r="R40" s="150"/>
      <c r="S40" s="150"/>
      <c r="T40" s="225" t="s">
        <v>117</v>
      </c>
    </row>
    <row r="41" spans="2:20" ht="12" customHeight="1">
      <c r="B41" s="147"/>
      <c r="C41" s="148"/>
      <c r="D41" s="149"/>
      <c r="E41" s="149"/>
      <c r="F41" s="149"/>
      <c r="G41" s="149"/>
      <c r="H41" s="149"/>
      <c r="I41" s="149"/>
      <c r="J41" s="149"/>
      <c r="K41" s="149"/>
      <c r="L41" s="149"/>
      <c r="M41" s="149"/>
      <c r="N41" s="149"/>
      <c r="O41" s="149"/>
      <c r="P41" s="144"/>
      <c r="Q41" s="220"/>
      <c r="R41" s="150"/>
      <c r="S41" s="159"/>
      <c r="T41" s="235"/>
    </row>
    <row r="42" spans="2:20" ht="15.75" customHeight="1">
      <c r="B42" s="147" t="s">
        <v>138</v>
      </c>
      <c r="C42" s="4534" t="s">
        <v>171</v>
      </c>
      <c r="D42" s="4535"/>
      <c r="E42" s="4535"/>
      <c r="F42" s="4535"/>
      <c r="G42" s="4535"/>
      <c r="H42" s="4535"/>
      <c r="I42" s="4535"/>
      <c r="J42" s="4535"/>
      <c r="K42" s="4535"/>
      <c r="L42" s="4535"/>
      <c r="M42" s="4535"/>
      <c r="N42" s="4535"/>
      <c r="O42" s="4535"/>
      <c r="P42" s="4535"/>
      <c r="Q42" s="4535"/>
      <c r="R42" s="4535"/>
      <c r="S42" s="4535"/>
      <c r="T42" s="4535"/>
    </row>
    <row r="43" spans="2:20">
      <c r="B43" s="147"/>
      <c r="C43" s="148" t="s">
        <v>172</v>
      </c>
      <c r="D43" s="149"/>
      <c r="E43" s="149"/>
      <c r="F43" s="149"/>
      <c r="G43" s="149"/>
      <c r="H43" s="149"/>
      <c r="I43" s="149"/>
      <c r="J43" s="149"/>
      <c r="K43" s="149"/>
      <c r="L43" s="149"/>
      <c r="M43" s="149"/>
      <c r="N43" s="149"/>
      <c r="O43" s="149"/>
      <c r="P43" s="151"/>
      <c r="Q43" s="225" t="s">
        <v>116</v>
      </c>
      <c r="R43" s="150"/>
      <c r="S43" s="150"/>
      <c r="T43" s="225" t="s">
        <v>117</v>
      </c>
    </row>
    <row r="44" spans="2:20" ht="12" customHeight="1">
      <c r="B44" s="147"/>
      <c r="C44" s="148"/>
      <c r="D44" s="149"/>
      <c r="E44" s="149"/>
      <c r="F44" s="149"/>
      <c r="G44" s="149"/>
      <c r="H44" s="149"/>
      <c r="I44" s="149"/>
      <c r="J44" s="149"/>
      <c r="K44" s="149"/>
      <c r="L44" s="149"/>
      <c r="M44" s="149"/>
      <c r="N44" s="149"/>
      <c r="O44" s="149"/>
      <c r="P44" s="157"/>
      <c r="Q44" s="229"/>
      <c r="R44" s="150"/>
      <c r="S44" s="150"/>
      <c r="T44" s="238"/>
    </row>
    <row r="45" spans="2:20">
      <c r="B45" s="147" t="s">
        <v>139</v>
      </c>
      <c r="C45" s="148" t="s">
        <v>140</v>
      </c>
      <c r="D45" s="149"/>
      <c r="E45" s="149"/>
      <c r="F45" s="149"/>
      <c r="G45" s="149"/>
      <c r="H45" s="149"/>
      <c r="I45" s="149"/>
      <c r="J45" s="149"/>
      <c r="K45" s="149"/>
      <c r="L45" s="149"/>
      <c r="M45" s="149"/>
      <c r="N45" s="149"/>
      <c r="O45" s="149"/>
      <c r="P45" s="151"/>
      <c r="Q45" s="225" t="s">
        <v>116</v>
      </c>
      <c r="R45" s="150"/>
      <c r="S45" s="150"/>
      <c r="T45" s="225" t="s">
        <v>117</v>
      </c>
    </row>
    <row r="46" spans="2:20" ht="12" customHeight="1">
      <c r="B46" s="147"/>
      <c r="C46" s="148"/>
      <c r="D46" s="149"/>
      <c r="E46" s="149"/>
      <c r="F46" s="149"/>
      <c r="G46" s="149"/>
      <c r="H46" s="149"/>
      <c r="I46" s="149"/>
      <c r="J46" s="149"/>
      <c r="K46" s="149"/>
      <c r="L46" s="149"/>
      <c r="M46" s="149"/>
      <c r="N46" s="149"/>
      <c r="O46" s="149"/>
      <c r="P46" s="157"/>
      <c r="Q46" s="229"/>
      <c r="R46" s="150"/>
      <c r="S46" s="150"/>
      <c r="T46" s="238"/>
    </row>
    <row r="47" spans="2:20">
      <c r="B47" s="147" t="s">
        <v>141</v>
      </c>
      <c r="C47" s="148" t="s">
        <v>142</v>
      </c>
      <c r="D47" s="149"/>
      <c r="E47" s="149"/>
      <c r="F47" s="149"/>
      <c r="G47" s="149"/>
      <c r="H47" s="149"/>
      <c r="I47" s="149"/>
      <c r="J47" s="149"/>
      <c r="K47" s="149"/>
      <c r="L47" s="149"/>
      <c r="M47" s="149"/>
      <c r="N47" s="149"/>
      <c r="O47" s="149"/>
      <c r="P47" s="151"/>
      <c r="Q47" s="225" t="s">
        <v>116</v>
      </c>
      <c r="R47" s="150"/>
      <c r="S47" s="159"/>
      <c r="T47" s="225" t="s">
        <v>117</v>
      </c>
    </row>
    <row r="48" spans="2:20" ht="12" customHeight="1">
      <c r="B48" s="147"/>
      <c r="C48" s="148"/>
      <c r="D48" s="149"/>
      <c r="E48" s="149"/>
      <c r="F48" s="149"/>
      <c r="G48" s="149"/>
      <c r="H48" s="149"/>
      <c r="I48" s="149"/>
      <c r="J48" s="149"/>
      <c r="K48" s="149"/>
      <c r="L48" s="149"/>
      <c r="M48" s="149"/>
      <c r="N48" s="149"/>
      <c r="O48" s="149"/>
      <c r="P48" s="144"/>
      <c r="Q48" s="220"/>
      <c r="R48" s="150"/>
      <c r="S48" s="159"/>
      <c r="T48" s="235"/>
    </row>
    <row r="49" spans="2:20" ht="15.75" customHeight="1">
      <c r="B49" s="147" t="s">
        <v>143</v>
      </c>
      <c r="C49" s="4534" t="s">
        <v>144</v>
      </c>
      <c r="D49" s="4535"/>
      <c r="E49" s="4535"/>
      <c r="F49" s="4535"/>
      <c r="G49" s="4535"/>
      <c r="H49" s="4535"/>
      <c r="I49" s="4535"/>
      <c r="J49" s="4535"/>
      <c r="K49" s="4535"/>
      <c r="L49" s="4535"/>
      <c r="M49" s="4535"/>
      <c r="N49" s="4535"/>
      <c r="O49" s="4535"/>
      <c r="P49" s="4535"/>
      <c r="Q49" s="4535"/>
      <c r="R49" s="4535"/>
      <c r="S49" s="4535"/>
      <c r="T49" s="4535"/>
    </row>
    <row r="50" spans="2:20">
      <c r="B50" s="147"/>
      <c r="C50" s="148" t="s">
        <v>145</v>
      </c>
      <c r="D50" s="149"/>
      <c r="E50" s="149"/>
      <c r="F50" s="149"/>
      <c r="G50" s="149"/>
      <c r="H50" s="149"/>
      <c r="I50" s="149"/>
      <c r="J50" s="149"/>
      <c r="K50" s="149"/>
      <c r="L50" s="149"/>
      <c r="M50" s="149"/>
      <c r="N50" s="149"/>
      <c r="O50" s="149"/>
      <c r="P50" s="151"/>
      <c r="Q50" s="225" t="s">
        <v>116</v>
      </c>
      <c r="R50" s="150"/>
      <c r="S50" s="156"/>
      <c r="T50" s="225" t="s">
        <v>117</v>
      </c>
    </row>
    <row r="51" spans="2:20" ht="19.5" customHeight="1">
      <c r="B51" s="147"/>
      <c r="C51" s="148"/>
      <c r="D51" s="149"/>
      <c r="E51" s="149"/>
      <c r="F51" s="149"/>
      <c r="G51" s="149"/>
      <c r="H51" s="149"/>
      <c r="I51" s="149"/>
      <c r="J51" s="149"/>
      <c r="K51" s="149"/>
      <c r="L51" s="149"/>
      <c r="M51" s="149"/>
      <c r="N51" s="149"/>
      <c r="O51" s="149"/>
      <c r="P51" s="144"/>
      <c r="Q51" s="220"/>
      <c r="R51" s="150"/>
      <c r="S51" s="156"/>
      <c r="T51" s="235"/>
    </row>
    <row r="52" spans="2:20">
      <c r="B52" s="1338" t="s">
        <v>146</v>
      </c>
      <c r="C52" s="149"/>
      <c r="D52" s="149"/>
      <c r="E52" s="149"/>
      <c r="F52" s="149"/>
      <c r="G52" s="149"/>
      <c r="H52" s="149"/>
      <c r="I52" s="149"/>
      <c r="J52" s="149"/>
      <c r="K52" s="149"/>
      <c r="L52" s="149"/>
      <c r="M52" s="149"/>
      <c r="N52" s="149"/>
      <c r="O52" s="149"/>
      <c r="P52" s="149"/>
      <c r="Q52" s="222"/>
      <c r="R52" s="150"/>
      <c r="S52" s="156"/>
      <c r="T52" s="233"/>
    </row>
    <row r="53" spans="2:20" ht="5.25" customHeight="1">
      <c r="B53" s="152"/>
      <c r="C53" s="149"/>
      <c r="D53" s="149"/>
      <c r="E53" s="149"/>
      <c r="F53" s="149"/>
      <c r="G53" s="149"/>
      <c r="H53" s="149"/>
      <c r="I53" s="149"/>
      <c r="J53" s="149"/>
      <c r="K53" s="149"/>
      <c r="L53" s="149"/>
      <c r="M53" s="149"/>
      <c r="N53" s="149"/>
      <c r="O53" s="149"/>
      <c r="P53" s="149"/>
      <c r="Q53" s="222"/>
      <c r="R53" s="150"/>
      <c r="S53" s="156"/>
      <c r="T53" s="233"/>
    </row>
    <row r="54" spans="2:20" ht="15.75" customHeight="1">
      <c r="B54" s="147" t="s">
        <v>110</v>
      </c>
      <c r="C54" s="4534" t="s">
        <v>185</v>
      </c>
      <c r="D54" s="4535"/>
      <c r="E54" s="4535"/>
      <c r="F54" s="4535"/>
      <c r="G54" s="4535"/>
      <c r="H54" s="4535"/>
      <c r="I54" s="4535"/>
      <c r="J54" s="4535"/>
      <c r="K54" s="4535"/>
      <c r="L54" s="4535"/>
      <c r="M54" s="4535"/>
      <c r="N54" s="4535"/>
      <c r="O54" s="4535"/>
      <c r="P54" s="4535"/>
      <c r="Q54" s="4535"/>
      <c r="R54" s="4535"/>
      <c r="S54" s="4535"/>
      <c r="T54" s="4535"/>
    </row>
    <row r="55" spans="2:20">
      <c r="B55" s="147"/>
      <c r="C55" s="148" t="s">
        <v>184</v>
      </c>
      <c r="D55" s="149"/>
      <c r="E55" s="149"/>
      <c r="F55" s="149"/>
      <c r="G55" s="149"/>
      <c r="H55" s="149"/>
      <c r="I55" s="149"/>
      <c r="J55" s="149"/>
      <c r="K55" s="149"/>
      <c r="L55" s="149"/>
      <c r="M55" s="149"/>
      <c r="N55" s="149"/>
      <c r="O55" s="149"/>
      <c r="P55" s="151"/>
      <c r="Q55" s="225" t="s">
        <v>116</v>
      </c>
      <c r="R55" s="150"/>
      <c r="S55" s="159"/>
      <c r="T55" s="225" t="s">
        <v>117</v>
      </c>
    </row>
    <row r="56" spans="2:20" ht="8.25" customHeight="1">
      <c r="B56" s="147"/>
      <c r="C56" s="148"/>
      <c r="D56" s="149"/>
      <c r="E56" s="149"/>
      <c r="F56" s="149"/>
      <c r="G56" s="149"/>
      <c r="H56" s="149"/>
      <c r="I56" s="149"/>
      <c r="J56" s="149"/>
      <c r="K56" s="149"/>
      <c r="L56" s="149"/>
      <c r="M56" s="149"/>
      <c r="N56" s="149"/>
      <c r="O56" s="149"/>
      <c r="P56" s="144"/>
      <c r="Q56" s="220"/>
      <c r="R56" s="150"/>
      <c r="S56" s="159"/>
      <c r="T56" s="235"/>
    </row>
    <row r="57" spans="2:20" ht="15.75" customHeight="1">
      <c r="B57" s="147" t="s">
        <v>112</v>
      </c>
      <c r="C57" s="4534" t="s">
        <v>147</v>
      </c>
      <c r="D57" s="4535"/>
      <c r="E57" s="4535"/>
      <c r="F57" s="4535"/>
      <c r="G57" s="4535"/>
      <c r="H57" s="4535"/>
      <c r="I57" s="4535"/>
      <c r="J57" s="4535"/>
      <c r="K57" s="4535"/>
      <c r="L57" s="4535"/>
      <c r="M57" s="4535"/>
      <c r="N57" s="4535"/>
      <c r="O57" s="4535"/>
      <c r="P57" s="4535"/>
      <c r="Q57" s="4535"/>
      <c r="R57" s="4535"/>
      <c r="S57" s="4535"/>
      <c r="T57" s="4535"/>
    </row>
    <row r="58" spans="2:20">
      <c r="B58" s="147"/>
      <c r="C58" s="148" t="s">
        <v>148</v>
      </c>
      <c r="D58" s="149"/>
      <c r="E58" s="149"/>
      <c r="F58" s="149"/>
      <c r="G58" s="149"/>
      <c r="H58" s="149"/>
      <c r="I58" s="149"/>
      <c r="J58" s="149"/>
      <c r="K58" s="149"/>
      <c r="L58" s="149"/>
      <c r="M58" s="149"/>
      <c r="N58" s="149"/>
      <c r="O58" s="149"/>
      <c r="P58" s="151"/>
      <c r="Q58" s="225" t="s">
        <v>116</v>
      </c>
      <c r="R58" s="150"/>
      <c r="S58" s="159"/>
      <c r="T58" s="225" t="s">
        <v>117</v>
      </c>
    </row>
    <row r="59" spans="2:20" ht="18.75" customHeight="1">
      <c r="B59" s="147"/>
      <c r="C59" s="148"/>
      <c r="D59" s="149"/>
      <c r="E59" s="149"/>
      <c r="F59" s="149"/>
      <c r="G59" s="149"/>
      <c r="H59" s="149"/>
      <c r="I59" s="149"/>
      <c r="J59" s="149"/>
      <c r="K59" s="149"/>
      <c r="L59" s="149"/>
      <c r="M59" s="149"/>
      <c r="N59" s="149"/>
      <c r="O59" s="149"/>
      <c r="P59" s="144"/>
      <c r="Q59" s="220"/>
      <c r="R59" s="150"/>
      <c r="S59" s="159"/>
      <c r="T59" s="235"/>
    </row>
    <row r="60" spans="2:20">
      <c r="B60" s="1338" t="s">
        <v>149</v>
      </c>
      <c r="C60" s="149"/>
      <c r="D60" s="149"/>
      <c r="E60" s="149"/>
      <c r="F60" s="149"/>
      <c r="G60" s="149"/>
      <c r="H60" s="149"/>
      <c r="I60" s="149"/>
      <c r="J60" s="149"/>
      <c r="K60" s="149"/>
      <c r="L60" s="149"/>
      <c r="M60" s="149"/>
      <c r="N60" s="149"/>
      <c r="O60" s="149"/>
      <c r="P60" s="149"/>
      <c r="Q60" s="222"/>
      <c r="R60" s="150"/>
      <c r="S60" s="156"/>
      <c r="T60" s="233"/>
    </row>
    <row r="61" spans="2:20" ht="8.25" customHeight="1">
      <c r="B61" s="152"/>
      <c r="C61" s="149"/>
      <c r="D61" s="149"/>
      <c r="E61" s="149"/>
      <c r="F61" s="149"/>
      <c r="G61" s="149"/>
      <c r="H61" s="149"/>
      <c r="I61" s="149"/>
      <c r="J61" s="149"/>
      <c r="K61" s="149"/>
      <c r="L61" s="149"/>
      <c r="M61" s="149"/>
      <c r="N61" s="149"/>
      <c r="O61" s="149"/>
      <c r="P61" s="164"/>
      <c r="Q61" s="226"/>
      <c r="R61" s="150"/>
      <c r="S61" s="161"/>
      <c r="T61" s="236"/>
    </row>
    <row r="62" spans="2:20">
      <c r="B62" s="147" t="s">
        <v>110</v>
      </c>
      <c r="C62" s="148" t="s">
        <v>150</v>
      </c>
      <c r="D62" s="149"/>
      <c r="E62" s="149"/>
      <c r="F62" s="149"/>
      <c r="G62" s="149"/>
      <c r="H62" s="149"/>
      <c r="I62" s="149"/>
      <c r="J62" s="149"/>
      <c r="K62" s="149"/>
      <c r="L62" s="149"/>
      <c r="M62" s="149"/>
      <c r="N62" s="149"/>
      <c r="O62" s="149"/>
      <c r="P62" s="151"/>
      <c r="Q62" s="225" t="s">
        <v>116</v>
      </c>
      <c r="R62" s="150"/>
      <c r="S62" s="161"/>
      <c r="T62" s="225" t="s">
        <v>117</v>
      </c>
    </row>
    <row r="63" spans="2:20" ht="12" customHeight="1">
      <c r="B63" s="147"/>
      <c r="C63" s="148"/>
      <c r="D63" s="149"/>
      <c r="E63" s="149"/>
      <c r="F63" s="149"/>
      <c r="G63" s="149"/>
      <c r="H63" s="149"/>
      <c r="I63" s="149"/>
      <c r="J63" s="149"/>
      <c r="K63" s="149"/>
      <c r="L63" s="149"/>
      <c r="M63" s="149"/>
      <c r="N63" s="149"/>
      <c r="O63" s="149"/>
      <c r="P63" s="157"/>
      <c r="Q63" s="229"/>
      <c r="R63" s="150"/>
      <c r="S63" s="161"/>
      <c r="T63" s="238"/>
    </row>
    <row r="64" spans="2:20">
      <c r="B64" s="147" t="s">
        <v>112</v>
      </c>
      <c r="C64" s="148" t="s">
        <v>151</v>
      </c>
      <c r="D64" s="149"/>
      <c r="E64" s="149"/>
      <c r="F64" s="149"/>
      <c r="G64" s="149"/>
      <c r="H64" s="149"/>
      <c r="I64" s="149"/>
      <c r="J64" s="149"/>
      <c r="K64" s="149"/>
      <c r="L64" s="149"/>
      <c r="M64" s="149"/>
      <c r="N64" s="149"/>
      <c r="O64" s="149"/>
      <c r="P64" s="151"/>
      <c r="Q64" s="225" t="s">
        <v>116</v>
      </c>
      <c r="R64" s="150"/>
      <c r="S64" s="150"/>
      <c r="T64" s="225" t="s">
        <v>117</v>
      </c>
    </row>
    <row r="65" spans="2:20" ht="12" customHeight="1">
      <c r="B65" s="147"/>
      <c r="C65" s="148"/>
      <c r="D65" s="149"/>
      <c r="E65" s="149"/>
      <c r="F65" s="149"/>
      <c r="G65" s="149"/>
      <c r="H65" s="149"/>
      <c r="I65" s="149"/>
      <c r="J65" s="149"/>
      <c r="K65" s="149"/>
      <c r="L65" s="149"/>
      <c r="M65" s="149"/>
      <c r="N65" s="149"/>
      <c r="O65" s="149"/>
      <c r="P65" s="157"/>
      <c r="Q65" s="229"/>
      <c r="R65" s="150"/>
      <c r="S65" s="150"/>
      <c r="T65" s="238"/>
    </row>
    <row r="66" spans="2:20">
      <c r="B66" s="147" t="s">
        <v>114</v>
      </c>
      <c r="C66" s="148" t="s">
        <v>152</v>
      </c>
      <c r="D66" s="149"/>
      <c r="E66" s="149"/>
      <c r="F66" s="149"/>
      <c r="G66" s="149"/>
      <c r="H66" s="149"/>
      <c r="I66" s="149"/>
      <c r="J66" s="149"/>
      <c r="K66" s="149"/>
      <c r="L66" s="149"/>
      <c r="M66" s="149"/>
      <c r="N66" s="149"/>
      <c r="O66" s="149"/>
      <c r="P66" s="151"/>
      <c r="Q66" s="225" t="s">
        <v>116</v>
      </c>
      <c r="R66" s="150"/>
      <c r="S66" s="159"/>
      <c r="T66" s="225" t="s">
        <v>117</v>
      </c>
    </row>
    <row r="67" spans="2:20" ht="22.5" customHeight="1">
      <c r="B67" s="147"/>
      <c r="C67" s="148"/>
      <c r="D67" s="149"/>
      <c r="E67" s="149"/>
      <c r="F67" s="149"/>
      <c r="G67" s="149"/>
      <c r="H67" s="149"/>
      <c r="I67" s="149"/>
      <c r="J67" s="149"/>
      <c r="K67" s="149"/>
      <c r="L67" s="149"/>
      <c r="M67" s="149"/>
      <c r="N67" s="149"/>
      <c r="O67" s="149"/>
      <c r="P67" s="144"/>
      <c r="Q67" s="220"/>
      <c r="R67" s="150"/>
      <c r="S67" s="159"/>
      <c r="T67" s="235"/>
    </row>
    <row r="68" spans="2:20">
      <c r="B68" s="1338" t="s">
        <v>153</v>
      </c>
      <c r="C68" s="149"/>
      <c r="D68" s="149"/>
      <c r="E68" s="149"/>
      <c r="F68" s="149"/>
      <c r="G68" s="149"/>
      <c r="H68" s="149"/>
      <c r="I68" s="149"/>
      <c r="J68" s="149"/>
      <c r="K68" s="149"/>
      <c r="L68" s="149"/>
      <c r="M68" s="149"/>
      <c r="N68" s="149"/>
      <c r="O68" s="149"/>
      <c r="P68" s="149"/>
      <c r="Q68" s="222"/>
      <c r="R68" s="150"/>
      <c r="S68" s="156"/>
      <c r="T68" s="233"/>
    </row>
    <row r="69" spans="2:20" ht="12" customHeight="1">
      <c r="B69" s="152"/>
      <c r="C69" s="149"/>
      <c r="D69" s="149"/>
      <c r="E69" s="149"/>
      <c r="F69" s="149"/>
      <c r="G69" s="149"/>
      <c r="H69" s="149"/>
      <c r="I69" s="149"/>
      <c r="J69" s="149"/>
      <c r="K69" s="149"/>
      <c r="L69" s="149"/>
      <c r="M69" s="149"/>
      <c r="N69" s="149"/>
      <c r="O69" s="149"/>
      <c r="P69" s="149"/>
      <c r="Q69" s="219"/>
      <c r="R69" s="149"/>
      <c r="S69" s="149"/>
      <c r="T69" s="239"/>
    </row>
    <row r="70" spans="2:20" ht="15.75" customHeight="1">
      <c r="B70" s="147" t="s">
        <v>110</v>
      </c>
      <c r="C70" s="4534" t="s">
        <v>154</v>
      </c>
      <c r="D70" s="4535"/>
      <c r="E70" s="4535"/>
      <c r="F70" s="4535"/>
      <c r="G70" s="4535"/>
      <c r="H70" s="4535"/>
      <c r="I70" s="4535"/>
      <c r="J70" s="4535"/>
      <c r="K70" s="4535"/>
      <c r="L70" s="4535"/>
      <c r="M70" s="4535"/>
      <c r="N70" s="4535"/>
      <c r="O70" s="4535"/>
      <c r="P70" s="4535"/>
      <c r="Q70" s="4535"/>
      <c r="R70" s="4535"/>
      <c r="S70" s="4535"/>
      <c r="T70" s="4535"/>
    </row>
    <row r="71" spans="2:20">
      <c r="B71" s="147"/>
      <c r="C71" s="148" t="s">
        <v>155</v>
      </c>
      <c r="D71" s="149"/>
      <c r="E71" s="149"/>
      <c r="F71" s="149"/>
      <c r="G71" s="149"/>
      <c r="H71" s="149"/>
      <c r="I71" s="149"/>
      <c r="J71" s="149"/>
      <c r="K71" s="149"/>
      <c r="L71" s="149"/>
      <c r="M71" s="149"/>
      <c r="N71" s="149"/>
      <c r="O71" s="149"/>
      <c r="P71" s="151"/>
      <c r="Q71" s="225" t="s">
        <v>116</v>
      </c>
      <c r="R71" s="149"/>
      <c r="S71" s="151"/>
      <c r="T71" s="225" t="s">
        <v>117</v>
      </c>
    </row>
    <row r="72" spans="2:20" ht="12" customHeight="1">
      <c r="B72" s="147"/>
      <c r="C72" s="148"/>
      <c r="D72" s="149"/>
      <c r="E72" s="149"/>
      <c r="F72" s="149"/>
      <c r="G72" s="149"/>
      <c r="H72" s="149"/>
      <c r="I72" s="149"/>
      <c r="J72" s="149"/>
      <c r="K72" s="149"/>
      <c r="L72" s="149"/>
      <c r="M72" s="149"/>
      <c r="N72" s="149"/>
      <c r="O72" s="149"/>
      <c r="P72" s="157"/>
      <c r="Q72" s="229"/>
      <c r="R72" s="145"/>
      <c r="S72" s="145"/>
      <c r="T72" s="238"/>
    </row>
    <row r="73" spans="2:20">
      <c r="B73" s="147" t="s">
        <v>112</v>
      </c>
      <c r="C73" s="148" t="s">
        <v>156</v>
      </c>
      <c r="D73" s="149"/>
      <c r="E73" s="149"/>
      <c r="F73" s="149"/>
      <c r="G73" s="149"/>
      <c r="H73" s="149"/>
      <c r="I73" s="149"/>
      <c r="J73" s="149"/>
      <c r="K73" s="149"/>
      <c r="L73" s="149"/>
      <c r="M73" s="149"/>
      <c r="N73" s="149"/>
      <c r="O73" s="149"/>
      <c r="P73" s="151"/>
      <c r="Q73" s="225" t="s">
        <v>116</v>
      </c>
      <c r="R73" s="145"/>
      <c r="S73" s="145"/>
      <c r="T73" s="225" t="s">
        <v>117</v>
      </c>
    </row>
    <row r="74" spans="2:20" ht="12" customHeight="1">
      <c r="B74" s="147"/>
      <c r="C74" s="148"/>
      <c r="D74" s="149"/>
      <c r="E74" s="149"/>
      <c r="F74" s="149"/>
      <c r="G74" s="149"/>
      <c r="H74" s="149"/>
      <c r="I74" s="149"/>
      <c r="J74" s="149"/>
      <c r="K74" s="149"/>
      <c r="L74" s="149"/>
      <c r="M74" s="149"/>
      <c r="N74" s="149"/>
      <c r="O74" s="149"/>
      <c r="P74" s="157"/>
      <c r="Q74" s="229"/>
      <c r="R74" s="145"/>
      <c r="S74" s="145"/>
      <c r="T74" s="238"/>
    </row>
    <row r="75" spans="2:20">
      <c r="B75" s="147" t="s">
        <v>114</v>
      </c>
      <c r="C75" s="148" t="s">
        <v>157</v>
      </c>
      <c r="D75" s="149"/>
      <c r="E75" s="149"/>
      <c r="F75" s="149"/>
      <c r="G75" s="149"/>
      <c r="H75" s="149"/>
      <c r="I75" s="149"/>
      <c r="J75" s="149"/>
      <c r="K75" s="149"/>
      <c r="L75" s="149"/>
      <c r="M75" s="149"/>
      <c r="N75" s="149"/>
      <c r="O75" s="149"/>
      <c r="P75" s="151"/>
      <c r="Q75" s="225" t="s">
        <v>116</v>
      </c>
      <c r="R75" s="145"/>
      <c r="S75" s="145"/>
      <c r="T75" s="225" t="s">
        <v>117</v>
      </c>
    </row>
    <row r="76" spans="2:20" ht="12" customHeight="1">
      <c r="B76" s="147"/>
      <c r="C76" s="148"/>
      <c r="D76" s="149"/>
      <c r="E76" s="149"/>
      <c r="F76" s="149"/>
      <c r="G76" s="149"/>
      <c r="H76" s="149"/>
      <c r="I76" s="149"/>
      <c r="J76" s="149"/>
      <c r="K76" s="149"/>
      <c r="L76" s="149"/>
      <c r="M76" s="149"/>
      <c r="N76" s="149"/>
      <c r="O76" s="149"/>
      <c r="P76" s="144"/>
      <c r="Q76" s="220"/>
      <c r="R76" s="145"/>
      <c r="S76" s="145"/>
      <c r="T76" s="220"/>
    </row>
    <row r="77" spans="2:20" ht="15.75" customHeight="1">
      <c r="B77" s="147" t="s">
        <v>127</v>
      </c>
      <c r="C77" s="4534" t="s">
        <v>158</v>
      </c>
      <c r="D77" s="4535"/>
      <c r="E77" s="4535"/>
      <c r="F77" s="4535"/>
      <c r="G77" s="4535"/>
      <c r="H77" s="4535"/>
      <c r="I77" s="4535"/>
      <c r="J77" s="4535"/>
      <c r="K77" s="4535"/>
      <c r="L77" s="4535"/>
      <c r="M77" s="4535"/>
      <c r="N77" s="4535"/>
      <c r="O77" s="4535"/>
      <c r="P77" s="4535"/>
      <c r="Q77" s="4535"/>
      <c r="R77" s="4535"/>
      <c r="S77" s="4535"/>
      <c r="T77" s="4535"/>
    </row>
    <row r="78" spans="2:20">
      <c r="B78" s="147"/>
      <c r="C78" s="148" t="s">
        <v>159</v>
      </c>
      <c r="D78" s="149"/>
      <c r="E78" s="149"/>
      <c r="F78" s="149"/>
      <c r="G78" s="149"/>
      <c r="H78" s="149"/>
      <c r="I78" s="149"/>
      <c r="J78" s="149"/>
      <c r="K78" s="149"/>
      <c r="L78" s="149"/>
      <c r="M78" s="149"/>
      <c r="N78" s="149"/>
      <c r="O78" s="149"/>
      <c r="P78" s="151"/>
      <c r="Q78" s="225" t="s">
        <v>116</v>
      </c>
      <c r="R78" s="150"/>
      <c r="S78" s="150"/>
      <c r="T78" s="225" t="s">
        <v>117</v>
      </c>
    </row>
    <row r="79" spans="2:20" ht="25.5" customHeight="1">
      <c r="B79" s="147"/>
      <c r="C79" s="148"/>
      <c r="D79" s="149"/>
      <c r="E79" s="149"/>
      <c r="F79" s="149"/>
      <c r="G79" s="149"/>
      <c r="H79" s="149"/>
      <c r="I79" s="149"/>
      <c r="J79" s="149"/>
      <c r="K79" s="149"/>
      <c r="L79" s="149"/>
      <c r="M79" s="149"/>
      <c r="N79" s="149"/>
      <c r="O79" s="149"/>
      <c r="P79" s="144"/>
      <c r="Q79" s="220"/>
      <c r="R79" s="150"/>
      <c r="S79" s="159"/>
      <c r="T79" s="235"/>
    </row>
    <row r="80" spans="2:20">
      <c r="B80" s="1338" t="s">
        <v>1136</v>
      </c>
      <c r="C80" s="149"/>
      <c r="D80" s="149"/>
      <c r="E80" s="149"/>
      <c r="F80" s="149"/>
      <c r="G80" s="149"/>
      <c r="H80" s="149"/>
      <c r="I80" s="149"/>
      <c r="J80" s="149"/>
      <c r="K80" s="149"/>
      <c r="L80" s="149"/>
      <c r="M80" s="149"/>
      <c r="N80" s="149"/>
      <c r="O80" s="149"/>
      <c r="P80" s="149"/>
      <c r="Q80" s="222"/>
      <c r="R80" s="150"/>
      <c r="S80" s="156"/>
      <c r="T80" s="233"/>
    </row>
    <row r="81" spans="2:20" ht="9" customHeight="1">
      <c r="B81" s="152"/>
      <c r="C81" s="149"/>
      <c r="D81" s="149"/>
      <c r="E81" s="149"/>
      <c r="F81" s="149"/>
      <c r="G81" s="149"/>
      <c r="H81" s="149"/>
      <c r="I81" s="149"/>
      <c r="J81" s="149"/>
      <c r="K81" s="149"/>
      <c r="L81" s="149"/>
      <c r="M81" s="149"/>
      <c r="N81" s="149"/>
      <c r="O81" s="149"/>
      <c r="P81" s="149"/>
      <c r="Q81" s="222"/>
      <c r="R81" s="150"/>
      <c r="S81" s="156"/>
      <c r="T81" s="233"/>
    </row>
    <row r="82" spans="2:20">
      <c r="B82" s="147" t="s">
        <v>110</v>
      </c>
      <c r="C82" s="148" t="s">
        <v>182</v>
      </c>
      <c r="D82" s="149"/>
      <c r="E82" s="149"/>
      <c r="F82" s="149"/>
      <c r="G82" s="149"/>
      <c r="H82" s="149"/>
      <c r="I82" s="149"/>
      <c r="J82" s="149"/>
      <c r="K82" s="149"/>
      <c r="L82" s="149"/>
      <c r="M82" s="149"/>
      <c r="N82" s="149"/>
      <c r="O82" s="149"/>
      <c r="P82" s="149"/>
      <c r="Q82" s="222"/>
      <c r="R82" s="150"/>
      <c r="S82" s="156"/>
      <c r="T82" s="233"/>
    </row>
    <row r="83" spans="2:20">
      <c r="B83" s="147"/>
      <c r="C83" s="148" t="s">
        <v>160</v>
      </c>
      <c r="D83" s="149"/>
      <c r="E83" s="149"/>
      <c r="F83" s="149"/>
      <c r="G83" s="149"/>
      <c r="H83" s="155" t="str">
        <f>VLOOKUP(M4,'VISITA DE INSP.'!A17:AI36,32,32)</f>
        <v>1ºA</v>
      </c>
      <c r="I83" s="149"/>
      <c r="J83" s="149"/>
      <c r="K83" s="149"/>
      <c r="L83" s="149"/>
      <c r="M83" s="149"/>
      <c r="N83" s="149"/>
      <c r="O83" s="149"/>
      <c r="P83" s="210"/>
      <c r="Q83" s="230"/>
      <c r="R83" s="166" t="s">
        <v>186</v>
      </c>
      <c r="S83" s="4548"/>
      <c r="T83" s="4549"/>
    </row>
    <row r="84" spans="2:20" ht="12" customHeight="1">
      <c r="B84" s="147"/>
      <c r="C84" s="148"/>
      <c r="D84" s="149"/>
      <c r="E84" s="149"/>
      <c r="F84" s="149"/>
      <c r="G84" s="149"/>
      <c r="H84" s="144"/>
      <c r="I84" s="149"/>
      <c r="J84" s="149"/>
      <c r="K84" s="149"/>
      <c r="L84" s="149"/>
      <c r="M84" s="149"/>
      <c r="N84" s="149"/>
      <c r="O84" s="149"/>
      <c r="P84" s="164"/>
      <c r="Q84" s="226"/>
      <c r="R84" s="150"/>
      <c r="S84" s="165"/>
      <c r="T84" s="238"/>
    </row>
    <row r="85" spans="2:20">
      <c r="B85" s="147" t="s">
        <v>112</v>
      </c>
      <c r="C85" s="148" t="s">
        <v>161</v>
      </c>
      <c r="D85" s="149"/>
      <c r="E85" s="149"/>
      <c r="F85" s="149"/>
      <c r="G85" s="149"/>
      <c r="H85" s="149"/>
      <c r="I85" s="149"/>
      <c r="J85" s="149"/>
      <c r="K85" s="149"/>
      <c r="L85" s="149"/>
      <c r="M85" s="149"/>
      <c r="N85" s="149"/>
      <c r="O85" s="149"/>
      <c r="P85" s="151"/>
      <c r="Q85" s="225" t="s">
        <v>116</v>
      </c>
      <c r="R85" s="150"/>
      <c r="S85" s="156"/>
      <c r="T85" s="225" t="s">
        <v>117</v>
      </c>
    </row>
    <row r="86" spans="2:20" ht="12" customHeight="1">
      <c r="B86" s="147"/>
      <c r="C86" s="148"/>
      <c r="D86" s="149"/>
      <c r="E86" s="149"/>
      <c r="F86" s="149"/>
      <c r="G86" s="149"/>
      <c r="H86" s="149"/>
      <c r="I86" s="149"/>
      <c r="J86" s="149"/>
      <c r="K86" s="149"/>
      <c r="L86" s="149"/>
      <c r="M86" s="149"/>
      <c r="N86" s="149"/>
      <c r="O86" s="149"/>
      <c r="P86" s="157"/>
      <c r="Q86" s="229"/>
      <c r="R86" s="150"/>
      <c r="S86" s="156"/>
      <c r="T86" s="238"/>
    </row>
    <row r="87" spans="2:20">
      <c r="B87" s="147" t="s">
        <v>114</v>
      </c>
      <c r="C87" s="148" t="s">
        <v>162</v>
      </c>
      <c r="D87" s="149"/>
      <c r="E87" s="149"/>
      <c r="F87" s="149"/>
      <c r="G87" s="149"/>
      <c r="H87" s="149"/>
      <c r="I87" s="149"/>
      <c r="J87" s="149"/>
      <c r="K87" s="149"/>
      <c r="L87" s="149"/>
      <c r="M87" s="149"/>
      <c r="N87" s="149"/>
      <c r="O87" s="149"/>
      <c r="P87" s="151"/>
      <c r="Q87" s="225" t="s">
        <v>116</v>
      </c>
      <c r="R87" s="150"/>
      <c r="S87" s="156"/>
      <c r="T87" s="225" t="s">
        <v>117</v>
      </c>
    </row>
    <row r="88" spans="2:20" ht="12" customHeight="1">
      <c r="B88" s="147"/>
      <c r="C88" s="148"/>
      <c r="D88" s="149"/>
      <c r="E88" s="149"/>
      <c r="F88" s="149"/>
      <c r="G88" s="149"/>
      <c r="H88" s="149"/>
      <c r="I88" s="149"/>
      <c r="J88" s="149"/>
      <c r="K88" s="149"/>
      <c r="L88" s="149"/>
      <c r="M88" s="149"/>
      <c r="N88" s="149"/>
      <c r="O88" s="149"/>
      <c r="P88" s="157"/>
      <c r="Q88" s="229"/>
      <c r="R88" s="150"/>
      <c r="S88" s="156"/>
      <c r="T88" s="238"/>
    </row>
    <row r="89" spans="2:20">
      <c r="B89" s="147" t="s">
        <v>127</v>
      </c>
      <c r="C89" s="148" t="s">
        <v>163</v>
      </c>
      <c r="D89" s="149"/>
      <c r="E89" s="149"/>
      <c r="F89" s="149"/>
      <c r="G89" s="149"/>
      <c r="H89" s="149"/>
      <c r="I89" s="149"/>
      <c r="J89" s="149"/>
      <c r="K89" s="149"/>
      <c r="L89" s="149"/>
      <c r="M89" s="149"/>
      <c r="N89" s="149"/>
      <c r="O89" s="149"/>
      <c r="P89" s="151"/>
      <c r="Q89" s="225" t="s">
        <v>116</v>
      </c>
      <c r="R89" s="150"/>
      <c r="S89" s="156"/>
      <c r="T89" s="225" t="s">
        <v>117</v>
      </c>
    </row>
    <row r="90" spans="2:20" ht="12" customHeight="1">
      <c r="B90" s="147"/>
      <c r="C90" s="148"/>
      <c r="D90" s="149"/>
      <c r="E90" s="149"/>
      <c r="F90" s="149"/>
      <c r="G90" s="149"/>
      <c r="H90" s="149"/>
      <c r="I90" s="149"/>
      <c r="J90" s="149"/>
      <c r="K90" s="149"/>
      <c r="L90" s="149"/>
      <c r="M90" s="149"/>
      <c r="N90" s="149"/>
      <c r="O90" s="149"/>
      <c r="P90" s="157"/>
      <c r="Q90" s="229"/>
      <c r="R90" s="150"/>
      <c r="S90" s="156"/>
      <c r="T90" s="238"/>
    </row>
    <row r="91" spans="2:20">
      <c r="B91" s="147" t="s">
        <v>129</v>
      </c>
      <c r="C91" s="148" t="s">
        <v>164</v>
      </c>
      <c r="D91" s="149"/>
      <c r="E91" s="149"/>
      <c r="F91" s="149"/>
      <c r="G91" s="149"/>
      <c r="H91" s="149"/>
      <c r="I91" s="149"/>
      <c r="J91" s="149"/>
      <c r="K91" s="149"/>
      <c r="L91" s="149"/>
      <c r="M91" s="149"/>
      <c r="N91" s="149"/>
      <c r="O91" s="149"/>
      <c r="P91" s="151"/>
      <c r="Q91" s="225" t="s">
        <v>116</v>
      </c>
      <c r="R91" s="150"/>
      <c r="S91" s="156"/>
      <c r="T91" s="225" t="s">
        <v>117</v>
      </c>
    </row>
    <row r="92" spans="2:20" ht="12" customHeight="1">
      <c r="B92" s="147"/>
      <c r="C92" s="148"/>
      <c r="D92" s="149"/>
      <c r="E92" s="149"/>
      <c r="F92" s="149"/>
      <c r="G92" s="149"/>
      <c r="H92" s="149"/>
      <c r="I92" s="149"/>
      <c r="J92" s="149"/>
      <c r="K92" s="149"/>
      <c r="L92" s="149"/>
      <c r="M92" s="149"/>
      <c r="N92" s="149"/>
      <c r="O92" s="149"/>
      <c r="P92" s="157"/>
      <c r="Q92" s="229"/>
      <c r="R92" s="150"/>
      <c r="S92" s="156"/>
      <c r="T92" s="238"/>
    </row>
    <row r="93" spans="2:20">
      <c r="B93" s="147" t="s">
        <v>131</v>
      </c>
      <c r="C93" s="148" t="s">
        <v>165</v>
      </c>
      <c r="D93" s="149"/>
      <c r="E93" s="149"/>
      <c r="F93" s="149"/>
      <c r="G93" s="149"/>
      <c r="H93" s="149"/>
      <c r="I93" s="149"/>
      <c r="J93" s="149"/>
      <c r="K93" s="149"/>
      <c r="L93" s="149"/>
      <c r="M93" s="149"/>
      <c r="N93" s="149"/>
      <c r="O93" s="149"/>
      <c r="P93" s="151"/>
      <c r="Q93" s="225" t="s">
        <v>116</v>
      </c>
      <c r="R93" s="150"/>
      <c r="S93" s="156"/>
      <c r="T93" s="225" t="s">
        <v>117</v>
      </c>
    </row>
    <row r="94" spans="2:20" ht="12" customHeight="1">
      <c r="B94" s="147"/>
      <c r="C94" s="148"/>
      <c r="D94" s="149"/>
      <c r="E94" s="149"/>
      <c r="F94" s="149"/>
      <c r="G94" s="149"/>
      <c r="H94" s="149"/>
      <c r="I94" s="149"/>
      <c r="J94" s="149"/>
      <c r="K94" s="149"/>
      <c r="L94" s="149"/>
      <c r="M94" s="149"/>
      <c r="N94" s="149"/>
      <c r="O94" s="149"/>
      <c r="P94" s="157"/>
      <c r="Q94" s="229"/>
      <c r="R94" s="150"/>
      <c r="S94" s="156"/>
      <c r="T94" s="238"/>
    </row>
    <row r="95" spans="2:20">
      <c r="B95" s="147" t="s">
        <v>133</v>
      </c>
      <c r="C95" s="148" t="s">
        <v>166</v>
      </c>
      <c r="D95" s="149"/>
      <c r="E95" s="149"/>
      <c r="F95" s="149"/>
      <c r="G95" s="149"/>
      <c r="H95" s="149"/>
      <c r="I95" s="149"/>
      <c r="J95" s="149"/>
      <c r="K95" s="149"/>
      <c r="L95" s="149"/>
      <c r="M95" s="149"/>
      <c r="N95" s="149"/>
      <c r="O95" s="149"/>
      <c r="P95" s="151"/>
      <c r="Q95" s="225" t="s">
        <v>116</v>
      </c>
      <c r="R95" s="150"/>
      <c r="S95" s="156"/>
      <c r="T95" s="225" t="s">
        <v>117</v>
      </c>
    </row>
    <row r="96" spans="2:20" ht="12" customHeight="1">
      <c r="B96" s="147"/>
      <c r="C96" s="148"/>
      <c r="D96" s="149"/>
      <c r="E96" s="149"/>
      <c r="F96" s="149"/>
      <c r="G96" s="149"/>
      <c r="H96" s="149"/>
      <c r="I96" s="149"/>
      <c r="J96" s="149"/>
      <c r="K96" s="149"/>
      <c r="L96" s="149"/>
      <c r="M96" s="149"/>
      <c r="N96" s="149"/>
      <c r="O96" s="149"/>
      <c r="P96" s="157"/>
      <c r="Q96" s="229"/>
      <c r="R96" s="150"/>
      <c r="S96" s="156"/>
      <c r="T96" s="238"/>
    </row>
    <row r="97" spans="2:20">
      <c r="B97" s="147" t="s">
        <v>136</v>
      </c>
      <c r="C97" s="148" t="s">
        <v>1113</v>
      </c>
      <c r="D97" s="149"/>
      <c r="E97" s="149"/>
      <c r="F97" s="149"/>
      <c r="G97" s="149"/>
      <c r="H97" s="149"/>
      <c r="I97" s="149"/>
      <c r="J97" s="149"/>
      <c r="K97" s="149"/>
      <c r="L97" s="149"/>
      <c r="M97" s="149"/>
      <c r="N97" s="149"/>
      <c r="O97" s="149"/>
      <c r="P97" s="151"/>
      <c r="Q97" s="225" t="s">
        <v>116</v>
      </c>
      <c r="R97" s="150"/>
      <c r="S97" s="156"/>
      <c r="T97" s="225" t="s">
        <v>117</v>
      </c>
    </row>
    <row r="98" spans="2:20" ht="12" customHeight="1">
      <c r="B98" s="147"/>
      <c r="C98" s="148"/>
      <c r="D98" s="149"/>
      <c r="E98" s="149"/>
      <c r="F98" s="149"/>
      <c r="G98" s="149"/>
      <c r="H98" s="149"/>
      <c r="I98" s="149"/>
      <c r="J98" s="149"/>
      <c r="K98" s="149"/>
      <c r="L98" s="149"/>
      <c r="M98" s="149"/>
      <c r="N98" s="149"/>
      <c r="O98" s="149"/>
      <c r="P98" s="157"/>
      <c r="Q98" s="229"/>
      <c r="R98" s="150"/>
      <c r="S98" s="156"/>
      <c r="T98" s="238"/>
    </row>
    <row r="99" spans="2:20">
      <c r="B99" s="147" t="s">
        <v>138</v>
      </c>
      <c r="C99" s="148" t="s">
        <v>167</v>
      </c>
      <c r="D99" s="149"/>
      <c r="E99" s="149"/>
      <c r="F99" s="149"/>
      <c r="G99" s="149"/>
      <c r="H99" s="149"/>
      <c r="I99" s="149"/>
      <c r="J99" s="149"/>
      <c r="K99" s="149"/>
      <c r="L99" s="149"/>
      <c r="M99" s="149"/>
      <c r="N99" s="149"/>
      <c r="O99" s="149"/>
      <c r="P99" s="151"/>
      <c r="Q99" s="225" t="s">
        <v>116</v>
      </c>
      <c r="R99" s="150"/>
      <c r="S99" s="156"/>
      <c r="T99" s="225" t="s">
        <v>117</v>
      </c>
    </row>
    <row r="100" spans="2:20" ht="21.75" customHeight="1">
      <c r="B100" s="147"/>
      <c r="C100" s="148"/>
      <c r="D100" s="149"/>
      <c r="E100" s="149"/>
      <c r="F100" s="149"/>
      <c r="G100" s="149"/>
      <c r="H100" s="149"/>
      <c r="I100" s="149"/>
      <c r="J100" s="149"/>
      <c r="K100" s="149"/>
      <c r="L100" s="149"/>
      <c r="M100" s="149"/>
      <c r="N100" s="149"/>
      <c r="O100" s="149"/>
      <c r="P100" s="144"/>
      <c r="Q100" s="220"/>
      <c r="R100" s="150"/>
      <c r="S100" s="156"/>
      <c r="T100" s="235"/>
    </row>
    <row r="101" spans="2:20">
      <c r="B101" s="147"/>
      <c r="C101" s="1339" t="s">
        <v>168</v>
      </c>
      <c r="D101" s="149"/>
      <c r="E101" s="149"/>
      <c r="F101" s="149"/>
      <c r="G101" s="149"/>
      <c r="H101" s="149"/>
      <c r="I101" s="149"/>
      <c r="J101" s="149"/>
      <c r="K101" s="149"/>
      <c r="L101" s="149"/>
      <c r="M101" s="149"/>
      <c r="N101" s="149"/>
      <c r="O101" s="149"/>
      <c r="P101" s="149"/>
      <c r="Q101" s="222"/>
      <c r="R101" s="150"/>
      <c r="S101" s="156"/>
      <c r="T101" s="233"/>
    </row>
    <row r="102" spans="2:20" ht="9" customHeight="1">
      <c r="B102" s="147"/>
      <c r="C102" s="167"/>
      <c r="D102" s="149"/>
      <c r="E102" s="149"/>
      <c r="F102" s="149"/>
      <c r="G102" s="149"/>
      <c r="H102" s="149"/>
      <c r="I102" s="149"/>
      <c r="J102" s="149"/>
      <c r="K102" s="149"/>
      <c r="L102" s="149"/>
      <c r="M102" s="149"/>
      <c r="N102" s="149"/>
      <c r="O102" s="149"/>
      <c r="P102" s="149"/>
      <c r="Q102" s="222"/>
      <c r="R102" s="150"/>
      <c r="S102" s="156"/>
      <c r="T102" s="233"/>
    </row>
    <row r="103" spans="2:20">
      <c r="B103" s="147"/>
      <c r="C103" s="4546"/>
      <c r="D103" s="4547"/>
      <c r="E103" s="4547"/>
      <c r="F103" s="4547"/>
      <c r="G103" s="4547"/>
      <c r="H103" s="4547"/>
      <c r="I103" s="4547"/>
      <c r="J103" s="4547"/>
      <c r="K103" s="4547"/>
      <c r="L103" s="4547"/>
      <c r="M103" s="4547"/>
      <c r="N103" s="4547"/>
      <c r="O103" s="4547"/>
      <c r="P103" s="4547"/>
      <c r="Q103" s="4547"/>
      <c r="R103" s="4547"/>
      <c r="S103" s="4547"/>
      <c r="T103" s="4547"/>
    </row>
    <row r="104" spans="2:20">
      <c r="B104" s="147"/>
      <c r="C104" s="4540"/>
      <c r="D104" s="4541"/>
      <c r="E104" s="4541"/>
      <c r="F104" s="4541"/>
      <c r="G104" s="4541"/>
      <c r="H104" s="4541"/>
      <c r="I104" s="4541"/>
      <c r="J104" s="4541"/>
      <c r="K104" s="4541"/>
      <c r="L104" s="4541"/>
      <c r="M104" s="4541"/>
      <c r="N104" s="4541"/>
      <c r="O104" s="4541"/>
      <c r="P104" s="4541"/>
      <c r="Q104" s="4541"/>
      <c r="R104" s="4541"/>
      <c r="S104" s="4541"/>
      <c r="T104" s="4541"/>
    </row>
    <row r="105" spans="2:20">
      <c r="B105" s="147"/>
      <c r="C105" s="167"/>
      <c r="D105" s="149"/>
      <c r="E105" s="149"/>
      <c r="F105" s="149"/>
      <c r="G105" s="149"/>
      <c r="H105" s="149"/>
      <c r="I105" s="149"/>
      <c r="J105" s="149"/>
      <c r="K105" s="149"/>
      <c r="L105" s="149"/>
      <c r="M105" s="149"/>
      <c r="N105" s="149"/>
      <c r="O105" s="149"/>
      <c r="P105" s="149"/>
      <c r="Q105" s="222"/>
      <c r="R105" s="150"/>
      <c r="S105" s="156"/>
      <c r="T105" s="233"/>
    </row>
    <row r="106" spans="2:20">
      <c r="B106" s="147"/>
      <c r="C106" s="168"/>
      <c r="D106" s="164"/>
      <c r="E106" s="164"/>
      <c r="F106" s="164"/>
      <c r="G106" s="164"/>
      <c r="H106" s="164"/>
      <c r="I106" s="164"/>
      <c r="J106" s="149"/>
      <c r="K106" s="149"/>
      <c r="L106" s="164"/>
      <c r="M106" s="164"/>
      <c r="N106" s="164"/>
      <c r="O106" s="164"/>
      <c r="P106" s="164"/>
      <c r="Q106" s="226"/>
      <c r="R106" s="160"/>
      <c r="S106" s="161"/>
      <c r="T106" s="233"/>
    </row>
    <row r="107" spans="2:20">
      <c r="B107" s="147"/>
      <c r="C107" s="4531" t="str">
        <f>VLOOKUP(M4,'VISITA DE INSP.'!A17:AI36,4,4)</f>
        <v>ARANDA ESCALANTE * ARELI GUADALUPE</v>
      </c>
      <c r="D107" s="4532"/>
      <c r="E107" s="4532"/>
      <c r="F107" s="4532"/>
      <c r="G107" s="4532"/>
      <c r="H107" s="4532"/>
      <c r="I107" s="4532"/>
      <c r="J107" s="4532"/>
      <c r="K107" s="4533"/>
      <c r="L107" s="164"/>
      <c r="M107" s="164"/>
      <c r="N107" s="4542" t="s">
        <v>90</v>
      </c>
      <c r="O107" s="4543"/>
      <c r="P107" s="4543"/>
      <c r="Q107" s="4543"/>
      <c r="R107" s="4543"/>
      <c r="S107" s="4543"/>
      <c r="T107" s="4543"/>
    </row>
    <row r="108" spans="2:20">
      <c r="B108" s="147"/>
      <c r="C108" s="4246" t="s">
        <v>169</v>
      </c>
      <c r="D108" s="4247"/>
      <c r="E108" s="4247"/>
      <c r="F108" s="4247"/>
      <c r="G108" s="4247"/>
      <c r="H108" s="4247"/>
      <c r="I108" s="4247"/>
      <c r="J108" s="4247"/>
      <c r="K108" s="4388"/>
      <c r="L108" s="164"/>
      <c r="M108" s="164"/>
      <c r="N108" s="4246" t="s">
        <v>170</v>
      </c>
      <c r="O108" s="4247"/>
      <c r="P108" s="4247"/>
      <c r="Q108" s="4247"/>
      <c r="R108" s="4247"/>
      <c r="S108" s="4247"/>
      <c r="T108" s="4247"/>
    </row>
    <row r="109" spans="2:20" ht="7.5" customHeight="1">
      <c r="B109" s="169"/>
      <c r="C109" s="170"/>
      <c r="D109" s="164"/>
      <c r="E109" s="164"/>
      <c r="F109" s="164"/>
      <c r="G109" s="164"/>
      <c r="H109" s="164"/>
      <c r="I109" s="164"/>
      <c r="J109" s="164"/>
      <c r="K109" s="164"/>
      <c r="L109" s="164"/>
      <c r="M109" s="164"/>
      <c r="N109" s="164"/>
      <c r="O109" s="164"/>
      <c r="P109" s="164"/>
      <c r="Q109" s="226"/>
      <c r="R109" s="160"/>
      <c r="S109" s="161"/>
      <c r="T109" s="236"/>
    </row>
  </sheetData>
  <sheetProtection selectLockedCells="1"/>
  <mergeCells count="23">
    <mergeCell ref="C103:T103"/>
    <mergeCell ref="S83:T83"/>
    <mergeCell ref="M10:T10"/>
    <mergeCell ref="M7:T7"/>
    <mergeCell ref="C57:T57"/>
    <mergeCell ref="C77:T77"/>
    <mergeCell ref="N14:T14"/>
    <mergeCell ref="O5:P5"/>
    <mergeCell ref="S5:T5"/>
    <mergeCell ref="C108:K108"/>
    <mergeCell ref="C107:K107"/>
    <mergeCell ref="C42:T42"/>
    <mergeCell ref="C70:T70"/>
    <mergeCell ref="N16:T16"/>
    <mergeCell ref="F5:L5"/>
    <mergeCell ref="N108:T108"/>
    <mergeCell ref="E7:F7"/>
    <mergeCell ref="C104:T104"/>
    <mergeCell ref="N107:T107"/>
    <mergeCell ref="C49:T49"/>
    <mergeCell ref="C37:T37"/>
    <mergeCell ref="G31:T31"/>
    <mergeCell ref="C54:T54"/>
  </mergeCells>
  <conditionalFormatting sqref="I7 M7:T7 F5:L5 O5:P5 E7:F7 C107:K107 D10:M10">
    <cfRule type="cellIs" dxfId="803" priority="2" stopIfTrue="1" operator="equal">
      <formula>0</formula>
    </cfRule>
  </conditionalFormatting>
  <printOptions horizontalCentered="1"/>
  <pageMargins left="0.39370078740157483" right="0.31496062992125984" top="0.55118110236220474" bottom="0.35433070866141736" header="0.31496062992125984" footer="0"/>
  <pageSetup paperSize="9" scale="90" orientation="portrait" horizontalDpi="300" verticalDpi="300" r:id="rId1"/>
  <rowBreaks count="1" manualBreakCount="1">
    <brk id="56" max="19" man="1"/>
  </rowBreaks>
  <drawing r:id="rId2"/>
  <legacyDrawing r:id="rId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theme="7" tint="0.79998168889431442"/>
  </sheetPr>
  <dimension ref="B1:AA137"/>
  <sheetViews>
    <sheetView view="pageBreakPreview" topLeftCell="C3" zoomScaleSheetLayoutView="100" workbookViewId="0">
      <selection activeCell="AC25" sqref="AC25"/>
    </sheetView>
  </sheetViews>
  <sheetFormatPr baseColWidth="10" defaultRowHeight="15.75"/>
  <cols>
    <col min="1" max="1" width="0.42578125" style="146" customWidth="1"/>
    <col min="2" max="2" width="4.7109375" style="146" customWidth="1"/>
    <col min="3" max="3" width="5.7109375" style="171" customWidth="1"/>
    <col min="4" max="4" width="5" style="146" customWidth="1"/>
    <col min="5" max="16" width="5.7109375" style="146" customWidth="1"/>
    <col min="17" max="17" width="5.7109375" style="231" customWidth="1"/>
    <col min="18" max="19" width="5.7109375" style="172" customWidth="1"/>
    <col min="20" max="20" width="5.7109375" style="231" customWidth="1"/>
    <col min="21" max="21" width="0.42578125" style="146" customWidth="1"/>
    <col min="22" max="25" width="5.5703125" style="2903" hidden="1" customWidth="1"/>
    <col min="26" max="27" width="5.5703125" style="146" hidden="1" customWidth="1"/>
    <col min="28" max="16384" width="11.42578125" style="146"/>
  </cols>
  <sheetData>
    <row r="1" spans="2:27" ht="16.5" customHeight="1">
      <c r="B1" s="2855" t="s">
        <v>774</v>
      </c>
      <c r="C1" s="2853" t="s">
        <v>2089</v>
      </c>
      <c r="D1" s="144" t="s">
        <v>79</v>
      </c>
      <c r="E1" s="144"/>
      <c r="F1" s="144"/>
      <c r="G1" s="144"/>
      <c r="H1" s="144"/>
      <c r="I1" s="144"/>
      <c r="J1" s="1147"/>
      <c r="K1" s="1201" t="s">
        <v>196</v>
      </c>
      <c r="L1" s="1090"/>
      <c r="M1" s="1090"/>
      <c r="N1" s="1147"/>
      <c r="P1" s="2841" t="s">
        <v>774</v>
      </c>
      <c r="Q1" s="2842" t="s">
        <v>1540</v>
      </c>
      <c r="R1" s="2842" t="s">
        <v>1541</v>
      </c>
      <c r="S1" s="2842" t="s">
        <v>1542</v>
      </c>
      <c r="T1" s="2844" t="s">
        <v>1543</v>
      </c>
      <c r="U1" s="146" t="s">
        <v>79</v>
      </c>
      <c r="V1" s="2902">
        <f>'Guía de diagnóstico'!F31</f>
        <v>0.73199999999999998</v>
      </c>
      <c r="W1" s="2902">
        <f>'Guía de diagnóstico'!J31</f>
        <v>0.24299999999999999</v>
      </c>
      <c r="X1" s="2902">
        <f>'Guía de diagnóstico'!N31</f>
        <v>2.5000000000000001E-2</v>
      </c>
      <c r="Y1" s="2902">
        <f>'Guía de diagnóstico'!R31</f>
        <v>0</v>
      </c>
      <c r="Z1" s="2905" t="str">
        <f>'Guía de diagnóstico'!D21</f>
        <v>Prueba objetiva</v>
      </c>
      <c r="AA1" s="2905" t="str">
        <f>'Guía de diagnóstico'!M21</f>
        <v>Aprobada por el consejo técnico del plantel educativo, esta observación se encuentra registrada en el PAT de la misma.</v>
      </c>
    </row>
    <row r="2" spans="2:27" ht="16.5" customHeight="1">
      <c r="B2" s="2856" t="s">
        <v>877</v>
      </c>
      <c r="C2" s="2854" t="s">
        <v>2088</v>
      </c>
      <c r="D2" s="149" t="s">
        <v>79</v>
      </c>
      <c r="E2" s="149"/>
      <c r="F2" s="149"/>
      <c r="G2" s="149"/>
      <c r="H2" s="149"/>
      <c r="I2" s="149"/>
      <c r="J2" s="1131"/>
      <c r="K2" s="1203" t="s">
        <v>105</v>
      </c>
      <c r="L2" s="1090"/>
      <c r="M2" s="1090"/>
      <c r="N2" s="1178"/>
      <c r="O2" s="1090"/>
      <c r="P2" s="2841" t="s">
        <v>877</v>
      </c>
      <c r="Q2" s="2842" t="s">
        <v>1540</v>
      </c>
      <c r="R2" s="2842" t="s">
        <v>1541</v>
      </c>
      <c r="S2" s="2842" t="s">
        <v>1542</v>
      </c>
      <c r="T2" s="2844" t="s">
        <v>1543</v>
      </c>
      <c r="U2" s="146" t="s">
        <v>79</v>
      </c>
      <c r="V2" s="2902">
        <f>'Guía de diagnóstico'!F34</f>
        <v>3.7999999999999999E-2</v>
      </c>
      <c r="W2" s="2902">
        <f>'Guía de diagnóstico'!J34</f>
        <v>9.7000000000000003E-2</v>
      </c>
      <c r="X2" s="2902">
        <f>'Guía de diagnóstico'!N34</f>
        <v>0.73199999999999998</v>
      </c>
      <c r="Y2" s="2902">
        <f>'Guía de diagnóstico'!R34</f>
        <v>0.13300000000000001</v>
      </c>
      <c r="Z2" s="2905" t="str">
        <f>'Guía de diagnóstico'!D22</f>
        <v>Prueba objetiva</v>
      </c>
      <c r="AA2" s="2905" t="str">
        <f>'Guía de diagnóstico'!M22</f>
        <v>Aprobada por el consejo técnico del plantel educativo</v>
      </c>
    </row>
    <row r="3" spans="2:27" ht="16.5" customHeight="1">
      <c r="B3" s="2856" t="s">
        <v>768</v>
      </c>
      <c r="C3" s="2854" t="s">
        <v>2090</v>
      </c>
      <c r="D3" s="149" t="s">
        <v>79</v>
      </c>
      <c r="E3" s="149"/>
      <c r="F3" s="149"/>
      <c r="G3" s="149"/>
      <c r="H3" s="149"/>
      <c r="I3" s="149"/>
      <c r="J3" s="1131"/>
      <c r="K3" s="2831" t="s">
        <v>106</v>
      </c>
      <c r="L3" s="1090"/>
      <c r="M3" s="1090"/>
      <c r="N3" s="1135"/>
      <c r="P3" s="2841" t="s">
        <v>768</v>
      </c>
      <c r="Q3" s="2843" t="s">
        <v>1605</v>
      </c>
      <c r="R3" s="2843" t="s">
        <v>1606</v>
      </c>
      <c r="S3" s="2843" t="s">
        <v>1607</v>
      </c>
      <c r="T3" s="2845" t="s">
        <v>1608</v>
      </c>
      <c r="U3" s="146" t="s">
        <v>79</v>
      </c>
      <c r="V3" s="2902">
        <f>'Guía de diagnóstico'!F37</f>
        <v>0.67300000000000004</v>
      </c>
      <c r="W3" s="2902">
        <f>'Guía de diagnóstico'!J37</f>
        <v>0.185</v>
      </c>
      <c r="X3" s="2902">
        <f>'Guía de diagnóstico'!N37</f>
        <v>0.13100000000000001</v>
      </c>
      <c r="Y3" s="2902">
        <f>'Guía de diagnóstico'!R37</f>
        <v>1.0999999999999954E-2</v>
      </c>
      <c r="Z3" s="2905" t="str">
        <f>'Guía de diagnóstico'!D23</f>
        <v>Prueba objetiva</v>
      </c>
      <c r="AA3" s="2905" t="str">
        <f>'Guía de diagnóstico'!M23</f>
        <v>Esta observación se encuentra registrada en el PAT de la misma.</v>
      </c>
    </row>
    <row r="4" spans="2:27" ht="16.5" customHeight="1">
      <c r="B4" s="2856" t="s">
        <v>775</v>
      </c>
      <c r="C4" s="2854" t="s">
        <v>2091</v>
      </c>
      <c r="D4" s="149" t="s">
        <v>79</v>
      </c>
      <c r="E4" s="149"/>
      <c r="F4" s="149"/>
      <c r="G4" s="149"/>
      <c r="H4" s="149"/>
      <c r="I4" s="149"/>
      <c r="J4" s="149"/>
      <c r="K4" s="2830" t="s">
        <v>173</v>
      </c>
      <c r="N4" s="149"/>
      <c r="O4" s="149"/>
      <c r="P4" s="2841" t="s">
        <v>775</v>
      </c>
      <c r="Q4" s="2843" t="s">
        <v>1605</v>
      </c>
      <c r="R4" s="2843" t="s">
        <v>1606</v>
      </c>
      <c r="S4" s="2843" t="s">
        <v>1607</v>
      </c>
      <c r="T4" s="2845" t="s">
        <v>1608</v>
      </c>
      <c r="U4" s="146" t="s">
        <v>79</v>
      </c>
      <c r="V4" s="2902">
        <f>'Guía de diagnóstico'!F38</f>
        <v>0.67600000000000005</v>
      </c>
      <c r="W4" s="2902">
        <f>'Guía de diagnóstico'!J38</f>
        <v>0.223</v>
      </c>
      <c r="X4" s="2902">
        <f>'Guía de diagnóstico'!N38</f>
        <v>8.5999999999999993E-2</v>
      </c>
      <c r="Y4" s="2902">
        <f>'Guía de diagnóstico'!R38</f>
        <v>1.4999999999999958E-2</v>
      </c>
      <c r="Z4" s="2905" t="str">
        <f>'Guía de diagnóstico'!D24</f>
        <v>Prueba objetiva</v>
      </c>
      <c r="AA4" s="2905" t="str">
        <f>'Guía de diagnóstico'!M24</f>
        <v>Esta observación se encuentra registrada en el PAT de la misma.</v>
      </c>
    </row>
    <row r="5" spans="2:27" ht="12" customHeight="1">
      <c r="B5" s="2856" t="s">
        <v>776</v>
      </c>
      <c r="C5" s="2854" t="s">
        <v>2092</v>
      </c>
      <c r="D5" s="149" t="s">
        <v>79</v>
      </c>
      <c r="E5" s="149"/>
      <c r="F5" s="149"/>
      <c r="G5" s="149"/>
      <c r="H5" s="149"/>
      <c r="I5" s="149"/>
      <c r="J5" s="164"/>
      <c r="K5" s="2829"/>
      <c r="L5" s="1090"/>
      <c r="M5" s="1090"/>
      <c r="N5" s="142"/>
      <c r="O5" s="149"/>
      <c r="P5" s="2841" t="s">
        <v>776</v>
      </c>
      <c r="Q5" s="2843" t="s">
        <v>1605</v>
      </c>
      <c r="R5" s="2843" t="s">
        <v>1606</v>
      </c>
      <c r="S5" s="2843" t="s">
        <v>1607</v>
      </c>
      <c r="T5" s="2845" t="s">
        <v>1608</v>
      </c>
      <c r="U5" s="146" t="s">
        <v>79</v>
      </c>
      <c r="V5" s="2902">
        <f>'Guía de diagnóstico'!F39</f>
        <v>0.65</v>
      </c>
      <c r="W5" s="2902">
        <f>'Guía de diagnóstico'!J39</f>
        <v>0.316</v>
      </c>
      <c r="X5" s="2902">
        <f>'Guía de diagnóstico'!N39</f>
        <v>3.2000000000000001E-2</v>
      </c>
      <c r="Y5" s="2902">
        <f>'Guía de diagnóstico'!R39</f>
        <v>1.999999999999974E-3</v>
      </c>
      <c r="Z5" s="2905" t="str">
        <f>'Guía de diagnóstico'!D25</f>
        <v>Prueba objetiva</v>
      </c>
      <c r="AA5" s="2905" t="str">
        <f>'Guía de diagnóstico'!M25</f>
        <v>Aprobada porel consejpo técnico</v>
      </c>
    </row>
    <row r="6" spans="2:27" ht="12" customHeight="1">
      <c r="B6" s="2856" t="s">
        <v>777</v>
      </c>
      <c r="C6" s="2854" t="s">
        <v>2093</v>
      </c>
      <c r="D6" s="149" t="s">
        <v>79</v>
      </c>
      <c r="E6" s="149"/>
      <c r="F6" s="149"/>
      <c r="G6" s="149"/>
      <c r="H6" s="149"/>
      <c r="I6" s="151"/>
      <c r="J6" s="1674">
        <f>'VISITA DE INSP.'!T6</f>
        <v>1</v>
      </c>
      <c r="K6" s="1091"/>
      <c r="L6" s="2859">
        <v>5</v>
      </c>
      <c r="M6" s="147"/>
      <c r="N6" s="149"/>
      <c r="O6" s="149"/>
      <c r="P6" s="2841" t="s">
        <v>777</v>
      </c>
      <c r="Q6" s="2843" t="s">
        <v>1605</v>
      </c>
      <c r="R6" s="2843" t="s">
        <v>1606</v>
      </c>
      <c r="S6" s="2843" t="s">
        <v>1607</v>
      </c>
      <c r="T6" s="2843" t="s">
        <v>1608</v>
      </c>
      <c r="U6" s="146" t="s">
        <v>79</v>
      </c>
      <c r="V6" s="2902">
        <f>'Guía de diagnóstico'!F40</f>
        <v>0.87</v>
      </c>
      <c r="W6" s="2902">
        <f>'Guía de diagnóstico'!J40</f>
        <v>0.10100000000000001</v>
      </c>
      <c r="X6" s="2902">
        <f>'Guía de diagnóstico'!N40</f>
        <v>1.9E-2</v>
      </c>
      <c r="Y6" s="2902">
        <f>'Guía de diagnóstico'!R40</f>
        <v>9.9999999999999985E-3</v>
      </c>
      <c r="Z6" s="2905" t="str">
        <f>'Guía de diagnóstico'!D26</f>
        <v>Prueba objetiva</v>
      </c>
      <c r="AA6" s="2905" t="str">
        <f>'Guía de diagnóstico'!M26</f>
        <v>Aprobada esta observación se encuentra registrada en el PAT de la misma.</v>
      </c>
    </row>
    <row r="7" spans="2:27" ht="15" customHeight="1">
      <c r="B7" s="152" t="s">
        <v>2056</v>
      </c>
      <c r="C7" s="149"/>
      <c r="D7" s="149"/>
      <c r="E7" s="2847" t="str">
        <f>'VISITA DE INSP.'!E7</f>
        <v>KABAH</v>
      </c>
      <c r="F7" s="1319"/>
      <c r="G7" s="1319"/>
      <c r="H7" s="1319"/>
      <c r="I7" s="1319"/>
      <c r="J7" s="1319"/>
      <c r="K7" s="1319"/>
      <c r="L7" s="2848"/>
      <c r="M7" s="1333"/>
      <c r="N7" s="153" t="s">
        <v>19</v>
      </c>
      <c r="O7" s="4527" t="str">
        <f>'VISITA DE INSP.'!V7</f>
        <v>23DPR0055K</v>
      </c>
      <c r="P7" s="4528"/>
      <c r="Q7" s="1332"/>
      <c r="R7" s="153" t="s">
        <v>183</v>
      </c>
      <c r="S7" s="4529" t="s">
        <v>100</v>
      </c>
      <c r="T7" s="4530"/>
      <c r="U7" s="146" t="s">
        <v>79</v>
      </c>
    </row>
    <row r="8" spans="2:27" ht="5.25" customHeight="1">
      <c r="B8" s="152"/>
      <c r="C8" s="149"/>
      <c r="D8" s="149"/>
      <c r="E8" s="144"/>
      <c r="F8" s="157"/>
      <c r="G8" s="144"/>
      <c r="H8" s="144"/>
      <c r="I8" s="144"/>
      <c r="J8" s="144"/>
      <c r="K8" s="144"/>
      <c r="L8" s="144"/>
      <c r="M8" s="149"/>
      <c r="N8" s="149"/>
      <c r="O8" s="211"/>
      <c r="P8" s="211"/>
      <c r="Q8" s="219"/>
      <c r="R8" s="144"/>
      <c r="S8" s="154"/>
      <c r="T8" s="232"/>
    </row>
    <row r="9" spans="2:27" ht="15" customHeight="1">
      <c r="B9" s="152" t="s">
        <v>2057</v>
      </c>
      <c r="C9" s="149"/>
      <c r="D9" s="4527" t="str">
        <f>VLOOKUP(L6,'VISITA DE INSP.'!A17:AI36,2,2)</f>
        <v>2º</v>
      </c>
      <c r="E9" s="4528"/>
      <c r="F9" s="1675"/>
      <c r="G9" s="153" t="s">
        <v>187</v>
      </c>
      <c r="H9" s="4527" t="str">
        <f>VLOOKUP(L6,'VISITA DE INSP.'!A17:AI36,3,3)</f>
        <v>B</v>
      </c>
      <c r="I9" s="4539"/>
      <c r="J9" s="1334"/>
      <c r="K9" s="149"/>
      <c r="L9" s="153" t="s">
        <v>188</v>
      </c>
      <c r="M9" s="2849" t="str">
        <f>VLOOKUP(L6,'VISITA DE INSP.'!A17:AI36,4,4)</f>
        <v>GONGORA SANTOS * GRACIELA</v>
      </c>
      <c r="N9" s="2850"/>
      <c r="O9" s="2850"/>
      <c r="P9" s="2850"/>
      <c r="Q9" s="2850"/>
      <c r="R9" s="2850"/>
      <c r="S9" s="2850"/>
      <c r="T9" s="2850"/>
    </row>
    <row r="10" spans="2:27" ht="3.75" customHeight="1">
      <c r="B10" s="152"/>
      <c r="C10" s="149"/>
      <c r="D10" s="144"/>
      <c r="E10" s="154"/>
      <c r="F10" s="1099"/>
      <c r="G10" s="2827"/>
      <c r="H10" s="145"/>
      <c r="I10" s="144"/>
      <c r="J10" s="153"/>
      <c r="K10" s="149"/>
      <c r="L10" s="149"/>
      <c r="M10" s="144"/>
      <c r="N10" s="144"/>
      <c r="O10" s="144"/>
      <c r="P10" s="144"/>
      <c r="Q10" s="223"/>
      <c r="R10" s="144"/>
      <c r="S10" s="154"/>
      <c r="T10" s="232"/>
    </row>
    <row r="11" spans="2:27" ht="3.75" customHeight="1">
      <c r="B11" s="152"/>
      <c r="C11" s="149"/>
      <c r="D11" s="149"/>
      <c r="E11" s="144"/>
      <c r="F11" s="1147"/>
      <c r="G11" s="153"/>
      <c r="H11" s="150"/>
      <c r="I11" s="144"/>
      <c r="J11" s="153"/>
      <c r="K11" s="149"/>
      <c r="L11" s="149"/>
      <c r="M11" s="144"/>
      <c r="N11" s="144"/>
      <c r="O11" s="144"/>
      <c r="P11" s="144"/>
      <c r="Q11" s="223"/>
      <c r="R11" s="144"/>
      <c r="S11" s="154"/>
      <c r="T11" s="232"/>
    </row>
    <row r="12" spans="2:27" ht="15" customHeight="1">
      <c r="B12" s="152" t="s">
        <v>2058</v>
      </c>
      <c r="C12" s="149"/>
      <c r="D12" s="1055"/>
      <c r="E12" s="1056"/>
      <c r="F12" s="1329"/>
      <c r="G12" s="1329"/>
      <c r="H12" s="1329"/>
      <c r="I12" s="1329"/>
      <c r="J12" s="1329"/>
      <c r="K12" s="1329"/>
      <c r="L12" s="1330" t="s">
        <v>893</v>
      </c>
      <c r="M12" s="4550">
        <f ca="1">TODAY()</f>
        <v>41787</v>
      </c>
      <c r="N12" s="4550"/>
      <c r="O12" s="4550"/>
      <c r="P12" s="4550"/>
      <c r="Q12" s="4550"/>
      <c r="R12" s="4550"/>
      <c r="S12" s="4550"/>
      <c r="T12" s="4550"/>
    </row>
    <row r="13" spans="2:27" ht="9" customHeight="1">
      <c r="B13" s="152"/>
      <c r="C13" s="149"/>
      <c r="D13" s="144"/>
      <c r="E13" s="144"/>
      <c r="F13" s="144"/>
      <c r="G13" s="144"/>
      <c r="H13" s="144"/>
      <c r="I13" s="144"/>
      <c r="J13" s="144"/>
      <c r="K13" s="144"/>
      <c r="L13" s="144"/>
      <c r="M13" s="144"/>
      <c r="N13" s="144"/>
      <c r="O13" s="144"/>
      <c r="P13" s="144"/>
      <c r="Q13" s="223"/>
      <c r="R13" s="144"/>
      <c r="S13" s="154"/>
      <c r="T13" s="232"/>
    </row>
    <row r="14" spans="2:27" ht="14.1" customHeight="1">
      <c r="B14" s="4618" t="s">
        <v>2039</v>
      </c>
      <c r="C14" s="4618"/>
      <c r="D14" s="4618"/>
      <c r="E14" s="4618"/>
      <c r="F14" s="4618"/>
      <c r="G14" s="4618"/>
      <c r="H14" s="4618"/>
      <c r="I14" s="4618"/>
      <c r="J14" s="4618"/>
      <c r="K14" s="4618"/>
      <c r="L14" s="4618"/>
      <c r="M14" s="4618"/>
      <c r="N14" s="4618"/>
      <c r="O14" s="4618"/>
      <c r="P14" s="4618"/>
      <c r="Q14" s="4618"/>
      <c r="R14" s="4618"/>
      <c r="S14" s="4618"/>
      <c r="T14" s="4618"/>
    </row>
    <row r="15" spans="2:27" ht="14.1" customHeight="1">
      <c r="B15" s="4619" t="s">
        <v>2040</v>
      </c>
      <c r="C15" s="4619"/>
      <c r="D15" s="4619"/>
      <c r="E15" s="4619"/>
      <c r="F15" s="4619"/>
      <c r="G15" s="4619"/>
      <c r="H15" s="4619"/>
      <c r="I15" s="4619"/>
      <c r="J15" s="4619"/>
      <c r="K15" s="4619"/>
      <c r="L15" s="4619"/>
      <c r="M15" s="4619"/>
      <c r="N15" s="4619"/>
      <c r="O15" s="4619"/>
      <c r="P15" s="4619"/>
      <c r="Q15" s="4619"/>
      <c r="R15" s="4619"/>
      <c r="S15" s="4619"/>
      <c r="T15" s="4619"/>
    </row>
    <row r="16" spans="2:27" ht="14.1" customHeight="1">
      <c r="B16" s="4620" t="s">
        <v>2041</v>
      </c>
      <c r="C16" s="4620"/>
      <c r="D16" s="4620"/>
      <c r="E16" s="4620"/>
      <c r="F16" s="4620"/>
      <c r="G16" s="4620"/>
      <c r="H16" s="4620"/>
      <c r="I16" s="4620"/>
      <c r="J16" s="4620"/>
      <c r="K16" s="4620"/>
      <c r="L16" s="4620"/>
      <c r="M16" s="4620"/>
      <c r="N16" s="4620"/>
      <c r="O16" s="4620"/>
      <c r="P16" s="4620"/>
      <c r="Q16" s="4620"/>
      <c r="R16" s="4620"/>
      <c r="S16" s="4620"/>
      <c r="T16" s="4620"/>
    </row>
    <row r="17" spans="2:21" ht="6" customHeight="1">
      <c r="B17" s="1099"/>
      <c r="C17" s="1099"/>
      <c r="D17" s="1099"/>
      <c r="E17" s="1099"/>
      <c r="F17" s="1099"/>
      <c r="G17" s="1099"/>
      <c r="H17" s="1099"/>
      <c r="I17" s="1099"/>
      <c r="J17" s="1099"/>
      <c r="K17" s="1099"/>
      <c r="L17" s="1099"/>
      <c r="M17" s="1099"/>
      <c r="N17" s="1099"/>
      <c r="O17" s="1099"/>
      <c r="P17" s="1099"/>
      <c r="Q17" s="1102"/>
      <c r="R17" s="1099"/>
      <c r="S17" s="1099"/>
      <c r="T17" s="1102"/>
    </row>
    <row r="18" spans="2:21" ht="15.75" customHeight="1">
      <c r="B18" s="2832" t="s">
        <v>2038</v>
      </c>
      <c r="C18" s="1737"/>
      <c r="D18" s="1099"/>
      <c r="E18" s="1099"/>
      <c r="F18" s="1099"/>
      <c r="G18" s="1099"/>
      <c r="H18" s="1099"/>
      <c r="I18" s="1099"/>
      <c r="J18" s="1099"/>
      <c r="K18" s="1099"/>
      <c r="L18" s="1099"/>
      <c r="M18" s="1099"/>
      <c r="N18" s="1689"/>
      <c r="O18" s="1689"/>
      <c r="P18" s="1689"/>
      <c r="Q18" s="1689"/>
      <c r="R18" s="1689"/>
      <c r="S18" s="1689"/>
      <c r="T18" s="1689"/>
    </row>
    <row r="19" spans="2:21" ht="6" customHeight="1">
      <c r="B19" s="1099"/>
      <c r="C19" s="1099"/>
      <c r="D19" s="1099"/>
      <c r="E19" s="1099"/>
      <c r="F19" s="1099"/>
      <c r="G19" s="1099"/>
      <c r="H19" s="1099"/>
      <c r="I19" s="1099"/>
      <c r="J19" s="1099"/>
      <c r="K19" s="1099"/>
      <c r="L19" s="1099"/>
      <c r="M19" s="1099"/>
      <c r="N19" s="1099"/>
      <c r="O19" s="1099"/>
      <c r="P19" s="1099"/>
      <c r="Q19" s="1102"/>
      <c r="R19" s="1099"/>
      <c r="S19" s="1101"/>
      <c r="T19" s="1102"/>
    </row>
    <row r="20" spans="2:21" ht="14.1" customHeight="1">
      <c r="B20" s="1099" t="s">
        <v>110</v>
      </c>
      <c r="C20" s="1099" t="s">
        <v>1532</v>
      </c>
      <c r="D20" s="1099"/>
      <c r="E20" s="1099"/>
      <c r="F20" s="1099"/>
      <c r="G20" s="1099"/>
      <c r="H20" s="1099"/>
      <c r="I20" s="1099"/>
      <c r="J20" s="1099"/>
      <c r="K20" s="1099"/>
      <c r="L20" s="1099"/>
      <c r="M20" s="1099"/>
      <c r="N20" s="1099"/>
      <c r="O20" s="1099"/>
      <c r="P20" s="1099"/>
      <c r="Q20" s="1100"/>
      <c r="R20" s="1101"/>
      <c r="S20" s="1101"/>
      <c r="T20" s="1100"/>
    </row>
    <row r="21" spans="2:21" ht="6" customHeight="1">
      <c r="B21" s="1099"/>
      <c r="C21" s="1737"/>
      <c r="D21" s="1099"/>
      <c r="E21" s="1099"/>
      <c r="F21" s="1099"/>
      <c r="G21" s="1099"/>
      <c r="H21" s="1099"/>
      <c r="I21" s="1099"/>
      <c r="J21" s="1099"/>
      <c r="K21" s="1099"/>
      <c r="L21" s="1099"/>
      <c r="M21" s="1099"/>
      <c r="N21" s="1099"/>
      <c r="O21" s="1099"/>
      <c r="P21" s="1099"/>
      <c r="Q21" s="1100"/>
      <c r="R21" s="1101"/>
      <c r="S21" s="1101"/>
      <c r="T21" s="1100"/>
    </row>
    <row r="22" spans="2:21" ht="14.1" customHeight="1">
      <c r="B22" s="2925"/>
      <c r="C22" s="4332" t="s">
        <v>2042</v>
      </c>
      <c r="D22" s="4332"/>
      <c r="E22" s="4332"/>
      <c r="F22" s="4332"/>
      <c r="G22" s="4332"/>
      <c r="H22" s="4332"/>
      <c r="I22" s="4332"/>
      <c r="J22" s="4332"/>
      <c r="K22" s="4332"/>
      <c r="L22" s="4332" t="s">
        <v>270</v>
      </c>
      <c r="M22" s="4332"/>
      <c r="N22" s="4332"/>
      <c r="O22" s="4332"/>
      <c r="P22" s="4332"/>
      <c r="Q22" s="4332"/>
      <c r="R22" s="4332"/>
      <c r="S22" s="4332"/>
      <c r="T22" s="4332"/>
    </row>
    <row r="23" spans="2:21" ht="14.1" customHeight="1">
      <c r="B23" s="2924"/>
      <c r="C23" s="4616" t="str">
        <f>VLOOKUP(C30,P1:AA6,11,5)</f>
        <v>Prueba objetiva</v>
      </c>
      <c r="D23" s="4616"/>
      <c r="E23" s="4616"/>
      <c r="F23" s="4616"/>
      <c r="G23" s="4616"/>
      <c r="H23" s="4616"/>
      <c r="I23" s="4616"/>
      <c r="J23" s="4616"/>
      <c r="K23" s="4616"/>
      <c r="L23" s="4616" t="str">
        <f>VLOOKUP(C30,P1:AA6,12,5)</f>
        <v>Aprobada por el consejo técnico del plantel educativo</v>
      </c>
      <c r="M23" s="4616"/>
      <c r="N23" s="4616"/>
      <c r="O23" s="4616"/>
      <c r="P23" s="4616"/>
      <c r="Q23" s="4616"/>
      <c r="R23" s="4616"/>
      <c r="S23" s="4616"/>
      <c r="T23" s="4616"/>
    </row>
    <row r="24" spans="2:21" ht="9.75" customHeight="1">
      <c r="B24" s="1090"/>
      <c r="C24" s="4616"/>
      <c r="D24" s="4616"/>
      <c r="E24" s="4616"/>
      <c r="F24" s="4616"/>
      <c r="G24" s="4616"/>
      <c r="H24" s="4616"/>
      <c r="I24" s="4616"/>
      <c r="J24" s="4616"/>
      <c r="K24" s="4616"/>
      <c r="L24" s="4616"/>
      <c r="M24" s="4616"/>
      <c r="N24" s="4616"/>
      <c r="O24" s="4616"/>
      <c r="P24" s="4616"/>
      <c r="Q24" s="4616"/>
      <c r="R24" s="4616"/>
      <c r="S24" s="4616"/>
      <c r="T24" s="4616"/>
    </row>
    <row r="25" spans="2:21" ht="9.75" customHeight="1">
      <c r="B25" s="1099"/>
      <c r="C25" s="4616"/>
      <c r="D25" s="4616"/>
      <c r="E25" s="4616"/>
      <c r="F25" s="4616"/>
      <c r="G25" s="4616"/>
      <c r="H25" s="4616"/>
      <c r="I25" s="4616"/>
      <c r="J25" s="4616"/>
      <c r="K25" s="4616"/>
      <c r="L25" s="4616"/>
      <c r="M25" s="4616"/>
      <c r="N25" s="4616"/>
      <c r="O25" s="4616"/>
      <c r="P25" s="4616"/>
      <c r="Q25" s="4616"/>
      <c r="R25" s="4616"/>
      <c r="S25" s="4616"/>
      <c r="T25" s="4616"/>
    </row>
    <row r="26" spans="2:21" ht="6" customHeight="1">
      <c r="B26" s="1099"/>
      <c r="C26" s="1738"/>
      <c r="D26" s="1090"/>
      <c r="E26" s="1090"/>
      <c r="F26" s="1090"/>
      <c r="G26" s="1090"/>
      <c r="H26" s="1090"/>
      <c r="I26" s="1090"/>
      <c r="J26" s="1090"/>
      <c r="K26" s="1090"/>
      <c r="L26" s="1090"/>
      <c r="M26" s="1090"/>
      <c r="N26" s="1090"/>
      <c r="O26" s="1090"/>
      <c r="P26" s="1090"/>
      <c r="Q26" s="1096"/>
      <c r="R26" s="1097"/>
      <c r="S26" s="1097"/>
      <c r="T26" s="1096"/>
    </row>
    <row r="27" spans="2:21" ht="14.1" customHeight="1">
      <c r="B27" s="1099" t="s">
        <v>112</v>
      </c>
      <c r="C27" s="1099" t="s">
        <v>2043</v>
      </c>
      <c r="D27" s="1099"/>
      <c r="E27" s="1099"/>
      <c r="F27" s="1099"/>
      <c r="G27" s="1099"/>
      <c r="H27" s="1099"/>
      <c r="I27" s="1099"/>
      <c r="J27" s="1099"/>
      <c r="K27" s="1099"/>
      <c r="L27" s="1099"/>
      <c r="M27" s="1099"/>
      <c r="N27" s="1099"/>
      <c r="O27" s="1099"/>
      <c r="P27" s="1099"/>
      <c r="Q27" s="1100"/>
      <c r="R27" s="1101"/>
      <c r="S27" s="1108"/>
      <c r="T27" s="1100"/>
    </row>
    <row r="28" spans="2:21" ht="6" customHeight="1">
      <c r="B28" s="1099"/>
      <c r="C28" s="1738"/>
      <c r="D28" s="1090"/>
      <c r="E28" s="1090"/>
      <c r="F28" s="1090"/>
      <c r="G28" s="1090"/>
      <c r="H28" s="1090"/>
      <c r="I28" s="1090"/>
      <c r="J28" s="1090"/>
      <c r="K28" s="1090"/>
      <c r="L28" s="1090"/>
      <c r="M28" s="1090"/>
      <c r="N28" s="1090"/>
      <c r="O28" s="1090"/>
      <c r="P28" s="1090"/>
      <c r="Q28" s="1096"/>
      <c r="R28" s="1097"/>
      <c r="S28" s="1097"/>
      <c r="T28" s="1096"/>
    </row>
    <row r="29" spans="2:21" ht="14.1" customHeight="1">
      <c r="B29" s="1099"/>
      <c r="C29" s="1737"/>
      <c r="D29" s="1099"/>
      <c r="E29" s="1099"/>
      <c r="F29" s="4623" t="str">
        <f>VLOOKUP(C30,P1:T6,2,5)</f>
        <v>PRESILABICO</v>
      </c>
      <c r="G29" s="4623"/>
      <c r="H29" s="4623"/>
      <c r="I29" s="2824"/>
      <c r="J29" s="4606" t="str">
        <f>VLOOKUP(C30,P1:T6,3,5)</f>
        <v>SILABICO</v>
      </c>
      <c r="K29" s="4607"/>
      <c r="L29" s="4608"/>
      <c r="M29" s="2824"/>
      <c r="N29" s="4606" t="str">
        <f>VLOOKUP(C30,P1:T6,4,5)</f>
        <v>SILABICO/ALFABETICO</v>
      </c>
      <c r="O29" s="4607"/>
      <c r="P29" s="4608"/>
      <c r="Q29" s="2825"/>
      <c r="R29" s="4606" t="str">
        <f>VLOOKUP(C30,P1:T6,5,5)</f>
        <v>ALFABETICO</v>
      </c>
      <c r="S29" s="4607"/>
      <c r="T29" s="4608"/>
      <c r="U29" s="2822"/>
    </row>
    <row r="30" spans="2:21" ht="14.1" customHeight="1">
      <c r="B30" s="1099"/>
      <c r="C30" s="2839" t="str">
        <f>D9</f>
        <v>2º</v>
      </c>
      <c r="D30" s="1106" t="s">
        <v>2082</v>
      </c>
      <c r="E30" s="1099"/>
      <c r="F30" s="4241">
        <f>VLOOKUP(C30,P1:AA6,7,5)</f>
        <v>3.7999999999999999E-2</v>
      </c>
      <c r="G30" s="4241"/>
      <c r="H30" s="4241"/>
      <c r="I30" s="1717"/>
      <c r="J30" s="4609">
        <f>VLOOKUP(C30,P1:AA6,8,5)</f>
        <v>9.7000000000000003E-2</v>
      </c>
      <c r="K30" s="4610"/>
      <c r="L30" s="4611"/>
      <c r="M30" s="1717"/>
      <c r="N30" s="4609">
        <f>VLOOKUP(C30,P1:AA6,9,5)</f>
        <v>0.73199999999999998</v>
      </c>
      <c r="O30" s="4610"/>
      <c r="P30" s="4611"/>
      <c r="Q30" s="1718">
        <v>1</v>
      </c>
      <c r="R30" s="4241">
        <f>VLOOKUP(C30,P1:AA6,10,5)</f>
        <v>0.13300000000000001</v>
      </c>
      <c r="S30" s="4241"/>
      <c r="T30" s="4241"/>
      <c r="U30" s="2823"/>
    </row>
    <row r="31" spans="2:21" ht="6" customHeight="1">
      <c r="B31" s="1099"/>
      <c r="C31" s="2828"/>
      <c r="D31" s="1099"/>
      <c r="E31" s="1099"/>
      <c r="F31" s="1099"/>
      <c r="G31" s="1099"/>
      <c r="H31" s="1090"/>
      <c r="I31" s="1090"/>
      <c r="J31" s="1099"/>
      <c r="K31" s="1090"/>
      <c r="L31" s="1090"/>
      <c r="M31" s="1090"/>
      <c r="N31" s="1099"/>
      <c r="O31" s="1099"/>
      <c r="P31" s="1100"/>
      <c r="Q31" s="1718"/>
      <c r="R31" s="1099"/>
      <c r="S31" s="1101"/>
      <c r="T31" s="1100"/>
      <c r="U31" s="1100"/>
    </row>
    <row r="32" spans="2:21" ht="15.75" hidden="1" customHeight="1">
      <c r="B32" s="1099"/>
      <c r="C32" s="2833"/>
      <c r="D32" s="1099"/>
      <c r="E32" s="1099"/>
      <c r="F32" s="4612" t="s">
        <v>1540</v>
      </c>
      <c r="G32" s="4612"/>
      <c r="H32" s="4612"/>
      <c r="I32" s="2824"/>
      <c r="J32" s="4613" t="s">
        <v>1541</v>
      </c>
      <c r="K32" s="4614"/>
      <c r="L32" s="4615"/>
      <c r="M32" s="2824"/>
      <c r="N32" s="4613" t="s">
        <v>1542</v>
      </c>
      <c r="O32" s="4614"/>
      <c r="P32" s="4615"/>
      <c r="Q32" s="1721"/>
      <c r="R32" s="4612" t="s">
        <v>1543</v>
      </c>
      <c r="S32" s="4612"/>
      <c r="T32" s="4612"/>
      <c r="U32" s="2822"/>
    </row>
    <row r="33" spans="2:21" ht="15.75" hidden="1" customHeight="1">
      <c r="B33" s="1099"/>
      <c r="C33" s="2839" t="s">
        <v>766</v>
      </c>
      <c r="D33" s="1106" t="s">
        <v>2082</v>
      </c>
      <c r="E33" s="1099"/>
      <c r="F33" s="4603"/>
      <c r="G33" s="4603"/>
      <c r="H33" s="4603"/>
      <c r="I33" s="1717"/>
      <c r="J33" s="4597">
        <v>0.02</v>
      </c>
      <c r="K33" s="4598"/>
      <c r="L33" s="4599"/>
      <c r="M33" s="1717"/>
      <c r="N33" s="4597">
        <v>0.37</v>
      </c>
      <c r="O33" s="4598"/>
      <c r="P33" s="4599"/>
      <c r="Q33" s="1718">
        <v>1</v>
      </c>
      <c r="R33" s="4600">
        <f>Q33-F33-J33-N33</f>
        <v>0.61</v>
      </c>
      <c r="S33" s="4600"/>
      <c r="T33" s="4600"/>
      <c r="U33" s="2823"/>
    </row>
    <row r="34" spans="2:21" ht="6" hidden="1" customHeight="1">
      <c r="B34" s="1099"/>
      <c r="C34" s="2839"/>
      <c r="D34" s="1099"/>
      <c r="E34" s="1099"/>
      <c r="F34" s="1090"/>
      <c r="G34" s="1090"/>
      <c r="H34" s="1090"/>
      <c r="I34" s="1090"/>
      <c r="J34" s="1090"/>
      <c r="K34" s="1090"/>
      <c r="L34" s="1090"/>
      <c r="M34" s="1090"/>
      <c r="N34" s="1090"/>
      <c r="O34" s="1090"/>
      <c r="P34" s="1090"/>
      <c r="Q34" s="1718"/>
      <c r="R34" s="1097"/>
      <c r="S34" s="1090"/>
      <c r="T34" s="1090"/>
      <c r="U34" s="1090"/>
    </row>
    <row r="35" spans="2:21" ht="15.75" hidden="1" customHeight="1">
      <c r="B35" s="1099"/>
      <c r="C35" s="2840"/>
      <c r="D35" s="1099"/>
      <c r="E35" s="1099"/>
      <c r="F35" s="4612" t="s">
        <v>1605</v>
      </c>
      <c r="G35" s="4612"/>
      <c r="H35" s="4612"/>
      <c r="I35" s="2826"/>
      <c r="J35" s="4613" t="s">
        <v>1606</v>
      </c>
      <c r="K35" s="4614"/>
      <c r="L35" s="4615"/>
      <c r="M35" s="2826"/>
      <c r="N35" s="4613" t="s">
        <v>1607</v>
      </c>
      <c r="O35" s="4614"/>
      <c r="P35" s="4615"/>
      <c r="Q35" s="1718"/>
      <c r="R35" s="4612" t="s">
        <v>1608</v>
      </c>
      <c r="S35" s="4612"/>
      <c r="T35" s="4612"/>
      <c r="U35" s="2822"/>
    </row>
    <row r="36" spans="2:21" ht="15.75" hidden="1" customHeight="1">
      <c r="B36" s="1099"/>
      <c r="C36" s="2839" t="s">
        <v>767</v>
      </c>
      <c r="D36" s="1106" t="s">
        <v>2082</v>
      </c>
      <c r="E36" s="1099"/>
      <c r="F36" s="4603">
        <v>0.34</v>
      </c>
      <c r="G36" s="4603"/>
      <c r="H36" s="4603"/>
      <c r="I36" s="1754"/>
      <c r="J36" s="4597">
        <v>0.26</v>
      </c>
      <c r="K36" s="4598"/>
      <c r="L36" s="4599"/>
      <c r="M36" s="1754"/>
      <c r="N36" s="4597">
        <v>0.34</v>
      </c>
      <c r="O36" s="4598"/>
      <c r="P36" s="4599"/>
      <c r="Q36" s="1718">
        <v>1</v>
      </c>
      <c r="R36" s="4600">
        <f>Q36-F36-J36-N36</f>
        <v>5.9999999999999887E-2</v>
      </c>
      <c r="S36" s="4600"/>
      <c r="T36" s="4600"/>
      <c r="U36" s="2823"/>
    </row>
    <row r="37" spans="2:21" ht="15.75" hidden="1" customHeight="1">
      <c r="B37" s="1099"/>
      <c r="C37" s="2839" t="s">
        <v>771</v>
      </c>
      <c r="D37" s="1106" t="s">
        <v>2082</v>
      </c>
      <c r="E37" s="1099"/>
      <c r="F37" s="4603">
        <v>0.23</v>
      </c>
      <c r="G37" s="4603"/>
      <c r="H37" s="4603"/>
      <c r="I37" s="1754"/>
      <c r="J37" s="4597">
        <v>0.33</v>
      </c>
      <c r="K37" s="4598"/>
      <c r="L37" s="4599"/>
      <c r="M37" s="1754"/>
      <c r="N37" s="4597">
        <v>0.43</v>
      </c>
      <c r="O37" s="4598"/>
      <c r="P37" s="4599"/>
      <c r="Q37" s="1718">
        <v>1</v>
      </c>
      <c r="R37" s="4600">
        <f>Q37-F37-J37-N37</f>
        <v>1.0000000000000009E-2</v>
      </c>
      <c r="S37" s="4600"/>
      <c r="T37" s="4600"/>
      <c r="U37" s="2823"/>
    </row>
    <row r="38" spans="2:21" ht="15.75" hidden="1" customHeight="1">
      <c r="B38" s="1099"/>
      <c r="C38" s="2839" t="s">
        <v>772</v>
      </c>
      <c r="D38" s="1106" t="s">
        <v>2082</v>
      </c>
      <c r="E38" s="1099"/>
      <c r="F38" s="4603">
        <v>0.12</v>
      </c>
      <c r="G38" s="4603"/>
      <c r="H38" s="4603"/>
      <c r="I38" s="1754"/>
      <c r="J38" s="4597">
        <v>0.25</v>
      </c>
      <c r="K38" s="4598"/>
      <c r="L38" s="4599"/>
      <c r="M38" s="1754"/>
      <c r="N38" s="4597">
        <v>0.25</v>
      </c>
      <c r="O38" s="4598"/>
      <c r="P38" s="4599"/>
      <c r="Q38" s="1718">
        <v>1</v>
      </c>
      <c r="R38" s="4600">
        <f>Q38-F38-J38-N38</f>
        <v>0.38</v>
      </c>
      <c r="S38" s="4600"/>
      <c r="T38" s="4600"/>
      <c r="U38" s="2823"/>
    </row>
    <row r="39" spans="2:21" ht="15.75" hidden="1" customHeight="1">
      <c r="B39" s="1099"/>
      <c r="C39" s="2839" t="s">
        <v>773</v>
      </c>
      <c r="D39" s="1106" t="s">
        <v>2082</v>
      </c>
      <c r="E39" s="1099"/>
      <c r="F39" s="4603">
        <v>0.25</v>
      </c>
      <c r="G39" s="4603"/>
      <c r="H39" s="4603"/>
      <c r="I39" s="1754"/>
      <c r="J39" s="4597">
        <v>0.25</v>
      </c>
      <c r="K39" s="4598"/>
      <c r="L39" s="4599"/>
      <c r="M39" s="1754"/>
      <c r="N39" s="4597">
        <v>0.25</v>
      </c>
      <c r="O39" s="4598"/>
      <c r="P39" s="4599"/>
      <c r="Q39" s="1718">
        <v>1</v>
      </c>
      <c r="R39" s="4600">
        <f>Q39-F39-J39-N39</f>
        <v>0.25</v>
      </c>
      <c r="S39" s="4600"/>
      <c r="T39" s="4600"/>
      <c r="U39" s="2823"/>
    </row>
    <row r="40" spans="2:21" ht="6" hidden="1" customHeight="1">
      <c r="B40" s="1099"/>
      <c r="C40" s="1737"/>
      <c r="D40" s="1099"/>
      <c r="E40" s="1099"/>
      <c r="F40" s="1099"/>
      <c r="G40" s="1099"/>
      <c r="H40" s="1099"/>
      <c r="I40" s="1099"/>
      <c r="J40" s="1099"/>
      <c r="K40" s="1099"/>
      <c r="L40" s="1099"/>
      <c r="M40" s="1099"/>
      <c r="N40" s="1099"/>
      <c r="O40" s="1099"/>
      <c r="P40" s="1099"/>
      <c r="Q40" s="1100"/>
      <c r="R40" s="1101"/>
      <c r="S40" s="1101"/>
      <c r="T40" s="1100"/>
    </row>
    <row r="41" spans="2:21" ht="14.1" customHeight="1">
      <c r="B41" s="1099" t="s">
        <v>114</v>
      </c>
      <c r="C41" s="1737" t="s">
        <v>1552</v>
      </c>
      <c r="D41" s="1099"/>
      <c r="E41" s="1099"/>
      <c r="F41" s="1099"/>
      <c r="G41" s="1099"/>
      <c r="H41" s="1099"/>
      <c r="I41" s="1099"/>
      <c r="J41" s="1099"/>
      <c r="K41" s="1099"/>
      <c r="L41" s="1099"/>
      <c r="M41" s="1099"/>
      <c r="N41" s="1099"/>
      <c r="O41" s="1099"/>
      <c r="P41" s="1099"/>
      <c r="Q41" s="1100"/>
      <c r="R41" s="1101"/>
      <c r="S41" s="1101"/>
      <c r="T41" s="1100"/>
    </row>
    <row r="42" spans="2:21" ht="6" customHeight="1">
      <c r="B42" s="1099"/>
      <c r="C42" s="1737"/>
      <c r="D42" s="1099"/>
      <c r="E42" s="1099"/>
      <c r="F42" s="1099"/>
      <c r="G42" s="1099"/>
      <c r="H42" s="1099"/>
      <c r="I42" s="1099"/>
      <c r="J42" s="1099"/>
      <c r="K42" s="1099"/>
      <c r="L42" s="1099"/>
      <c r="M42" s="1099"/>
      <c r="N42" s="1099"/>
      <c r="O42" s="1099"/>
      <c r="P42" s="1099"/>
      <c r="Q42" s="1100"/>
      <c r="R42" s="1101"/>
      <c r="S42" s="1101"/>
      <c r="T42" s="1100"/>
    </row>
    <row r="43" spans="2:21" ht="14.1" customHeight="1">
      <c r="B43" s="1099"/>
      <c r="C43" s="4601" t="s">
        <v>2421</v>
      </c>
      <c r="D43" s="4601"/>
      <c r="E43" s="4601"/>
      <c r="F43" s="4601"/>
      <c r="G43" s="4601"/>
      <c r="H43" s="4601"/>
      <c r="I43" s="4601"/>
      <c r="J43" s="4601"/>
      <c r="K43" s="4601"/>
      <c r="L43" s="4601"/>
      <c r="M43" s="4601"/>
      <c r="N43" s="4601"/>
      <c r="O43" s="4601"/>
      <c r="P43" s="4601"/>
      <c r="Q43" s="4601"/>
      <c r="R43" s="4601"/>
      <c r="S43" s="4601"/>
      <c r="T43" s="4601"/>
    </row>
    <row r="44" spans="2:21" ht="14.1" customHeight="1">
      <c r="B44" s="1099"/>
      <c r="C44" s="4575"/>
      <c r="D44" s="4575"/>
      <c r="E44" s="4575"/>
      <c r="F44" s="4575"/>
      <c r="G44" s="4575"/>
      <c r="H44" s="4575"/>
      <c r="I44" s="4575"/>
      <c r="J44" s="4575"/>
      <c r="K44" s="4575"/>
      <c r="L44" s="4575"/>
      <c r="M44" s="4575"/>
      <c r="N44" s="4575"/>
      <c r="O44" s="4575"/>
      <c r="P44" s="4575"/>
      <c r="Q44" s="4575"/>
      <c r="R44" s="4575"/>
      <c r="S44" s="4575"/>
      <c r="T44" s="4575"/>
    </row>
    <row r="45" spans="2:21" ht="14.1" customHeight="1">
      <c r="B45" s="1099"/>
      <c r="C45" s="4575"/>
      <c r="D45" s="4575"/>
      <c r="E45" s="4575"/>
      <c r="F45" s="4575"/>
      <c r="G45" s="4575"/>
      <c r="H45" s="4575"/>
      <c r="I45" s="4575"/>
      <c r="J45" s="4575"/>
      <c r="K45" s="4575"/>
      <c r="L45" s="4575"/>
      <c r="M45" s="4575"/>
      <c r="N45" s="4575"/>
      <c r="O45" s="4575"/>
      <c r="P45" s="4575"/>
      <c r="Q45" s="4575"/>
      <c r="R45" s="4575"/>
      <c r="S45" s="4575"/>
      <c r="T45" s="4575"/>
    </row>
    <row r="46" spans="2:21" ht="6" customHeight="1">
      <c r="B46" s="1099"/>
      <c r="C46" s="1737"/>
      <c r="D46" s="1099"/>
      <c r="E46" s="1099"/>
      <c r="F46" s="1099"/>
      <c r="G46" s="1099"/>
      <c r="H46" s="1099"/>
      <c r="I46" s="1099"/>
      <c r="J46" s="1099"/>
      <c r="K46" s="1099"/>
      <c r="L46" s="1099"/>
      <c r="M46" s="1099"/>
      <c r="N46" s="1099"/>
      <c r="O46" s="1099"/>
      <c r="P46" s="1099"/>
      <c r="Q46" s="1100"/>
      <c r="R46" s="1101"/>
      <c r="S46" s="2857" t="str">
        <f>C30</f>
        <v>2º</v>
      </c>
      <c r="T46" s="2857" t="str">
        <f>D30</f>
        <v>Grado</v>
      </c>
      <c r="U46" s="146" t="s">
        <v>79</v>
      </c>
    </row>
    <row r="47" spans="2:21" ht="14.1" customHeight="1">
      <c r="B47" s="1099" t="s">
        <v>127</v>
      </c>
      <c r="C47" s="171" t="str">
        <f>CONCATENATE(S47)</f>
        <v>Cómo se lleva a cabo el proceso de Lecto – Escritura en 2° Grado</v>
      </c>
      <c r="D47" s="1099"/>
      <c r="E47" s="1099"/>
      <c r="F47" s="1099"/>
      <c r="G47" s="1099"/>
      <c r="H47" s="1099"/>
      <c r="I47" s="1099"/>
      <c r="J47" s="1099"/>
      <c r="K47" s="1099"/>
      <c r="L47" s="1099"/>
      <c r="M47" s="1099"/>
      <c r="N47" s="1099"/>
      <c r="O47" s="1099"/>
      <c r="P47" s="1099"/>
      <c r="Q47" s="1100"/>
      <c r="R47" s="1101"/>
      <c r="S47" s="2857" t="str">
        <f>VLOOKUP(C30,B1:C6,2,5)</f>
        <v>Cómo se lleva a cabo el proceso de Lecto – Escritura en 2° Grado</v>
      </c>
      <c r="T47" s="2858"/>
      <c r="U47" s="146" t="s">
        <v>79</v>
      </c>
    </row>
    <row r="48" spans="2:21" ht="6" customHeight="1">
      <c r="B48" s="1099"/>
      <c r="C48" s="1737"/>
      <c r="D48" s="1099"/>
      <c r="E48" s="1099"/>
      <c r="F48" s="1099"/>
      <c r="G48" s="1099"/>
      <c r="H48" s="1099"/>
      <c r="I48" s="1099"/>
      <c r="J48" s="1099"/>
      <c r="K48" s="1099"/>
      <c r="L48" s="1099"/>
      <c r="M48" s="1099"/>
      <c r="N48" s="1099"/>
      <c r="O48" s="1099"/>
      <c r="P48" s="1099"/>
      <c r="Q48" s="1100"/>
      <c r="R48" s="1101"/>
      <c r="S48" s="1101"/>
      <c r="T48" s="2852"/>
      <c r="U48" s="146" t="s">
        <v>79</v>
      </c>
    </row>
    <row r="49" spans="2:21" ht="14.1" customHeight="1">
      <c r="B49" s="1099"/>
      <c r="C49" s="4601" t="s">
        <v>2422</v>
      </c>
      <c r="D49" s="4601"/>
      <c r="E49" s="4601"/>
      <c r="F49" s="4601"/>
      <c r="G49" s="4601"/>
      <c r="H49" s="4601"/>
      <c r="I49" s="4601"/>
      <c r="J49" s="4601"/>
      <c r="K49" s="4601"/>
      <c r="L49" s="4601"/>
      <c r="M49" s="4601"/>
      <c r="N49" s="4601"/>
      <c r="O49" s="4601"/>
      <c r="P49" s="4601"/>
      <c r="Q49" s="4601"/>
      <c r="R49" s="4601"/>
      <c r="S49" s="4601"/>
      <c r="T49" s="4601"/>
      <c r="U49" s="146" t="s">
        <v>79</v>
      </c>
    </row>
    <row r="50" spans="2:21" ht="14.1" customHeight="1">
      <c r="B50" s="1099"/>
      <c r="C50" s="4601" t="s">
        <v>2423</v>
      </c>
      <c r="D50" s="4601"/>
      <c r="E50" s="4601"/>
      <c r="F50" s="4601"/>
      <c r="G50" s="4601"/>
      <c r="H50" s="4601"/>
      <c r="I50" s="4601"/>
      <c r="J50" s="4601"/>
      <c r="K50" s="4601"/>
      <c r="L50" s="4601"/>
      <c r="M50" s="4601"/>
      <c r="N50" s="4601"/>
      <c r="O50" s="4601"/>
      <c r="P50" s="4601"/>
      <c r="Q50" s="4601"/>
      <c r="R50" s="4601"/>
      <c r="S50" s="4601"/>
      <c r="T50" s="4601"/>
    </row>
    <row r="51" spans="2:21" ht="6" customHeight="1">
      <c r="B51" s="1099"/>
      <c r="C51" s="1737"/>
      <c r="D51" s="1099"/>
      <c r="E51" s="1099"/>
      <c r="F51" s="1099"/>
      <c r="G51" s="1099"/>
      <c r="H51" s="1099"/>
      <c r="I51" s="1099"/>
      <c r="J51" s="1099"/>
      <c r="K51" s="1099"/>
      <c r="L51" s="1099"/>
      <c r="M51" s="1099"/>
      <c r="N51" s="1099"/>
      <c r="O51" s="1099"/>
      <c r="P51" s="1099"/>
      <c r="Q51" s="1100"/>
      <c r="R51" s="1101"/>
      <c r="S51" s="1101"/>
      <c r="T51" s="1100"/>
    </row>
    <row r="52" spans="2:21" ht="15.75" customHeight="1">
      <c r="B52" s="1099" t="s">
        <v>129</v>
      </c>
      <c r="C52" s="1737" t="s">
        <v>2044</v>
      </c>
      <c r="D52" s="1099"/>
      <c r="E52" s="1099"/>
      <c r="F52" s="1099"/>
      <c r="G52" s="1099"/>
      <c r="H52" s="1099"/>
      <c r="I52" s="1099"/>
      <c r="J52" s="1099"/>
      <c r="K52" s="1099"/>
      <c r="L52" s="1099"/>
      <c r="M52" s="1099"/>
      <c r="N52" s="1099"/>
      <c r="O52" s="1099"/>
      <c r="P52" s="1099"/>
      <c r="Q52" s="1100"/>
      <c r="R52" s="1101"/>
      <c r="S52" s="1101"/>
      <c r="T52" s="1100"/>
    </row>
    <row r="53" spans="2:21" ht="6" customHeight="1">
      <c r="B53" s="2925"/>
      <c r="C53" s="1099"/>
      <c r="D53" s="1099"/>
      <c r="E53" s="1099"/>
      <c r="F53" s="1099"/>
      <c r="G53" s="1099"/>
      <c r="H53" s="1099"/>
      <c r="I53" s="1099"/>
      <c r="J53" s="1099"/>
      <c r="K53" s="1099"/>
      <c r="L53" s="1099"/>
      <c r="M53" s="1099"/>
      <c r="N53" s="1099"/>
      <c r="O53" s="1099"/>
      <c r="P53" s="1099"/>
      <c r="Q53" s="1100"/>
      <c r="R53" s="1101"/>
      <c r="S53" s="1101"/>
      <c r="T53" s="1100"/>
    </row>
    <row r="54" spans="2:21" ht="14.1" customHeight="1">
      <c r="B54" s="2924"/>
      <c r="C54" s="4602" t="s">
        <v>1609</v>
      </c>
      <c r="D54" s="4602"/>
      <c r="E54" s="4602"/>
      <c r="F54" s="4602"/>
      <c r="G54" s="4602"/>
      <c r="H54" s="4602"/>
      <c r="I54" s="4602"/>
      <c r="J54" s="4602"/>
      <c r="K54" s="1090"/>
      <c r="L54" s="1090"/>
      <c r="M54" s="4602" t="s">
        <v>1610</v>
      </c>
      <c r="N54" s="4602"/>
      <c r="O54" s="4602"/>
      <c r="P54" s="4602"/>
      <c r="Q54" s="4602"/>
      <c r="R54" s="4602"/>
      <c r="S54" s="4602"/>
      <c r="T54" s="4602"/>
    </row>
    <row r="55" spans="2:21" ht="14.1" customHeight="1">
      <c r="B55" s="1099"/>
      <c r="C55" s="4622" t="s">
        <v>1646</v>
      </c>
      <c r="D55" s="4622"/>
      <c r="E55" s="4622"/>
      <c r="F55" s="4622"/>
      <c r="G55" s="4622"/>
      <c r="H55" s="4622"/>
      <c r="I55" s="4622"/>
      <c r="J55" s="4622"/>
      <c r="K55" s="1090"/>
      <c r="L55" s="1090"/>
      <c r="M55" s="4277" t="s">
        <v>1646</v>
      </c>
      <c r="N55" s="4277"/>
      <c r="O55" s="4277"/>
      <c r="P55" s="4277"/>
      <c r="Q55" s="4277"/>
      <c r="R55" s="4277"/>
      <c r="S55" s="4277"/>
      <c r="T55" s="4277"/>
    </row>
    <row r="56" spans="2:21" ht="6" customHeight="1">
      <c r="B56" s="1099"/>
      <c r="C56" s="1737"/>
      <c r="D56" s="1099"/>
      <c r="E56" s="1099"/>
      <c r="F56" s="1099"/>
      <c r="G56" s="1099"/>
      <c r="H56" s="1099"/>
      <c r="I56" s="1099"/>
      <c r="J56" s="1099"/>
      <c r="K56" s="1099"/>
      <c r="L56" s="1099"/>
      <c r="M56" s="1099"/>
      <c r="N56" s="1099"/>
      <c r="O56" s="1099"/>
      <c r="P56" s="1099"/>
      <c r="Q56" s="1100"/>
      <c r="R56" s="1101"/>
      <c r="S56" s="1101"/>
      <c r="T56" s="1100"/>
    </row>
    <row r="57" spans="2:21" ht="15.75" customHeight="1">
      <c r="B57" s="2834" t="s">
        <v>347</v>
      </c>
      <c r="C57" s="2834" t="s">
        <v>2045</v>
      </c>
      <c r="D57" s="1099"/>
      <c r="E57" s="1099"/>
      <c r="F57" s="1099"/>
      <c r="G57" s="1099"/>
      <c r="H57" s="1099"/>
      <c r="I57" s="1099"/>
      <c r="J57" s="1099"/>
      <c r="K57" s="1099"/>
      <c r="L57" s="1099"/>
      <c r="M57" s="1099"/>
      <c r="N57" s="1099"/>
      <c r="O57" s="1099"/>
      <c r="P57" s="1099"/>
      <c r="Q57" s="1100"/>
      <c r="R57" s="1101"/>
      <c r="S57" s="1101"/>
      <c r="T57" s="1100"/>
    </row>
    <row r="58" spans="2:21" ht="15.75" customHeight="1">
      <c r="B58" s="2925"/>
      <c r="C58" s="2851" t="s">
        <v>2083</v>
      </c>
      <c r="D58" s="1099"/>
      <c r="E58" s="1099"/>
      <c r="F58" s="1099"/>
      <c r="G58" s="1099"/>
      <c r="H58" s="1099"/>
      <c r="I58" s="1099"/>
      <c r="J58" s="1099"/>
      <c r="K58" s="1099"/>
      <c r="L58" s="1099"/>
      <c r="M58" s="1099"/>
      <c r="N58" s="1099"/>
      <c r="O58" s="1099"/>
      <c r="P58" s="1099"/>
      <c r="Q58" s="1100"/>
      <c r="R58" s="1101"/>
      <c r="S58" s="1101"/>
      <c r="T58" s="1100"/>
    </row>
    <row r="59" spans="2:21" ht="6" customHeight="1">
      <c r="B59" s="1099"/>
      <c r="C59" s="1099"/>
      <c r="D59" s="1099"/>
      <c r="E59" s="1099"/>
      <c r="F59" s="1099"/>
      <c r="G59" s="1099"/>
      <c r="H59" s="1099"/>
      <c r="I59" s="1099"/>
      <c r="J59" s="1099"/>
      <c r="K59" s="1099"/>
      <c r="L59" s="1099"/>
      <c r="M59" s="1099"/>
      <c r="N59" s="1099"/>
      <c r="O59" s="1099"/>
      <c r="P59" s="1099"/>
      <c r="Q59" s="1099"/>
      <c r="R59" s="1099"/>
      <c r="S59" s="1099"/>
      <c r="T59" s="1099"/>
    </row>
    <row r="60" spans="2:21" ht="14.1" customHeight="1">
      <c r="B60" s="1099"/>
      <c r="C60" s="4585"/>
      <c r="D60" s="4586"/>
      <c r="E60" s="4586"/>
      <c r="F60" s="4586"/>
      <c r="G60" s="4586"/>
      <c r="H60" s="4587"/>
      <c r="I60" s="4585" t="s">
        <v>2046</v>
      </c>
      <c r="J60" s="4586"/>
      <c r="K60" s="4586"/>
      <c r="L60" s="4586"/>
      <c r="M60" s="4586"/>
      <c r="N60" s="4587"/>
      <c r="O60" s="4585" t="s">
        <v>2047</v>
      </c>
      <c r="P60" s="4586"/>
      <c r="Q60" s="4586"/>
      <c r="R60" s="4586"/>
      <c r="S60" s="4586"/>
      <c r="T60" s="4587"/>
    </row>
    <row r="61" spans="2:21" ht="14.1" customHeight="1">
      <c r="B61" s="1099"/>
      <c r="C61" s="4588" t="s">
        <v>2048</v>
      </c>
      <c r="D61" s="4589"/>
      <c r="E61" s="4589"/>
      <c r="F61" s="4589"/>
      <c r="G61" s="4589"/>
      <c r="H61" s="4590"/>
      <c r="I61" s="4591" t="s">
        <v>2424</v>
      </c>
      <c r="J61" s="4592"/>
      <c r="K61" s="4592"/>
      <c r="L61" s="4592"/>
      <c r="M61" s="4592"/>
      <c r="N61" s="4593"/>
      <c r="O61" s="4591" t="s">
        <v>2424</v>
      </c>
      <c r="P61" s="4592"/>
      <c r="Q61" s="4592"/>
      <c r="R61" s="4592"/>
      <c r="S61" s="4592"/>
      <c r="T61" s="4593"/>
    </row>
    <row r="62" spans="2:21" ht="14.1" customHeight="1">
      <c r="B62" s="2925"/>
      <c r="C62" s="4588" t="s">
        <v>2050</v>
      </c>
      <c r="D62" s="4589"/>
      <c r="E62" s="4589"/>
      <c r="F62" s="4589"/>
      <c r="G62" s="4589"/>
      <c r="H62" s="4590"/>
      <c r="I62" s="4591"/>
      <c r="J62" s="4592"/>
      <c r="K62" s="4592"/>
      <c r="L62" s="4592"/>
      <c r="M62" s="4592"/>
      <c r="N62" s="4593"/>
      <c r="O62" s="4591"/>
      <c r="P62" s="4592"/>
      <c r="Q62" s="4592"/>
      <c r="R62" s="4592"/>
      <c r="S62" s="4592"/>
      <c r="T62" s="4593"/>
    </row>
    <row r="63" spans="2:21" ht="14.1" customHeight="1">
      <c r="B63" s="2924"/>
      <c r="C63" s="4554" t="s">
        <v>2049</v>
      </c>
      <c r="D63" s="4555"/>
      <c r="E63" s="4555"/>
      <c r="F63" s="4555"/>
      <c r="G63" s="4555"/>
      <c r="H63" s="4556"/>
      <c r="I63" s="4594"/>
      <c r="J63" s="4595"/>
      <c r="K63" s="4595"/>
      <c r="L63" s="4595"/>
      <c r="M63" s="4595"/>
      <c r="N63" s="4596"/>
      <c r="O63" s="4594"/>
      <c r="P63" s="4595"/>
      <c r="Q63" s="4595"/>
      <c r="R63" s="4595"/>
      <c r="S63" s="4595"/>
      <c r="T63" s="4596"/>
    </row>
    <row r="64" spans="2:21" ht="14.1" customHeight="1">
      <c r="B64" s="2924"/>
      <c r="C64" s="4557"/>
      <c r="D64" s="4307"/>
      <c r="E64" s="4307"/>
      <c r="F64" s="4307"/>
      <c r="G64" s="4307"/>
      <c r="H64" s="4558"/>
      <c r="I64" s="3119"/>
      <c r="J64" s="3120"/>
      <c r="K64" s="3120"/>
      <c r="L64" s="3120"/>
      <c r="M64" s="3120"/>
      <c r="N64" s="3121"/>
      <c r="O64" s="3119"/>
      <c r="P64" s="3120"/>
      <c r="Q64" s="3120"/>
      <c r="R64" s="3120"/>
      <c r="S64" s="3120"/>
      <c r="T64" s="3121"/>
    </row>
    <row r="65" spans="2:20" ht="14.1" customHeight="1">
      <c r="B65" s="1099"/>
      <c r="C65" s="4557"/>
      <c r="D65" s="4307"/>
      <c r="E65" s="4307"/>
      <c r="F65" s="4307"/>
      <c r="G65" s="4307"/>
      <c r="H65" s="4558"/>
      <c r="I65" s="4579"/>
      <c r="J65" s="4580"/>
      <c r="K65" s="4580"/>
      <c r="L65" s="4580"/>
      <c r="M65" s="4580"/>
      <c r="N65" s="4581"/>
      <c r="O65" s="4579"/>
      <c r="P65" s="4580"/>
      <c r="Q65" s="4580"/>
      <c r="R65" s="4580"/>
      <c r="S65" s="4580"/>
      <c r="T65" s="4581"/>
    </row>
    <row r="66" spans="2:20" ht="4.5" customHeight="1">
      <c r="B66" s="1099"/>
      <c r="C66" s="4559"/>
      <c r="D66" s="4560"/>
      <c r="E66" s="4560"/>
      <c r="F66" s="4560"/>
      <c r="G66" s="4560"/>
      <c r="H66" s="4561"/>
      <c r="I66" s="4582"/>
      <c r="J66" s="4583"/>
      <c r="K66" s="4583"/>
      <c r="L66" s="4583"/>
      <c r="M66" s="4583"/>
      <c r="N66" s="4584"/>
      <c r="O66" s="4582"/>
      <c r="P66" s="4583"/>
      <c r="Q66" s="4583"/>
      <c r="R66" s="4583"/>
      <c r="S66" s="4583"/>
      <c r="T66" s="4584"/>
    </row>
    <row r="67" spans="2:20" ht="6" customHeight="1">
      <c r="B67" s="1099"/>
      <c r="C67" s="1737"/>
      <c r="D67" s="1099"/>
      <c r="E67" s="1099"/>
      <c r="F67" s="1099"/>
      <c r="G67" s="1099"/>
      <c r="H67" s="1099"/>
      <c r="I67" s="1099"/>
      <c r="J67" s="1099"/>
      <c r="K67" s="1099"/>
      <c r="L67" s="1099"/>
      <c r="M67" s="1099"/>
      <c r="N67" s="1099"/>
      <c r="O67" s="1099"/>
      <c r="P67" s="1099"/>
      <c r="Q67" s="1100"/>
      <c r="R67" s="1101"/>
      <c r="S67" s="1101"/>
      <c r="T67" s="1100"/>
    </row>
    <row r="68" spans="2:20" ht="15.75" customHeight="1">
      <c r="B68" s="2834" t="s">
        <v>348</v>
      </c>
      <c r="C68" s="2834" t="s">
        <v>2051</v>
      </c>
      <c r="D68" s="1099"/>
      <c r="E68" s="1099"/>
      <c r="F68" s="1099"/>
      <c r="G68" s="1099"/>
      <c r="H68" s="1099"/>
      <c r="I68" s="1099"/>
      <c r="J68" s="1099"/>
      <c r="K68" s="1099"/>
      <c r="L68" s="1099"/>
      <c r="M68" s="1099"/>
      <c r="N68" s="1099"/>
      <c r="O68" s="1099"/>
      <c r="P68" s="1099"/>
      <c r="Q68" s="1100"/>
      <c r="R68" s="1101"/>
      <c r="S68" s="1101"/>
      <c r="T68" s="1100"/>
    </row>
    <row r="69" spans="2:20" ht="6" customHeight="1">
      <c r="B69" s="1099"/>
      <c r="C69" s="1737"/>
      <c r="D69" s="1099"/>
      <c r="E69" s="1099"/>
      <c r="F69" s="1099"/>
      <c r="G69" s="1099"/>
      <c r="H69" s="1099"/>
      <c r="I69" s="1099"/>
      <c r="J69" s="1099"/>
      <c r="K69" s="1099"/>
      <c r="L69" s="1099"/>
      <c r="M69" s="1099"/>
      <c r="N69" s="1099"/>
      <c r="O69" s="1099"/>
      <c r="P69" s="1099"/>
      <c r="Q69" s="1100"/>
      <c r="R69" s="1101"/>
      <c r="S69" s="1101"/>
      <c r="T69" s="1100"/>
    </row>
    <row r="70" spans="2:20" ht="14.1" customHeight="1">
      <c r="B70" s="1099" t="s">
        <v>131</v>
      </c>
      <c r="C70" s="1737" t="s">
        <v>2052</v>
      </c>
      <c r="D70" s="1099"/>
      <c r="E70" s="1099"/>
      <c r="F70" s="1099"/>
      <c r="G70" s="1099"/>
      <c r="H70" s="1099"/>
      <c r="I70" s="1099"/>
      <c r="J70" s="1099"/>
      <c r="K70" s="1099"/>
      <c r="L70" s="1099"/>
      <c r="M70" s="1099"/>
      <c r="N70" s="1099"/>
      <c r="O70" s="1099"/>
      <c r="P70" s="1099"/>
      <c r="Q70" s="1100"/>
      <c r="R70" s="1101"/>
      <c r="S70" s="1101"/>
      <c r="T70" s="1100"/>
    </row>
    <row r="71" spans="2:20" ht="6" customHeight="1">
      <c r="B71" s="2925"/>
      <c r="C71" s="1099"/>
      <c r="D71" s="1099"/>
      <c r="E71" s="1099"/>
      <c r="F71" s="1099"/>
      <c r="G71" s="1099"/>
      <c r="H71" s="1099"/>
      <c r="I71" s="1099"/>
      <c r="J71" s="1099"/>
      <c r="K71" s="1099"/>
      <c r="L71" s="1099"/>
      <c r="M71" s="1099"/>
      <c r="N71" s="1099"/>
      <c r="O71" s="1099"/>
      <c r="P71" s="1099"/>
      <c r="Q71" s="1100"/>
      <c r="R71" s="1101"/>
      <c r="S71" s="1101"/>
      <c r="T71" s="1100"/>
    </row>
    <row r="72" spans="2:20" ht="14.1" customHeight="1">
      <c r="B72" s="2924"/>
      <c r="C72" s="4578" t="s">
        <v>954</v>
      </c>
      <c r="D72" s="4578"/>
      <c r="E72" s="4578"/>
      <c r="F72" s="1743" t="s">
        <v>1060</v>
      </c>
      <c r="G72" s="1693"/>
      <c r="H72" s="1694"/>
      <c r="I72" s="1694"/>
      <c r="J72" s="4578" t="s">
        <v>955</v>
      </c>
      <c r="K72" s="4578"/>
      <c r="L72" s="4578"/>
      <c r="M72" s="1743" t="s">
        <v>1060</v>
      </c>
      <c r="N72" s="1694"/>
      <c r="O72" s="1694"/>
      <c r="P72" s="1694"/>
      <c r="Q72" s="4578" t="s">
        <v>117</v>
      </c>
      <c r="R72" s="4578"/>
      <c r="S72" s="4578"/>
      <c r="T72" s="1743" t="s">
        <v>1060</v>
      </c>
    </row>
    <row r="73" spans="2:20" ht="6" customHeight="1">
      <c r="B73" s="1099"/>
      <c r="C73" s="4621"/>
      <c r="D73" s="4621"/>
      <c r="E73" s="4621"/>
      <c r="F73" s="4621"/>
      <c r="G73" s="4621"/>
      <c r="H73" s="4621"/>
      <c r="I73" s="4621"/>
      <c r="J73" s="4621"/>
      <c r="K73" s="4621"/>
      <c r="L73" s="4621"/>
      <c r="M73" s="4621"/>
      <c r="N73" s="4621"/>
      <c r="O73" s="4621"/>
      <c r="P73" s="4621"/>
      <c r="Q73" s="4621"/>
      <c r="R73" s="4621"/>
      <c r="S73" s="4621"/>
      <c r="T73" s="4621"/>
    </row>
    <row r="74" spans="2:20" ht="14.1" customHeight="1">
      <c r="B74" s="1099" t="s">
        <v>133</v>
      </c>
      <c r="C74" s="1737" t="s">
        <v>2085</v>
      </c>
      <c r="D74" s="1099"/>
      <c r="E74" s="1099"/>
      <c r="F74" s="1099"/>
      <c r="G74" s="1099"/>
      <c r="H74" s="1099"/>
      <c r="I74" s="1099"/>
      <c r="J74" s="1099"/>
      <c r="K74" s="1099"/>
      <c r="L74" s="1099"/>
      <c r="M74" s="1099"/>
      <c r="N74" s="1099"/>
      <c r="O74" s="1099"/>
      <c r="P74" s="1099"/>
      <c r="Q74" s="1100"/>
      <c r="R74" s="1099"/>
      <c r="S74" s="1099"/>
      <c r="T74" s="1100"/>
    </row>
    <row r="75" spans="2:20" ht="14.1" customHeight="1">
      <c r="B75" s="1099"/>
      <c r="C75" s="1737" t="s">
        <v>2084</v>
      </c>
      <c r="D75" s="1099"/>
      <c r="E75" s="1099"/>
      <c r="F75" s="1099"/>
      <c r="G75" s="1099"/>
      <c r="H75" s="1099"/>
      <c r="I75" s="1099"/>
      <c r="J75" s="1099"/>
      <c r="K75" s="1099"/>
      <c r="L75" s="1099"/>
      <c r="M75" s="1099"/>
      <c r="N75" s="1099"/>
      <c r="O75" s="1099"/>
      <c r="P75" s="1099"/>
      <c r="Q75" s="1100"/>
      <c r="R75" s="1101"/>
      <c r="S75" s="1101"/>
      <c r="T75" s="1100"/>
    </row>
    <row r="76" spans="2:20" ht="6" customHeight="1">
      <c r="B76" s="1099"/>
      <c r="C76" s="1737"/>
      <c r="D76" s="1099"/>
      <c r="E76" s="1099"/>
      <c r="F76" s="1099"/>
      <c r="G76" s="1099"/>
      <c r="H76" s="2846" t="s">
        <v>160</v>
      </c>
      <c r="I76" s="1099"/>
      <c r="J76" s="1099"/>
      <c r="K76" s="1099"/>
      <c r="L76" s="1099"/>
      <c r="M76" s="1099"/>
      <c r="N76" s="1099"/>
      <c r="O76" s="1099"/>
      <c r="P76" s="1099"/>
      <c r="Q76" s="1100"/>
      <c r="R76" s="1101"/>
      <c r="S76" s="1101"/>
      <c r="T76" s="1100"/>
    </row>
    <row r="77" spans="2:20" ht="14.1" customHeight="1">
      <c r="B77" s="1099"/>
      <c r="C77" s="4572" t="s">
        <v>954</v>
      </c>
      <c r="D77" s="4572"/>
      <c r="E77" s="4572"/>
      <c r="F77" s="1743" t="s">
        <v>1060</v>
      </c>
      <c r="G77" s="1693"/>
      <c r="H77" s="1705" t="str">
        <f>VLOOKUP(L6,'VISITA DE INSP.'!A17:AI36,32,32)</f>
        <v>2ºB</v>
      </c>
      <c r="I77" s="1694"/>
      <c r="J77" s="4572" t="s">
        <v>955</v>
      </c>
      <c r="K77" s="4572"/>
      <c r="L77" s="4572"/>
      <c r="M77" s="1743" t="s">
        <v>1060</v>
      </c>
      <c r="N77" s="1694"/>
      <c r="O77" s="1694"/>
      <c r="P77" s="1694"/>
      <c r="Q77" s="4572" t="s">
        <v>117</v>
      </c>
      <c r="R77" s="4572"/>
      <c r="S77" s="4572"/>
      <c r="T77" s="1743" t="s">
        <v>1060</v>
      </c>
    </row>
    <row r="78" spans="2:20" ht="6" customHeight="1">
      <c r="B78" s="1099"/>
      <c r="C78" s="1737"/>
      <c r="D78" s="1099"/>
      <c r="E78" s="1099"/>
      <c r="F78" s="1099"/>
      <c r="G78" s="1099"/>
      <c r="H78" s="1099"/>
      <c r="I78" s="1099"/>
      <c r="J78" s="1099"/>
      <c r="K78" s="1099"/>
      <c r="L78" s="1099"/>
      <c r="M78" s="1099"/>
      <c r="N78" s="1099"/>
      <c r="O78" s="1099"/>
      <c r="P78" s="1099"/>
      <c r="Q78" s="1100"/>
      <c r="R78" s="1101"/>
      <c r="S78" s="1101"/>
      <c r="T78" s="1100"/>
    </row>
    <row r="79" spans="2:20" ht="14.1" customHeight="1">
      <c r="B79" s="1099" t="s">
        <v>136</v>
      </c>
      <c r="C79" s="1737" t="s">
        <v>2087</v>
      </c>
      <c r="D79" s="1099"/>
      <c r="E79" s="1099"/>
      <c r="F79" s="1099"/>
      <c r="G79" s="1099"/>
      <c r="H79" s="1099"/>
      <c r="I79" s="1099"/>
      <c r="J79" s="1099"/>
      <c r="K79" s="1099"/>
      <c r="L79" s="1099"/>
      <c r="M79" s="1099"/>
      <c r="N79" s="1099"/>
      <c r="O79" s="1099"/>
      <c r="P79" s="1099"/>
      <c r="Q79" s="1100"/>
      <c r="R79" s="1101"/>
      <c r="S79" s="1101"/>
      <c r="T79" s="1100"/>
    </row>
    <row r="80" spans="2:20" ht="14.1" customHeight="1">
      <c r="B80" s="1099"/>
      <c r="C80" s="1737" t="s">
        <v>2086</v>
      </c>
      <c r="D80" s="1099"/>
      <c r="E80" s="1099"/>
      <c r="F80" s="1099"/>
      <c r="G80" s="1099"/>
      <c r="H80" s="1099"/>
      <c r="I80" s="1099"/>
      <c r="J80" s="1099"/>
      <c r="K80" s="1099"/>
      <c r="L80" s="1099"/>
      <c r="M80" s="1099"/>
      <c r="N80" s="1099"/>
      <c r="O80" s="1099"/>
      <c r="P80" s="1099"/>
      <c r="Q80" s="1100"/>
      <c r="R80" s="1101"/>
      <c r="S80" s="1101"/>
      <c r="T80" s="1100"/>
    </row>
    <row r="81" spans="2:20" ht="6" customHeight="1">
      <c r="B81" s="1099"/>
      <c r="C81" s="1099"/>
      <c r="D81" s="1099"/>
      <c r="E81" s="1099"/>
      <c r="F81" s="1099"/>
      <c r="G81" s="1099"/>
      <c r="H81" s="1099"/>
      <c r="I81" s="1099"/>
      <c r="J81" s="1099"/>
      <c r="K81" s="1099"/>
      <c r="L81" s="1099"/>
      <c r="M81" s="1099"/>
      <c r="N81" s="1099"/>
      <c r="O81" s="1099"/>
      <c r="P81" s="1099"/>
      <c r="Q81" s="1099"/>
      <c r="R81" s="1099"/>
      <c r="S81" s="1099"/>
      <c r="T81" s="1099"/>
    </row>
    <row r="82" spans="2:20" ht="14.1" customHeight="1">
      <c r="B82" s="1099"/>
      <c r="C82" s="4572" t="s">
        <v>954</v>
      </c>
      <c r="D82" s="4572"/>
      <c r="E82" s="4572"/>
      <c r="F82" s="1743" t="s">
        <v>1060</v>
      </c>
      <c r="G82" s="1693"/>
      <c r="H82" s="1694"/>
      <c r="I82" s="1694"/>
      <c r="J82" s="4576" t="s">
        <v>955</v>
      </c>
      <c r="K82" s="4576"/>
      <c r="L82" s="4576"/>
      <c r="M82" s="1743" t="s">
        <v>1060</v>
      </c>
      <c r="N82" s="1694"/>
      <c r="O82" s="1694"/>
      <c r="P82" s="1694"/>
      <c r="Q82" s="4576" t="s">
        <v>117</v>
      </c>
      <c r="R82" s="4576"/>
      <c r="S82" s="4576"/>
      <c r="T82" s="1743" t="s">
        <v>1060</v>
      </c>
    </row>
    <row r="83" spans="2:20" ht="6" customHeight="1">
      <c r="B83" s="1099"/>
      <c r="C83" s="1737"/>
      <c r="D83" s="1099"/>
      <c r="E83" s="1099"/>
      <c r="F83" s="1099"/>
      <c r="G83" s="1099"/>
      <c r="H83" s="1099"/>
      <c r="I83" s="1099"/>
      <c r="J83" s="1099"/>
      <c r="K83" s="1099"/>
      <c r="L83" s="1099"/>
      <c r="M83" s="1099"/>
      <c r="N83" s="1099"/>
      <c r="O83" s="1099"/>
      <c r="P83" s="1099"/>
      <c r="Q83" s="1100"/>
      <c r="R83" s="1101"/>
      <c r="S83" s="1101"/>
      <c r="T83" s="1100"/>
    </row>
    <row r="84" spans="2:20" ht="14.1" customHeight="1">
      <c r="B84" s="2833" t="s">
        <v>138</v>
      </c>
      <c r="C84" s="1099" t="s">
        <v>2053</v>
      </c>
      <c r="D84" s="1099"/>
      <c r="E84" s="1099"/>
      <c r="F84" s="1099"/>
      <c r="G84" s="1099"/>
      <c r="H84" s="1099"/>
      <c r="I84" s="1099"/>
      <c r="J84" s="1099"/>
      <c r="K84" s="1099"/>
      <c r="L84" s="1099"/>
      <c r="M84" s="1099"/>
      <c r="N84" s="1099"/>
      <c r="O84" s="1099"/>
      <c r="P84" s="1099"/>
      <c r="Q84" s="1100"/>
      <c r="R84" s="1101"/>
      <c r="S84" s="1101"/>
      <c r="T84" s="1100"/>
    </row>
    <row r="85" spans="2:20" ht="6" customHeight="1">
      <c r="B85" s="2924"/>
      <c r="C85" s="1099"/>
      <c r="D85" s="1099"/>
      <c r="E85" s="1099"/>
      <c r="F85" s="1099"/>
      <c r="G85" s="1131"/>
      <c r="H85" s="1099"/>
      <c r="I85" s="1099"/>
      <c r="J85" s="1099"/>
      <c r="K85" s="1099"/>
      <c r="L85" s="1178"/>
      <c r="M85" s="1099"/>
      <c r="N85" s="1099"/>
      <c r="O85" s="1099"/>
      <c r="P85" s="1099"/>
      <c r="Q85" s="1100"/>
      <c r="R85" s="1101"/>
      <c r="S85" s="1101"/>
      <c r="T85" s="1100"/>
    </row>
    <row r="86" spans="2:20" ht="14.1" customHeight="1">
      <c r="B86" s="1099"/>
      <c r="C86" s="4573" t="s">
        <v>2277</v>
      </c>
      <c r="D86" s="4574"/>
      <c r="E86" s="4574"/>
      <c r="F86" s="1743" t="s">
        <v>1060</v>
      </c>
      <c r="G86" s="1131"/>
      <c r="H86" s="4573" t="s">
        <v>2278</v>
      </c>
      <c r="I86" s="4574"/>
      <c r="J86" s="4574"/>
      <c r="K86" s="4577"/>
      <c r="L86" s="1743" t="s">
        <v>1060</v>
      </c>
      <c r="M86" s="1090"/>
      <c r="N86" s="4573" t="s">
        <v>2279</v>
      </c>
      <c r="O86" s="4574"/>
      <c r="P86" s="1743" t="s">
        <v>1060</v>
      </c>
      <c r="Q86" s="1100"/>
      <c r="R86" s="4573" t="s">
        <v>447</v>
      </c>
      <c r="S86" s="4574"/>
      <c r="T86" s="1743" t="s">
        <v>1060</v>
      </c>
    </row>
    <row r="87" spans="2:20" ht="6" customHeight="1">
      <c r="B87" s="2835"/>
      <c r="C87" s="1738"/>
      <c r="D87" s="1147"/>
      <c r="E87" s="1147"/>
      <c r="F87" s="1147"/>
      <c r="G87" s="1131"/>
      <c r="H87" s="1090"/>
      <c r="I87" s="1147"/>
      <c r="J87" s="1147"/>
      <c r="K87" s="1147"/>
      <c r="L87" s="1147"/>
      <c r="M87" s="1147"/>
      <c r="N87" s="1147"/>
      <c r="O87" s="1147"/>
      <c r="P87" s="1099"/>
      <c r="Q87" s="2836"/>
      <c r="R87" s="1688"/>
      <c r="S87" s="2837"/>
      <c r="T87" s="2838"/>
    </row>
    <row r="88" spans="2:20" ht="14.1" customHeight="1">
      <c r="B88" s="1224" t="s">
        <v>139</v>
      </c>
      <c r="C88" s="1225" t="s">
        <v>2059</v>
      </c>
      <c r="D88" s="1178"/>
      <c r="E88" s="1178"/>
      <c r="F88" s="1178"/>
      <c r="G88" s="1178"/>
      <c r="H88" s="1141"/>
      <c r="I88" s="1178"/>
      <c r="J88" s="1178"/>
      <c r="K88" s="1178"/>
      <c r="L88" s="1178"/>
      <c r="M88" s="1178"/>
      <c r="N88" s="1178"/>
      <c r="O88" s="1178"/>
      <c r="P88" s="1178"/>
      <c r="Q88" s="1209"/>
      <c r="R88" s="1209"/>
      <c r="S88" s="1209"/>
      <c r="T88" s="1209"/>
    </row>
    <row r="89" spans="2:20" ht="6" customHeight="1">
      <c r="B89" s="1099"/>
      <c r="C89" s="1737"/>
      <c r="D89" s="1099"/>
      <c r="E89" s="1099"/>
      <c r="F89" s="1099"/>
      <c r="G89" s="1099"/>
      <c r="H89" s="1099"/>
      <c r="I89" s="1099"/>
      <c r="J89" s="1099"/>
      <c r="K89" s="1099"/>
      <c r="L89" s="1099"/>
      <c r="M89" s="1099"/>
      <c r="N89" s="1099"/>
      <c r="O89" s="1099"/>
      <c r="P89" s="1099"/>
      <c r="Q89" s="1100"/>
      <c r="R89" s="1100"/>
      <c r="S89" s="1100"/>
      <c r="T89" s="1100"/>
    </row>
    <row r="90" spans="2:20" ht="14.1" customHeight="1">
      <c r="B90" s="1099"/>
      <c r="C90" s="1737"/>
      <c r="D90" s="1099"/>
      <c r="E90" s="1099"/>
      <c r="F90" s="1099"/>
      <c r="G90" s="1099"/>
      <c r="H90" s="1099"/>
      <c r="I90" s="1099"/>
      <c r="J90" s="1099"/>
      <c r="K90" s="1099"/>
      <c r="L90" s="1099"/>
      <c r="M90" s="1099"/>
      <c r="N90" s="1099"/>
      <c r="O90" s="2930" t="s">
        <v>116</v>
      </c>
      <c r="P90" s="1743" t="s">
        <v>1060</v>
      </c>
      <c r="Q90" s="1100"/>
      <c r="R90" s="1101"/>
      <c r="S90" s="2930" t="s">
        <v>117</v>
      </c>
      <c r="T90" s="1743" t="s">
        <v>1060</v>
      </c>
    </row>
    <row r="91" spans="2:20" ht="6" customHeight="1">
      <c r="B91" s="1099"/>
      <c r="C91" s="1737"/>
      <c r="D91" s="1099"/>
      <c r="E91" s="1099"/>
      <c r="F91" s="1099"/>
      <c r="G91" s="1099"/>
      <c r="H91" s="1099"/>
      <c r="I91" s="1099"/>
      <c r="J91" s="1099"/>
      <c r="K91" s="1099"/>
      <c r="L91" s="1099"/>
      <c r="M91" s="1099"/>
      <c r="N91" s="1099"/>
      <c r="O91" s="1099"/>
      <c r="P91" s="1099"/>
      <c r="Q91" s="1100"/>
      <c r="R91" s="1101"/>
      <c r="S91" s="1101"/>
      <c r="T91" s="1100"/>
    </row>
    <row r="92" spans="2:20" ht="14.1" customHeight="1">
      <c r="B92" s="1099" t="s">
        <v>141</v>
      </c>
      <c r="C92" s="1737" t="s">
        <v>2054</v>
      </c>
      <c r="D92" s="1099"/>
      <c r="E92" s="1099"/>
      <c r="F92" s="1099"/>
      <c r="G92" s="1099"/>
      <c r="H92" s="1099"/>
      <c r="I92" s="1099"/>
      <c r="J92" s="1099"/>
      <c r="K92" s="1099"/>
      <c r="L92" s="1099"/>
      <c r="M92" s="1099"/>
      <c r="N92" s="1099"/>
      <c r="O92" s="1099"/>
      <c r="P92" s="1099"/>
      <c r="Q92" s="1100"/>
      <c r="R92" s="1101"/>
      <c r="S92" s="1101"/>
      <c r="T92" s="1100"/>
    </row>
    <row r="93" spans="2:20" ht="6" customHeight="1">
      <c r="B93" s="1099"/>
      <c r="C93" s="1737"/>
      <c r="D93" s="1099"/>
      <c r="E93" s="1099"/>
      <c r="F93" s="1099"/>
      <c r="G93" s="1099"/>
      <c r="H93" s="1099"/>
      <c r="I93" s="1099"/>
      <c r="J93" s="1099"/>
      <c r="K93" s="1099"/>
      <c r="L93" s="1099"/>
      <c r="M93" s="1099"/>
      <c r="N93" s="1099"/>
      <c r="O93" s="1099"/>
      <c r="P93" s="1099"/>
      <c r="Q93" s="1100"/>
      <c r="R93" s="1101"/>
      <c r="S93" s="1101"/>
      <c r="T93" s="1100"/>
    </row>
    <row r="94" spans="2:20" ht="14.1" customHeight="1">
      <c r="B94" s="1090"/>
      <c r="C94" s="4575" t="s">
        <v>2425</v>
      </c>
      <c r="D94" s="4575"/>
      <c r="E94" s="4575"/>
      <c r="F94" s="4575"/>
      <c r="G94" s="4575"/>
      <c r="H94" s="4575"/>
      <c r="I94" s="4575"/>
      <c r="J94" s="4575"/>
      <c r="K94" s="4575"/>
      <c r="L94" s="4575"/>
      <c r="M94" s="4575"/>
      <c r="N94" s="4575"/>
      <c r="O94" s="4575"/>
      <c r="P94" s="4575"/>
      <c r="Q94" s="4575"/>
      <c r="R94" s="4575"/>
      <c r="S94" s="4575"/>
      <c r="T94" s="4575"/>
    </row>
    <row r="95" spans="2:20" ht="14.1" customHeight="1">
      <c r="B95" s="1099"/>
      <c r="C95" s="4575"/>
      <c r="D95" s="4575"/>
      <c r="E95" s="4575"/>
      <c r="F95" s="4575"/>
      <c r="G95" s="4575"/>
      <c r="H95" s="4575"/>
      <c r="I95" s="4575"/>
      <c r="J95" s="4575"/>
      <c r="K95" s="4575"/>
      <c r="L95" s="4575"/>
      <c r="M95" s="4575"/>
      <c r="N95" s="4575"/>
      <c r="O95" s="4575"/>
      <c r="P95" s="4575"/>
      <c r="Q95" s="4575"/>
      <c r="R95" s="4575"/>
      <c r="S95" s="4575"/>
      <c r="T95" s="4575"/>
    </row>
    <row r="96" spans="2:20" ht="14.1" customHeight="1">
      <c r="B96" s="1099"/>
      <c r="C96" s="4575"/>
      <c r="D96" s="4575"/>
      <c r="E96" s="4575"/>
      <c r="F96" s="4575"/>
      <c r="G96" s="4575"/>
      <c r="H96" s="4575"/>
      <c r="I96" s="4575"/>
      <c r="J96" s="4575"/>
      <c r="K96" s="4575"/>
      <c r="L96" s="4575"/>
      <c r="M96" s="4575"/>
      <c r="N96" s="4575"/>
      <c r="O96" s="4575"/>
      <c r="P96" s="4575"/>
      <c r="Q96" s="4575"/>
      <c r="R96" s="4575"/>
      <c r="S96" s="4575"/>
      <c r="T96" s="4575"/>
    </row>
    <row r="97" spans="2:20" ht="14.1" customHeight="1">
      <c r="B97" s="1099"/>
      <c r="C97" s="4575"/>
      <c r="D97" s="4575"/>
      <c r="E97" s="4575"/>
      <c r="F97" s="4575"/>
      <c r="G97" s="4575"/>
      <c r="H97" s="4575"/>
      <c r="I97" s="4575"/>
      <c r="J97" s="4575"/>
      <c r="K97" s="4575"/>
      <c r="L97" s="4575"/>
      <c r="M97" s="4575"/>
      <c r="N97" s="4575"/>
      <c r="O97" s="4575"/>
      <c r="P97" s="4575"/>
      <c r="Q97" s="4575"/>
      <c r="R97" s="4575"/>
      <c r="S97" s="4575"/>
      <c r="T97" s="4575"/>
    </row>
    <row r="98" spans="2:20" ht="6" customHeight="1">
      <c r="B98" s="1099"/>
      <c r="C98" s="1738"/>
      <c r="D98" s="1090"/>
      <c r="E98" s="1090"/>
      <c r="F98" s="1090"/>
      <c r="G98" s="1090"/>
      <c r="H98" s="1090"/>
      <c r="I98" s="1090"/>
      <c r="J98" s="1090"/>
      <c r="K98" s="1090"/>
      <c r="L98" s="1090"/>
      <c r="M98" s="1090"/>
      <c r="N98" s="1090"/>
      <c r="O98" s="1090"/>
      <c r="P98" s="1090"/>
      <c r="Q98" s="1096"/>
      <c r="R98" s="1097"/>
      <c r="S98" s="1097"/>
      <c r="T98" s="1096"/>
    </row>
    <row r="99" spans="2:20" ht="15.75" customHeight="1">
      <c r="B99" s="2834" t="s">
        <v>348</v>
      </c>
      <c r="C99" s="2834" t="s">
        <v>2055</v>
      </c>
      <c r="D99" s="1090"/>
      <c r="E99" s="1090"/>
      <c r="F99" s="1090"/>
      <c r="G99" s="1090"/>
      <c r="H99" s="1090"/>
      <c r="I99" s="1090"/>
      <c r="J99" s="1090"/>
      <c r="K99" s="1090"/>
      <c r="L99" s="1090"/>
      <c r="M99" s="1090"/>
      <c r="N99" s="1090"/>
      <c r="O99" s="1090"/>
      <c r="P99" s="1090"/>
      <c r="Q99" s="1096"/>
      <c r="R99" s="1097"/>
      <c r="S99" s="1097"/>
      <c r="T99" s="1096"/>
    </row>
    <row r="100" spans="2:20" ht="6" customHeight="1">
      <c r="B100" s="1099"/>
      <c r="C100" s="1737"/>
      <c r="D100" s="1099"/>
      <c r="E100" s="1099"/>
      <c r="F100" s="1099"/>
      <c r="G100" s="1099"/>
      <c r="H100" s="1099"/>
      <c r="I100" s="1099"/>
      <c r="J100" s="1099"/>
      <c r="K100" s="1099"/>
      <c r="L100" s="1099"/>
      <c r="M100" s="1099"/>
      <c r="N100" s="1099"/>
      <c r="O100" s="1099"/>
      <c r="P100" s="1099"/>
      <c r="Q100" s="1100"/>
      <c r="R100" s="1101"/>
      <c r="S100" s="1101"/>
      <c r="T100" s="1100"/>
    </row>
    <row r="101" spans="2:20" ht="14.1" customHeight="1">
      <c r="B101" s="1090" t="s">
        <v>143</v>
      </c>
      <c r="C101" s="1738" t="s">
        <v>1551</v>
      </c>
      <c r="D101" s="1090"/>
      <c r="E101" s="1090"/>
      <c r="F101" s="1090"/>
      <c r="G101" s="1090"/>
      <c r="H101" s="1090"/>
      <c r="I101" s="1090"/>
      <c r="J101" s="1090"/>
      <c r="K101" s="1090"/>
      <c r="L101" s="1090"/>
      <c r="M101" s="1090"/>
      <c r="N101" s="1090"/>
      <c r="O101" s="1090"/>
      <c r="P101" s="1090"/>
      <c r="Q101" s="1096"/>
      <c r="R101" s="1097"/>
      <c r="S101" s="1097"/>
      <c r="T101" s="1096"/>
    </row>
    <row r="102" spans="2:20" ht="6" customHeight="1">
      <c r="B102" s="1099"/>
      <c r="C102" s="1738"/>
      <c r="D102" s="1090"/>
      <c r="E102" s="1090"/>
      <c r="F102" s="1090"/>
      <c r="G102" s="1090"/>
      <c r="H102" s="1090"/>
      <c r="I102" s="1090"/>
      <c r="J102" s="1090"/>
      <c r="K102" s="1090"/>
      <c r="L102" s="1090"/>
      <c r="M102" s="1090"/>
      <c r="N102" s="1090"/>
      <c r="O102" s="1090"/>
      <c r="P102" s="1090"/>
      <c r="Q102" s="1096"/>
      <c r="R102" s="1097"/>
      <c r="S102" s="1097"/>
      <c r="T102" s="1096"/>
    </row>
    <row r="103" spans="2:20" ht="14.1" customHeight="1">
      <c r="B103" s="1099"/>
      <c r="C103" s="4572" t="s">
        <v>954</v>
      </c>
      <c r="D103" s="4572"/>
      <c r="E103" s="4572"/>
      <c r="F103" s="1743" t="s">
        <v>1060</v>
      </c>
      <c r="G103" s="1693"/>
      <c r="H103" s="1694"/>
      <c r="I103" s="1694"/>
      <c r="J103" s="4572" t="s">
        <v>955</v>
      </c>
      <c r="K103" s="4572"/>
      <c r="L103" s="4572"/>
      <c r="M103" s="1743" t="s">
        <v>1060</v>
      </c>
      <c r="N103" s="1694"/>
      <c r="O103" s="1694"/>
      <c r="P103" s="1694"/>
      <c r="Q103" s="4572" t="s">
        <v>117</v>
      </c>
      <c r="R103" s="4572"/>
      <c r="S103" s="4572"/>
      <c r="T103" s="3122" t="s">
        <v>1060</v>
      </c>
    </row>
    <row r="104" spans="2:20" ht="14.1" customHeight="1">
      <c r="B104" s="1099"/>
      <c r="C104" s="1737"/>
      <c r="D104" s="1099"/>
      <c r="E104" s="1099"/>
      <c r="F104" s="1099"/>
      <c r="G104" s="1099"/>
      <c r="H104" s="1099"/>
      <c r="I104" s="1099"/>
      <c r="J104" s="1099"/>
      <c r="K104" s="1099"/>
      <c r="L104" s="1099"/>
      <c r="M104" s="1099"/>
      <c r="N104" s="1099"/>
      <c r="O104" s="1099"/>
      <c r="P104" s="1099"/>
      <c r="Q104" s="1100"/>
      <c r="R104" s="1101"/>
      <c r="S104" s="1101"/>
      <c r="T104" s="1100"/>
    </row>
    <row r="105" spans="2:20" ht="14.1" customHeight="1">
      <c r="B105" s="1099" t="s">
        <v>1535</v>
      </c>
      <c r="C105" s="1737" t="s">
        <v>2060</v>
      </c>
      <c r="D105" s="1099"/>
      <c r="E105" s="1099"/>
      <c r="F105" s="1099"/>
      <c r="G105" s="1099"/>
      <c r="H105" s="1099"/>
      <c r="I105" s="1099"/>
      <c r="J105" s="1099"/>
      <c r="K105" s="1099"/>
      <c r="L105" s="1099"/>
      <c r="M105" s="1099"/>
      <c r="N105" s="1099"/>
      <c r="O105" s="2930" t="s">
        <v>116</v>
      </c>
      <c r="P105" s="3122" t="s">
        <v>1060</v>
      </c>
      <c r="Q105" s="1100"/>
      <c r="R105" s="1101"/>
      <c r="S105" s="2930" t="s">
        <v>117</v>
      </c>
      <c r="T105" s="1743" t="s">
        <v>1060</v>
      </c>
    </row>
    <row r="106" spans="2:20" ht="14.1" customHeight="1">
      <c r="B106" s="1099"/>
      <c r="C106" s="1737"/>
      <c r="D106" s="1099"/>
      <c r="E106" s="1099"/>
      <c r="F106" s="1099"/>
      <c r="G106" s="1099"/>
      <c r="H106" s="1099"/>
      <c r="I106" s="1099"/>
      <c r="J106" s="1099"/>
      <c r="K106" s="1099"/>
      <c r="L106" s="1099"/>
      <c r="M106" s="1099"/>
      <c r="N106" s="1099"/>
      <c r="O106" s="1099"/>
      <c r="P106" s="1099"/>
      <c r="Q106" s="1100"/>
      <c r="R106" s="1101"/>
      <c r="S106" s="1101"/>
      <c r="T106" s="1100"/>
    </row>
    <row r="107" spans="2:20" ht="14.1" customHeight="1">
      <c r="B107" s="1099" t="s">
        <v>1536</v>
      </c>
      <c r="C107" s="1737" t="s">
        <v>2061</v>
      </c>
      <c r="D107" s="1099"/>
      <c r="E107" s="1099"/>
      <c r="F107" s="1099"/>
      <c r="G107" s="1099"/>
      <c r="H107" s="1099"/>
      <c r="I107" s="1099"/>
      <c r="J107" s="1099"/>
      <c r="K107" s="1099"/>
      <c r="L107" s="1099"/>
      <c r="M107" s="1099"/>
      <c r="N107" s="1099"/>
      <c r="O107" s="1099"/>
      <c r="P107" s="1099"/>
      <c r="Q107" s="1100"/>
      <c r="R107" s="1101"/>
      <c r="S107" s="1101"/>
      <c r="T107" s="1100"/>
    </row>
    <row r="108" spans="2:20" ht="6" customHeight="1">
      <c r="B108" s="1099"/>
      <c r="C108" s="2924"/>
      <c r="D108" s="1099"/>
      <c r="E108" s="1099"/>
      <c r="F108" s="1099"/>
      <c r="G108" s="1099"/>
      <c r="H108" s="1099"/>
      <c r="I108" s="1099"/>
      <c r="J108" s="1099"/>
      <c r="K108" s="1099"/>
      <c r="L108" s="1099"/>
      <c r="M108" s="1099"/>
      <c r="N108" s="1099"/>
      <c r="O108" s="1099"/>
      <c r="P108" s="1099"/>
      <c r="Q108" s="1100"/>
      <c r="R108" s="1101"/>
      <c r="S108" s="1101"/>
      <c r="T108" s="1100"/>
    </row>
    <row r="109" spans="2:20" ht="14.1" customHeight="1">
      <c r="B109" s="1099"/>
      <c r="C109" s="4575" t="s">
        <v>2426</v>
      </c>
      <c r="D109" s="4575"/>
      <c r="E109" s="4575"/>
      <c r="F109" s="4575"/>
      <c r="G109" s="4575"/>
      <c r="H109" s="4575"/>
      <c r="I109" s="4575"/>
      <c r="J109" s="4575"/>
      <c r="K109" s="4575"/>
      <c r="L109" s="4575"/>
      <c r="M109" s="4575"/>
      <c r="N109" s="4575"/>
      <c r="O109" s="4575"/>
      <c r="P109" s="4575"/>
      <c r="Q109" s="4575"/>
      <c r="R109" s="4575"/>
      <c r="S109" s="4575"/>
      <c r="T109" s="4575"/>
    </row>
    <row r="110" spans="2:20" ht="14.1" customHeight="1">
      <c r="B110" s="1099"/>
      <c r="C110" s="4575"/>
      <c r="D110" s="4575"/>
      <c r="E110" s="4575"/>
      <c r="F110" s="4575"/>
      <c r="G110" s="4575"/>
      <c r="H110" s="4575"/>
      <c r="I110" s="4575"/>
      <c r="J110" s="4575"/>
      <c r="K110" s="4575"/>
      <c r="L110" s="4575"/>
      <c r="M110" s="4575"/>
      <c r="N110" s="4575"/>
      <c r="O110" s="4575"/>
      <c r="P110" s="4575"/>
      <c r="Q110" s="4575"/>
      <c r="R110" s="4575"/>
      <c r="S110" s="4575"/>
      <c r="T110" s="4575"/>
    </row>
    <row r="111" spans="2:20" ht="6" customHeight="1">
      <c r="B111" s="1099"/>
      <c r="C111" s="2924"/>
      <c r="D111" s="1099"/>
      <c r="E111" s="1099"/>
      <c r="F111" s="1099"/>
      <c r="G111" s="1099"/>
      <c r="H111" s="1099"/>
      <c r="I111" s="1099"/>
      <c r="J111" s="1099"/>
      <c r="K111" s="1099"/>
      <c r="L111" s="1099"/>
      <c r="M111" s="1099"/>
      <c r="N111" s="1099"/>
      <c r="O111" s="1099"/>
      <c r="P111" s="1099"/>
      <c r="Q111" s="1100"/>
      <c r="R111" s="1101"/>
      <c r="S111" s="1101"/>
      <c r="T111" s="1100"/>
    </row>
    <row r="112" spans="2:20" ht="15.75" customHeight="1">
      <c r="B112" s="2834" t="s">
        <v>2062</v>
      </c>
      <c r="C112" s="2834" t="s">
        <v>2064</v>
      </c>
      <c r="D112" s="1099"/>
      <c r="E112" s="1099"/>
      <c r="F112" s="1099"/>
      <c r="G112" s="1099"/>
      <c r="H112" s="1099"/>
      <c r="I112" s="1099"/>
      <c r="J112" s="1099"/>
      <c r="K112" s="1099"/>
      <c r="L112" s="1099"/>
      <c r="M112" s="1099"/>
      <c r="N112" s="1099"/>
      <c r="O112" s="1099"/>
      <c r="P112" s="1099"/>
      <c r="Q112" s="1100"/>
      <c r="R112" s="1101"/>
      <c r="S112" s="1101"/>
      <c r="T112" s="1100"/>
    </row>
    <row r="113" spans="2:20" ht="6" customHeight="1">
      <c r="B113" s="2925"/>
      <c r="C113" s="2925"/>
      <c r="D113" s="1099"/>
      <c r="E113" s="1099"/>
      <c r="F113" s="1099"/>
      <c r="G113" s="1099"/>
      <c r="H113" s="1099"/>
      <c r="I113" s="1099"/>
      <c r="J113" s="1099"/>
      <c r="K113" s="1099"/>
      <c r="L113" s="1099"/>
      <c r="M113" s="1099"/>
      <c r="N113" s="1099"/>
      <c r="O113" s="1099"/>
      <c r="P113" s="1099"/>
      <c r="Q113" s="1100"/>
      <c r="R113" s="1101"/>
      <c r="S113" s="1101"/>
      <c r="T113" s="1100"/>
    </row>
    <row r="114" spans="2:20" ht="15.75" customHeight="1">
      <c r="B114" s="2925"/>
      <c r="C114" s="4569" t="s">
        <v>2076</v>
      </c>
      <c r="D114" s="4569"/>
      <c r="E114" s="4569"/>
      <c r="F114" s="4569"/>
      <c r="G114" s="4569"/>
      <c r="H114" s="4569"/>
      <c r="I114" s="4570" t="s">
        <v>2077</v>
      </c>
      <c r="J114" s="4570"/>
      <c r="K114" s="4570" t="s">
        <v>2078</v>
      </c>
      <c r="L114" s="4570"/>
      <c r="M114" s="4570" t="s">
        <v>2079</v>
      </c>
      <c r="N114" s="4570"/>
      <c r="O114" s="4570" t="s">
        <v>2080</v>
      </c>
      <c r="P114" s="4570"/>
      <c r="Q114" s="4571" t="s">
        <v>270</v>
      </c>
      <c r="R114" s="4571"/>
      <c r="S114" s="4571"/>
      <c r="T114" s="4571"/>
    </row>
    <row r="115" spans="2:20" ht="15.75" customHeight="1">
      <c r="B115" s="2925"/>
      <c r="C115" s="4569"/>
      <c r="D115" s="4569"/>
      <c r="E115" s="4569"/>
      <c r="F115" s="4569"/>
      <c r="G115" s="4569"/>
      <c r="H115" s="4569"/>
      <c r="I115" s="4570"/>
      <c r="J115" s="4570"/>
      <c r="K115" s="4570"/>
      <c r="L115" s="4570"/>
      <c r="M115" s="4570"/>
      <c r="N115" s="4570"/>
      <c r="O115" s="4570"/>
      <c r="P115" s="4570"/>
      <c r="Q115" s="4571"/>
      <c r="R115" s="4571"/>
      <c r="S115" s="4571"/>
      <c r="T115" s="4571"/>
    </row>
    <row r="116" spans="2:20" ht="14.1" customHeight="1">
      <c r="B116" s="2925"/>
      <c r="C116" s="4568" t="s">
        <v>2065</v>
      </c>
      <c r="D116" s="4568"/>
      <c r="E116" s="4568"/>
      <c r="F116" s="4568"/>
      <c r="G116" s="4568"/>
      <c r="H116" s="4568"/>
      <c r="I116" s="4562" t="s">
        <v>1060</v>
      </c>
      <c r="J116" s="4562"/>
      <c r="K116" s="4562" t="s">
        <v>1060</v>
      </c>
      <c r="L116" s="4562"/>
      <c r="M116" s="4562" t="s">
        <v>1060</v>
      </c>
      <c r="N116" s="4562"/>
      <c r="O116" s="4562" t="s">
        <v>1060</v>
      </c>
      <c r="P116" s="4562"/>
      <c r="Q116" s="4563" t="s">
        <v>2280</v>
      </c>
      <c r="R116" s="4563"/>
      <c r="S116" s="4563"/>
      <c r="T116" s="4563"/>
    </row>
    <row r="117" spans="2:20" ht="14.1" customHeight="1">
      <c r="B117" s="2925"/>
      <c r="C117" s="4568" t="s">
        <v>2066</v>
      </c>
      <c r="D117" s="4568"/>
      <c r="E117" s="4568"/>
      <c r="F117" s="4568"/>
      <c r="G117" s="4568"/>
      <c r="H117" s="4568"/>
      <c r="I117" s="4562" t="s">
        <v>1060</v>
      </c>
      <c r="J117" s="4562"/>
      <c r="K117" s="4564" t="s">
        <v>1060</v>
      </c>
      <c r="L117" s="4564"/>
      <c r="M117" s="4562" t="s">
        <v>1060</v>
      </c>
      <c r="N117" s="4562"/>
      <c r="O117" s="4562" t="s">
        <v>1060</v>
      </c>
      <c r="P117" s="4562"/>
      <c r="Q117" s="4563"/>
      <c r="R117" s="4563"/>
      <c r="S117" s="4563"/>
      <c r="T117" s="4563"/>
    </row>
    <row r="118" spans="2:20" ht="14.1" customHeight="1">
      <c r="B118" s="2925"/>
      <c r="C118" s="4568" t="s">
        <v>2067</v>
      </c>
      <c r="D118" s="4568"/>
      <c r="E118" s="4568"/>
      <c r="F118" s="4568"/>
      <c r="G118" s="4568"/>
      <c r="H118" s="4568"/>
      <c r="I118" s="4564" t="s">
        <v>1060</v>
      </c>
      <c r="J118" s="4564"/>
      <c r="K118" s="4562" t="s">
        <v>1060</v>
      </c>
      <c r="L118" s="4562"/>
      <c r="M118" s="4562" t="s">
        <v>1060</v>
      </c>
      <c r="N118" s="4562"/>
      <c r="O118" s="4562" t="s">
        <v>1060</v>
      </c>
      <c r="P118" s="4562"/>
      <c r="Q118" s="4563"/>
      <c r="R118" s="4563"/>
      <c r="S118" s="4563"/>
      <c r="T118" s="4563"/>
    </row>
    <row r="119" spans="2:20" ht="14.1" customHeight="1">
      <c r="B119" s="2925"/>
      <c r="C119" s="4568" t="s">
        <v>2068</v>
      </c>
      <c r="D119" s="4568"/>
      <c r="E119" s="4568"/>
      <c r="F119" s="4568"/>
      <c r="G119" s="4568"/>
      <c r="H119" s="4568"/>
      <c r="I119" s="4562" t="s">
        <v>1060</v>
      </c>
      <c r="J119" s="4562"/>
      <c r="K119" s="4562" t="s">
        <v>1060</v>
      </c>
      <c r="L119" s="4562"/>
      <c r="M119" s="4564" t="s">
        <v>1060</v>
      </c>
      <c r="N119" s="4564"/>
      <c r="O119" s="4562" t="s">
        <v>1060</v>
      </c>
      <c r="P119" s="4562"/>
      <c r="Q119" s="4563"/>
      <c r="R119" s="4563"/>
      <c r="S119" s="4563"/>
      <c r="T119" s="4563"/>
    </row>
    <row r="120" spans="2:20" ht="14.1" customHeight="1">
      <c r="B120" s="2925"/>
      <c r="C120" s="4568" t="s">
        <v>2069</v>
      </c>
      <c r="D120" s="4568"/>
      <c r="E120" s="4568"/>
      <c r="F120" s="4568"/>
      <c r="G120" s="4568"/>
      <c r="H120" s="4568"/>
      <c r="I120" s="4562" t="s">
        <v>1060</v>
      </c>
      <c r="J120" s="4562"/>
      <c r="K120" s="4562" t="s">
        <v>1060</v>
      </c>
      <c r="L120" s="4562"/>
      <c r="M120" s="4564" t="s">
        <v>1060</v>
      </c>
      <c r="N120" s="4564"/>
      <c r="O120" s="4562" t="s">
        <v>1060</v>
      </c>
      <c r="P120" s="4562"/>
      <c r="Q120" s="4563"/>
      <c r="R120" s="4563"/>
      <c r="S120" s="4563"/>
      <c r="T120" s="4563"/>
    </row>
    <row r="121" spans="2:20" ht="14.1" customHeight="1">
      <c r="B121" s="2925"/>
      <c r="C121" s="4568" t="s">
        <v>2070</v>
      </c>
      <c r="D121" s="4568"/>
      <c r="E121" s="4568"/>
      <c r="F121" s="4568"/>
      <c r="G121" s="4568"/>
      <c r="H121" s="4568"/>
      <c r="I121" s="4562" t="s">
        <v>1060</v>
      </c>
      <c r="J121" s="4562"/>
      <c r="K121" s="4562" t="s">
        <v>1060</v>
      </c>
      <c r="L121" s="4562"/>
      <c r="M121" s="4562" t="s">
        <v>1060</v>
      </c>
      <c r="N121" s="4562"/>
      <c r="O121" s="4564" t="s">
        <v>1060</v>
      </c>
      <c r="P121" s="4564"/>
      <c r="Q121" s="4563"/>
      <c r="R121" s="4563"/>
      <c r="S121" s="4563"/>
      <c r="T121" s="4563"/>
    </row>
    <row r="122" spans="2:20" ht="14.1" customHeight="1">
      <c r="B122" s="2925"/>
      <c r="C122" s="4568" t="s">
        <v>2071</v>
      </c>
      <c r="D122" s="4568"/>
      <c r="E122" s="4568"/>
      <c r="F122" s="4568"/>
      <c r="G122" s="4568"/>
      <c r="H122" s="4568"/>
      <c r="I122" s="4562" t="s">
        <v>1060</v>
      </c>
      <c r="J122" s="4562"/>
      <c r="K122" s="4562" t="s">
        <v>1060</v>
      </c>
      <c r="L122" s="4562"/>
      <c r="M122" s="4564" t="s">
        <v>1060</v>
      </c>
      <c r="N122" s="4564"/>
      <c r="O122" s="4562" t="s">
        <v>1060</v>
      </c>
      <c r="P122" s="4562"/>
      <c r="Q122" s="4563"/>
      <c r="R122" s="4563"/>
      <c r="S122" s="4563"/>
      <c r="T122" s="4563"/>
    </row>
    <row r="123" spans="2:20" ht="14.1" customHeight="1">
      <c r="B123" s="1099"/>
      <c r="C123" s="4567" t="s">
        <v>2072</v>
      </c>
      <c r="D123" s="4567"/>
      <c r="E123" s="4567"/>
      <c r="F123" s="4567"/>
      <c r="G123" s="4567"/>
      <c r="H123" s="4567"/>
      <c r="I123" s="4562" t="s">
        <v>1060</v>
      </c>
      <c r="J123" s="4562"/>
      <c r="K123" s="4564" t="s">
        <v>1060</v>
      </c>
      <c r="L123" s="4564"/>
      <c r="M123" s="4562" t="s">
        <v>1060</v>
      </c>
      <c r="N123" s="4562"/>
      <c r="O123" s="4562" t="s">
        <v>1060</v>
      </c>
      <c r="P123" s="4562"/>
      <c r="Q123" s="4563"/>
      <c r="R123" s="4563"/>
      <c r="S123" s="4563"/>
      <c r="T123" s="4563"/>
    </row>
    <row r="124" spans="2:20" ht="14.1" customHeight="1">
      <c r="B124" s="1099"/>
      <c r="C124" s="4566" t="s">
        <v>2073</v>
      </c>
      <c r="D124" s="4566"/>
      <c r="E124" s="4566"/>
      <c r="F124" s="4566"/>
      <c r="G124" s="4566"/>
      <c r="H124" s="4566"/>
      <c r="I124" s="4562" t="s">
        <v>1060</v>
      </c>
      <c r="J124" s="4562"/>
      <c r="K124" s="4564" t="s">
        <v>1060</v>
      </c>
      <c r="L124" s="4564"/>
      <c r="M124" s="4562" t="s">
        <v>1060</v>
      </c>
      <c r="N124" s="4562"/>
      <c r="O124" s="4562" t="s">
        <v>1060</v>
      </c>
      <c r="P124" s="4562"/>
      <c r="Q124" s="4563"/>
      <c r="R124" s="4563"/>
      <c r="S124" s="4563"/>
      <c r="T124" s="4563"/>
    </row>
    <row r="125" spans="2:20" ht="14.1" customHeight="1">
      <c r="B125" s="1099"/>
      <c r="C125" s="4565" t="s">
        <v>2074</v>
      </c>
      <c r="D125" s="4565"/>
      <c r="E125" s="4565"/>
      <c r="F125" s="4565"/>
      <c r="G125" s="4565"/>
      <c r="H125" s="4565"/>
      <c r="I125" s="4562" t="s">
        <v>1060</v>
      </c>
      <c r="J125" s="4562"/>
      <c r="K125" s="4562" t="s">
        <v>1060</v>
      </c>
      <c r="L125" s="4562"/>
      <c r="M125" s="4562" t="s">
        <v>1060</v>
      </c>
      <c r="N125" s="4562"/>
      <c r="O125" s="4562" t="s">
        <v>1060</v>
      </c>
      <c r="P125" s="4562"/>
      <c r="Q125" s="4563" t="s">
        <v>2281</v>
      </c>
      <c r="R125" s="4563"/>
      <c r="S125" s="4563"/>
      <c r="T125" s="4563"/>
    </row>
    <row r="126" spans="2:20" ht="14.1" customHeight="1">
      <c r="B126" s="1099"/>
      <c r="C126" s="4565" t="s">
        <v>2075</v>
      </c>
      <c r="D126" s="4565"/>
      <c r="E126" s="4565"/>
      <c r="F126" s="4565"/>
      <c r="G126" s="4565"/>
      <c r="H126" s="4565"/>
      <c r="I126" s="4562" t="s">
        <v>1060</v>
      </c>
      <c r="J126" s="4562"/>
      <c r="K126" s="4562" t="s">
        <v>1060</v>
      </c>
      <c r="L126" s="4562"/>
      <c r="M126" s="4562" t="s">
        <v>1060</v>
      </c>
      <c r="N126" s="4562"/>
      <c r="O126" s="4562" t="s">
        <v>1060</v>
      </c>
      <c r="P126" s="4562"/>
      <c r="Q126" s="4563" t="s">
        <v>2282</v>
      </c>
      <c r="R126" s="4563"/>
      <c r="S126" s="4563"/>
      <c r="T126" s="4563"/>
    </row>
    <row r="127" spans="2:20" ht="6" customHeight="1">
      <c r="B127" s="1099"/>
      <c r="C127" s="1737"/>
      <c r="D127" s="1737"/>
      <c r="E127" s="1737"/>
      <c r="F127" s="1737"/>
      <c r="G127" s="1737"/>
      <c r="H127" s="1737"/>
      <c r="I127" s="1101"/>
      <c r="J127" s="1101"/>
      <c r="K127" s="1101"/>
      <c r="L127" s="1101"/>
      <c r="M127" s="1101"/>
      <c r="N127" s="1101"/>
      <c r="O127" s="1101"/>
      <c r="P127" s="1101"/>
      <c r="Q127" s="1100"/>
      <c r="R127" s="1100"/>
      <c r="S127" s="1100"/>
      <c r="T127" s="1100"/>
    </row>
    <row r="128" spans="2:20" ht="15.75" customHeight="1">
      <c r="B128" s="2834" t="s">
        <v>2081</v>
      </c>
      <c r="C128" s="2834" t="s">
        <v>2063</v>
      </c>
      <c r="D128" s="1737"/>
      <c r="E128" s="1737"/>
      <c r="F128" s="1737"/>
      <c r="G128" s="1737"/>
      <c r="H128" s="1737"/>
      <c r="I128" s="1101"/>
      <c r="J128" s="1101"/>
      <c r="K128" s="1101"/>
      <c r="L128" s="1101"/>
      <c r="M128" s="1101"/>
      <c r="N128" s="1101"/>
      <c r="O128" s="1101"/>
      <c r="P128" s="1101"/>
      <c r="Q128" s="1100"/>
      <c r="R128" s="1100"/>
      <c r="S128" s="1100"/>
      <c r="T128" s="1100"/>
    </row>
    <row r="129" spans="2:20" ht="4.5" customHeight="1">
      <c r="B129" s="2925"/>
      <c r="C129" s="2925"/>
      <c r="D129" s="1737"/>
      <c r="E129" s="1737"/>
      <c r="F129" s="1737"/>
      <c r="G129" s="1737"/>
      <c r="H129" s="1737"/>
      <c r="I129" s="1101"/>
      <c r="J129" s="1101"/>
      <c r="K129" s="1101"/>
      <c r="L129" s="1101"/>
      <c r="M129" s="1101"/>
      <c r="N129" s="1101"/>
      <c r="O129" s="1101"/>
      <c r="P129" s="1101"/>
      <c r="Q129" s="1100"/>
      <c r="R129" s="1100"/>
      <c r="S129" s="1100"/>
      <c r="T129" s="1100"/>
    </row>
    <row r="130" spans="2:20" ht="14.1" customHeight="1">
      <c r="B130" s="2925"/>
      <c r="C130" s="4553"/>
      <c r="D130" s="4553"/>
      <c r="E130" s="4553"/>
      <c r="F130" s="4553"/>
      <c r="G130" s="4553"/>
      <c r="H130" s="4553"/>
      <c r="I130" s="4553"/>
      <c r="J130" s="4553"/>
      <c r="K130" s="4553"/>
      <c r="L130" s="4553"/>
      <c r="M130" s="4553"/>
      <c r="N130" s="4553"/>
      <c r="O130" s="4553"/>
      <c r="P130" s="4553"/>
      <c r="Q130" s="4553"/>
      <c r="R130" s="4553"/>
      <c r="S130" s="4553"/>
      <c r="T130" s="4553"/>
    </row>
    <row r="131" spans="2:20" ht="14.1" customHeight="1">
      <c r="B131" s="1099"/>
      <c r="C131" s="4553"/>
      <c r="D131" s="4553"/>
      <c r="E131" s="4553"/>
      <c r="F131" s="4553"/>
      <c r="G131" s="4553"/>
      <c r="H131" s="4553"/>
      <c r="I131" s="4553"/>
      <c r="J131" s="4553"/>
      <c r="K131" s="4553"/>
      <c r="L131" s="4553"/>
      <c r="M131" s="4553"/>
      <c r="N131" s="4553"/>
      <c r="O131" s="4553"/>
      <c r="P131" s="4553"/>
      <c r="Q131" s="4553"/>
      <c r="R131" s="4553"/>
      <c r="S131" s="4553"/>
      <c r="T131" s="4553"/>
    </row>
    <row r="132" spans="2:20" ht="13.5" customHeight="1">
      <c r="B132" s="1099"/>
      <c r="C132" s="1101"/>
      <c r="D132" s="1101"/>
      <c r="E132" s="1101"/>
      <c r="F132" s="1101"/>
      <c r="G132" s="1101"/>
      <c r="H132" s="1101"/>
      <c r="I132" s="1101"/>
      <c r="J132" s="1101"/>
      <c r="K132" s="1101"/>
      <c r="L132" s="1101"/>
      <c r="M132" s="1101"/>
      <c r="N132" s="1101"/>
      <c r="O132" s="1101"/>
      <c r="P132" s="1101"/>
      <c r="Q132" s="1101"/>
      <c r="R132" s="1101"/>
      <c r="S132" s="1101"/>
      <c r="T132" s="1101"/>
    </row>
    <row r="133" spans="2:20" ht="13.5" customHeight="1">
      <c r="B133" s="1099"/>
      <c r="C133" s="1101"/>
      <c r="D133" s="1101"/>
      <c r="E133" s="1101"/>
      <c r="F133" s="1101"/>
      <c r="G133" s="1101"/>
      <c r="H133" s="1101"/>
      <c r="I133" s="1101"/>
      <c r="J133" s="1101"/>
      <c r="K133" s="1101"/>
      <c r="L133" s="1101"/>
      <c r="M133" s="1101"/>
      <c r="N133" s="1101"/>
      <c r="O133" s="1101"/>
      <c r="P133" s="1101"/>
      <c r="Q133" s="1101"/>
      <c r="R133" s="1101"/>
      <c r="S133" s="1101"/>
      <c r="T133" s="1101"/>
    </row>
    <row r="134" spans="2:20" ht="13.5" customHeight="1">
      <c r="B134" s="1099"/>
      <c r="C134" s="2924"/>
      <c r="D134" s="1099"/>
      <c r="E134" s="1099"/>
      <c r="F134" s="1099"/>
      <c r="G134" s="1099"/>
      <c r="H134" s="1099"/>
      <c r="I134" s="1099"/>
      <c r="J134" s="1099"/>
      <c r="K134" s="1099"/>
      <c r="L134" s="1099"/>
      <c r="M134" s="1099"/>
      <c r="N134" s="1099"/>
      <c r="O134" s="1099"/>
      <c r="P134" s="1099"/>
      <c r="Q134" s="1100"/>
      <c r="R134" s="1101"/>
      <c r="S134" s="1101"/>
      <c r="T134" s="1100"/>
    </row>
    <row r="135" spans="2:20" ht="15.75" customHeight="1">
      <c r="B135" s="2835"/>
      <c r="C135" s="4624" t="str">
        <f>VLOOKUP(L6,'VISITA DE INSP.'!A17:AI36,4,4)</f>
        <v>GONGORA SANTOS * GRACIELA</v>
      </c>
      <c r="D135" s="4625"/>
      <c r="E135" s="4625"/>
      <c r="F135" s="4625"/>
      <c r="G135" s="4625"/>
      <c r="H135" s="4625"/>
      <c r="I135" s="4625"/>
      <c r="J135" s="4625"/>
      <c r="K135" s="4626"/>
      <c r="L135" s="1141"/>
      <c r="M135" s="1141"/>
      <c r="N135" s="4604" t="s">
        <v>90</v>
      </c>
      <c r="O135" s="4605"/>
      <c r="P135" s="4605"/>
      <c r="Q135" s="4605"/>
      <c r="R135" s="4605"/>
      <c r="S135" s="4605"/>
      <c r="T135" s="4605"/>
    </row>
    <row r="136" spans="2:20" ht="15.75" customHeight="1">
      <c r="B136" s="1135"/>
      <c r="C136" s="4423" t="s">
        <v>169</v>
      </c>
      <c r="D136" s="4424"/>
      <c r="E136" s="4424"/>
      <c r="F136" s="4424"/>
      <c r="G136" s="4424"/>
      <c r="H136" s="4424"/>
      <c r="I136" s="4424"/>
      <c r="J136" s="4424"/>
      <c r="K136" s="4617"/>
      <c r="L136" s="1178"/>
      <c r="M136" s="1178"/>
      <c r="N136" s="4423" t="s">
        <v>170</v>
      </c>
      <c r="O136" s="4424"/>
      <c r="P136" s="4424"/>
      <c r="Q136" s="4424"/>
      <c r="R136" s="4424"/>
      <c r="S136" s="4424"/>
      <c r="T136" s="4424"/>
    </row>
    <row r="137" spans="2:20" ht="2.25" customHeight="1">
      <c r="B137" s="169"/>
      <c r="C137" s="170"/>
      <c r="D137" s="164"/>
      <c r="E137" s="164"/>
      <c r="F137" s="164"/>
      <c r="G137" s="164"/>
      <c r="H137" s="164"/>
      <c r="I137" s="164"/>
      <c r="J137" s="164"/>
      <c r="K137" s="164"/>
      <c r="L137" s="164"/>
      <c r="M137" s="164"/>
      <c r="N137" s="164"/>
      <c r="O137" s="164"/>
      <c r="P137" s="164"/>
      <c r="Q137" s="226"/>
      <c r="R137" s="160"/>
      <c r="S137" s="161"/>
      <c r="T137" s="236"/>
    </row>
  </sheetData>
  <sheetProtection selectLockedCells="1"/>
  <mergeCells count="174">
    <mergeCell ref="C22:K22"/>
    <mergeCell ref="C23:K25"/>
    <mergeCell ref="L22:T22"/>
    <mergeCell ref="L23:T25"/>
    <mergeCell ref="O7:P7"/>
    <mergeCell ref="S7:T7"/>
    <mergeCell ref="M12:T12"/>
    <mergeCell ref="C136:K136"/>
    <mergeCell ref="N136:T136"/>
    <mergeCell ref="B14:T14"/>
    <mergeCell ref="B15:T15"/>
    <mergeCell ref="B16:T16"/>
    <mergeCell ref="C73:T73"/>
    <mergeCell ref="C109:T109"/>
    <mergeCell ref="C55:J55"/>
    <mergeCell ref="M55:T55"/>
    <mergeCell ref="C60:H60"/>
    <mergeCell ref="I60:N60"/>
    <mergeCell ref="C43:T43"/>
    <mergeCell ref="C50:T50"/>
    <mergeCell ref="F29:H29"/>
    <mergeCell ref="J29:L29"/>
    <mergeCell ref="C110:T110"/>
    <mergeCell ref="C135:K135"/>
    <mergeCell ref="N135:T135"/>
    <mergeCell ref="N29:P29"/>
    <mergeCell ref="R29:T29"/>
    <mergeCell ref="F30:H30"/>
    <mergeCell ref="J30:L30"/>
    <mergeCell ref="N30:P30"/>
    <mergeCell ref="R30:T30"/>
    <mergeCell ref="F39:H39"/>
    <mergeCell ref="J39:L39"/>
    <mergeCell ref="F37:H37"/>
    <mergeCell ref="J37:L37"/>
    <mergeCell ref="F35:H35"/>
    <mergeCell ref="J35:L35"/>
    <mergeCell ref="F32:H32"/>
    <mergeCell ref="J32:L32"/>
    <mergeCell ref="N35:P35"/>
    <mergeCell ref="R35:T35"/>
    <mergeCell ref="F36:H36"/>
    <mergeCell ref="J36:L36"/>
    <mergeCell ref="N36:P36"/>
    <mergeCell ref="R36:T36"/>
    <mergeCell ref="N32:P32"/>
    <mergeCell ref="R32:T32"/>
    <mergeCell ref="F33:H33"/>
    <mergeCell ref="J33:L33"/>
    <mergeCell ref="N33:P33"/>
    <mergeCell ref="R33:T33"/>
    <mergeCell ref="N39:P39"/>
    <mergeCell ref="R39:T39"/>
    <mergeCell ref="C44:T44"/>
    <mergeCell ref="C45:T45"/>
    <mergeCell ref="C49:T49"/>
    <mergeCell ref="C54:J54"/>
    <mergeCell ref="M54:T54"/>
    <mergeCell ref="N37:P37"/>
    <mergeCell ref="R37:T37"/>
    <mergeCell ref="F38:H38"/>
    <mergeCell ref="J38:L38"/>
    <mergeCell ref="N38:P38"/>
    <mergeCell ref="R38:T38"/>
    <mergeCell ref="O65:T65"/>
    <mergeCell ref="O66:T66"/>
    <mergeCell ref="O60:T60"/>
    <mergeCell ref="C61:H61"/>
    <mergeCell ref="C62:H62"/>
    <mergeCell ref="I61:N61"/>
    <mergeCell ref="O61:T61"/>
    <mergeCell ref="I62:N62"/>
    <mergeCell ref="O62:T62"/>
    <mergeCell ref="I63:N63"/>
    <mergeCell ref="O63:T63"/>
    <mergeCell ref="D9:E9"/>
    <mergeCell ref="H9:I9"/>
    <mergeCell ref="C103:E103"/>
    <mergeCell ref="J103:L103"/>
    <mergeCell ref="Q103:S103"/>
    <mergeCell ref="R86:S86"/>
    <mergeCell ref="N86:O86"/>
    <mergeCell ref="C94:T94"/>
    <mergeCell ref="C95:T95"/>
    <mergeCell ref="C96:T96"/>
    <mergeCell ref="C97:T97"/>
    <mergeCell ref="C82:E82"/>
    <mergeCell ref="J82:L82"/>
    <mergeCell ref="Q82:S82"/>
    <mergeCell ref="C86:E86"/>
    <mergeCell ref="H86:K86"/>
    <mergeCell ref="C72:E72"/>
    <mergeCell ref="J72:L72"/>
    <mergeCell ref="Q72:S72"/>
    <mergeCell ref="C77:E77"/>
    <mergeCell ref="J77:L77"/>
    <mergeCell ref="Q77:S77"/>
    <mergeCell ref="I65:N65"/>
    <mergeCell ref="I66:N66"/>
    <mergeCell ref="I116:J116"/>
    <mergeCell ref="K116:L116"/>
    <mergeCell ref="M116:N116"/>
    <mergeCell ref="O116:P116"/>
    <mergeCell ref="Q116:T116"/>
    <mergeCell ref="C116:H116"/>
    <mergeCell ref="C114:H115"/>
    <mergeCell ref="I114:J115"/>
    <mergeCell ref="K114:L115"/>
    <mergeCell ref="M114:N115"/>
    <mergeCell ref="O114:P115"/>
    <mergeCell ref="Q114:T115"/>
    <mergeCell ref="M117:N117"/>
    <mergeCell ref="O117:P117"/>
    <mergeCell ref="Q117:T117"/>
    <mergeCell ref="I118:J118"/>
    <mergeCell ref="K118:L118"/>
    <mergeCell ref="M118:N118"/>
    <mergeCell ref="O118:P118"/>
    <mergeCell ref="Q118:T118"/>
    <mergeCell ref="C120:H120"/>
    <mergeCell ref="C119:H119"/>
    <mergeCell ref="C118:H118"/>
    <mergeCell ref="C117:H117"/>
    <mergeCell ref="I117:J117"/>
    <mergeCell ref="K117:L117"/>
    <mergeCell ref="I119:J119"/>
    <mergeCell ref="K119:L119"/>
    <mergeCell ref="O121:P121"/>
    <mergeCell ref="Q121:T121"/>
    <mergeCell ref="I122:J122"/>
    <mergeCell ref="K122:L122"/>
    <mergeCell ref="M122:N122"/>
    <mergeCell ref="O122:P122"/>
    <mergeCell ref="Q122:T122"/>
    <mergeCell ref="C130:T130"/>
    <mergeCell ref="M119:N119"/>
    <mergeCell ref="O119:P119"/>
    <mergeCell ref="Q119:T119"/>
    <mergeCell ref="I120:J120"/>
    <mergeCell ref="K120:L120"/>
    <mergeCell ref="M120:N120"/>
    <mergeCell ref="O120:P120"/>
    <mergeCell ref="Q120:T120"/>
    <mergeCell ref="C126:H126"/>
    <mergeCell ref="C125:H125"/>
    <mergeCell ref="C124:H124"/>
    <mergeCell ref="C123:H123"/>
    <mergeCell ref="C122:H122"/>
    <mergeCell ref="C121:H121"/>
    <mergeCell ref="K121:L121"/>
    <mergeCell ref="C131:T131"/>
    <mergeCell ref="C63:H66"/>
    <mergeCell ref="I125:J125"/>
    <mergeCell ref="K125:L125"/>
    <mergeCell ref="M125:N125"/>
    <mergeCell ref="O125:P125"/>
    <mergeCell ref="Q125:T125"/>
    <mergeCell ref="I126:J126"/>
    <mergeCell ref="K126:L126"/>
    <mergeCell ref="M126:N126"/>
    <mergeCell ref="O126:P126"/>
    <mergeCell ref="Q126:T126"/>
    <mergeCell ref="I123:J123"/>
    <mergeCell ref="K123:L123"/>
    <mergeCell ref="M123:N123"/>
    <mergeCell ref="O123:P123"/>
    <mergeCell ref="Q123:T123"/>
    <mergeCell ref="I124:J124"/>
    <mergeCell ref="K124:L124"/>
    <mergeCell ref="M124:N124"/>
    <mergeCell ref="O124:P124"/>
    <mergeCell ref="Q124:T124"/>
    <mergeCell ref="I121:J121"/>
    <mergeCell ref="M121:N121"/>
  </mergeCells>
  <conditionalFormatting sqref="H9 M9:T9 O7:P7 C135:K135 D12:M12 F9 D9 E7">
    <cfRule type="cellIs" dxfId="802" priority="3" stopIfTrue="1" operator="equal">
      <formula>0</formula>
    </cfRule>
  </conditionalFormatting>
  <conditionalFormatting sqref="R30:T30">
    <cfRule type="cellIs" dxfId="801" priority="2" operator="equal">
      <formula>1</formula>
    </cfRule>
  </conditionalFormatting>
  <conditionalFormatting sqref="F30:H30 J30:L30 N30:P30">
    <cfRule type="cellIs" dxfId="800" priority="1" operator="equal">
      <formula>0</formula>
    </cfRule>
  </conditionalFormatting>
  <printOptions horizontalCentered="1"/>
  <pageMargins left="0.19685039370078741" right="0.11811023622047245" top="0.74803149606299213" bottom="0.35433070866141736" header="0.31496062992125984" footer="0"/>
  <pageSetup paperSize="9" scale="90" orientation="portrait" horizontalDpi="300" verticalDpi="300" r:id="rId1"/>
  <rowBreaks count="1" manualBreakCount="1">
    <brk id="73" max="20" man="1"/>
  </rowBreaks>
  <drawing r:id="rId2"/>
  <legacy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7">
    <tabColor rgb="FFFFFF00"/>
  </sheetPr>
  <dimension ref="A1:AN67"/>
  <sheetViews>
    <sheetView view="pageBreakPreview" topLeftCell="A34" zoomScale="84" zoomScaleSheetLayoutView="84" workbookViewId="0">
      <selection activeCell="Y67" sqref="Y67"/>
    </sheetView>
  </sheetViews>
  <sheetFormatPr baseColWidth="10" defaultRowHeight="12.75"/>
  <cols>
    <col min="1" max="1" width="1.28515625" style="17" customWidth="1"/>
    <col min="2" max="2" width="3.42578125" style="17" customWidth="1"/>
    <col min="3" max="3" width="6.140625" style="17" customWidth="1"/>
    <col min="4" max="4" width="4.85546875" style="17" customWidth="1"/>
    <col min="5" max="5" width="6.28515625" style="17" customWidth="1"/>
    <col min="6" max="6" width="4" style="17" customWidth="1"/>
    <col min="7" max="7" width="3.28515625" style="17" customWidth="1"/>
    <col min="8" max="8" width="3.140625" style="17" customWidth="1"/>
    <col min="9" max="9" width="5.140625" style="17" customWidth="1"/>
    <col min="10" max="12" width="4.85546875" style="17" customWidth="1"/>
    <col min="13" max="14" width="6.140625" style="17" customWidth="1"/>
    <col min="15" max="15" width="3.42578125" style="17" customWidth="1"/>
    <col min="16" max="17" width="6.42578125" style="17" customWidth="1"/>
    <col min="18" max="18" width="11.7109375" style="17" customWidth="1"/>
    <col min="19" max="19" width="1.85546875" style="17" customWidth="1"/>
    <col min="20" max="20" width="1.5703125" style="17" customWidth="1"/>
    <col min="21" max="21" width="3" style="309" customWidth="1"/>
    <col min="22" max="23" width="6.85546875" style="109" customWidth="1"/>
    <col min="24" max="24" width="12.140625" style="109" customWidth="1"/>
    <col min="25" max="25" width="11.140625" style="109" customWidth="1"/>
    <col min="26" max="26" width="16.7109375" style="109" customWidth="1"/>
    <col min="27" max="27" width="18.7109375" style="109" customWidth="1"/>
    <col min="28" max="28" width="6" style="109" customWidth="1"/>
    <col min="29" max="30" width="10.140625" style="109" customWidth="1"/>
    <col min="31" max="33" width="11.42578125" style="109" customWidth="1"/>
    <col min="34" max="34" width="4.28515625" style="109" customWidth="1"/>
    <col min="35" max="35" width="11.42578125" style="109" customWidth="1"/>
    <col min="36" max="36" width="4.140625" style="109" customWidth="1"/>
    <col min="37" max="37" width="11.42578125" style="109" customWidth="1"/>
    <col min="38" max="38" width="19.7109375" style="109" customWidth="1"/>
    <col min="39" max="39" width="16.5703125" style="109" customWidth="1"/>
    <col min="40" max="40" width="19.7109375" style="109" customWidth="1"/>
    <col min="41" max="16384" width="11.42578125" style="17"/>
  </cols>
  <sheetData>
    <row r="1" spans="1:40" ht="9" customHeight="1">
      <c r="A1" s="117"/>
      <c r="B1" s="3443"/>
      <c r="C1" s="3443"/>
      <c r="D1" s="3443"/>
      <c r="E1" s="3443"/>
      <c r="F1" s="3443"/>
      <c r="G1" s="3443"/>
      <c r="H1" s="3443"/>
      <c r="I1" s="3443"/>
      <c r="J1" s="3443"/>
      <c r="K1" s="3443"/>
      <c r="L1" s="3443"/>
      <c r="M1" s="3443"/>
      <c r="N1" s="3443"/>
      <c r="O1" s="3443"/>
      <c r="P1" s="3443"/>
      <c r="Q1" s="3443"/>
      <c r="R1" s="3443"/>
      <c r="S1" s="3443"/>
      <c r="T1" s="690"/>
    </row>
    <row r="2" spans="1:40" ht="15">
      <c r="A2" s="118"/>
      <c r="B2" s="4638" t="s">
        <v>201</v>
      </c>
      <c r="C2" s="4638"/>
      <c r="D2" s="4638"/>
      <c r="E2" s="4638"/>
      <c r="F2" s="4638"/>
      <c r="G2" s="4638"/>
      <c r="H2" s="4638"/>
      <c r="I2" s="4638"/>
      <c r="J2" s="4638"/>
      <c r="K2" s="4638"/>
      <c r="L2" s="4638"/>
      <c r="M2" s="4638"/>
      <c r="N2" s="4638"/>
      <c r="O2" s="4638"/>
      <c r="P2" s="4638"/>
      <c r="Q2" s="4638"/>
      <c r="R2" s="4638"/>
      <c r="S2" s="4638"/>
      <c r="T2" s="25"/>
      <c r="U2" s="309">
        <v>1</v>
      </c>
      <c r="V2" s="109" t="s">
        <v>748</v>
      </c>
      <c r="Y2" s="309">
        <v>1</v>
      </c>
      <c r="Z2" s="109" t="s">
        <v>8</v>
      </c>
    </row>
    <row r="3" spans="1:40" ht="4.5" customHeight="1">
      <c r="A3" s="118"/>
      <c r="B3" s="1"/>
      <c r="C3" s="1"/>
      <c r="D3" s="1"/>
      <c r="E3" s="1"/>
      <c r="F3" s="1"/>
      <c r="G3" s="1"/>
      <c r="H3" s="1"/>
      <c r="I3" s="1"/>
      <c r="J3" s="1"/>
      <c r="K3" s="1"/>
      <c r="L3" s="1"/>
      <c r="M3" s="1"/>
      <c r="N3" s="1"/>
      <c r="O3" s="1"/>
      <c r="P3" s="1"/>
      <c r="Q3" s="1"/>
      <c r="R3" s="1"/>
      <c r="S3" s="1"/>
      <c r="T3" s="25"/>
      <c r="U3" s="309">
        <v>2</v>
      </c>
      <c r="V3" s="109" t="s">
        <v>747</v>
      </c>
      <c r="Y3" s="309">
        <v>2</v>
      </c>
      <c r="Z3" s="109" t="s">
        <v>347</v>
      </c>
    </row>
    <row r="4" spans="1:40" ht="4.5" customHeight="1">
      <c r="A4" s="118"/>
      <c r="B4" s="1"/>
      <c r="C4" s="1"/>
      <c r="D4" s="1"/>
      <c r="E4" s="1"/>
      <c r="F4" s="1"/>
      <c r="G4" s="1"/>
      <c r="H4" s="1"/>
      <c r="I4" s="1"/>
      <c r="J4" s="1"/>
      <c r="K4" s="1"/>
      <c r="L4" s="1"/>
      <c r="M4" s="1"/>
      <c r="N4" s="1"/>
      <c r="O4" s="1"/>
      <c r="P4" s="1"/>
      <c r="Q4" s="1"/>
      <c r="R4" s="1"/>
      <c r="S4" s="1"/>
      <c r="T4" s="25"/>
      <c r="U4" s="309">
        <v>3</v>
      </c>
      <c r="V4" s="109" t="s">
        <v>749</v>
      </c>
      <c r="Y4" s="309">
        <v>3</v>
      </c>
      <c r="Z4" s="109" t="s">
        <v>348</v>
      </c>
    </row>
    <row r="5" spans="1:40" ht="14.25">
      <c r="A5" s="118"/>
      <c r="B5" s="4639" t="s">
        <v>202</v>
      </c>
      <c r="C5" s="4639"/>
      <c r="D5" s="4639"/>
      <c r="E5" s="4639"/>
      <c r="F5" s="4639"/>
      <c r="G5" s="4639"/>
      <c r="H5" s="4639"/>
      <c r="I5" s="4639"/>
      <c r="J5" s="4639"/>
      <c r="K5" s="4639"/>
      <c r="L5" s="4639"/>
      <c r="M5" s="4639"/>
      <c r="N5" s="4639"/>
      <c r="O5" s="4639"/>
      <c r="P5" s="4639"/>
      <c r="Q5" s="4639"/>
      <c r="R5" s="4639"/>
      <c r="S5" s="4639"/>
      <c r="T5" s="25"/>
    </row>
    <row r="6" spans="1:40">
      <c r="A6" s="118"/>
      <c r="B6" s="4640" t="str">
        <f>VLOOKUP(K7,U35:Y37,2,15)</f>
        <v>(TRABAJADORES DOCENTES)</v>
      </c>
      <c r="C6" s="4640"/>
      <c r="D6" s="4640"/>
      <c r="E6" s="4640"/>
      <c r="F6" s="4640"/>
      <c r="G6" s="4640"/>
      <c r="H6" s="4640"/>
      <c r="I6" s="4640"/>
      <c r="J6" s="4641"/>
      <c r="K6" s="4641"/>
      <c r="L6" s="4641"/>
      <c r="M6" s="4641"/>
      <c r="N6" s="4640"/>
      <c r="O6" s="4640"/>
      <c r="P6" s="4640"/>
      <c r="Q6" s="4640"/>
      <c r="R6" s="4640"/>
      <c r="S6" s="4640"/>
      <c r="T6" s="25"/>
    </row>
    <row r="7" spans="1:40" ht="9" customHeight="1">
      <c r="A7" s="118"/>
      <c r="B7" s="1"/>
      <c r="C7" s="1"/>
      <c r="D7" s="1"/>
      <c r="E7" s="1"/>
      <c r="F7" s="1"/>
      <c r="G7" s="1"/>
      <c r="H7" s="1"/>
      <c r="I7" s="25"/>
      <c r="J7" s="681">
        <v>1</v>
      </c>
      <c r="K7" s="681">
        <v>1</v>
      </c>
      <c r="L7" s="754">
        <v>1</v>
      </c>
      <c r="M7" s="1179">
        <f>'VISITA DE INSP.'!T6</f>
        <v>1</v>
      </c>
      <c r="N7" s="118"/>
      <c r="O7" s="1"/>
      <c r="P7" s="1"/>
      <c r="Q7" s="1"/>
      <c r="R7" s="1"/>
      <c r="S7" s="1"/>
      <c r="T7" s="25"/>
    </row>
    <row r="8" spans="1:40" ht="4.5" customHeight="1">
      <c r="A8" s="118"/>
      <c r="B8" s="1"/>
      <c r="C8" s="1"/>
      <c r="D8" s="1"/>
      <c r="E8" s="128"/>
      <c r="F8" s="128"/>
      <c r="G8" s="128"/>
      <c r="H8" s="128"/>
      <c r="I8" s="128"/>
      <c r="J8" s="680"/>
      <c r="K8" s="680"/>
      <c r="L8" s="680"/>
      <c r="M8" s="26"/>
      <c r="N8" s="1"/>
      <c r="O8" s="1"/>
      <c r="P8" s="1"/>
      <c r="Q8" s="128"/>
      <c r="R8" s="316"/>
      <c r="S8" s="128"/>
      <c r="T8" s="25"/>
      <c r="V8" s="109" t="s">
        <v>248</v>
      </c>
      <c r="W8" s="109" t="s">
        <v>249</v>
      </c>
      <c r="X8" s="109" t="s">
        <v>257</v>
      </c>
      <c r="Y8" s="109" t="s">
        <v>175</v>
      </c>
      <c r="Z8" s="109" t="s">
        <v>752</v>
      </c>
      <c r="AA8" s="109" t="s">
        <v>214</v>
      </c>
      <c r="AB8" s="109" t="s">
        <v>753</v>
      </c>
      <c r="AC8" s="109" t="s">
        <v>217</v>
      </c>
      <c r="AD8" s="109" t="s">
        <v>754</v>
      </c>
      <c r="AE8" s="109" t="s">
        <v>258</v>
      </c>
      <c r="AF8" s="309" t="s">
        <v>755</v>
      </c>
      <c r="AG8" s="309" t="s">
        <v>221</v>
      </c>
      <c r="AH8" s="309" t="s">
        <v>259</v>
      </c>
      <c r="AI8" s="109" t="s">
        <v>756</v>
      </c>
      <c r="AJ8" s="109" t="s">
        <v>551</v>
      </c>
      <c r="AK8" s="109">
        <v>17</v>
      </c>
      <c r="AL8" s="109">
        <v>18</v>
      </c>
      <c r="AM8" s="109" t="s">
        <v>242</v>
      </c>
      <c r="AN8" s="109" t="s">
        <v>243</v>
      </c>
    </row>
    <row r="9" spans="1:40" ht="15.75">
      <c r="A9" s="118"/>
      <c r="B9" s="283" t="s">
        <v>203</v>
      </c>
      <c r="C9" s="24"/>
      <c r="D9" s="128"/>
      <c r="E9" s="284" t="str">
        <f>'VISITA DE INSP.'!AS9</f>
        <v>2012</v>
      </c>
      <c r="F9" s="128"/>
      <c r="G9" s="4642">
        <f>E9+1</f>
        <v>2013</v>
      </c>
      <c r="H9" s="4643"/>
      <c r="I9" s="24"/>
      <c r="J9" s="24"/>
      <c r="K9" s="24"/>
      <c r="L9" s="24"/>
      <c r="M9" s="1"/>
      <c r="N9" s="128"/>
      <c r="O9" s="128"/>
      <c r="P9" s="128"/>
      <c r="Q9" s="315" t="s">
        <v>204</v>
      </c>
      <c r="R9" s="317" t="str">
        <f>VLOOKUP(L7,Y2:Z4,2,2)</f>
        <v>I</v>
      </c>
      <c r="S9" s="308"/>
      <c r="T9" s="25"/>
      <c r="U9" s="309">
        <v>1</v>
      </c>
      <c r="V9" s="109" t="s">
        <v>715</v>
      </c>
      <c r="W9" s="109" t="s">
        <v>716</v>
      </c>
      <c r="X9" s="109" t="s">
        <v>717</v>
      </c>
      <c r="Y9" s="109" t="s">
        <v>718</v>
      </c>
      <c r="Z9" s="109" t="s">
        <v>762</v>
      </c>
      <c r="AA9" s="109" t="s">
        <v>719</v>
      </c>
      <c r="AB9" s="109" t="s">
        <v>245</v>
      </c>
      <c r="AC9" s="109" t="s">
        <v>246</v>
      </c>
      <c r="AD9" s="109" t="s">
        <v>247</v>
      </c>
      <c r="AE9" s="109" t="s">
        <v>759</v>
      </c>
      <c r="AF9" s="109" t="s">
        <v>760</v>
      </c>
      <c r="AG9" s="109" t="s">
        <v>761</v>
      </c>
      <c r="AH9" s="109">
        <v>77533</v>
      </c>
      <c r="AI9" s="109" t="s">
        <v>246</v>
      </c>
      <c r="AK9" s="109" t="s">
        <v>2521</v>
      </c>
      <c r="AL9" s="109" t="s">
        <v>250</v>
      </c>
      <c r="AM9" s="109" t="s">
        <v>1948</v>
      </c>
      <c r="AN9" s="109" t="s">
        <v>2523</v>
      </c>
    </row>
    <row r="10" spans="1:40" ht="6.75" customHeight="1">
      <c r="A10" s="118"/>
      <c r="B10" s="204"/>
      <c r="C10" s="204"/>
      <c r="D10" s="204"/>
      <c r="E10" s="26"/>
      <c r="F10" s="128"/>
      <c r="G10" s="26"/>
      <c r="H10" s="26"/>
      <c r="I10" s="26"/>
      <c r="J10" s="1"/>
      <c r="K10" s="1"/>
      <c r="L10" s="1"/>
      <c r="M10" s="1"/>
      <c r="N10" s="1"/>
      <c r="O10" s="1"/>
      <c r="P10" s="1"/>
      <c r="Q10" s="1"/>
      <c r="R10" s="26"/>
      <c r="S10" s="1"/>
      <c r="T10" s="25"/>
      <c r="U10" s="309">
        <v>2</v>
      </c>
      <c r="V10" s="109" t="s">
        <v>253</v>
      </c>
      <c r="W10" s="109" t="s">
        <v>254</v>
      </c>
      <c r="X10" s="109" t="s">
        <v>255</v>
      </c>
      <c r="Y10" s="310" t="s">
        <v>197</v>
      </c>
      <c r="Z10" s="310" t="s">
        <v>244</v>
      </c>
      <c r="AA10" s="310" t="s">
        <v>256</v>
      </c>
      <c r="AB10" s="310" t="s">
        <v>245</v>
      </c>
      <c r="AC10" s="310" t="s">
        <v>246</v>
      </c>
      <c r="AD10" s="310" t="s">
        <v>247</v>
      </c>
      <c r="AE10" s="109" t="s">
        <v>252</v>
      </c>
      <c r="AF10" s="109" t="s">
        <v>1842</v>
      </c>
      <c r="AG10" s="109" t="s">
        <v>251</v>
      </c>
      <c r="AH10" s="109">
        <v>77500</v>
      </c>
      <c r="AI10" s="109" t="s">
        <v>246</v>
      </c>
      <c r="AK10" s="109" t="s">
        <v>2515</v>
      </c>
      <c r="AL10" s="109" t="s">
        <v>26</v>
      </c>
      <c r="AM10" s="109" t="s">
        <v>2516</v>
      </c>
      <c r="AN10" s="109" t="s">
        <v>250</v>
      </c>
    </row>
    <row r="11" spans="1:40">
      <c r="A11" s="118"/>
      <c r="B11" s="285" t="s">
        <v>205</v>
      </c>
      <c r="C11" s="311" t="str">
        <f>VLOOKUP(J7,U9:AN28,2)</f>
        <v>RICALDE</v>
      </c>
      <c r="D11" s="311"/>
      <c r="E11" s="311"/>
      <c r="F11" s="311"/>
      <c r="G11" s="311"/>
      <c r="H11" s="311" t="str">
        <f>VLOOKUP(J7,U9:AN28,3)</f>
        <v>CASTRO</v>
      </c>
      <c r="I11" s="311"/>
      <c r="J11" s="311"/>
      <c r="K11" s="311"/>
      <c r="L11" s="311"/>
      <c r="M11" s="311"/>
      <c r="N11" s="311" t="str">
        <f>VLOOKUP(J7,U9:AN28,4)</f>
        <v>JESUS MARTIN</v>
      </c>
      <c r="O11" s="311"/>
      <c r="P11" s="311"/>
      <c r="Q11" s="311"/>
      <c r="R11" s="311"/>
      <c r="S11" s="312"/>
      <c r="T11" s="25"/>
      <c r="U11" s="309">
        <v>3</v>
      </c>
      <c r="V11" s="109" t="s">
        <v>253</v>
      </c>
      <c r="W11" s="109" t="s">
        <v>254</v>
      </c>
      <c r="X11" s="109" t="s">
        <v>255</v>
      </c>
      <c r="Y11" s="109" t="s">
        <v>197</v>
      </c>
      <c r="Z11" s="109" t="s">
        <v>260</v>
      </c>
      <c r="AA11" s="109" t="s">
        <v>256</v>
      </c>
      <c r="AB11" s="310" t="s">
        <v>245</v>
      </c>
      <c r="AC11" s="310" t="s">
        <v>246</v>
      </c>
      <c r="AD11" s="310" t="s">
        <v>247</v>
      </c>
      <c r="AE11" s="109" t="s">
        <v>252</v>
      </c>
      <c r="AF11" s="109" t="s">
        <v>1838</v>
      </c>
      <c r="AG11" s="109" t="s">
        <v>251</v>
      </c>
      <c r="AH11" s="109">
        <v>77500</v>
      </c>
      <c r="AI11" s="109" t="s">
        <v>246</v>
      </c>
      <c r="AK11" s="109" t="str">
        <f>AK10</f>
        <v>CANCUN BENITO JUAREZ QUINTANA ROO A 5 DE JUNIO DE 2013</v>
      </c>
      <c r="AL11" s="109" t="str">
        <f>AL10</f>
        <v>JESUS MARTIN RICALDE CASTRO</v>
      </c>
      <c r="AM11" s="109" t="str">
        <f>AM10</f>
        <v>JOSE ARIMAEL SALAS ALCOCER</v>
      </c>
      <c r="AN11" s="109" t="str">
        <f>AN10</f>
        <v>AURA EUGENIA ANCONA FLORES</v>
      </c>
    </row>
    <row r="12" spans="1:40">
      <c r="A12" s="118"/>
      <c r="B12" s="288"/>
      <c r="C12" s="288" t="s">
        <v>206</v>
      </c>
      <c r="D12" s="288"/>
      <c r="E12" s="288"/>
      <c r="F12" s="288"/>
      <c r="G12" s="288"/>
      <c r="H12" s="288" t="s">
        <v>207</v>
      </c>
      <c r="I12" s="27"/>
      <c r="J12" s="288"/>
      <c r="K12" s="288"/>
      <c r="L12" s="288"/>
      <c r="M12" s="288"/>
      <c r="N12" s="288" t="s">
        <v>208</v>
      </c>
      <c r="O12" s="288"/>
      <c r="P12" s="27"/>
      <c r="Q12" s="288"/>
      <c r="R12" s="289"/>
      <c r="S12" s="207"/>
      <c r="T12" s="25"/>
      <c r="U12" s="309">
        <v>4</v>
      </c>
      <c r="V12" s="109" t="s">
        <v>740</v>
      </c>
      <c r="W12" s="109" t="s">
        <v>741</v>
      </c>
      <c r="X12" s="109" t="s">
        <v>742</v>
      </c>
      <c r="Y12" s="109" t="s">
        <v>743</v>
      </c>
      <c r="Z12" s="109" t="s">
        <v>744</v>
      </c>
      <c r="AA12" s="109" t="s">
        <v>256</v>
      </c>
      <c r="AB12" s="310" t="s">
        <v>245</v>
      </c>
      <c r="AC12" s="310" t="s">
        <v>246</v>
      </c>
      <c r="AD12" s="310" t="s">
        <v>247</v>
      </c>
      <c r="AE12" s="109" t="s">
        <v>1077</v>
      </c>
      <c r="AF12" s="109" t="s">
        <v>1078</v>
      </c>
      <c r="AG12" s="109" t="s">
        <v>341</v>
      </c>
      <c r="AH12" s="109">
        <v>77533</v>
      </c>
      <c r="AI12" s="109" t="s">
        <v>246</v>
      </c>
      <c r="AK12" s="109" t="str">
        <f t="shared" ref="AK12:AK24" si="0">AK11</f>
        <v>CANCUN BENITO JUAREZ QUINTANA ROO A 5 DE JUNIO DE 2013</v>
      </c>
      <c r="AL12" s="109" t="str">
        <f t="shared" ref="AL12:AL24" si="1">AL11</f>
        <v>JESUS MARTIN RICALDE CASTRO</v>
      </c>
      <c r="AM12" s="109" t="str">
        <f t="shared" ref="AM12:AM21" si="2">AM11</f>
        <v>JOSE ARIMAEL SALAS ALCOCER</v>
      </c>
      <c r="AN12" s="109" t="str">
        <f t="shared" ref="AN12:AN24" si="3">AN11</f>
        <v>AURA EUGENIA ANCONA FLORES</v>
      </c>
    </row>
    <row r="13" spans="1:40" ht="6.75" customHeight="1">
      <c r="A13" s="118"/>
      <c r="B13" s="290"/>
      <c r="C13" s="204"/>
      <c r="D13" s="204"/>
      <c r="E13" s="204"/>
      <c r="F13" s="204"/>
      <c r="G13" s="204"/>
      <c r="H13" s="204"/>
      <c r="I13" s="204"/>
      <c r="J13" s="204"/>
      <c r="K13" s="204"/>
      <c r="L13" s="204"/>
      <c r="M13" s="204"/>
      <c r="N13" s="204"/>
      <c r="O13" s="204"/>
      <c r="P13" s="204"/>
      <c r="Q13" s="204"/>
      <c r="R13" s="204"/>
      <c r="S13" s="204"/>
      <c r="T13" s="25"/>
      <c r="U13" s="309">
        <v>5</v>
      </c>
      <c r="V13" s="109" t="s">
        <v>740</v>
      </c>
      <c r="W13" s="109" t="s">
        <v>741</v>
      </c>
      <c r="X13" s="109" t="s">
        <v>742</v>
      </c>
      <c r="Y13" s="109" t="s">
        <v>743</v>
      </c>
      <c r="Z13" s="109" t="s">
        <v>1076</v>
      </c>
      <c r="AA13" s="109" t="s">
        <v>256</v>
      </c>
      <c r="AB13" s="310" t="s">
        <v>245</v>
      </c>
      <c r="AC13" s="310" t="s">
        <v>246</v>
      </c>
      <c r="AD13" s="310" t="s">
        <v>247</v>
      </c>
      <c r="AE13" s="109" t="s">
        <v>1079</v>
      </c>
      <c r="AF13" s="109" t="s">
        <v>1078</v>
      </c>
      <c r="AG13" s="109" t="s">
        <v>341</v>
      </c>
      <c r="AH13" s="109">
        <v>77533</v>
      </c>
      <c r="AI13" s="109" t="s">
        <v>246</v>
      </c>
      <c r="AK13" s="109" t="str">
        <f t="shared" si="0"/>
        <v>CANCUN BENITO JUAREZ QUINTANA ROO A 5 DE JUNIO DE 2013</v>
      </c>
      <c r="AL13" s="109" t="str">
        <f t="shared" si="1"/>
        <v>JESUS MARTIN RICALDE CASTRO</v>
      </c>
      <c r="AM13" s="109" t="str">
        <f t="shared" si="2"/>
        <v>JOSE ARIMAEL SALAS ALCOCER</v>
      </c>
      <c r="AN13" s="109" t="str">
        <f t="shared" si="3"/>
        <v>AURA EUGENIA ANCONA FLORES</v>
      </c>
    </row>
    <row r="14" spans="1:40">
      <c r="A14" s="118"/>
      <c r="B14" s="285" t="s">
        <v>209</v>
      </c>
      <c r="C14" s="311" t="str">
        <f>VLOOKUP(J7,U9:AN28,5)</f>
        <v>RICJ631111-344</v>
      </c>
      <c r="D14" s="311"/>
      <c r="E14" s="311"/>
      <c r="F14" s="313"/>
      <c r="G14" s="314"/>
      <c r="H14" s="291" t="s">
        <v>210</v>
      </c>
      <c r="I14" s="311" t="str">
        <f>VLOOKUP(J7,U9:AN28,6)</f>
        <v>11007831200.0 E0201000632</v>
      </c>
      <c r="J14" s="311"/>
      <c r="K14" s="311"/>
      <c r="L14" s="311"/>
      <c r="M14" s="311"/>
      <c r="N14" s="311"/>
      <c r="O14" s="292" t="s">
        <v>211</v>
      </c>
      <c r="P14" s="311" t="str">
        <f>VLOOKUP(J7,U9:AN28,7)</f>
        <v>INSPECTOR DE ZONA</v>
      </c>
      <c r="Q14" s="311"/>
      <c r="R14" s="311"/>
      <c r="S14" s="312"/>
      <c r="T14" s="25"/>
      <c r="U14" s="309">
        <v>6</v>
      </c>
      <c r="V14" s="109" t="s">
        <v>314</v>
      </c>
      <c r="W14" s="109" t="s">
        <v>750</v>
      </c>
      <c r="X14" s="109" t="s">
        <v>751</v>
      </c>
      <c r="Y14" s="109" t="s">
        <v>731</v>
      </c>
      <c r="Z14" s="109" t="s">
        <v>730</v>
      </c>
      <c r="AA14" s="109" t="s">
        <v>336</v>
      </c>
      <c r="AB14" s="310" t="s">
        <v>245</v>
      </c>
      <c r="AC14" s="310" t="s">
        <v>246</v>
      </c>
      <c r="AD14" s="310" t="s">
        <v>247</v>
      </c>
      <c r="AE14" s="109" t="s">
        <v>1943</v>
      </c>
      <c r="AF14" s="109" t="s">
        <v>1944</v>
      </c>
      <c r="AG14" s="109" t="s">
        <v>1100</v>
      </c>
      <c r="AH14" s="109">
        <v>77509</v>
      </c>
      <c r="AI14" s="109" t="s">
        <v>246</v>
      </c>
      <c r="AK14" s="109" t="str">
        <f t="shared" si="0"/>
        <v>CANCUN BENITO JUAREZ QUINTANA ROO A 5 DE JUNIO DE 2013</v>
      </c>
      <c r="AL14" s="109" t="str">
        <f t="shared" si="1"/>
        <v>JESUS MARTIN RICALDE CASTRO</v>
      </c>
      <c r="AM14" s="109" t="str">
        <f t="shared" si="2"/>
        <v>JOSE ARIMAEL SALAS ALCOCER</v>
      </c>
      <c r="AN14" s="109" t="str">
        <f t="shared" si="3"/>
        <v>AURA EUGENIA ANCONA FLORES</v>
      </c>
    </row>
    <row r="15" spans="1:40">
      <c r="A15" s="118"/>
      <c r="B15" s="288"/>
      <c r="C15" s="288" t="s">
        <v>212</v>
      </c>
      <c r="D15" s="288"/>
      <c r="E15" s="288"/>
      <c r="F15" s="288"/>
      <c r="G15" s="288"/>
      <c r="H15" s="288"/>
      <c r="I15" s="4635" t="s">
        <v>213</v>
      </c>
      <c r="J15" s="4636"/>
      <c r="K15" s="4636"/>
      <c r="L15" s="4636"/>
      <c r="M15" s="4637"/>
      <c r="N15" s="288"/>
      <c r="O15" s="288"/>
      <c r="P15" s="4635" t="s">
        <v>214</v>
      </c>
      <c r="Q15" s="4636"/>
      <c r="R15" s="4636"/>
      <c r="S15" s="4637"/>
      <c r="T15" s="25"/>
      <c r="U15" s="309">
        <v>7</v>
      </c>
      <c r="V15" s="109" t="s">
        <v>315</v>
      </c>
      <c r="W15" s="109" t="s">
        <v>316</v>
      </c>
      <c r="X15" s="109" t="s">
        <v>317</v>
      </c>
      <c r="Y15" s="109" t="s">
        <v>353</v>
      </c>
      <c r="Z15" s="109" t="s">
        <v>354</v>
      </c>
      <c r="AA15" s="109" t="s">
        <v>336</v>
      </c>
      <c r="AB15" s="310" t="s">
        <v>245</v>
      </c>
      <c r="AC15" s="310" t="s">
        <v>246</v>
      </c>
      <c r="AD15" s="310" t="s">
        <v>247</v>
      </c>
      <c r="AE15" s="109" t="s">
        <v>1834</v>
      </c>
      <c r="AF15" s="109" t="s">
        <v>1843</v>
      </c>
      <c r="AG15" s="109" t="s">
        <v>1835</v>
      </c>
      <c r="AH15" s="109">
        <v>77500</v>
      </c>
      <c r="AI15" s="109" t="s">
        <v>246</v>
      </c>
      <c r="AK15" s="109" t="str">
        <f t="shared" si="0"/>
        <v>CANCUN BENITO JUAREZ QUINTANA ROO A 5 DE JUNIO DE 2013</v>
      </c>
      <c r="AL15" s="109" t="str">
        <f t="shared" si="1"/>
        <v>JESUS MARTIN RICALDE CASTRO</v>
      </c>
      <c r="AM15" s="109" t="str">
        <f t="shared" si="2"/>
        <v>JOSE ARIMAEL SALAS ALCOCER</v>
      </c>
      <c r="AN15" s="109" t="str">
        <f t="shared" si="3"/>
        <v>AURA EUGENIA ANCONA FLORES</v>
      </c>
    </row>
    <row r="16" spans="1:40" ht="6.75" customHeight="1">
      <c r="A16" s="118"/>
      <c r="B16" s="290"/>
      <c r="C16" s="204"/>
      <c r="D16" s="204"/>
      <c r="E16" s="204"/>
      <c r="F16" s="204"/>
      <c r="G16" s="204"/>
      <c r="H16" s="204"/>
      <c r="I16" s="204"/>
      <c r="J16" s="204"/>
      <c r="K16" s="204"/>
      <c r="L16" s="204"/>
      <c r="M16" s="204"/>
      <c r="N16" s="204"/>
      <c r="O16" s="204"/>
      <c r="P16" s="204"/>
      <c r="Q16" s="204"/>
      <c r="R16" s="204"/>
      <c r="S16" s="204"/>
      <c r="T16" s="25"/>
      <c r="U16" s="309">
        <v>8</v>
      </c>
      <c r="V16" s="109" t="s">
        <v>1096</v>
      </c>
      <c r="W16" s="109" t="s">
        <v>334</v>
      </c>
      <c r="X16" s="109" t="s">
        <v>1097</v>
      </c>
      <c r="Y16" s="109" t="s">
        <v>2531</v>
      </c>
      <c r="Z16" s="109" t="s">
        <v>2532</v>
      </c>
      <c r="AA16" s="109" t="s">
        <v>336</v>
      </c>
      <c r="AB16" s="310" t="s">
        <v>245</v>
      </c>
      <c r="AC16" s="310" t="s">
        <v>246</v>
      </c>
      <c r="AD16" s="310" t="s">
        <v>247</v>
      </c>
      <c r="AE16" s="109" t="s">
        <v>1836</v>
      </c>
      <c r="AF16" s="109" t="s">
        <v>2533</v>
      </c>
      <c r="AG16" s="109" t="s">
        <v>1098</v>
      </c>
      <c r="AH16" s="109">
        <v>77535</v>
      </c>
      <c r="AI16" s="109" t="s">
        <v>246</v>
      </c>
      <c r="AK16" s="109" t="str">
        <f t="shared" si="0"/>
        <v>CANCUN BENITO JUAREZ QUINTANA ROO A 5 DE JUNIO DE 2013</v>
      </c>
      <c r="AL16" s="109" t="str">
        <f t="shared" si="1"/>
        <v>JESUS MARTIN RICALDE CASTRO</v>
      </c>
      <c r="AM16" s="109" t="str">
        <f t="shared" si="2"/>
        <v>JOSE ARIMAEL SALAS ALCOCER</v>
      </c>
      <c r="AN16" s="109" t="str">
        <f t="shared" si="3"/>
        <v>AURA EUGENIA ANCONA FLORES</v>
      </c>
    </row>
    <row r="17" spans="1:40">
      <c r="A17" s="118"/>
      <c r="B17" s="285" t="s">
        <v>215</v>
      </c>
      <c r="C17" s="311" t="str">
        <f>VLOOKUP(J7,U9:AN28,8)</f>
        <v>CANCUN</v>
      </c>
      <c r="D17" s="311"/>
      <c r="E17" s="311"/>
      <c r="F17" s="313"/>
      <c r="G17" s="314"/>
      <c r="H17" s="311"/>
      <c r="I17" s="311" t="str">
        <f>VLOOKUP(J7,U9:AN28,9)</f>
        <v>QUINTANA ROO</v>
      </c>
      <c r="J17" s="311"/>
      <c r="K17" s="311"/>
      <c r="L17" s="311"/>
      <c r="M17" s="311"/>
      <c r="N17" s="314"/>
      <c r="O17" s="314"/>
      <c r="P17" s="311" t="str">
        <f>VLOOKUP(J7,U9:AN28,10)</f>
        <v>BENITO JUAREZ</v>
      </c>
      <c r="Q17" s="311"/>
      <c r="R17" s="311"/>
      <c r="S17" s="312"/>
      <c r="T17" s="25"/>
      <c r="U17" s="309">
        <v>9</v>
      </c>
      <c r="V17" s="109" t="s">
        <v>318</v>
      </c>
      <c r="W17" s="109" t="s">
        <v>319</v>
      </c>
      <c r="X17" s="109" t="s">
        <v>320</v>
      </c>
      <c r="Y17" s="109" t="s">
        <v>349</v>
      </c>
      <c r="Z17" s="109" t="s">
        <v>350</v>
      </c>
      <c r="AA17" s="109" t="s">
        <v>337</v>
      </c>
      <c r="AB17" s="310" t="s">
        <v>245</v>
      </c>
      <c r="AC17" s="310" t="s">
        <v>246</v>
      </c>
      <c r="AD17" s="310" t="s">
        <v>247</v>
      </c>
      <c r="AE17" s="109" t="s">
        <v>351</v>
      </c>
      <c r="AF17" s="109" t="s">
        <v>1844</v>
      </c>
      <c r="AG17" s="109" t="s">
        <v>352</v>
      </c>
      <c r="AH17" s="109">
        <v>77534</v>
      </c>
      <c r="AI17" s="109" t="s">
        <v>246</v>
      </c>
      <c r="AK17" s="109" t="str">
        <f t="shared" si="0"/>
        <v>CANCUN BENITO JUAREZ QUINTANA ROO A 5 DE JUNIO DE 2013</v>
      </c>
      <c r="AL17" s="109" t="str">
        <f t="shared" si="1"/>
        <v>JESUS MARTIN RICALDE CASTRO</v>
      </c>
      <c r="AM17" s="109" t="str">
        <f t="shared" si="2"/>
        <v>JOSE ARIMAEL SALAS ALCOCER</v>
      </c>
      <c r="AN17" s="109" t="str">
        <f t="shared" si="3"/>
        <v>AURA EUGENIA ANCONA FLORES</v>
      </c>
    </row>
    <row r="18" spans="1:40">
      <c r="A18" s="118"/>
      <c r="B18" s="288"/>
      <c r="C18" s="288" t="s">
        <v>216</v>
      </c>
      <c r="D18" s="288"/>
      <c r="E18" s="288"/>
      <c r="F18" s="288"/>
      <c r="G18" s="288"/>
      <c r="H18" s="288"/>
      <c r="I18" s="4635" t="s">
        <v>217</v>
      </c>
      <c r="J18" s="4636"/>
      <c r="K18" s="4636"/>
      <c r="L18" s="4637"/>
      <c r="M18" s="288"/>
      <c r="N18" s="288"/>
      <c r="O18" s="288"/>
      <c r="P18" s="4635" t="s">
        <v>218</v>
      </c>
      <c r="Q18" s="4636"/>
      <c r="R18" s="4636"/>
      <c r="S18" s="4637"/>
      <c r="T18" s="25"/>
      <c r="U18" s="309">
        <v>10</v>
      </c>
      <c r="V18" s="109" t="s">
        <v>321</v>
      </c>
      <c r="W18" s="109" t="s">
        <v>322</v>
      </c>
      <c r="X18" s="109" t="s">
        <v>323</v>
      </c>
      <c r="Y18" s="109" t="s">
        <v>338</v>
      </c>
      <c r="Z18" s="109" t="s">
        <v>342</v>
      </c>
      <c r="AA18" s="109" t="s">
        <v>336</v>
      </c>
      <c r="AB18" s="310" t="s">
        <v>245</v>
      </c>
      <c r="AC18" s="310" t="s">
        <v>246</v>
      </c>
      <c r="AD18" s="310" t="s">
        <v>247</v>
      </c>
      <c r="AE18" s="109" t="s">
        <v>339</v>
      </c>
      <c r="AF18" s="109" t="s">
        <v>340</v>
      </c>
      <c r="AG18" s="109" t="s">
        <v>341</v>
      </c>
      <c r="AH18" s="109">
        <v>77501</v>
      </c>
      <c r="AI18" s="109" t="s">
        <v>246</v>
      </c>
      <c r="AK18" s="109" t="str">
        <f t="shared" si="0"/>
        <v>CANCUN BENITO JUAREZ QUINTANA ROO A 5 DE JUNIO DE 2013</v>
      </c>
      <c r="AL18" s="109" t="str">
        <f t="shared" si="1"/>
        <v>JESUS MARTIN RICALDE CASTRO</v>
      </c>
      <c r="AM18" s="109" t="str">
        <f t="shared" si="2"/>
        <v>JOSE ARIMAEL SALAS ALCOCER</v>
      </c>
      <c r="AN18" s="109" t="str">
        <f t="shared" si="3"/>
        <v>AURA EUGENIA ANCONA FLORES</v>
      </c>
    </row>
    <row r="19" spans="1:40" ht="6.75" customHeight="1">
      <c r="A19" s="118"/>
      <c r="B19" s="290"/>
      <c r="C19" s="204"/>
      <c r="D19" s="204"/>
      <c r="E19" s="204"/>
      <c r="F19" s="204"/>
      <c r="G19" s="204"/>
      <c r="H19" s="204"/>
      <c r="I19" s="204"/>
      <c r="J19" s="204"/>
      <c r="K19" s="204"/>
      <c r="L19" s="204"/>
      <c r="M19" s="204"/>
      <c r="N19" s="204"/>
      <c r="O19" s="204"/>
      <c r="P19" s="204"/>
      <c r="Q19" s="204"/>
      <c r="R19" s="204"/>
      <c r="S19" s="204"/>
      <c r="T19" s="25"/>
      <c r="U19" s="309">
        <v>11</v>
      </c>
      <c r="V19" s="109" t="s">
        <v>324</v>
      </c>
      <c r="W19" s="109" t="s">
        <v>325</v>
      </c>
      <c r="X19" s="109" t="s">
        <v>326</v>
      </c>
      <c r="Y19" s="109" t="s">
        <v>733</v>
      </c>
      <c r="Z19" s="109" t="s">
        <v>732</v>
      </c>
      <c r="AA19" s="109" t="s">
        <v>337</v>
      </c>
      <c r="AB19" s="310" t="s">
        <v>245</v>
      </c>
      <c r="AC19" s="310" t="s">
        <v>246</v>
      </c>
      <c r="AD19" s="310" t="s">
        <v>247</v>
      </c>
      <c r="AE19" s="109" t="s">
        <v>1949</v>
      </c>
      <c r="AG19" s="109" t="s">
        <v>1099</v>
      </c>
      <c r="AH19" s="109">
        <v>77534</v>
      </c>
      <c r="AI19" s="109" t="s">
        <v>246</v>
      </c>
      <c r="AK19" s="109" t="str">
        <f t="shared" si="0"/>
        <v>CANCUN BENITO JUAREZ QUINTANA ROO A 5 DE JUNIO DE 2013</v>
      </c>
      <c r="AL19" s="109" t="str">
        <f t="shared" si="1"/>
        <v>JESUS MARTIN RICALDE CASTRO</v>
      </c>
      <c r="AM19" s="109" t="str">
        <f t="shared" si="2"/>
        <v>JOSE ARIMAEL SALAS ALCOCER</v>
      </c>
      <c r="AN19" s="109" t="str">
        <f t="shared" si="3"/>
        <v>AURA EUGENIA ANCONA FLORES</v>
      </c>
    </row>
    <row r="20" spans="1:40">
      <c r="A20" s="118"/>
      <c r="B20" s="285" t="s">
        <v>219</v>
      </c>
      <c r="C20" s="311" t="str">
        <f>VLOOKUP(J7,U9:AN28,11)</f>
        <v>SM-507  MZA-12  LTE-8</v>
      </c>
      <c r="D20" s="311"/>
      <c r="E20" s="311"/>
      <c r="F20" s="311"/>
      <c r="G20" s="311"/>
      <c r="H20" s="311" t="str">
        <f>VLOOKUP(J7,U9:AN28,12)</f>
        <v>YAMILUM</v>
      </c>
      <c r="I20" s="311"/>
      <c r="J20" s="311"/>
      <c r="K20" s="311"/>
      <c r="L20" s="311"/>
      <c r="M20" s="311" t="str">
        <f>VLOOKUP(J7,U9:AN28,13)</f>
        <v>EK-BALAM</v>
      </c>
      <c r="N20" s="311"/>
      <c r="O20" s="311"/>
      <c r="P20" s="403">
        <f>VLOOKUP(J7,U9:AN28,14)</f>
        <v>77533</v>
      </c>
      <c r="Q20" s="204"/>
      <c r="R20" s="311" t="str">
        <f>VLOOKUP(J7,U9:AN28,15)</f>
        <v>QUINTANA ROO</v>
      </c>
      <c r="S20" s="312"/>
      <c r="T20" s="25"/>
      <c r="U20" s="309">
        <v>12</v>
      </c>
      <c r="V20" s="109" t="s">
        <v>327</v>
      </c>
      <c r="W20" s="109" t="s">
        <v>328</v>
      </c>
      <c r="X20" s="109" t="s">
        <v>329</v>
      </c>
      <c r="Y20" s="109" t="s">
        <v>376</v>
      </c>
      <c r="Z20" s="109" t="s">
        <v>377</v>
      </c>
      <c r="AA20" s="109" t="s">
        <v>337</v>
      </c>
      <c r="AB20" s="310" t="s">
        <v>245</v>
      </c>
      <c r="AC20" s="310" t="s">
        <v>246</v>
      </c>
      <c r="AD20" s="310" t="s">
        <v>247</v>
      </c>
      <c r="AE20" s="109" t="s">
        <v>378</v>
      </c>
      <c r="AF20" s="109" t="s">
        <v>1839</v>
      </c>
      <c r="AG20" s="109" t="s">
        <v>1100</v>
      </c>
      <c r="AH20" s="109">
        <v>77500</v>
      </c>
      <c r="AI20" s="109" t="s">
        <v>246</v>
      </c>
      <c r="AK20" s="109" t="str">
        <f t="shared" si="0"/>
        <v>CANCUN BENITO JUAREZ QUINTANA ROO A 5 DE JUNIO DE 2013</v>
      </c>
      <c r="AL20" s="109" t="str">
        <f t="shared" si="1"/>
        <v>JESUS MARTIN RICALDE CASTRO</v>
      </c>
      <c r="AM20" s="109" t="str">
        <f t="shared" si="2"/>
        <v>JOSE ARIMAEL SALAS ALCOCER</v>
      </c>
      <c r="AN20" s="109" t="str">
        <f t="shared" si="3"/>
        <v>AURA EUGENIA ANCONA FLORES</v>
      </c>
    </row>
    <row r="21" spans="1:40">
      <c r="A21" s="118"/>
      <c r="B21" s="288"/>
      <c r="C21" s="4635" t="s">
        <v>220</v>
      </c>
      <c r="D21" s="4636"/>
      <c r="E21" s="4636"/>
      <c r="F21" s="4636"/>
      <c r="G21" s="4637"/>
      <c r="H21" s="4635" t="s">
        <v>1841</v>
      </c>
      <c r="I21" s="4636"/>
      <c r="J21" s="4636"/>
      <c r="K21" s="4636"/>
      <c r="L21" s="4637"/>
      <c r="M21" s="4635" t="s">
        <v>221</v>
      </c>
      <c r="N21" s="4636"/>
      <c r="O21" s="4637"/>
      <c r="P21" s="4635" t="s">
        <v>222</v>
      </c>
      <c r="Q21" s="4637"/>
      <c r="R21" s="288" t="s">
        <v>223</v>
      </c>
      <c r="S21" s="289"/>
      <c r="T21" s="25"/>
      <c r="U21" s="309">
        <v>13</v>
      </c>
      <c r="V21" s="109" t="s">
        <v>738</v>
      </c>
      <c r="W21" s="109" t="s">
        <v>739</v>
      </c>
      <c r="X21" s="109" t="s">
        <v>317</v>
      </c>
      <c r="Y21" s="109" t="s">
        <v>746</v>
      </c>
      <c r="Z21" s="109" t="s">
        <v>745</v>
      </c>
      <c r="AA21" s="109" t="s">
        <v>336</v>
      </c>
      <c r="AB21" s="109" t="s">
        <v>245</v>
      </c>
      <c r="AC21" s="109" t="s">
        <v>246</v>
      </c>
      <c r="AD21" s="109" t="s">
        <v>247</v>
      </c>
      <c r="AE21" s="109" t="s">
        <v>1836</v>
      </c>
      <c r="AF21" s="109" t="s">
        <v>1837</v>
      </c>
      <c r="AG21" s="109" t="s">
        <v>1098</v>
      </c>
      <c r="AH21" s="109">
        <v>77500</v>
      </c>
      <c r="AI21" s="109" t="s">
        <v>246</v>
      </c>
      <c r="AK21" s="109" t="str">
        <f t="shared" si="0"/>
        <v>CANCUN BENITO JUAREZ QUINTANA ROO A 5 DE JUNIO DE 2013</v>
      </c>
      <c r="AL21" s="109" t="str">
        <f t="shared" si="1"/>
        <v>JESUS MARTIN RICALDE CASTRO</v>
      </c>
      <c r="AM21" s="109" t="str">
        <f t="shared" si="2"/>
        <v>JOSE ARIMAEL SALAS ALCOCER</v>
      </c>
      <c r="AN21" s="109" t="str">
        <f t="shared" si="3"/>
        <v>AURA EUGENIA ANCONA FLORES</v>
      </c>
    </row>
    <row r="22" spans="1:40" ht="6.75" customHeight="1">
      <c r="A22" s="118"/>
      <c r="B22" s="204"/>
      <c r="C22" s="293"/>
      <c r="D22" s="293"/>
      <c r="E22" s="293"/>
      <c r="F22" s="293"/>
      <c r="G22" s="293"/>
      <c r="H22" s="293"/>
      <c r="I22" s="293"/>
      <c r="J22" s="293"/>
      <c r="K22" s="293"/>
      <c r="L22" s="293"/>
      <c r="M22" s="293"/>
      <c r="N22" s="293"/>
      <c r="O22" s="293"/>
      <c r="P22" s="293"/>
      <c r="Q22" s="294"/>
      <c r="R22" s="293"/>
      <c r="S22" s="130"/>
      <c r="T22" s="25"/>
      <c r="U22" s="309">
        <v>14</v>
      </c>
      <c r="V22" s="109" t="s">
        <v>874</v>
      </c>
      <c r="W22" s="109" t="s">
        <v>875</v>
      </c>
      <c r="X22" s="109" t="s">
        <v>876</v>
      </c>
      <c r="Y22" s="109" t="s">
        <v>1093</v>
      </c>
      <c r="Z22" s="109" t="s">
        <v>1094</v>
      </c>
      <c r="AA22" s="109" t="s">
        <v>336</v>
      </c>
      <c r="AB22" s="109" t="s">
        <v>245</v>
      </c>
      <c r="AC22" s="109" t="s">
        <v>246</v>
      </c>
      <c r="AD22" s="109" t="s">
        <v>247</v>
      </c>
      <c r="AE22" s="109" t="s">
        <v>1095</v>
      </c>
      <c r="AF22" s="109" t="s">
        <v>1845</v>
      </c>
      <c r="AG22" s="109" t="s">
        <v>352</v>
      </c>
      <c r="AH22" s="109">
        <v>77534</v>
      </c>
      <c r="AI22" s="109" t="s">
        <v>246</v>
      </c>
      <c r="AK22" s="109" t="str">
        <f t="shared" si="0"/>
        <v>CANCUN BENITO JUAREZ QUINTANA ROO A 5 DE JUNIO DE 2013</v>
      </c>
      <c r="AL22" s="109" t="str">
        <f t="shared" si="1"/>
        <v>JESUS MARTIN RICALDE CASTRO</v>
      </c>
      <c r="AM22" s="109" t="str">
        <f>AM20</f>
        <v>JOSE ARIMAEL SALAS ALCOCER</v>
      </c>
      <c r="AN22" s="109" t="str">
        <f t="shared" si="3"/>
        <v>AURA EUGENIA ANCONA FLORES</v>
      </c>
    </row>
    <row r="23" spans="1:40">
      <c r="A23" s="118"/>
      <c r="B23" s="285" t="s">
        <v>224</v>
      </c>
      <c r="C23" s="286">
        <f>VLOOKUP(J7,U9:AN28,16)</f>
        <v>0</v>
      </c>
      <c r="D23" s="286"/>
      <c r="E23" s="286"/>
      <c r="F23" s="286"/>
      <c r="G23" s="286"/>
      <c r="H23" s="286"/>
      <c r="I23" s="286"/>
      <c r="J23" s="286"/>
      <c r="K23" s="286"/>
      <c r="L23" s="286"/>
      <c r="M23" s="286"/>
      <c r="N23" s="286"/>
      <c r="O23" s="286"/>
      <c r="P23" s="286"/>
      <c r="Q23" s="286"/>
      <c r="R23" s="286"/>
      <c r="S23" s="287"/>
      <c r="T23" s="25"/>
      <c r="U23" s="309">
        <v>15</v>
      </c>
      <c r="V23" s="109" t="s">
        <v>330</v>
      </c>
      <c r="W23" s="109" t="s">
        <v>331</v>
      </c>
      <c r="X23" s="109" t="s">
        <v>332</v>
      </c>
      <c r="Y23" s="109" t="s">
        <v>734</v>
      </c>
      <c r="Z23" s="109" t="s">
        <v>735</v>
      </c>
      <c r="AA23" s="109" t="s">
        <v>337</v>
      </c>
      <c r="AB23" s="310" t="s">
        <v>245</v>
      </c>
      <c r="AC23" s="310" t="s">
        <v>246</v>
      </c>
      <c r="AD23" s="310" t="s">
        <v>247</v>
      </c>
      <c r="AE23" s="109" t="s">
        <v>1945</v>
      </c>
      <c r="AF23" s="109" t="s">
        <v>1840</v>
      </c>
      <c r="AG23" s="109" t="s">
        <v>341</v>
      </c>
      <c r="AH23" s="109">
        <v>77533</v>
      </c>
      <c r="AI23" s="109" t="s">
        <v>246</v>
      </c>
      <c r="AK23" s="109" t="str">
        <f t="shared" si="0"/>
        <v>CANCUN BENITO JUAREZ QUINTANA ROO A 5 DE JUNIO DE 2013</v>
      </c>
      <c r="AL23" s="109" t="str">
        <f t="shared" si="1"/>
        <v>JESUS MARTIN RICALDE CASTRO</v>
      </c>
      <c r="AM23" s="109" t="s">
        <v>2522</v>
      </c>
      <c r="AN23" s="109" t="str">
        <f t="shared" si="3"/>
        <v>AURA EUGENIA ANCONA FLORES</v>
      </c>
    </row>
    <row r="24" spans="1:40">
      <c r="A24" s="118"/>
      <c r="B24" s="207"/>
      <c r="C24" s="295" t="s">
        <v>225</v>
      </c>
      <c r="D24" s="296"/>
      <c r="E24" s="26"/>
      <c r="F24" s="26"/>
      <c r="G24" s="26"/>
      <c r="H24" s="26"/>
      <c r="I24" s="26"/>
      <c r="J24" s="26"/>
      <c r="K24" s="26"/>
      <c r="L24" s="26"/>
      <c r="M24" s="26"/>
      <c r="N24" s="26"/>
      <c r="O24" s="26"/>
      <c r="P24" s="26"/>
      <c r="Q24" s="4627" t="s">
        <v>226</v>
      </c>
      <c r="R24" s="4628"/>
      <c r="S24" s="4629"/>
      <c r="T24" s="25"/>
      <c r="U24" s="309">
        <v>16</v>
      </c>
      <c r="V24" s="109" t="s">
        <v>333</v>
      </c>
      <c r="W24" s="109" t="s">
        <v>334</v>
      </c>
      <c r="X24" s="109" t="s">
        <v>335</v>
      </c>
      <c r="Y24" s="109" t="s">
        <v>737</v>
      </c>
      <c r="Z24" s="109" t="s">
        <v>736</v>
      </c>
      <c r="AA24" s="109" t="s">
        <v>337</v>
      </c>
      <c r="AB24" s="310" t="s">
        <v>245</v>
      </c>
      <c r="AC24" s="310" t="s">
        <v>246</v>
      </c>
      <c r="AD24" s="310" t="s">
        <v>247</v>
      </c>
      <c r="AE24" s="109" t="s">
        <v>1080</v>
      </c>
      <c r="AF24" s="109" t="s">
        <v>1081</v>
      </c>
      <c r="AG24" s="109" t="s">
        <v>341</v>
      </c>
      <c r="AH24" s="109">
        <v>77500</v>
      </c>
      <c r="AI24" s="109" t="s">
        <v>246</v>
      </c>
      <c r="AK24" s="109" t="str">
        <f t="shared" si="0"/>
        <v>CANCUN BENITO JUAREZ QUINTANA ROO A 5 DE JUNIO DE 2013</v>
      </c>
      <c r="AL24" s="109" t="str">
        <f t="shared" si="1"/>
        <v>JESUS MARTIN RICALDE CASTRO</v>
      </c>
      <c r="AM24" s="109" t="str">
        <f>AM22</f>
        <v>JOSE ARIMAEL SALAS ALCOCER</v>
      </c>
      <c r="AN24" s="109" t="str">
        <f t="shared" si="3"/>
        <v>AURA EUGENIA ANCONA FLORES</v>
      </c>
    </row>
    <row r="25" spans="1:40">
      <c r="A25" s="118"/>
      <c r="B25" s="204"/>
      <c r="C25" s="297" t="s">
        <v>227</v>
      </c>
      <c r="D25" s="204"/>
      <c r="E25" s="1"/>
      <c r="F25" s="1"/>
      <c r="G25" s="1"/>
      <c r="H25" s="1"/>
      <c r="I25" s="1"/>
      <c r="J25" s="1"/>
      <c r="K25" s="1"/>
      <c r="L25" s="1"/>
      <c r="M25" s="1"/>
      <c r="N25" s="1"/>
      <c r="O25" s="1"/>
      <c r="P25" s="1"/>
      <c r="Q25" s="4630"/>
      <c r="R25" s="4631"/>
      <c r="S25" s="4632"/>
      <c r="T25" s="25"/>
      <c r="U25" s="309">
        <v>17</v>
      </c>
      <c r="V25" s="109" t="s">
        <v>892</v>
      </c>
      <c r="W25" s="109" t="s">
        <v>1114</v>
      </c>
      <c r="X25" s="109" t="s">
        <v>882</v>
      </c>
    </row>
    <row r="26" spans="1:40" ht="12.75" customHeight="1">
      <c r="A26" s="118"/>
      <c r="B26" s="204"/>
      <c r="C26" s="8" t="s">
        <v>228</v>
      </c>
      <c r="D26" s="689"/>
      <c r="E26" s="1237" t="str">
        <f>VLOOKUP(K7,U31:AI33,2,15)</f>
        <v>En el ámbito de la teoría padagógica y de la práctica</v>
      </c>
      <c r="F26" s="1238"/>
      <c r="G26" s="1238"/>
      <c r="H26" s="1238"/>
      <c r="I26" s="1238"/>
      <c r="J26" s="1238"/>
      <c r="K26" s="1238"/>
      <c r="L26" s="1238"/>
      <c r="M26" s="1238"/>
      <c r="N26" s="1238"/>
      <c r="O26" s="1239"/>
      <c r="P26" s="1"/>
      <c r="Q26" s="25"/>
      <c r="R26" s="4633">
        <v>50</v>
      </c>
      <c r="S26" s="118"/>
      <c r="T26" s="25"/>
      <c r="U26" s="309">
        <v>18</v>
      </c>
      <c r="V26" s="109" t="s">
        <v>890</v>
      </c>
      <c r="W26" s="109" t="s">
        <v>891</v>
      </c>
      <c r="X26" s="109" t="s">
        <v>883</v>
      </c>
    </row>
    <row r="27" spans="1:40" ht="12.75" customHeight="1">
      <c r="A27" s="118"/>
      <c r="B27" s="1"/>
      <c r="C27" s="2611"/>
      <c r="D27" s="24"/>
      <c r="E27" s="1240" t="str">
        <f>VLOOKUP(K7,U31:AI33,3,15)</f>
        <v>educativa.</v>
      </c>
      <c r="F27" s="1238"/>
      <c r="G27" s="1238"/>
      <c r="H27" s="1238"/>
      <c r="I27" s="1238"/>
      <c r="J27" s="1238"/>
      <c r="K27" s="1238"/>
      <c r="L27" s="1238"/>
      <c r="M27" s="1238"/>
      <c r="N27" s="1238"/>
      <c r="O27" s="1239"/>
      <c r="P27" s="1"/>
      <c r="Q27" s="25"/>
      <c r="R27" s="4634"/>
      <c r="S27" s="118"/>
      <c r="T27" s="25"/>
      <c r="U27" s="309">
        <v>19</v>
      </c>
      <c r="V27" s="109" t="s">
        <v>888</v>
      </c>
      <c r="W27" s="109" t="s">
        <v>889</v>
      </c>
      <c r="X27" s="109" t="s">
        <v>884</v>
      </c>
    </row>
    <row r="28" spans="1:40" ht="12.75" customHeight="1">
      <c r="A28" s="118"/>
      <c r="B28" s="1"/>
      <c r="C28" s="2611" t="s">
        <v>230</v>
      </c>
      <c r="D28" s="24"/>
      <c r="E28" s="1240" t="str">
        <f>VLOOKUP(K7,U31:AI33,4,15)</f>
        <v>En otros ámbitos de la cultura y de la</v>
      </c>
      <c r="F28" s="1238"/>
      <c r="G28" s="1238"/>
      <c r="H28" s="1238"/>
      <c r="I28" s="1238"/>
      <c r="J28" s="1238"/>
      <c r="K28" s="1238"/>
      <c r="L28" s="1238"/>
      <c r="M28" s="1238"/>
      <c r="N28" s="1238"/>
      <c r="O28" s="1239"/>
      <c r="P28" s="1"/>
      <c r="Q28" s="25"/>
      <c r="R28" s="4633">
        <v>25</v>
      </c>
      <c r="S28" s="118"/>
      <c r="T28" s="25"/>
      <c r="U28" s="309">
        <v>20</v>
      </c>
      <c r="V28" s="109" t="s">
        <v>886</v>
      </c>
      <c r="W28" s="109" t="s">
        <v>887</v>
      </c>
      <c r="X28" s="109" t="s">
        <v>885</v>
      </c>
    </row>
    <row r="29" spans="1:40" ht="12.75" customHeight="1">
      <c r="A29" s="118"/>
      <c r="B29" s="1"/>
      <c r="C29" s="298"/>
      <c r="D29" s="24"/>
      <c r="E29" s="1240" t="str">
        <f>VLOOKUP(K7,U31:AI33,5,15)</f>
        <v>vida social.</v>
      </c>
      <c r="F29" s="1238"/>
      <c r="G29" s="1238"/>
      <c r="H29" s="1238"/>
      <c r="I29" s="1238"/>
      <c r="J29" s="1238"/>
      <c r="K29" s="1238"/>
      <c r="L29" s="1238"/>
      <c r="M29" s="1238"/>
      <c r="N29" s="1238"/>
      <c r="O29" s="1239"/>
      <c r="P29" s="1"/>
      <c r="Q29" s="25"/>
      <c r="R29" s="4634"/>
      <c r="S29" s="118"/>
      <c r="T29" s="25"/>
    </row>
    <row r="30" spans="1:40" ht="6.75" customHeight="1">
      <c r="A30" s="118"/>
      <c r="B30" s="1"/>
      <c r="C30" s="298"/>
      <c r="D30" s="24"/>
      <c r="E30" s="299"/>
      <c r="F30" s="299"/>
      <c r="G30" s="299"/>
      <c r="H30" s="299"/>
      <c r="I30" s="299"/>
      <c r="J30" s="299"/>
      <c r="K30" s="299"/>
      <c r="L30" s="299"/>
      <c r="M30" s="299"/>
      <c r="N30" s="299"/>
      <c r="O30" s="1"/>
      <c r="P30" s="1"/>
      <c r="Q30" s="1"/>
      <c r="R30" s="300"/>
      <c r="S30" s="1"/>
      <c r="T30" s="25"/>
      <c r="V30" s="112">
        <v>2</v>
      </c>
      <c r="W30" s="112">
        <v>3</v>
      </c>
      <c r="X30" s="112">
        <v>4</v>
      </c>
      <c r="Y30" s="112">
        <v>5</v>
      </c>
      <c r="Z30" s="112">
        <v>6</v>
      </c>
      <c r="AA30" s="112">
        <v>7</v>
      </c>
      <c r="AB30" s="112">
        <v>8</v>
      </c>
      <c r="AC30" s="112">
        <v>9</v>
      </c>
      <c r="AD30" s="112">
        <v>10</v>
      </c>
      <c r="AE30" s="112">
        <v>11</v>
      </c>
      <c r="AF30" s="112">
        <v>12</v>
      </c>
      <c r="AG30" s="112">
        <v>13</v>
      </c>
      <c r="AH30" s="112">
        <v>14</v>
      </c>
      <c r="AI30" s="112">
        <v>15</v>
      </c>
      <c r="AJ30" s="430"/>
    </row>
    <row r="31" spans="1:40" ht="15">
      <c r="A31" s="118"/>
      <c r="B31" s="1"/>
      <c r="C31" s="301" t="s">
        <v>231</v>
      </c>
      <c r="D31" s="1"/>
      <c r="E31" s="299"/>
      <c r="F31" s="299"/>
      <c r="G31" s="299"/>
      <c r="H31" s="299"/>
      <c r="I31" s="299"/>
      <c r="J31" s="299"/>
      <c r="K31" s="299"/>
      <c r="L31" s="299"/>
      <c r="M31" s="299"/>
      <c r="N31" s="299"/>
      <c r="O31" s="1"/>
      <c r="P31" s="1"/>
      <c r="Q31" s="1"/>
      <c r="R31" s="302"/>
      <c r="S31" s="1"/>
      <c r="T31" s="25"/>
      <c r="U31" s="309">
        <v>1</v>
      </c>
      <c r="V31" s="109" t="s">
        <v>1037</v>
      </c>
      <c r="W31" s="109" t="s">
        <v>229</v>
      </c>
      <c r="X31" s="109" t="s">
        <v>1086</v>
      </c>
      <c r="Y31" s="109" t="s">
        <v>1087</v>
      </c>
      <c r="Z31" s="109" t="s">
        <v>1088</v>
      </c>
      <c r="AA31" s="109" t="s">
        <v>1089</v>
      </c>
      <c r="AB31" s="109" t="s">
        <v>1082</v>
      </c>
      <c r="AD31" s="109" t="s">
        <v>1083</v>
      </c>
      <c r="AE31" s="109" t="s">
        <v>1084</v>
      </c>
      <c r="AF31" s="109" t="s">
        <v>233</v>
      </c>
      <c r="AG31" s="109" t="s">
        <v>1085</v>
      </c>
    </row>
    <row r="32" spans="1:40" ht="12.75" customHeight="1">
      <c r="A32" s="118"/>
      <c r="B32" s="1"/>
      <c r="C32" s="2611" t="s">
        <v>228</v>
      </c>
      <c r="D32" s="24"/>
      <c r="E32" s="1242" t="str">
        <f>VLOOKUP(K7,U31:AI33,6,15)</f>
        <v>En el cumplimiento de sus funciones</v>
      </c>
      <c r="F32" s="1243"/>
      <c r="G32" s="1243"/>
      <c r="H32" s="1243"/>
      <c r="I32" s="1243"/>
      <c r="J32" s="1243"/>
      <c r="K32" s="1243"/>
      <c r="L32" s="1243"/>
      <c r="M32" s="1243"/>
      <c r="N32" s="1243"/>
      <c r="O32" s="12"/>
      <c r="P32" s="1"/>
      <c r="Q32" s="25"/>
      <c r="R32" s="4644">
        <v>75</v>
      </c>
      <c r="S32" s="118"/>
      <c r="T32" s="25"/>
      <c r="U32" s="309">
        <v>2</v>
      </c>
      <c r="V32" s="109" t="s">
        <v>721</v>
      </c>
      <c r="W32" s="109" t="s">
        <v>722</v>
      </c>
      <c r="X32" s="109" t="s">
        <v>723</v>
      </c>
      <c r="Y32" s="109" t="s">
        <v>724</v>
      </c>
      <c r="Z32" s="109" t="s">
        <v>726</v>
      </c>
      <c r="AA32" s="109" t="s">
        <v>720</v>
      </c>
      <c r="AB32" s="109" t="s">
        <v>725</v>
      </c>
      <c r="AC32" s="109" t="s">
        <v>727</v>
      </c>
      <c r="AD32" s="109" t="s">
        <v>728</v>
      </c>
      <c r="AF32" s="109" t="s">
        <v>729</v>
      </c>
    </row>
    <row r="33" spans="1:32" ht="12.75" customHeight="1">
      <c r="A33" s="118"/>
      <c r="B33" s="1"/>
      <c r="C33" s="2611"/>
      <c r="D33" s="24"/>
      <c r="E33" s="1242" t="str">
        <f>VLOOKUP(K7,U31:AI33,7,15)</f>
        <v>específicas.</v>
      </c>
      <c r="F33" s="1243"/>
      <c r="G33" s="1243"/>
      <c r="H33" s="1243"/>
      <c r="I33" s="1243"/>
      <c r="J33" s="1243"/>
      <c r="K33" s="1243"/>
      <c r="L33" s="1243"/>
      <c r="M33" s="1243"/>
      <c r="N33" s="1243"/>
      <c r="O33" s="12"/>
      <c r="P33" s="1"/>
      <c r="Q33" s="25"/>
      <c r="R33" s="4645"/>
      <c r="S33" s="118"/>
      <c r="T33" s="25"/>
      <c r="U33" s="309">
        <v>3</v>
      </c>
      <c r="V33" s="109" t="s">
        <v>784</v>
      </c>
      <c r="W33" s="109" t="s">
        <v>722</v>
      </c>
      <c r="X33" s="109" t="s">
        <v>785</v>
      </c>
      <c r="Y33" s="109" t="s">
        <v>786</v>
      </c>
      <c r="Z33" s="109" t="s">
        <v>787</v>
      </c>
      <c r="AA33" s="109" t="s">
        <v>720</v>
      </c>
      <c r="AB33" s="109" t="s">
        <v>725</v>
      </c>
      <c r="AC33" s="109" t="s">
        <v>727</v>
      </c>
      <c r="AD33" s="109" t="s">
        <v>728</v>
      </c>
      <c r="AF33" s="109" t="s">
        <v>729</v>
      </c>
    </row>
    <row r="34" spans="1:32" ht="12.75" customHeight="1">
      <c r="A34" s="118"/>
      <c r="B34" s="1"/>
      <c r="C34" s="2611" t="s">
        <v>230</v>
      </c>
      <c r="D34" s="24"/>
      <c r="E34" s="1242" t="str">
        <f>VLOOKUP(K7,U31:AI33,8,15)</f>
        <v>En el mejoramiento del medio.</v>
      </c>
      <c r="F34" s="1243"/>
      <c r="G34" s="1243"/>
      <c r="H34" s="1243"/>
      <c r="I34" s="1243"/>
      <c r="J34" s="1243"/>
      <c r="K34" s="1243"/>
      <c r="L34" s="1243"/>
      <c r="M34" s="1243"/>
      <c r="N34" s="1243"/>
      <c r="O34" s="12"/>
      <c r="P34" s="1"/>
      <c r="Q34" s="25"/>
      <c r="R34" s="4644">
        <v>50</v>
      </c>
      <c r="S34" s="118"/>
      <c r="T34" s="25"/>
    </row>
    <row r="35" spans="1:32" ht="12.75" customHeight="1">
      <c r="A35" s="118"/>
      <c r="B35" s="1"/>
      <c r="C35" s="298"/>
      <c r="D35" s="24"/>
      <c r="E35" s="1242">
        <f>VLOOKUP(K7,U31:AI33,9,15)</f>
        <v>0</v>
      </c>
      <c r="F35" s="1243"/>
      <c r="G35" s="1243"/>
      <c r="H35" s="1243"/>
      <c r="I35" s="1243"/>
      <c r="J35" s="1243"/>
      <c r="K35" s="1243"/>
      <c r="L35" s="1243"/>
      <c r="M35" s="1243"/>
      <c r="N35" s="1243"/>
      <c r="O35" s="12"/>
      <c r="P35" s="1"/>
      <c r="Q35" s="25"/>
      <c r="R35" s="4645"/>
      <c r="S35" s="118"/>
      <c r="T35" s="25"/>
      <c r="U35" s="309">
        <v>1</v>
      </c>
      <c r="V35" s="109" t="s">
        <v>781</v>
      </c>
    </row>
    <row r="36" spans="1:32" ht="7.5" customHeight="1">
      <c r="A36" s="118"/>
      <c r="B36" s="1"/>
      <c r="C36" s="298"/>
      <c r="D36" s="24"/>
      <c r="E36" s="299"/>
      <c r="F36" s="299"/>
      <c r="G36" s="299"/>
      <c r="H36" s="299"/>
      <c r="I36" s="299"/>
      <c r="J36" s="299"/>
      <c r="K36" s="299"/>
      <c r="L36" s="299"/>
      <c r="M36" s="299"/>
      <c r="N36" s="299"/>
      <c r="O36" s="1"/>
      <c r="P36" s="1"/>
      <c r="Q36" s="1"/>
      <c r="R36" s="303"/>
      <c r="S36" s="1"/>
      <c r="T36" s="25"/>
      <c r="U36" s="309">
        <v>2</v>
      </c>
      <c r="V36" s="109" t="s">
        <v>782</v>
      </c>
    </row>
    <row r="37" spans="1:32" ht="15">
      <c r="A37" s="118"/>
      <c r="B37" s="1"/>
      <c r="C37" s="301" t="s">
        <v>232</v>
      </c>
      <c r="D37" s="1"/>
      <c r="E37" s="299"/>
      <c r="F37" s="299"/>
      <c r="G37" s="299"/>
      <c r="H37" s="299"/>
      <c r="I37" s="299"/>
      <c r="J37" s="299"/>
      <c r="K37" s="299"/>
      <c r="L37" s="299"/>
      <c r="M37" s="299"/>
      <c r="N37" s="299"/>
      <c r="O37" s="1"/>
      <c r="P37" s="1"/>
      <c r="Q37" s="1"/>
      <c r="R37" s="302"/>
      <c r="S37" s="1"/>
      <c r="T37" s="25"/>
      <c r="U37" s="309">
        <v>3</v>
      </c>
      <c r="V37" s="109" t="s">
        <v>783</v>
      </c>
    </row>
    <row r="38" spans="1:32" ht="12.75" customHeight="1">
      <c r="A38" s="118"/>
      <c r="B38" s="1"/>
      <c r="C38" s="2611" t="s">
        <v>228</v>
      </c>
      <c r="D38" s="24"/>
      <c r="E38" s="1242" t="str">
        <f>VLOOKUP(K7,U31:AI33,10,15)</f>
        <v>Capacidad de Docencia de Dirección o de Supervisión</v>
      </c>
      <c r="F38" s="1243"/>
      <c r="G38" s="1243"/>
      <c r="H38" s="1243"/>
      <c r="I38" s="1243"/>
      <c r="J38" s="1243"/>
      <c r="K38" s="1243"/>
      <c r="L38" s="1243"/>
      <c r="M38" s="1243"/>
      <c r="N38" s="1244"/>
      <c r="O38" s="1066"/>
      <c r="P38" s="1"/>
      <c r="Q38" s="25"/>
      <c r="R38" s="4644">
        <v>140</v>
      </c>
      <c r="S38" s="118"/>
      <c r="T38" s="25"/>
    </row>
    <row r="39" spans="1:32" ht="12.75" customHeight="1">
      <c r="A39" s="118"/>
      <c r="B39" s="1"/>
      <c r="C39" s="298"/>
      <c r="D39" s="24"/>
      <c r="E39" s="1242" t="str">
        <f>VLOOKUP(K7,U31:AI33,11,15)</f>
        <v>a)  Calidad y cantidad en el cumplimiento de la labor</v>
      </c>
      <c r="F39" s="1243"/>
      <c r="G39" s="1243"/>
      <c r="H39" s="1243"/>
      <c r="I39" s="1243"/>
      <c r="J39" s="1243"/>
      <c r="K39" s="1243"/>
      <c r="L39" s="1243"/>
      <c r="M39" s="1243"/>
      <c r="N39" s="1244"/>
      <c r="O39" s="1066"/>
      <c r="P39" s="1"/>
      <c r="Q39" s="25"/>
      <c r="R39" s="4645"/>
      <c r="S39" s="118"/>
      <c r="T39" s="25"/>
    </row>
    <row r="40" spans="1:32" ht="12.75" customHeight="1">
      <c r="A40" s="118"/>
      <c r="B40" s="1"/>
      <c r="C40" s="298"/>
      <c r="D40" s="24"/>
      <c r="E40" s="1242" t="str">
        <f>VLOOKUP(K7,U31:AI33,12,15)</f>
        <v xml:space="preserve">      educativa.</v>
      </c>
      <c r="F40" s="1243"/>
      <c r="G40" s="1243"/>
      <c r="H40" s="1243"/>
      <c r="I40" s="1243"/>
      <c r="J40" s="1243"/>
      <c r="K40" s="1243"/>
      <c r="L40" s="1243"/>
      <c r="M40" s="1243"/>
      <c r="N40" s="1244"/>
      <c r="O40" s="1066"/>
      <c r="P40" s="1"/>
      <c r="Q40" s="25"/>
      <c r="R40" s="4644">
        <v>140</v>
      </c>
      <c r="S40" s="118"/>
      <c r="T40" s="25"/>
    </row>
    <row r="41" spans="1:32" ht="12.75" customHeight="1">
      <c r="A41" s="118"/>
      <c r="B41" s="1"/>
      <c r="C41" s="298"/>
      <c r="D41" s="24"/>
      <c r="E41" s="1242" t="str">
        <f>VLOOKUP(K7,U31:AI33,13,15)</f>
        <v>b)  Técnica y organización del trabajo.</v>
      </c>
      <c r="F41" s="1243"/>
      <c r="G41" s="1243"/>
      <c r="H41" s="1243"/>
      <c r="I41" s="1243"/>
      <c r="J41" s="1243"/>
      <c r="K41" s="1243"/>
      <c r="L41" s="1243"/>
      <c r="M41" s="1243"/>
      <c r="N41" s="1244"/>
      <c r="O41" s="1066"/>
      <c r="P41" s="1"/>
      <c r="Q41" s="25"/>
      <c r="R41" s="4645"/>
      <c r="S41" s="118"/>
      <c r="T41" s="25"/>
    </row>
    <row r="42" spans="1:32" ht="7.5" customHeight="1">
      <c r="A42" s="118"/>
      <c r="B42" s="1"/>
      <c r="C42" s="298"/>
      <c r="D42" s="24"/>
      <c r="E42" s="1245"/>
      <c r="F42" s="1245"/>
      <c r="G42" s="1245"/>
      <c r="H42" s="1245"/>
      <c r="I42" s="1245"/>
      <c r="J42" s="1245"/>
      <c r="K42" s="1245"/>
      <c r="L42" s="1245"/>
      <c r="M42" s="1245"/>
      <c r="N42" s="1245"/>
      <c r="O42" s="1066"/>
      <c r="P42" s="1"/>
      <c r="Q42" s="1"/>
      <c r="R42" s="303"/>
      <c r="S42" s="1"/>
      <c r="T42" s="25"/>
    </row>
    <row r="43" spans="1:32" ht="7.5" customHeight="1">
      <c r="A43" s="118"/>
      <c r="B43" s="1"/>
      <c r="C43" s="301"/>
      <c r="D43" s="1"/>
      <c r="E43" s="4646"/>
      <c r="F43" s="4647"/>
      <c r="G43" s="4647"/>
      <c r="H43" s="4647"/>
      <c r="I43" s="4647"/>
      <c r="J43" s="4647"/>
      <c r="K43" s="4647"/>
      <c r="L43" s="4647"/>
      <c r="M43" s="4647"/>
      <c r="N43" s="4648"/>
      <c r="O43" s="1"/>
      <c r="P43" s="1"/>
      <c r="Q43" s="1"/>
      <c r="R43" s="302"/>
      <c r="S43" s="1"/>
      <c r="T43" s="25"/>
    </row>
    <row r="44" spans="1:32" ht="12.75" customHeight="1">
      <c r="A44" s="118"/>
      <c r="B44" s="1"/>
      <c r="C44" s="301"/>
      <c r="D44" s="1"/>
      <c r="E44" s="283"/>
      <c r="F44" s="283"/>
      <c r="G44" s="283"/>
      <c r="H44" s="283"/>
      <c r="I44" s="283"/>
      <c r="J44" s="283"/>
      <c r="K44" s="283"/>
      <c r="L44" s="283"/>
      <c r="M44" s="4649" t="s">
        <v>234</v>
      </c>
      <c r="N44" s="4650"/>
      <c r="O44" s="4650"/>
      <c r="P44" s="4650"/>
      <c r="Q44" s="4651"/>
      <c r="R44" s="4655">
        <f>R26+R28+R32+R34+R38+R40</f>
        <v>480</v>
      </c>
      <c r="S44" s="118"/>
      <c r="T44" s="25"/>
    </row>
    <row r="45" spans="1:32" ht="12.75" customHeight="1">
      <c r="A45" s="118"/>
      <c r="B45" s="1"/>
      <c r="C45" s="301"/>
      <c r="D45" s="1"/>
      <c r="E45" s="283"/>
      <c r="F45" s="283"/>
      <c r="G45" s="283"/>
      <c r="H45" s="283"/>
      <c r="I45" s="283"/>
      <c r="J45" s="283"/>
      <c r="K45" s="283"/>
      <c r="L45" s="283"/>
      <c r="M45" s="4652"/>
      <c r="N45" s="4653"/>
      <c r="O45" s="4653"/>
      <c r="P45" s="4653"/>
      <c r="Q45" s="4654"/>
      <c r="R45" s="4656"/>
      <c r="S45" s="118"/>
      <c r="T45" s="25"/>
    </row>
    <row r="46" spans="1:32" ht="12.75" customHeight="1">
      <c r="A46" s="118"/>
      <c r="B46" s="1"/>
      <c r="C46" s="301" t="s">
        <v>235</v>
      </c>
      <c r="D46" s="1"/>
      <c r="E46" s="1"/>
      <c r="F46" s="1"/>
      <c r="G46" s="1"/>
      <c r="H46" s="1"/>
      <c r="I46" s="1"/>
      <c r="J46" s="1"/>
      <c r="K46" s="1"/>
      <c r="L46" s="1"/>
      <c r="M46" s="1"/>
      <c r="N46" s="1"/>
      <c r="O46" s="1"/>
      <c r="P46" s="1"/>
      <c r="Q46" s="1"/>
      <c r="R46" s="4644">
        <v>120</v>
      </c>
      <c r="S46" s="118"/>
      <c r="T46" s="25"/>
    </row>
    <row r="47" spans="1:32" ht="12.75" customHeight="1">
      <c r="A47" s="118"/>
      <c r="B47" s="1"/>
      <c r="C47" s="301"/>
      <c r="D47" s="1"/>
      <c r="E47" s="4657">
        <f>VLOOKUP(K7,U31:AI33,14,15)</f>
        <v>0</v>
      </c>
      <c r="F47" s="4658"/>
      <c r="G47" s="4658"/>
      <c r="H47" s="4658"/>
      <c r="I47" s="4658"/>
      <c r="J47" s="4658"/>
      <c r="K47" s="4658"/>
      <c r="L47" s="4658"/>
      <c r="M47" s="4658"/>
      <c r="N47" s="4659"/>
      <c r="O47" s="1"/>
      <c r="P47" s="1"/>
      <c r="Q47" s="1"/>
      <c r="R47" s="4645"/>
      <c r="S47" s="118"/>
      <c r="T47" s="25"/>
    </row>
    <row r="48" spans="1:32" ht="7.5" customHeight="1">
      <c r="A48" s="118"/>
      <c r="B48" s="1"/>
      <c r="C48" s="301"/>
      <c r="D48" s="1"/>
      <c r="E48" s="204"/>
      <c r="F48" s="204"/>
      <c r="G48" s="204"/>
      <c r="H48" s="204"/>
      <c r="I48" s="204"/>
      <c r="J48" s="204"/>
      <c r="K48" s="204"/>
      <c r="L48" s="204"/>
      <c r="M48" s="5"/>
      <c r="N48" s="5"/>
      <c r="O48" s="5"/>
      <c r="P48" s="5"/>
      <c r="Q48" s="5"/>
      <c r="R48" s="303"/>
      <c r="S48" s="1"/>
      <c r="T48" s="25"/>
    </row>
    <row r="49" spans="1:20" ht="7.5" customHeight="1">
      <c r="A49" s="118"/>
      <c r="B49" s="1"/>
      <c r="C49" s="301"/>
      <c r="D49" s="1"/>
      <c r="E49" s="1"/>
      <c r="F49" s="1"/>
      <c r="G49" s="1"/>
      <c r="H49" s="1"/>
      <c r="I49" s="1"/>
      <c r="J49" s="1"/>
      <c r="K49" s="1"/>
      <c r="L49" s="1"/>
      <c r="M49" s="5"/>
      <c r="N49" s="5"/>
      <c r="O49" s="5"/>
      <c r="P49" s="5"/>
      <c r="Q49" s="5"/>
      <c r="R49" s="302"/>
      <c r="S49" s="1"/>
      <c r="T49" s="25"/>
    </row>
    <row r="50" spans="1:20" ht="12.75" customHeight="1">
      <c r="A50" s="118"/>
      <c r="B50" s="1"/>
      <c r="C50" s="301" t="s">
        <v>236</v>
      </c>
      <c r="D50" s="1"/>
      <c r="E50" s="1"/>
      <c r="F50" s="1"/>
      <c r="G50" s="1"/>
      <c r="H50" s="1"/>
      <c r="I50" s="1"/>
      <c r="J50" s="1"/>
      <c r="K50" s="1"/>
      <c r="L50" s="1"/>
      <c r="M50" s="5"/>
      <c r="N50" s="5"/>
      <c r="O50" s="5"/>
      <c r="P50" s="5"/>
      <c r="Q50" s="129"/>
      <c r="R50" s="4644">
        <v>120</v>
      </c>
      <c r="S50" s="118"/>
      <c r="T50" s="25"/>
    </row>
    <row r="51" spans="1:20" ht="12.75" customHeight="1">
      <c r="A51" s="118"/>
      <c r="B51" s="1"/>
      <c r="C51" s="1"/>
      <c r="D51" s="1"/>
      <c r="E51" s="4657">
        <f>VLOOKUP(K7,U31:AI33,15,15)</f>
        <v>0</v>
      </c>
      <c r="F51" s="4658"/>
      <c r="G51" s="4658"/>
      <c r="H51" s="4658"/>
      <c r="I51" s="4658"/>
      <c r="J51" s="4658"/>
      <c r="K51" s="4658"/>
      <c r="L51" s="4658"/>
      <c r="M51" s="4658"/>
      <c r="N51" s="4659"/>
      <c r="O51" s="5"/>
      <c r="P51" s="5"/>
      <c r="Q51" s="129"/>
      <c r="R51" s="4645"/>
      <c r="S51" s="118"/>
      <c r="T51" s="25"/>
    </row>
    <row r="52" spans="1:20" ht="12.75" customHeight="1">
      <c r="A52" s="118"/>
      <c r="B52" s="1"/>
      <c r="C52" s="1"/>
      <c r="D52" s="1"/>
      <c r="E52" s="204"/>
      <c r="F52" s="204"/>
      <c r="G52" s="204"/>
      <c r="H52" s="204"/>
      <c r="I52" s="204"/>
      <c r="J52" s="204"/>
      <c r="K52" s="204"/>
      <c r="L52" s="204"/>
      <c r="M52" s="4649" t="s">
        <v>237</v>
      </c>
      <c r="N52" s="4680"/>
      <c r="O52" s="4680"/>
      <c r="P52" s="4680"/>
      <c r="Q52" s="4681"/>
      <c r="R52" s="4655">
        <f>R44+R50+R46</f>
        <v>720</v>
      </c>
      <c r="S52" s="118"/>
      <c r="T52" s="25"/>
    </row>
    <row r="53" spans="1:20" ht="12.75" customHeight="1">
      <c r="A53" s="118"/>
      <c r="B53" s="1"/>
      <c r="C53" s="1"/>
      <c r="D53" s="1"/>
      <c r="E53" s="204"/>
      <c r="F53" s="204"/>
      <c r="G53" s="204"/>
      <c r="H53" s="204"/>
      <c r="I53" s="204"/>
      <c r="J53" s="204"/>
      <c r="K53" s="204"/>
      <c r="L53" s="204"/>
      <c r="M53" s="4682"/>
      <c r="N53" s="4683"/>
      <c r="O53" s="4683"/>
      <c r="P53" s="4683"/>
      <c r="Q53" s="4684"/>
      <c r="R53" s="4656"/>
      <c r="S53" s="118"/>
      <c r="T53" s="25"/>
    </row>
    <row r="54" spans="1:20">
      <c r="A54" s="118"/>
      <c r="B54" s="304"/>
      <c r="C54" s="1"/>
      <c r="D54" s="1"/>
      <c r="E54" s="1"/>
      <c r="F54" s="1"/>
      <c r="G54" s="1"/>
      <c r="H54" s="1"/>
      <c r="I54" s="1"/>
      <c r="J54" s="1"/>
      <c r="K54" s="1"/>
      <c r="L54" s="1"/>
      <c r="M54" s="305"/>
      <c r="N54" s="305"/>
      <c r="O54" s="305"/>
      <c r="P54" s="305"/>
      <c r="Q54" s="305"/>
      <c r="R54" s="306"/>
      <c r="S54" s="1"/>
      <c r="T54" s="25"/>
    </row>
    <row r="55" spans="1:20">
      <c r="A55" s="118"/>
      <c r="B55" s="285" t="s">
        <v>238</v>
      </c>
      <c r="C55" s="4668" t="str">
        <f>VLOOKUP(J7,U9:AN28,17)</f>
        <v>CANCUN BENITO JUAREZ QUINTANA ROO A 5 DE JULIO DE 2013</v>
      </c>
      <c r="D55" s="4669"/>
      <c r="E55" s="4669"/>
      <c r="F55" s="4669"/>
      <c r="G55" s="4669"/>
      <c r="H55" s="4669"/>
      <c r="I55" s="4669"/>
      <c r="J55" s="4669"/>
      <c r="K55" s="4669"/>
      <c r="L55" s="4670"/>
      <c r="M55" s="307"/>
      <c r="N55" s="305"/>
      <c r="O55" s="305"/>
      <c r="P55" s="305"/>
      <c r="Q55" s="305"/>
      <c r="R55" s="203"/>
      <c r="S55" s="1"/>
      <c r="T55" s="25"/>
    </row>
    <row r="56" spans="1:20" ht="10.5" customHeight="1">
      <c r="A56" s="118"/>
      <c r="B56" s="26"/>
      <c r="C56" s="288" t="s">
        <v>239</v>
      </c>
      <c r="D56" s="288"/>
      <c r="E56" s="26"/>
      <c r="F56" s="26"/>
      <c r="G56" s="26"/>
      <c r="H56" s="26"/>
      <c r="I56" s="26"/>
      <c r="J56" s="26"/>
      <c r="K56" s="26"/>
      <c r="L56" s="26"/>
      <c r="M56" s="1"/>
      <c r="N56" s="1"/>
      <c r="O56" s="1"/>
      <c r="P56" s="1"/>
      <c r="Q56" s="1"/>
      <c r="R56" s="1"/>
      <c r="S56" s="1"/>
      <c r="T56" s="25"/>
    </row>
    <row r="57" spans="1:20" ht="7.5" customHeight="1">
      <c r="A57" s="118"/>
      <c r="B57" s="1"/>
      <c r="C57" s="1"/>
      <c r="D57" s="1"/>
      <c r="E57" s="1"/>
      <c r="F57" s="1"/>
      <c r="G57" s="1"/>
      <c r="H57" s="1"/>
      <c r="I57" s="1"/>
      <c r="J57" s="1"/>
      <c r="K57" s="1"/>
      <c r="L57" s="1"/>
      <c r="M57" s="1"/>
      <c r="N57" s="1"/>
      <c r="O57" s="1"/>
      <c r="P57" s="1"/>
      <c r="Q57" s="1"/>
      <c r="R57" s="1"/>
      <c r="S57" s="1"/>
      <c r="T57" s="25"/>
    </row>
    <row r="58" spans="1:20" ht="10.5" customHeight="1">
      <c r="A58" s="118"/>
      <c r="B58" s="1"/>
      <c r="C58" s="1"/>
      <c r="D58" s="1"/>
      <c r="E58" s="1"/>
      <c r="F58" s="1"/>
      <c r="G58" s="1"/>
      <c r="H58" s="1"/>
      <c r="I58" s="1"/>
      <c r="J58" s="1"/>
      <c r="K58" s="1"/>
      <c r="L58" s="1"/>
      <c r="M58" s="1"/>
      <c r="N58" s="1"/>
      <c r="O58" s="1"/>
      <c r="P58" s="1"/>
      <c r="Q58" s="1"/>
      <c r="R58" s="1"/>
      <c r="S58" s="1"/>
      <c r="T58" s="25"/>
    </row>
    <row r="59" spans="1:20" ht="10.5" customHeight="1">
      <c r="A59" s="118"/>
      <c r="B59" s="1"/>
      <c r="C59" s="1"/>
      <c r="D59" s="1"/>
      <c r="E59" s="1"/>
      <c r="F59" s="1"/>
      <c r="G59" s="1"/>
      <c r="H59" s="1"/>
      <c r="I59" s="1"/>
      <c r="J59" s="1"/>
      <c r="K59" s="1"/>
      <c r="L59" s="1"/>
      <c r="M59" s="1"/>
      <c r="N59" s="1"/>
      <c r="O59" s="1"/>
      <c r="P59" s="1"/>
      <c r="Q59" s="1"/>
      <c r="R59" s="1"/>
      <c r="S59" s="1"/>
      <c r="T59" s="25"/>
    </row>
    <row r="60" spans="1:20" ht="12.75" customHeight="1">
      <c r="A60" s="118"/>
      <c r="B60" s="4677" t="str">
        <f>VLOOKUP(J7,U9:AN28,18)</f>
        <v>AURA EUGENIA ANCONA FLORES</v>
      </c>
      <c r="C60" s="4678"/>
      <c r="D60" s="4678"/>
      <c r="E60" s="4678"/>
      <c r="F60" s="4678"/>
      <c r="G60" s="2617"/>
      <c r="H60" s="4660"/>
      <c r="I60" s="4679"/>
      <c r="J60" s="4679"/>
      <c r="K60" s="4661"/>
      <c r="L60" s="4671" t="str">
        <f>VLOOKUP(J7,U9:AN28,19)</f>
        <v>MARCO FDO. BARRERA CORDOBA</v>
      </c>
      <c r="M60" s="4672"/>
      <c r="N60" s="4672"/>
      <c r="O60" s="4672"/>
      <c r="P60" s="4672"/>
      <c r="Q60" s="4673"/>
      <c r="R60" s="4660"/>
      <c r="S60" s="4661"/>
      <c r="T60" s="25"/>
    </row>
    <row r="61" spans="1:20" ht="10.5" customHeight="1">
      <c r="A61" s="118"/>
      <c r="B61" s="4662" t="s">
        <v>240</v>
      </c>
      <c r="C61" s="4663"/>
      <c r="D61" s="4663"/>
      <c r="E61" s="4663"/>
      <c r="F61" s="4664"/>
      <c r="G61" s="1"/>
      <c r="H61" s="4662" t="s">
        <v>241</v>
      </c>
      <c r="I61" s="4663"/>
      <c r="J61" s="4663"/>
      <c r="K61" s="4664"/>
      <c r="L61" s="1"/>
      <c r="M61" s="4665" t="s">
        <v>242</v>
      </c>
      <c r="N61" s="4666"/>
      <c r="O61" s="4666"/>
      <c r="P61" s="4667"/>
      <c r="Q61" s="1"/>
      <c r="R61" s="4662" t="s">
        <v>241</v>
      </c>
      <c r="S61" s="4664"/>
      <c r="T61" s="25"/>
    </row>
    <row r="62" spans="1:20" ht="15" customHeight="1">
      <c r="A62" s="118"/>
      <c r="B62" s="1"/>
      <c r="C62" s="1"/>
      <c r="D62" s="1"/>
      <c r="E62" s="1"/>
      <c r="F62" s="1"/>
      <c r="G62" s="1"/>
      <c r="H62" s="1"/>
      <c r="I62" s="1"/>
      <c r="J62" s="1"/>
      <c r="K62" s="1"/>
      <c r="L62" s="1"/>
      <c r="M62" s="1"/>
      <c r="N62" s="1"/>
      <c r="O62" s="1"/>
      <c r="P62" s="1"/>
      <c r="Q62" s="1"/>
      <c r="R62" s="1"/>
      <c r="S62" s="1"/>
      <c r="T62" s="25"/>
    </row>
    <row r="63" spans="1:20" ht="15" customHeight="1">
      <c r="A63" s="118"/>
      <c r="B63" s="1"/>
      <c r="C63" s="1"/>
      <c r="D63" s="1"/>
      <c r="E63" s="1"/>
      <c r="F63" s="1"/>
      <c r="G63" s="1"/>
      <c r="H63" s="1"/>
      <c r="I63" s="1"/>
      <c r="J63" s="1"/>
      <c r="K63" s="1"/>
      <c r="L63" s="1"/>
      <c r="M63" s="1"/>
      <c r="N63" s="1"/>
      <c r="O63" s="1"/>
      <c r="P63" s="1"/>
      <c r="Q63" s="1"/>
      <c r="R63" s="1"/>
      <c r="S63" s="1"/>
      <c r="T63" s="25"/>
    </row>
    <row r="64" spans="1:20" ht="15" customHeight="1">
      <c r="A64" s="118"/>
      <c r="B64" s="1"/>
      <c r="C64" s="1"/>
      <c r="D64" s="1"/>
      <c r="E64" s="1"/>
      <c r="F64" s="1"/>
      <c r="G64" s="1"/>
      <c r="H64" s="1"/>
      <c r="I64" s="1"/>
      <c r="J64" s="1"/>
      <c r="K64" s="1"/>
      <c r="L64" s="1"/>
      <c r="M64" s="1"/>
      <c r="N64" s="1"/>
      <c r="O64" s="1"/>
      <c r="P64" s="1"/>
      <c r="Q64" s="1"/>
      <c r="R64" s="1"/>
      <c r="S64" s="1"/>
      <c r="T64" s="25"/>
    </row>
    <row r="65" spans="1:20" ht="14.25" customHeight="1">
      <c r="A65" s="118"/>
      <c r="B65" s="1"/>
      <c r="C65" s="1"/>
      <c r="D65" s="1"/>
      <c r="E65" s="1"/>
      <c r="F65" s="1"/>
      <c r="G65" s="1"/>
      <c r="H65" s="4674" t="str">
        <f>VLOOKUP(J7,U9:AN28,20)</f>
        <v>EVA OLAN MAGAÑA</v>
      </c>
      <c r="I65" s="4675"/>
      <c r="J65" s="4675"/>
      <c r="K65" s="4675"/>
      <c r="L65" s="4675"/>
      <c r="M65" s="4675"/>
      <c r="N65" s="4676"/>
      <c r="O65" s="1"/>
      <c r="P65" s="1"/>
      <c r="Q65" s="1"/>
      <c r="R65" s="1"/>
      <c r="S65" s="1"/>
      <c r="T65" s="25"/>
    </row>
    <row r="66" spans="1:20" ht="10.5" customHeight="1">
      <c r="A66" s="118"/>
      <c r="B66" s="1"/>
      <c r="C66" s="1"/>
      <c r="D66" s="1"/>
      <c r="E66" s="1"/>
      <c r="F66" s="1"/>
      <c r="G66" s="1"/>
      <c r="H66" s="4665" t="s">
        <v>243</v>
      </c>
      <c r="I66" s="4666"/>
      <c r="J66" s="4666"/>
      <c r="K66" s="4666"/>
      <c r="L66" s="4666"/>
      <c r="M66" s="4666"/>
      <c r="N66" s="4667"/>
      <c r="O66" s="1"/>
      <c r="P66" s="1"/>
      <c r="Q66" s="1"/>
      <c r="R66" s="1"/>
      <c r="S66" s="1"/>
      <c r="T66" s="25"/>
    </row>
    <row r="67" spans="1:20" ht="10.5" customHeight="1">
      <c r="A67" s="119"/>
      <c r="B67" s="120"/>
      <c r="C67" s="120"/>
      <c r="D67" s="120"/>
      <c r="E67" s="120"/>
      <c r="F67" s="120"/>
      <c r="G67" s="120"/>
      <c r="H67" s="120"/>
      <c r="I67" s="120"/>
      <c r="J67" s="120"/>
      <c r="K67" s="120"/>
      <c r="L67" s="120"/>
      <c r="M67" s="120"/>
      <c r="N67" s="120"/>
      <c r="O67" s="120"/>
      <c r="P67" s="120"/>
      <c r="Q67" s="120"/>
      <c r="R67" s="120"/>
      <c r="S67" s="120"/>
      <c r="T67" s="132"/>
    </row>
  </sheetData>
  <sheetProtection selectLockedCells="1"/>
  <mergeCells count="39">
    <mergeCell ref="H65:N65"/>
    <mergeCell ref="H66:N66"/>
    <mergeCell ref="B60:F60"/>
    <mergeCell ref="H60:K60"/>
    <mergeCell ref="M52:Q53"/>
    <mergeCell ref="R52:R53"/>
    <mergeCell ref="R60:S60"/>
    <mergeCell ref="B61:F61"/>
    <mergeCell ref="H61:K61"/>
    <mergeCell ref="M61:P61"/>
    <mergeCell ref="R61:S61"/>
    <mergeCell ref="C55:L55"/>
    <mergeCell ref="L60:Q60"/>
    <mergeCell ref="M44:Q45"/>
    <mergeCell ref="R44:R45"/>
    <mergeCell ref="R46:R47"/>
    <mergeCell ref="R50:R51"/>
    <mergeCell ref="E47:N47"/>
    <mergeCell ref="E51:N51"/>
    <mergeCell ref="R32:R33"/>
    <mergeCell ref="R34:R35"/>
    <mergeCell ref="R38:R39"/>
    <mergeCell ref="R40:R41"/>
    <mergeCell ref="E43:N43"/>
    <mergeCell ref="C21:G21"/>
    <mergeCell ref="H21:L21"/>
    <mergeCell ref="M21:O21"/>
    <mergeCell ref="P21:Q21"/>
    <mergeCell ref="B2:S2"/>
    <mergeCell ref="B5:S5"/>
    <mergeCell ref="B6:S6"/>
    <mergeCell ref="G9:H9"/>
    <mergeCell ref="I15:M15"/>
    <mergeCell ref="P15:S15"/>
    <mergeCell ref="Q24:S25"/>
    <mergeCell ref="R26:R27"/>
    <mergeCell ref="R28:R29"/>
    <mergeCell ref="I18:L18"/>
    <mergeCell ref="P18:S18"/>
  </mergeCells>
  <conditionalFormatting sqref="L60 N11:S11 H65:N65 C17:P17 C23:S23 O14:S14 H20 C20 R20 M20 C11 H11 C14:I14 C55">
    <cfRule type="cellIs" dxfId="799" priority="3" stopIfTrue="1" operator="equal">
      <formula>0</formula>
    </cfRule>
  </conditionalFormatting>
  <conditionalFormatting sqref="H65:N65 E26:E29 E38:N41 E47:N47 E51:N51 B60 C55 E32:E35 L60">
    <cfRule type="cellIs" dxfId="798" priority="2" stopIfTrue="1" operator="equal">
      <formula>0</formula>
    </cfRule>
  </conditionalFormatting>
  <printOptions horizontalCentered="1"/>
  <pageMargins left="3.937007874015748E-2" right="3.937007874015748E-2" top="0.31496062992125984" bottom="0.15748031496062992" header="0.31496062992125984" footer="0.31496062992125984"/>
  <pageSetup orientation="portrait" r:id="rId1"/>
  <colBreaks count="1" manualBreakCount="1">
    <brk id="20" max="1048575" man="1"/>
  </colBreaks>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8">
    <tabColor rgb="FF7030A0"/>
  </sheetPr>
  <dimension ref="A1:AP22"/>
  <sheetViews>
    <sheetView view="pageBreakPreview" topLeftCell="M10" zoomScale="120" zoomScaleSheetLayoutView="120" workbookViewId="0">
      <selection activeCell="AR14" sqref="AR14"/>
    </sheetView>
  </sheetViews>
  <sheetFormatPr baseColWidth="10" defaultRowHeight="12.75"/>
  <cols>
    <col min="1" max="12" width="3.28515625" style="17" hidden="1" customWidth="1"/>
    <col min="13" max="13" width="3.28515625" style="17" customWidth="1"/>
    <col min="14" max="18" width="3.28515625" style="3340" hidden="1" customWidth="1"/>
    <col min="19" max="23" width="7.28515625" style="17" customWidth="1"/>
    <col min="24" max="24" width="0.28515625" style="17" customWidth="1"/>
    <col min="25" max="29" width="7.28515625" style="17" customWidth="1"/>
    <col min="30" max="30" width="0.42578125" style="17" hidden="1" customWidth="1"/>
    <col min="31" max="35" width="6" style="17" hidden="1" customWidth="1"/>
    <col min="36" max="36" width="0.42578125" style="17" hidden="1" customWidth="1"/>
    <col min="37" max="41" width="6" style="17" hidden="1" customWidth="1"/>
    <col min="42" max="42" width="0.42578125" style="17" hidden="1" customWidth="1"/>
    <col min="43" max="16384" width="11.42578125" style="17"/>
  </cols>
  <sheetData>
    <row r="1" spans="1:42" ht="37.5" customHeight="1">
      <c r="A1" s="693"/>
      <c r="B1" s="3335"/>
      <c r="C1" s="3335"/>
      <c r="D1" s="3335"/>
      <c r="E1" s="3335"/>
      <c r="F1" s="3335"/>
      <c r="G1" s="3335"/>
      <c r="H1" s="3335"/>
      <c r="I1" s="3335"/>
      <c r="J1" s="3335"/>
      <c r="K1" s="3335"/>
      <c r="L1" s="3346"/>
      <c r="M1" s="3349"/>
      <c r="N1" s="3338">
        <v>1</v>
      </c>
      <c r="O1" s="3339" t="str">
        <f>'VISITA DE INSP.'!D17</f>
        <v>CERVANTES BENITEZ * ANTONIA</v>
      </c>
      <c r="Q1" s="3354" t="s">
        <v>920</v>
      </c>
      <c r="R1" s="3340" t="s">
        <v>79</v>
      </c>
      <c r="X1" s="3351"/>
      <c r="AD1" s="3351"/>
      <c r="AJ1" s="3351"/>
      <c r="AP1" s="3351"/>
    </row>
    <row r="2" spans="1:42" s="115" customFormat="1" ht="27" customHeight="1">
      <c r="A2" s="3333"/>
      <c r="B2" s="3336"/>
      <c r="C2" s="3336"/>
      <c r="D2" s="3336"/>
      <c r="E2" s="3336"/>
      <c r="F2" s="3336"/>
      <c r="G2" s="3336"/>
      <c r="H2" s="3336"/>
      <c r="I2" s="3336"/>
      <c r="J2" s="3336"/>
      <c r="K2" s="3336"/>
      <c r="L2" s="3336"/>
      <c r="M2" s="3336"/>
      <c r="N2" s="3341">
        <v>2</v>
      </c>
      <c r="O2" s="3339" t="str">
        <f>'VISITA DE INSP.'!D18</f>
        <v>ARANDA ESCALANTE * ARELI GUADALUPE</v>
      </c>
      <c r="P2" s="3342"/>
      <c r="Q2" s="3354" t="s">
        <v>919</v>
      </c>
      <c r="R2" s="3342" t="s">
        <v>79</v>
      </c>
      <c r="X2" s="3352"/>
      <c r="AD2" s="3352"/>
      <c r="AJ2" s="3352"/>
      <c r="AP2" s="3352"/>
    </row>
    <row r="3" spans="1:42" ht="27" customHeight="1">
      <c r="A3" s="3334"/>
      <c r="B3" s="3337"/>
      <c r="C3" s="3337"/>
      <c r="D3" s="3337"/>
      <c r="E3" s="3337"/>
      <c r="F3" s="3337"/>
      <c r="G3" s="3337"/>
      <c r="H3" s="3337"/>
      <c r="I3" s="3337"/>
      <c r="J3" s="3337"/>
      <c r="K3" s="3337"/>
      <c r="L3" s="3337"/>
      <c r="M3" s="3349"/>
      <c r="N3" s="3338">
        <v>3</v>
      </c>
      <c r="O3" s="3339" t="str">
        <f>'VISITA DE INSP.'!D19</f>
        <v>AKE QUEB * MARIANA DEL CONSUELO</v>
      </c>
      <c r="Q3" s="3354" t="s">
        <v>911</v>
      </c>
      <c r="R3" s="3340" t="s">
        <v>79</v>
      </c>
      <c r="X3" s="3351"/>
      <c r="AD3" s="3351"/>
      <c r="AJ3" s="3351"/>
      <c r="AP3" s="3351"/>
    </row>
    <row r="4" spans="1:42" ht="27" customHeight="1">
      <c r="A4" s="3334"/>
      <c r="B4" s="3337"/>
      <c r="C4" s="3337"/>
      <c r="D4" s="3337"/>
      <c r="E4" s="3337"/>
      <c r="F4" s="3337"/>
      <c r="G4" s="3337"/>
      <c r="H4" s="3337"/>
      <c r="I4" s="3337"/>
      <c r="J4" s="3337"/>
      <c r="K4" s="3337"/>
      <c r="L4" s="3337"/>
      <c r="M4" s="3349"/>
      <c r="N4" s="3341">
        <v>4</v>
      </c>
      <c r="O4" s="3339" t="str">
        <f>'VISITA DE INSP.'!D20</f>
        <v>MORENO CARDENAS * IGNACIA</v>
      </c>
      <c r="Q4" s="3354" t="s">
        <v>912</v>
      </c>
      <c r="R4" s="3340" t="s">
        <v>79</v>
      </c>
      <c r="S4" s="4688" t="str">
        <f>VLOOKUP(C19,N1:R19,2,2)</f>
        <v>CRUZ PEREZ * FRANCISCO</v>
      </c>
      <c r="T4" s="4688"/>
      <c r="U4" s="4688"/>
      <c r="V4" s="4688"/>
      <c r="W4" s="4688"/>
      <c r="X4" s="3351"/>
      <c r="Y4" s="4688">
        <f>VLOOKUP(G19,N1:R19,2,2)</f>
        <v>0</v>
      </c>
      <c r="Z4" s="4688"/>
      <c r="AA4" s="4688"/>
      <c r="AB4" s="4688"/>
      <c r="AC4" s="4688"/>
      <c r="AD4" s="3351"/>
      <c r="AJ4" s="3351"/>
      <c r="AP4" s="3351"/>
    </row>
    <row r="5" spans="1:42" ht="20.25" customHeight="1">
      <c r="A5" s="3334"/>
      <c r="B5" s="3337"/>
      <c r="C5" s="3337"/>
      <c r="D5" s="3337"/>
      <c r="E5" s="3337"/>
      <c r="F5" s="3337"/>
      <c r="G5" s="3337"/>
      <c r="H5" s="3337"/>
      <c r="I5" s="3337"/>
      <c r="J5" s="3337"/>
      <c r="K5" s="3337"/>
      <c r="L5" s="3337"/>
      <c r="M5" s="3349"/>
      <c r="N5" s="3338">
        <v>5</v>
      </c>
      <c r="O5" s="3339" t="str">
        <f>'VISITA DE INSP.'!D21</f>
        <v>GONGORA SANTOS * GRACIELA</v>
      </c>
      <c r="Q5" s="3354" t="s">
        <v>917</v>
      </c>
      <c r="R5" s="3340" t="s">
        <v>79</v>
      </c>
      <c r="X5" s="3351"/>
      <c r="AD5" s="3351"/>
      <c r="AJ5" s="3351"/>
      <c r="AP5" s="3351"/>
    </row>
    <row r="6" spans="1:42" ht="20.25" customHeight="1">
      <c r="A6" s="3334"/>
      <c r="B6" s="3337"/>
      <c r="C6" s="3337"/>
      <c r="D6" s="3337"/>
      <c r="E6" s="3337"/>
      <c r="F6" s="3337"/>
      <c r="G6" s="3337"/>
      <c r="H6" s="3337"/>
      <c r="I6" s="3337"/>
      <c r="J6" s="3337"/>
      <c r="K6" s="3337"/>
      <c r="L6" s="3337"/>
      <c r="M6" s="3349"/>
      <c r="N6" s="3341">
        <v>6</v>
      </c>
      <c r="O6" s="3339" t="str">
        <f>'VISITA DE INSP.'!D22</f>
        <v>VARGAS GARCIA * DEBRA DORIS DEL SAGRARIO</v>
      </c>
      <c r="Q6" s="3354" t="s">
        <v>918</v>
      </c>
      <c r="R6" s="3340" t="s">
        <v>79</v>
      </c>
      <c r="X6" s="3351"/>
      <c r="AD6" s="3351"/>
      <c r="AJ6" s="3351"/>
      <c r="AP6" s="3351"/>
    </row>
    <row r="7" spans="1:42" ht="27" customHeight="1">
      <c r="A7" s="3334"/>
      <c r="B7" s="3337"/>
      <c r="C7" s="4686" t="str">
        <f>C18</f>
        <v>CRUZ PEREZ * FRANCISCO</v>
      </c>
      <c r="D7" s="4686"/>
      <c r="E7" s="4686"/>
      <c r="F7" s="4686"/>
      <c r="G7" s="4686"/>
      <c r="H7" s="4686"/>
      <c r="I7" s="4686"/>
      <c r="J7" s="4686"/>
      <c r="K7" s="4686"/>
      <c r="L7" s="3337"/>
      <c r="M7" s="3349"/>
      <c r="N7" s="3338">
        <v>7</v>
      </c>
      <c r="O7" s="3339" t="str">
        <f>'VISITA DE INSP.'!D23</f>
        <v>CASTRO LOPEZ * SOSIMA PETRA</v>
      </c>
      <c r="Q7" s="3354" t="s">
        <v>913</v>
      </c>
      <c r="R7" s="3340" t="s">
        <v>79</v>
      </c>
      <c r="X7" s="3351"/>
      <c r="AD7" s="3351"/>
      <c r="AJ7" s="3351"/>
      <c r="AP7" s="3351"/>
    </row>
    <row r="8" spans="1:42" ht="21.75" customHeight="1">
      <c r="A8" s="3334"/>
      <c r="B8" s="3337"/>
      <c r="C8" s="4687" t="str">
        <f>VLOOKUP(L19,N1:R20,4,4)</f>
        <v>Director de la Escuela Primaria</v>
      </c>
      <c r="D8" s="4687"/>
      <c r="E8" s="4687"/>
      <c r="F8" s="4687"/>
      <c r="G8" s="4687"/>
      <c r="H8" s="4687"/>
      <c r="I8" s="4687"/>
      <c r="J8" s="4687"/>
      <c r="K8" s="4687"/>
      <c r="L8" s="3337"/>
      <c r="M8" s="3349"/>
      <c r="N8" s="3341">
        <v>8</v>
      </c>
      <c r="O8" s="3339" t="str">
        <f>'VISITA DE INSP.'!D24</f>
        <v>SANCHEZ BUSTAMANTE * CONCEPCION</v>
      </c>
      <c r="Q8" s="3354" t="s">
        <v>914</v>
      </c>
      <c r="R8" s="3340" t="s">
        <v>79</v>
      </c>
      <c r="X8" s="3351"/>
      <c r="AD8" s="3351"/>
      <c r="AJ8" s="3351"/>
      <c r="AP8" s="3351"/>
    </row>
    <row r="9" spans="1:42" ht="36.75" customHeight="1">
      <c r="A9" s="3334"/>
      <c r="B9" s="3337"/>
      <c r="C9" s="3337"/>
      <c r="D9" s="3337"/>
      <c r="E9" s="3337"/>
      <c r="F9" s="3337"/>
      <c r="G9" s="3337"/>
      <c r="H9" s="3337"/>
      <c r="I9" s="3337"/>
      <c r="J9" s="3337"/>
      <c r="K9" s="3337"/>
      <c r="L9" s="3337"/>
      <c r="M9" s="3349"/>
      <c r="N9" s="3338">
        <v>9</v>
      </c>
      <c r="O9" s="3339" t="str">
        <f>'VISITA DE INSP.'!D25</f>
        <v>VIVEROS SALAZAR *NORA</v>
      </c>
      <c r="Q9" s="3354" t="s">
        <v>915</v>
      </c>
      <c r="R9" s="3340" t="s">
        <v>79</v>
      </c>
      <c r="S9" s="4688" t="str">
        <f>VLOOKUP(D19,N1:R19,2,2)</f>
        <v>GONGORA * TERESITA DEL CARMEN</v>
      </c>
      <c r="T9" s="4688"/>
      <c r="U9" s="4688"/>
      <c r="V9" s="4688"/>
      <c r="W9" s="4688"/>
      <c r="X9" s="3351"/>
      <c r="Y9" s="4688" t="str">
        <f>VLOOKUP(H19,N1:R19,2,2)</f>
        <v>GARDUÑO CASTILLO * MERLI ROCIO</v>
      </c>
      <c r="Z9" s="4688"/>
      <c r="AA9" s="4688"/>
      <c r="AB9" s="4688"/>
      <c r="AC9" s="4688"/>
      <c r="AD9" s="3351"/>
      <c r="AJ9" s="3351"/>
      <c r="AP9" s="3351"/>
    </row>
    <row r="10" spans="1:42" ht="27.75" customHeight="1">
      <c r="A10" s="695"/>
      <c r="B10" s="694"/>
      <c r="C10" s="694"/>
      <c r="D10" s="694"/>
      <c r="E10" s="694"/>
      <c r="F10" s="694"/>
      <c r="G10" s="694"/>
      <c r="H10" s="694"/>
      <c r="I10" s="694"/>
      <c r="J10" s="694"/>
      <c r="K10" s="694"/>
      <c r="L10" s="3347"/>
      <c r="M10" s="3349"/>
      <c r="N10" s="3341">
        <v>10</v>
      </c>
      <c r="O10" s="3339" t="str">
        <f>'VISITA DE INSP.'!D26</f>
        <v>XIU VELAZQUEZ * JOSE MANUEL</v>
      </c>
      <c r="Q10" s="3354" t="s">
        <v>916</v>
      </c>
      <c r="R10" s="3340" t="s">
        <v>79</v>
      </c>
      <c r="X10" s="3351"/>
      <c r="AD10" s="3351"/>
      <c r="AJ10" s="3351"/>
      <c r="AP10" s="3351"/>
    </row>
    <row r="11" spans="1:42" ht="27.75" customHeight="1">
      <c r="A11" s="695"/>
      <c r="B11" s="696"/>
      <c r="C11" s="696"/>
      <c r="D11" s="696"/>
      <c r="E11" s="696"/>
      <c r="F11" s="696"/>
      <c r="G11" s="696"/>
      <c r="H11" s="696"/>
      <c r="I11" s="696"/>
      <c r="J11" s="696"/>
      <c r="K11" s="696"/>
      <c r="L11" s="3348"/>
      <c r="M11" s="3349"/>
      <c r="N11" s="3338">
        <v>11</v>
      </c>
      <c r="O11" s="3339" t="str">
        <f>'VISITA DE INSP.'!D27</f>
        <v>MARTIN QUINTAL * SIHARELI CONCEPCION</v>
      </c>
      <c r="Q11" s="3355"/>
      <c r="R11" s="3340" t="s">
        <v>79</v>
      </c>
      <c r="X11" s="3351"/>
      <c r="AD11" s="3351"/>
      <c r="AJ11" s="3351"/>
      <c r="AP11" s="3351"/>
    </row>
    <row r="12" spans="1:42" ht="27.75" customHeight="1">
      <c r="A12" s="695"/>
      <c r="B12" s="696"/>
      <c r="C12" s="696"/>
      <c r="D12" s="696"/>
      <c r="E12" s="696"/>
      <c r="F12" s="696"/>
      <c r="G12" s="696"/>
      <c r="H12" s="696"/>
      <c r="I12" s="696"/>
      <c r="J12" s="696"/>
      <c r="K12" s="696"/>
      <c r="L12" s="3348"/>
      <c r="M12" s="3349"/>
      <c r="N12" s="3341">
        <v>12</v>
      </c>
      <c r="O12" s="3339" t="str">
        <f>'VISITA DE INSP.'!D28</f>
        <v>ALEMAN SANTOS * MIRIAM</v>
      </c>
      <c r="Q12" s="3355"/>
      <c r="R12" s="3340" t="s">
        <v>79</v>
      </c>
      <c r="X12" s="3351"/>
      <c r="AD12" s="3351"/>
      <c r="AJ12" s="3351"/>
      <c r="AP12" s="3351"/>
    </row>
    <row r="13" spans="1:42" ht="27.75" customHeight="1">
      <c r="A13" s="695"/>
      <c r="B13" s="696"/>
      <c r="C13" s="696"/>
      <c r="D13" s="696"/>
      <c r="E13" s="696"/>
      <c r="F13" s="696"/>
      <c r="G13" s="696"/>
      <c r="H13" s="696"/>
      <c r="I13" s="696"/>
      <c r="J13" s="696"/>
      <c r="K13" s="696"/>
      <c r="L13" s="3348"/>
      <c r="M13" s="3349"/>
      <c r="N13" s="3338">
        <v>13</v>
      </c>
      <c r="O13" s="3339" t="str">
        <f>'VISITA DE INSP.'!D29</f>
        <v>CRUZ PEREZ * FRANCISCO</v>
      </c>
      <c r="Q13" s="3355"/>
      <c r="R13" s="3340" t="s">
        <v>79</v>
      </c>
      <c r="X13" s="3351"/>
      <c r="AD13" s="3351"/>
      <c r="AJ13" s="3351"/>
      <c r="AP13" s="3351"/>
    </row>
    <row r="14" spans="1:42" ht="27.75" customHeight="1">
      <c r="A14" s="695"/>
      <c r="B14" s="696"/>
      <c r="C14" s="696"/>
      <c r="D14" s="696"/>
      <c r="E14" s="696"/>
      <c r="F14" s="696"/>
      <c r="G14" s="696"/>
      <c r="H14" s="696"/>
      <c r="I14" s="696"/>
      <c r="J14" s="696"/>
      <c r="K14" s="696"/>
      <c r="L14" s="3348"/>
      <c r="M14" s="3349"/>
      <c r="N14" s="3341">
        <v>14</v>
      </c>
      <c r="O14" s="3339" t="str">
        <f>'VISITA DE INSP.'!D30</f>
        <v>GONGORA * TERESITA DEL CARMEN</v>
      </c>
      <c r="Q14" s="3355"/>
      <c r="R14" s="3340" t="s">
        <v>79</v>
      </c>
      <c r="S14" s="4688" t="str">
        <f>VLOOKUP(E19,N1:R19,2,2)</f>
        <v>ARGUELLES GARCIA * MAYRA LUCELY</v>
      </c>
      <c r="T14" s="4688"/>
      <c r="U14" s="4688"/>
      <c r="V14" s="4688"/>
      <c r="W14" s="4688"/>
      <c r="X14" s="3351"/>
      <c r="Y14" s="4689" t="str">
        <f>VLOOKUP(I19,N1:R19,2,2)</f>
        <v>POOT QUEB *LUIS ARMANDO</v>
      </c>
      <c r="Z14" s="4689"/>
      <c r="AA14" s="4689"/>
      <c r="AB14" s="4689"/>
      <c r="AC14" s="4689"/>
      <c r="AD14" s="3351"/>
      <c r="AJ14" s="3351"/>
      <c r="AP14" s="3351"/>
    </row>
    <row r="15" spans="1:42" ht="27.75" customHeight="1">
      <c r="A15" s="695"/>
      <c r="B15" s="696"/>
      <c r="C15" s="696"/>
      <c r="D15" s="696"/>
      <c r="E15" s="696"/>
      <c r="F15" s="696"/>
      <c r="G15" s="696"/>
      <c r="H15" s="696"/>
      <c r="I15" s="696"/>
      <c r="J15" s="696"/>
      <c r="K15" s="696"/>
      <c r="L15" s="3348"/>
      <c r="M15" s="3349"/>
      <c r="N15" s="3338">
        <v>15</v>
      </c>
      <c r="O15" s="3339" t="str">
        <f>'VISITA DE INSP.'!D31</f>
        <v>ARGUELLES GARCIA * MAYRA LUCELY</v>
      </c>
      <c r="Q15" s="3355"/>
      <c r="R15" s="3340" t="s">
        <v>79</v>
      </c>
      <c r="X15" s="3351"/>
      <c r="AD15" s="3351"/>
      <c r="AJ15" s="3351"/>
      <c r="AP15" s="3351"/>
    </row>
    <row r="16" spans="1:42" ht="27.75" customHeight="1">
      <c r="A16" s="695"/>
      <c r="B16" s="696"/>
      <c r="C16" s="696"/>
      <c r="D16" s="696"/>
      <c r="E16" s="696"/>
      <c r="F16" s="696"/>
      <c r="G16" s="696"/>
      <c r="H16" s="696"/>
      <c r="I16" s="696"/>
      <c r="J16" s="696"/>
      <c r="K16" s="696"/>
      <c r="L16" s="3348"/>
      <c r="M16" s="3349"/>
      <c r="N16" s="3341">
        <v>16</v>
      </c>
      <c r="O16" s="3339">
        <f>'VISITA DE INSP.'!D32</f>
        <v>0</v>
      </c>
      <c r="Q16" s="3355"/>
      <c r="R16" s="3340" t="s">
        <v>79</v>
      </c>
      <c r="X16" s="3351"/>
      <c r="AD16" s="3351"/>
      <c r="AJ16" s="3351"/>
      <c r="AP16" s="3351"/>
    </row>
    <row r="17" spans="1:42" ht="27.75" customHeight="1">
      <c r="A17" s="695"/>
      <c r="B17" s="696"/>
      <c r="C17" s="696"/>
      <c r="D17" s="696"/>
      <c r="E17" s="696"/>
      <c r="F17" s="696"/>
      <c r="G17" s="696"/>
      <c r="H17" s="696"/>
      <c r="I17" s="696"/>
      <c r="J17" s="696"/>
      <c r="K17" s="696"/>
      <c r="L17" s="3348"/>
      <c r="M17"/>
      <c r="N17" s="3338">
        <v>17</v>
      </c>
      <c r="O17" s="3339">
        <f>'VISITA DE INSP.'!D33</f>
        <v>0</v>
      </c>
      <c r="Q17" s="3355"/>
      <c r="R17" s="3345" t="s">
        <v>79</v>
      </c>
      <c r="X17" s="3353"/>
      <c r="AD17" s="3353"/>
      <c r="AJ17" s="3353"/>
      <c r="AK17" s="4685">
        <f>VLOOKUP(F19,N1:R19,2,2)</f>
        <v>0</v>
      </c>
      <c r="AL17" s="4685"/>
      <c r="AM17" s="4685"/>
      <c r="AN17" s="4685"/>
      <c r="AO17" s="4685"/>
      <c r="AP17" s="3353"/>
    </row>
    <row r="18" spans="1:42" ht="27.75" customHeight="1">
      <c r="A18" s="695"/>
      <c r="B18" s="696"/>
      <c r="C18" s="3343" t="str">
        <f>VLOOKUP(M19,N1:R19,2,2)</f>
        <v>CRUZ PEREZ * FRANCISCO</v>
      </c>
      <c r="D18" s="1062"/>
      <c r="E18" s="1062"/>
      <c r="F18" s="1062"/>
      <c r="G18" s="1062"/>
      <c r="H18" s="1062"/>
      <c r="I18" s="1062"/>
      <c r="J18" s="1062"/>
      <c r="K18" s="1063"/>
      <c r="L18" s="3348"/>
      <c r="M18" s="3349"/>
      <c r="N18" s="3341">
        <v>18</v>
      </c>
      <c r="O18" s="3339" t="str">
        <f>'VISITA DE INSP.'!D34</f>
        <v>GARDUÑO CASTILLO * MERLI ROCIO</v>
      </c>
      <c r="Q18" s="3355"/>
      <c r="R18" s="3340" t="s">
        <v>79</v>
      </c>
      <c r="X18" s="3351"/>
      <c r="AD18" s="3351"/>
      <c r="AJ18" s="3351"/>
      <c r="AP18" s="3351"/>
    </row>
    <row r="19" spans="1:42" ht="27.75" customHeight="1">
      <c r="A19" s="3484"/>
      <c r="B19" s="3485"/>
      <c r="C19" s="3344">
        <f>M19</f>
        <v>13</v>
      </c>
      <c r="D19" s="3344">
        <f>M19+1</f>
        <v>14</v>
      </c>
      <c r="E19" s="3344">
        <f>M19+2</f>
        <v>15</v>
      </c>
      <c r="F19" s="3344">
        <f>M19+3</f>
        <v>16</v>
      </c>
      <c r="G19" s="3344">
        <f>M19+4</f>
        <v>17</v>
      </c>
      <c r="H19" s="3344">
        <f>M19+5</f>
        <v>18</v>
      </c>
      <c r="I19" s="3344">
        <f>M19+6</f>
        <v>19</v>
      </c>
      <c r="J19" s="3344">
        <f>M19+7</f>
        <v>20</v>
      </c>
      <c r="K19" s="3486">
        <v>6</v>
      </c>
      <c r="L19" s="3487">
        <v>8</v>
      </c>
      <c r="M19" s="3350">
        <v>13</v>
      </c>
      <c r="N19" s="3338">
        <v>19</v>
      </c>
      <c r="O19" s="3339" t="str">
        <f>'VISITA DE INSP.'!D35</f>
        <v>POOT QUEB *LUIS ARMANDO</v>
      </c>
      <c r="P19" s="3345"/>
      <c r="Q19" s="3488"/>
      <c r="R19" s="3345" t="s">
        <v>79</v>
      </c>
      <c r="S19" s="4688">
        <f>VLOOKUP(F19,N1:R19,2,2)</f>
        <v>0</v>
      </c>
      <c r="T19" s="4688"/>
      <c r="U19" s="4688"/>
      <c r="V19" s="4688"/>
      <c r="W19" s="4688"/>
      <c r="X19" s="3351"/>
      <c r="Y19" s="4688" t="s">
        <v>2549</v>
      </c>
      <c r="Z19" s="4688"/>
      <c r="AA19" s="4688"/>
      <c r="AB19" s="4688"/>
      <c r="AC19" s="4688"/>
      <c r="AD19" s="3351"/>
      <c r="AJ19" s="3351"/>
      <c r="AP19" s="3351"/>
    </row>
    <row r="20" spans="1:42" ht="15">
      <c r="A20" s="697"/>
      <c r="B20" s="697"/>
      <c r="C20" s="697"/>
      <c r="D20" s="697"/>
      <c r="E20" s="697"/>
      <c r="F20" s="697"/>
      <c r="G20" s="697"/>
      <c r="H20" s="697"/>
      <c r="I20" s="697"/>
      <c r="J20" s="697"/>
      <c r="K20" s="697"/>
      <c r="L20" s="697"/>
      <c r="M20" s="1061"/>
      <c r="R20" s="3340" t="s">
        <v>79</v>
      </c>
    </row>
    <row r="21" spans="1:42">
      <c r="R21" s="3340" t="s">
        <v>79</v>
      </c>
    </row>
    <row r="22" spans="1:42">
      <c r="R22" s="3340" t="s">
        <v>79</v>
      </c>
    </row>
  </sheetData>
  <sheetProtection selectLockedCells="1"/>
  <mergeCells count="11">
    <mergeCell ref="S19:W19"/>
    <mergeCell ref="Y4:AC4"/>
    <mergeCell ref="Y9:AC9"/>
    <mergeCell ref="Y14:AC14"/>
    <mergeCell ref="Y19:AC19"/>
    <mergeCell ref="AK17:AO17"/>
    <mergeCell ref="C7:K7"/>
    <mergeCell ref="C8:K8"/>
    <mergeCell ref="S4:W4"/>
    <mergeCell ref="S9:W9"/>
    <mergeCell ref="S14:W14"/>
  </mergeCells>
  <printOptions verticalCentered="1"/>
  <pageMargins left="0.19685039370078741" right="0.11811023622047245" top="0" bottom="0.35433070866141736" header="0.31496062992125984" footer="0"/>
  <pageSetup paperSize="9" scale="130" orientation="portrait"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0">
    <tabColor theme="9" tint="-0.249977111117893"/>
  </sheetPr>
  <dimension ref="A1:BE28"/>
  <sheetViews>
    <sheetView view="pageBreakPreview" topLeftCell="A10" zoomScaleSheetLayoutView="100" workbookViewId="0">
      <selection activeCell="AG5" sqref="AG5"/>
    </sheetView>
  </sheetViews>
  <sheetFormatPr baseColWidth="10" defaultRowHeight="12.75"/>
  <cols>
    <col min="1" max="1" width="0.42578125" style="17" customWidth="1"/>
    <col min="2" max="11" width="2.85546875" style="17" customWidth="1"/>
    <col min="12" max="12" width="1.7109375" style="17" customWidth="1"/>
    <col min="13" max="13" width="2" style="17" customWidth="1"/>
    <col min="14" max="14" width="2.85546875" style="17" customWidth="1"/>
    <col min="15" max="15" width="2.7109375" style="17" customWidth="1"/>
    <col min="16" max="16" width="2.28515625" style="17" customWidth="1"/>
    <col min="17" max="18" width="2.85546875" style="17" customWidth="1"/>
    <col min="19" max="19" width="2.140625" style="17" customWidth="1"/>
    <col min="20" max="21" width="2.5703125" style="17" customWidth="1"/>
    <col min="22" max="22" width="2.28515625" style="17" customWidth="1"/>
    <col min="23" max="23" width="2.42578125" style="17" customWidth="1"/>
    <col min="24" max="25" width="2.85546875" style="17" customWidth="1"/>
    <col min="26" max="26" width="2.42578125" style="17" customWidth="1"/>
    <col min="27" max="33" width="2.85546875" style="17" customWidth="1"/>
    <col min="34" max="34" width="0.42578125" style="17" customWidth="1"/>
    <col min="35" max="35" width="3.5703125" style="1903" customWidth="1"/>
    <col min="36" max="36" width="11.42578125" style="85"/>
    <col min="37" max="37" width="5.42578125" style="778" customWidth="1"/>
    <col min="38" max="38" width="11.42578125" style="778"/>
    <col min="39" max="39" width="5.42578125" style="778" customWidth="1"/>
    <col min="40" max="40" width="8.28515625" style="1466" customWidth="1"/>
    <col min="41" max="41" width="6.28515625" style="1466" customWidth="1"/>
    <col min="42" max="56" width="6.42578125" style="1466" customWidth="1"/>
    <col min="57" max="57" width="7.7109375" style="417" customWidth="1"/>
    <col min="58" max="16384" width="11.42578125" style="17"/>
  </cols>
  <sheetData>
    <row r="1" spans="1:57" ht="16.5" customHeight="1">
      <c r="A1" s="44"/>
      <c r="B1" s="44"/>
      <c r="C1" s="404"/>
      <c r="D1" s="404"/>
      <c r="E1" s="404"/>
      <c r="F1" s="324"/>
      <c r="G1" s="404"/>
      <c r="H1" s="1341"/>
      <c r="I1" s="1342"/>
      <c r="J1" s="1342"/>
      <c r="K1" s="1342"/>
      <c r="L1" s="1342"/>
      <c r="M1" s="1342"/>
      <c r="N1" s="1342"/>
      <c r="O1" s="1342"/>
      <c r="P1" s="1342"/>
      <c r="Q1" s="1343" t="s">
        <v>196</v>
      </c>
      <c r="R1" s="1342"/>
      <c r="S1" s="1342"/>
      <c r="T1" s="1342"/>
      <c r="U1" s="1342"/>
      <c r="V1" s="1342"/>
      <c r="W1" s="1342"/>
      <c r="X1" s="1342"/>
      <c r="Y1" s="1342"/>
      <c r="Z1" s="1341"/>
      <c r="AA1" s="404"/>
      <c r="AB1" s="404"/>
      <c r="AC1" s="404"/>
      <c r="AD1" s="404"/>
      <c r="AE1" s="404"/>
      <c r="AF1" s="404"/>
      <c r="AG1" s="405"/>
      <c r="AH1" s="44"/>
      <c r="AI1" s="1903">
        <v>0</v>
      </c>
      <c r="AJ1" s="85" t="s">
        <v>1143</v>
      </c>
      <c r="AK1" s="778" t="s">
        <v>1144</v>
      </c>
      <c r="AL1" s="778" t="s">
        <v>1145</v>
      </c>
      <c r="AM1" s="3478" t="s">
        <v>1146</v>
      </c>
      <c r="AN1" s="778"/>
      <c r="AO1" s="85" t="s">
        <v>2527</v>
      </c>
      <c r="AP1" s="778">
        <f>VLOOKUP(AG4,AI1:AM27,3,2)</f>
        <v>21</v>
      </c>
      <c r="AQ1" s="778" t="s">
        <v>2528</v>
      </c>
      <c r="AR1" s="1903" t="str">
        <f>VLOOKUP(AG4,AI1:AM27,4,2)</f>
        <v>Noviembre</v>
      </c>
      <c r="AS1" s="778" t="s">
        <v>2528</v>
      </c>
      <c r="AT1" s="778">
        <f>VLOOKUP(AG4,AI1:AM27,5,2)</f>
        <v>2013</v>
      </c>
      <c r="AU1" s="778" t="s">
        <v>2529</v>
      </c>
      <c r="AV1" s="778">
        <f>SUM(AF10:AG26)</f>
        <v>0</v>
      </c>
      <c r="AW1" s="778"/>
      <c r="AX1" s="778"/>
      <c r="AY1" s="778"/>
      <c r="AZ1" s="778"/>
      <c r="BA1" s="778"/>
      <c r="BB1" s="778"/>
      <c r="BC1" s="778"/>
    </row>
    <row r="2" spans="1:57" ht="16.5" customHeight="1">
      <c r="A2" s="44"/>
      <c r="B2" s="44"/>
      <c r="C2" s="404"/>
      <c r="D2" s="404"/>
      <c r="E2" s="404"/>
      <c r="F2" s="404"/>
      <c r="G2" s="404"/>
      <c r="H2" s="1341"/>
      <c r="I2" s="1342"/>
      <c r="J2" s="1342"/>
      <c r="K2" s="1342"/>
      <c r="L2" s="1342"/>
      <c r="M2" s="1342"/>
      <c r="N2" s="1342"/>
      <c r="O2" s="1342"/>
      <c r="P2" s="1342"/>
      <c r="Q2" s="1343" t="s">
        <v>106</v>
      </c>
      <c r="R2" s="1342"/>
      <c r="S2" s="1342"/>
      <c r="T2" s="1342"/>
      <c r="U2" s="1342"/>
      <c r="V2" s="1342"/>
      <c r="W2" s="1342"/>
      <c r="X2" s="1342"/>
      <c r="Y2" s="1342"/>
      <c r="Z2" s="1341"/>
      <c r="AA2" s="404"/>
      <c r="AB2" s="404"/>
      <c r="AC2" s="404"/>
      <c r="AD2" s="404"/>
      <c r="AE2" s="404"/>
      <c r="AF2" s="404"/>
      <c r="AG2" s="405"/>
      <c r="AH2" s="44"/>
      <c r="AI2" s="1903">
        <v>1</v>
      </c>
      <c r="AJ2" s="3480" t="s">
        <v>1147</v>
      </c>
      <c r="AK2" s="3479">
        <v>29</v>
      </c>
      <c r="AL2" s="3479" t="s">
        <v>1138</v>
      </c>
      <c r="AM2" s="3479">
        <v>2011</v>
      </c>
      <c r="AN2" s="778" t="s">
        <v>1686</v>
      </c>
      <c r="AO2" s="778"/>
      <c r="AP2" s="3479"/>
      <c r="AQ2" s="778"/>
      <c r="AR2" s="778"/>
      <c r="AS2" s="778"/>
      <c r="AT2" s="778"/>
      <c r="AU2" s="778"/>
      <c r="AV2" s="778"/>
      <c r="AW2" s="778"/>
      <c r="AX2" s="778"/>
      <c r="AY2" s="778"/>
      <c r="AZ2" s="778"/>
      <c r="BA2" s="778"/>
      <c r="BB2" s="778"/>
      <c r="BC2" s="778"/>
    </row>
    <row r="3" spans="1:57" ht="16.5" customHeight="1">
      <c r="A3" s="44"/>
      <c r="B3" s="44"/>
      <c r="C3" s="404"/>
      <c r="D3" s="404"/>
      <c r="E3" s="404"/>
      <c r="F3" s="404"/>
      <c r="G3" s="404"/>
      <c r="H3" s="1341"/>
      <c r="I3" s="1342"/>
      <c r="J3" s="1342"/>
      <c r="K3" s="1342"/>
      <c r="L3" s="1342"/>
      <c r="M3" s="1342"/>
      <c r="N3" s="1342"/>
      <c r="O3" s="1342"/>
      <c r="P3" s="1342"/>
      <c r="Q3" s="1343" t="s">
        <v>356</v>
      </c>
      <c r="R3" s="1342"/>
      <c r="S3" s="1342"/>
      <c r="T3" s="1342"/>
      <c r="U3" s="1342"/>
      <c r="V3" s="1342"/>
      <c r="W3" s="1342"/>
      <c r="X3" s="1342"/>
      <c r="Y3" s="1342"/>
      <c r="Z3" s="1341"/>
      <c r="AA3" s="404"/>
      <c r="AB3" s="404"/>
      <c r="AC3" s="404"/>
      <c r="AD3" s="404"/>
      <c r="AE3" s="404"/>
      <c r="AF3" s="404"/>
      <c r="AG3" s="406" t="s">
        <v>355</v>
      </c>
      <c r="AH3" s="44"/>
      <c r="AI3" s="1903">
        <v>2</v>
      </c>
      <c r="AJ3" s="3480" t="s">
        <v>1684</v>
      </c>
      <c r="AK3" s="3479"/>
      <c r="AL3" s="3479"/>
      <c r="AM3" s="3479">
        <v>2012</v>
      </c>
      <c r="AN3" s="778" t="s">
        <v>1686</v>
      </c>
      <c r="AO3" s="778">
        <v>8</v>
      </c>
      <c r="AP3" s="778">
        <v>3</v>
      </c>
      <c r="AQ3" s="778">
        <v>8</v>
      </c>
      <c r="AR3" s="778">
        <v>5</v>
      </c>
      <c r="AS3" s="778">
        <v>9</v>
      </c>
      <c r="AT3" s="778">
        <v>5</v>
      </c>
      <c r="AU3" s="778">
        <v>8</v>
      </c>
      <c r="AV3" s="778">
        <v>5</v>
      </c>
      <c r="AW3" s="778">
        <v>4</v>
      </c>
      <c r="AX3" s="778">
        <v>9</v>
      </c>
      <c r="AY3" s="778">
        <v>7</v>
      </c>
      <c r="AZ3" s="778">
        <v>0</v>
      </c>
      <c r="BA3" s="778">
        <v>0</v>
      </c>
      <c r="BB3" s="778">
        <v>0</v>
      </c>
      <c r="BC3" s="778">
        <v>0</v>
      </c>
      <c r="BD3" s="1466">
        <v>0</v>
      </c>
      <c r="BE3" s="1466">
        <v>0</v>
      </c>
    </row>
    <row r="4" spans="1:57" ht="16.5" customHeight="1">
      <c r="A4" s="44"/>
      <c r="B4" s="44"/>
      <c r="C4" s="404"/>
      <c r="D4" s="404"/>
      <c r="E4" s="404"/>
      <c r="F4" s="404"/>
      <c r="G4" s="404"/>
      <c r="H4" s="1344"/>
      <c r="I4" s="1347" t="s">
        <v>357</v>
      </c>
      <c r="J4" s="1345"/>
      <c r="K4" s="1348"/>
      <c r="L4" s="1348"/>
      <c r="M4" s="1348"/>
      <c r="N4" s="1348"/>
      <c r="O4" s="1348"/>
      <c r="P4" s="1349" t="s">
        <v>1139</v>
      </c>
      <c r="R4" s="1350"/>
      <c r="S4" s="4693" t="str">
        <f>'VISITA DE INSP.'!AS9</f>
        <v>2012</v>
      </c>
      <c r="T4" s="4694"/>
      <c r="U4" s="1351" t="s">
        <v>358</v>
      </c>
      <c r="V4" s="4693">
        <f>S4+1</f>
        <v>2013</v>
      </c>
      <c r="W4" s="4694"/>
      <c r="X4" s="1352"/>
      <c r="Y4" s="1346" t="s">
        <v>359</v>
      </c>
      <c r="Z4" s="1341"/>
      <c r="AA4" s="404"/>
      <c r="AB4" s="404"/>
      <c r="AC4" s="404"/>
      <c r="AD4" s="404"/>
      <c r="AE4" s="404"/>
      <c r="AF4" s="404"/>
      <c r="AG4" s="1400">
        <v>19</v>
      </c>
      <c r="AH4" s="44"/>
      <c r="AI4" s="1903">
        <v>3</v>
      </c>
      <c r="AJ4" s="3480" t="s">
        <v>1685</v>
      </c>
      <c r="AK4" s="3479"/>
      <c r="AL4" s="3479"/>
      <c r="AM4" s="3479">
        <v>2012</v>
      </c>
      <c r="AN4" s="778" t="s">
        <v>1686</v>
      </c>
      <c r="AO4" s="778">
        <v>408</v>
      </c>
      <c r="AP4" s="778">
        <v>450</v>
      </c>
      <c r="AQ4" s="778">
        <v>269</v>
      </c>
      <c r="AR4" s="778">
        <v>354</v>
      </c>
      <c r="AS4" s="778">
        <v>204</v>
      </c>
      <c r="AT4" s="778">
        <v>393</v>
      </c>
      <c r="AU4" s="778">
        <v>194</v>
      </c>
      <c r="AV4" s="778">
        <v>395</v>
      </c>
      <c r="AW4" s="778">
        <v>218</v>
      </c>
      <c r="AX4" s="778">
        <v>119</v>
      </c>
      <c r="AY4" s="778">
        <v>0</v>
      </c>
      <c r="AZ4" s="778">
        <v>0</v>
      </c>
      <c r="BA4" s="778">
        <v>0</v>
      </c>
      <c r="BB4" s="778">
        <v>0</v>
      </c>
      <c r="BC4" s="778">
        <v>0</v>
      </c>
      <c r="BD4" s="1466">
        <v>0</v>
      </c>
      <c r="BE4" s="1466">
        <v>0</v>
      </c>
    </row>
    <row r="5" spans="1:57" ht="16.5" customHeight="1">
      <c r="A5" s="44"/>
      <c r="B5" s="44"/>
      <c r="C5" s="44"/>
      <c r="D5" s="44"/>
      <c r="E5" s="44"/>
      <c r="F5" s="44"/>
      <c r="G5" s="44"/>
      <c r="H5" s="44"/>
      <c r="I5" s="407" t="s">
        <v>360</v>
      </c>
      <c r="J5" s="44"/>
      <c r="K5" s="44"/>
      <c r="L5" s="44"/>
      <c r="M5" s="44"/>
      <c r="N5" s="44"/>
      <c r="O5" s="45"/>
      <c r="P5" s="45"/>
      <c r="Q5" s="45"/>
      <c r="R5" s="45"/>
      <c r="S5" s="45"/>
      <c r="T5" s="45"/>
      <c r="U5" s="45"/>
      <c r="V5" s="45"/>
      <c r="W5" s="45"/>
      <c r="X5" s="45"/>
      <c r="Y5" s="45"/>
      <c r="Z5" s="45"/>
      <c r="AA5" s="45"/>
      <c r="AB5" s="45"/>
      <c r="AC5" s="45"/>
      <c r="AD5" s="45"/>
      <c r="AE5" s="44"/>
      <c r="AF5" s="44"/>
      <c r="AG5" s="44"/>
      <c r="AH5" s="44"/>
      <c r="AI5" s="1903">
        <v>4</v>
      </c>
      <c r="AJ5" s="3480" t="s">
        <v>2393</v>
      </c>
      <c r="AK5" s="3479"/>
      <c r="AL5" s="3479"/>
      <c r="AM5" s="3479"/>
      <c r="AN5" s="778" t="s">
        <v>1686</v>
      </c>
      <c r="AO5" s="778">
        <v>62</v>
      </c>
      <c r="AP5" s="778">
        <v>96</v>
      </c>
      <c r="AQ5" s="778">
        <v>73</v>
      </c>
      <c r="AR5" s="778">
        <v>68</v>
      </c>
      <c r="AS5" s="778">
        <v>58</v>
      </c>
      <c r="AT5" s="778">
        <v>98</v>
      </c>
      <c r="AU5" s="778">
        <v>32</v>
      </c>
      <c r="AV5" s="778">
        <v>29</v>
      </c>
      <c r="AW5" s="778">
        <v>66</v>
      </c>
      <c r="AX5" s="778">
        <v>28</v>
      </c>
      <c r="AY5" s="778">
        <v>0</v>
      </c>
      <c r="AZ5" s="778">
        <v>0</v>
      </c>
      <c r="BA5" s="778">
        <v>0</v>
      </c>
      <c r="BB5" s="778">
        <v>0</v>
      </c>
      <c r="BC5" s="778">
        <v>0</v>
      </c>
      <c r="BD5" s="1466">
        <v>0</v>
      </c>
      <c r="BE5" s="1466">
        <v>0</v>
      </c>
    </row>
    <row r="6" spans="1:57" ht="16.5" customHeight="1">
      <c r="A6" s="44"/>
      <c r="B6" s="4695" t="s">
        <v>361</v>
      </c>
      <c r="C6" s="4696"/>
      <c r="D6" s="4696"/>
      <c r="E6" s="4696"/>
      <c r="F6" s="4696"/>
      <c r="G6" s="4696"/>
      <c r="H6" s="4696"/>
      <c r="I6" s="4696"/>
      <c r="J6" s="4697"/>
      <c r="K6" s="4698" t="str">
        <f>VLOOKUP(AG4,AI1:AM27,2,2)</f>
        <v>RECIBOS DE ACUSE DE SICEEB</v>
      </c>
      <c r="L6" s="4699"/>
      <c r="M6" s="4699"/>
      <c r="N6" s="4699"/>
      <c r="O6" s="4699"/>
      <c r="P6" s="4699"/>
      <c r="Q6" s="4699"/>
      <c r="R6" s="4699"/>
      <c r="S6" s="4699"/>
      <c r="T6" s="4699"/>
      <c r="U6" s="4699"/>
      <c r="V6" s="4699"/>
      <c r="W6" s="4699"/>
      <c r="X6" s="4699"/>
      <c r="Y6" s="4699"/>
      <c r="Z6" s="4699"/>
      <c r="AA6" s="4699"/>
      <c r="AB6" s="4699"/>
      <c r="AC6" s="4699"/>
      <c r="AD6" s="4699"/>
      <c r="AE6" s="4699"/>
      <c r="AF6" s="4699"/>
      <c r="AG6" s="4700"/>
      <c r="AH6" s="44"/>
      <c r="AI6" s="1903">
        <v>5</v>
      </c>
      <c r="AJ6" s="3480" t="s">
        <v>2395</v>
      </c>
      <c r="AK6" s="3479"/>
      <c r="AL6" s="3479"/>
      <c r="AM6" s="3479"/>
      <c r="AN6" s="778"/>
      <c r="AO6" s="778"/>
      <c r="AP6" s="778"/>
      <c r="AQ6" s="778"/>
      <c r="AR6" s="778"/>
      <c r="AS6" s="778"/>
      <c r="AT6" s="778"/>
      <c r="AU6" s="778"/>
      <c r="AV6" s="778"/>
      <c r="AW6" s="778"/>
      <c r="AX6" s="778"/>
      <c r="AY6" s="778"/>
      <c r="AZ6" s="778"/>
      <c r="BA6" s="778"/>
      <c r="BB6" s="778"/>
      <c r="BC6" s="778"/>
    </row>
    <row r="7" spans="1:57" ht="16.5" customHeight="1">
      <c r="A7" s="44"/>
      <c r="B7" s="408" t="s">
        <v>362</v>
      </c>
      <c r="C7" s="409" t="s">
        <v>363</v>
      </c>
      <c r="D7" s="1398" t="s">
        <v>364</v>
      </c>
      <c r="E7" s="1399"/>
      <c r="F7" s="410" t="s">
        <v>357</v>
      </c>
      <c r="G7" s="411" t="s">
        <v>359</v>
      </c>
      <c r="H7" s="412" t="s">
        <v>355</v>
      </c>
      <c r="I7" s="412" t="s">
        <v>365</v>
      </c>
      <c r="J7" s="412" t="s">
        <v>366</v>
      </c>
      <c r="K7" s="4701"/>
      <c r="L7" s="4702"/>
      <c r="M7" s="4702"/>
      <c r="N7" s="4702"/>
      <c r="O7" s="4702"/>
      <c r="P7" s="4702"/>
      <c r="Q7" s="4702"/>
      <c r="R7" s="4702"/>
      <c r="S7" s="4702"/>
      <c r="T7" s="4702"/>
      <c r="U7" s="4702"/>
      <c r="V7" s="4702"/>
      <c r="W7" s="4702"/>
      <c r="X7" s="4702"/>
      <c r="Y7" s="4702"/>
      <c r="Z7" s="4702"/>
      <c r="AA7" s="4702"/>
      <c r="AB7" s="4702"/>
      <c r="AC7" s="4702"/>
      <c r="AD7" s="4702"/>
      <c r="AE7" s="4702"/>
      <c r="AF7" s="4702"/>
      <c r="AG7" s="4703"/>
      <c r="AH7" s="44"/>
      <c r="AI7" s="1903">
        <v>6</v>
      </c>
      <c r="AJ7" s="3480" t="s">
        <v>2524</v>
      </c>
      <c r="AK7" s="3479" t="s">
        <v>2525</v>
      </c>
      <c r="AL7" s="3479" t="s">
        <v>757</v>
      </c>
      <c r="AM7" s="3479">
        <v>2013</v>
      </c>
      <c r="AN7" s="778">
        <v>15</v>
      </c>
      <c r="AO7" s="778"/>
      <c r="AP7" s="778"/>
      <c r="AQ7" s="778"/>
      <c r="AR7" s="778"/>
      <c r="AS7" s="778"/>
      <c r="AT7" s="778"/>
      <c r="AU7" s="778"/>
      <c r="AV7" s="778"/>
      <c r="AW7" s="778"/>
      <c r="AX7" s="778"/>
      <c r="AY7" s="778"/>
      <c r="AZ7" s="778"/>
      <c r="BA7" s="778"/>
      <c r="BB7" s="778"/>
      <c r="BC7" s="778"/>
    </row>
    <row r="8" spans="1:57" ht="16.5" customHeight="1" thickBot="1">
      <c r="A8" s="413"/>
      <c r="B8" s="414" t="s">
        <v>367</v>
      </c>
      <c r="C8" s="4707" t="s">
        <v>368</v>
      </c>
      <c r="D8" s="4708"/>
      <c r="E8" s="4707" t="s">
        <v>369</v>
      </c>
      <c r="F8" s="4708"/>
      <c r="G8" s="415" t="s">
        <v>370</v>
      </c>
      <c r="H8" s="416" t="s">
        <v>371</v>
      </c>
      <c r="I8" s="415" t="s">
        <v>372</v>
      </c>
      <c r="J8" s="415" t="s">
        <v>78</v>
      </c>
      <c r="K8" s="4704"/>
      <c r="L8" s="4705"/>
      <c r="M8" s="4705"/>
      <c r="N8" s="4705"/>
      <c r="O8" s="4705"/>
      <c r="P8" s="4705"/>
      <c r="Q8" s="4705"/>
      <c r="R8" s="4705"/>
      <c r="S8" s="4705"/>
      <c r="T8" s="4705"/>
      <c r="U8" s="4705"/>
      <c r="V8" s="4705"/>
      <c r="W8" s="4705"/>
      <c r="X8" s="4705"/>
      <c r="Y8" s="4705"/>
      <c r="Z8" s="4705"/>
      <c r="AA8" s="4705"/>
      <c r="AB8" s="4705"/>
      <c r="AC8" s="4705"/>
      <c r="AD8" s="4705"/>
      <c r="AE8" s="4705"/>
      <c r="AF8" s="4705"/>
      <c r="AG8" s="4706"/>
      <c r="AH8" s="44"/>
      <c r="AI8" s="1903">
        <v>7</v>
      </c>
      <c r="AJ8" s="3480" t="s">
        <v>2526</v>
      </c>
      <c r="AK8" s="3479" t="s">
        <v>2525</v>
      </c>
      <c r="AL8" s="3479" t="s">
        <v>757</v>
      </c>
      <c r="AM8" s="3479">
        <v>2013</v>
      </c>
      <c r="AN8" s="778">
        <v>10</v>
      </c>
      <c r="AO8" s="778"/>
      <c r="AP8" s="778"/>
      <c r="AQ8" s="778"/>
      <c r="AR8" s="778"/>
      <c r="AS8" s="778"/>
      <c r="AT8" s="778"/>
      <c r="AU8" s="778"/>
      <c r="AV8" s="778"/>
      <c r="AW8" s="778"/>
      <c r="AX8" s="778"/>
      <c r="AY8" s="778"/>
      <c r="AZ8" s="778"/>
      <c r="BA8" s="778"/>
      <c r="BB8" s="778"/>
      <c r="BC8" s="778"/>
    </row>
    <row r="9" spans="1:57" ht="24" customHeight="1" thickTop="1" thickBot="1">
      <c r="A9" s="45"/>
      <c r="B9" s="1641"/>
      <c r="C9" s="4709" t="s">
        <v>68</v>
      </c>
      <c r="D9" s="4710"/>
      <c r="E9" s="4710"/>
      <c r="F9" s="4710"/>
      <c r="G9" s="4710"/>
      <c r="H9" s="4710"/>
      <c r="I9" s="4710"/>
      <c r="J9" s="4710"/>
      <c r="K9" s="4710"/>
      <c r="L9" s="4710"/>
      <c r="M9" s="4710"/>
      <c r="N9" s="4711"/>
      <c r="O9" s="4712" t="s">
        <v>373</v>
      </c>
      <c r="P9" s="4710"/>
      <c r="Q9" s="4710"/>
      <c r="R9" s="4711"/>
      <c r="S9" s="4712" t="s">
        <v>374</v>
      </c>
      <c r="T9" s="4710"/>
      <c r="U9" s="4710"/>
      <c r="V9" s="4710"/>
      <c r="W9" s="4711"/>
      <c r="X9" s="4712" t="s">
        <v>375</v>
      </c>
      <c r="Y9" s="4710"/>
      <c r="Z9" s="4710"/>
      <c r="AA9" s="4710"/>
      <c r="AB9" s="4710"/>
      <c r="AC9" s="4710"/>
      <c r="AD9" s="4710"/>
      <c r="AE9" s="4710"/>
      <c r="AF9" s="4713">
        <f>VLOOKUP(AG4,AI1:BE277,6,6)</f>
        <v>0</v>
      </c>
      <c r="AG9" s="4714"/>
      <c r="AH9" s="43"/>
      <c r="AI9" s="1903">
        <v>8</v>
      </c>
      <c r="AJ9" s="3480" t="s">
        <v>2535</v>
      </c>
      <c r="AK9" s="3479" t="s">
        <v>2525</v>
      </c>
      <c r="AL9" s="3479" t="s">
        <v>757</v>
      </c>
      <c r="AM9" s="3479">
        <v>2013</v>
      </c>
      <c r="AN9" s="778">
        <v>10</v>
      </c>
      <c r="AO9" s="778"/>
      <c r="AP9" s="778"/>
      <c r="AQ9" s="778"/>
      <c r="AR9" s="778"/>
      <c r="AS9" s="778"/>
      <c r="AT9" s="778"/>
      <c r="AU9" s="778"/>
      <c r="AV9" s="778"/>
      <c r="AW9" s="778"/>
      <c r="AX9" s="778"/>
      <c r="AY9" s="778"/>
      <c r="AZ9" s="778"/>
      <c r="BA9" s="778"/>
      <c r="BB9" s="778"/>
      <c r="BC9" s="778"/>
    </row>
    <row r="10" spans="1:57" ht="30.75" customHeight="1" thickTop="1">
      <c r="A10" s="45"/>
      <c r="B10" s="3082">
        <v>1</v>
      </c>
      <c r="C10" s="4715" t="str">
        <f>'VISITA DE INSP.'!AY2</f>
        <v>KABAH</v>
      </c>
      <c r="D10" s="4716"/>
      <c r="E10" s="4716"/>
      <c r="F10" s="4716"/>
      <c r="G10" s="4716"/>
      <c r="H10" s="4716"/>
      <c r="I10" s="4716"/>
      <c r="J10" s="4716"/>
      <c r="K10" s="4716"/>
      <c r="L10" s="4716"/>
      <c r="M10" s="4716"/>
      <c r="N10" s="4716"/>
      <c r="O10" s="4717" t="str">
        <f>'VISITA DE INSP.'!BA2</f>
        <v>MATUTINO</v>
      </c>
      <c r="P10" s="4717"/>
      <c r="Q10" s="4717"/>
      <c r="R10" s="4717"/>
      <c r="S10" s="4717" t="str">
        <f>'VISITA DE INSP.'!AZ2</f>
        <v>23DPR0055K</v>
      </c>
      <c r="T10" s="4717"/>
      <c r="U10" s="4717"/>
      <c r="V10" s="4717"/>
      <c r="W10" s="4717"/>
      <c r="X10" s="4718" t="s">
        <v>79</v>
      </c>
      <c r="Y10" s="4718"/>
      <c r="Z10" s="4718"/>
      <c r="AA10" s="4718"/>
      <c r="AB10" s="4718"/>
      <c r="AC10" s="4718"/>
      <c r="AD10" s="4718"/>
      <c r="AE10" s="4719"/>
      <c r="AF10" s="4720">
        <f>VLOOKUP(AG4,AI1:BE26,7,7)</f>
        <v>0</v>
      </c>
      <c r="AG10" s="4721"/>
      <c r="AH10" s="43"/>
      <c r="AI10" s="1903">
        <v>9</v>
      </c>
      <c r="AJ10" s="3480" t="s">
        <v>2534</v>
      </c>
      <c r="AK10" s="3479" t="s">
        <v>2525</v>
      </c>
      <c r="AL10" s="3479" t="s">
        <v>757</v>
      </c>
      <c r="AM10" s="3479">
        <v>2013</v>
      </c>
      <c r="AN10" s="778">
        <v>15</v>
      </c>
      <c r="AO10" s="778"/>
      <c r="AP10" s="778"/>
      <c r="AQ10" s="778"/>
      <c r="AR10" s="778"/>
      <c r="AS10" s="778"/>
      <c r="AT10" s="778"/>
      <c r="AU10" s="778"/>
      <c r="AV10" s="778"/>
      <c r="AW10" s="778"/>
      <c r="AX10" s="778"/>
      <c r="AY10" s="778"/>
      <c r="AZ10" s="778"/>
      <c r="BA10" s="778"/>
      <c r="BB10" s="778"/>
      <c r="BC10" s="778"/>
    </row>
    <row r="11" spans="1:57" ht="30.75" customHeight="1">
      <c r="A11" s="45"/>
      <c r="B11" s="3083">
        <v>2</v>
      </c>
      <c r="C11" s="4722" t="str">
        <f>'VISITA DE INSP.'!AY3</f>
        <v>8 DE OCTUBRE</v>
      </c>
      <c r="D11" s="4723"/>
      <c r="E11" s="4723"/>
      <c r="F11" s="4723"/>
      <c r="G11" s="4723"/>
      <c r="H11" s="4723"/>
      <c r="I11" s="4723"/>
      <c r="J11" s="4723"/>
      <c r="K11" s="4723"/>
      <c r="L11" s="4723"/>
      <c r="M11" s="4723"/>
      <c r="N11" s="4723"/>
      <c r="O11" s="4724" t="str">
        <f>'VISITA DE INSP.'!BA3</f>
        <v>MATUTINO</v>
      </c>
      <c r="P11" s="4724"/>
      <c r="Q11" s="4724"/>
      <c r="R11" s="4724"/>
      <c r="S11" s="4724" t="str">
        <f>'VISITA DE INSP.'!AZ3</f>
        <v>23DPR0491L</v>
      </c>
      <c r="T11" s="4724"/>
      <c r="U11" s="4724"/>
      <c r="V11" s="4724"/>
      <c r="W11" s="4724"/>
      <c r="X11" s="4725" t="s">
        <v>79</v>
      </c>
      <c r="Y11" s="4725"/>
      <c r="Z11" s="4725"/>
      <c r="AA11" s="4725"/>
      <c r="AB11" s="4725"/>
      <c r="AC11" s="4725"/>
      <c r="AD11" s="4725"/>
      <c r="AE11" s="4726"/>
      <c r="AF11" s="4727">
        <f>VLOOKUP(AG4,AI1:BE26,8,8)</f>
        <v>0</v>
      </c>
      <c r="AG11" s="4728"/>
      <c r="AH11" s="43"/>
      <c r="AI11" s="1903">
        <v>10</v>
      </c>
      <c r="AJ11" s="3480" t="s">
        <v>2530</v>
      </c>
      <c r="AK11" s="3479" t="s">
        <v>2525</v>
      </c>
      <c r="AL11" s="3479" t="s">
        <v>757</v>
      </c>
      <c r="AM11" s="3479">
        <v>2013</v>
      </c>
      <c r="AN11" s="3481">
        <v>15</v>
      </c>
      <c r="AO11" s="778"/>
      <c r="AP11" s="778"/>
      <c r="AQ11" s="778"/>
      <c r="AR11" s="778"/>
      <c r="AS11" s="778"/>
      <c r="AT11" s="778"/>
      <c r="AU11" s="778"/>
      <c r="AV11" s="778"/>
      <c r="AW11" s="778"/>
      <c r="AX11" s="778"/>
      <c r="AY11" s="778"/>
      <c r="AZ11" s="778"/>
      <c r="BA11" s="778"/>
      <c r="BB11" s="778"/>
      <c r="BC11" s="778"/>
    </row>
    <row r="12" spans="1:57" ht="30.75" customHeight="1">
      <c r="A12" s="45"/>
      <c r="B12" s="3083">
        <v>3</v>
      </c>
      <c r="C12" s="4722" t="str">
        <f>'VISITA DE INSP.'!AY4</f>
        <v>8 DE OCTUBRE</v>
      </c>
      <c r="D12" s="4723"/>
      <c r="E12" s="4723"/>
      <c r="F12" s="4723"/>
      <c r="G12" s="4723"/>
      <c r="H12" s="4723"/>
      <c r="I12" s="4723"/>
      <c r="J12" s="4723"/>
      <c r="K12" s="4723"/>
      <c r="L12" s="4723"/>
      <c r="M12" s="4723"/>
      <c r="N12" s="4723"/>
      <c r="O12" s="4724" t="str">
        <f>'VISITA DE INSP.'!BA4</f>
        <v>VESPERTINO</v>
      </c>
      <c r="P12" s="4724"/>
      <c r="Q12" s="4724"/>
      <c r="R12" s="4724"/>
      <c r="S12" s="4724" t="str">
        <f>'VISITA DE INSP.'!AZ4</f>
        <v>23DPR0492K</v>
      </c>
      <c r="T12" s="4724"/>
      <c r="U12" s="4724"/>
      <c r="V12" s="4724"/>
      <c r="W12" s="4724"/>
      <c r="X12" s="4725" t="s">
        <v>79</v>
      </c>
      <c r="Y12" s="4725"/>
      <c r="Z12" s="4725"/>
      <c r="AA12" s="4725"/>
      <c r="AB12" s="4725"/>
      <c r="AC12" s="4725"/>
      <c r="AD12" s="4725"/>
      <c r="AE12" s="4726"/>
      <c r="AF12" s="4727">
        <f>VLOOKUP(AG4,AI1:BD26,9,9)</f>
        <v>0</v>
      </c>
      <c r="AG12" s="4728"/>
      <c r="AH12" s="43"/>
      <c r="AI12" s="1903">
        <v>11</v>
      </c>
      <c r="AJ12" s="3480" t="s">
        <v>2536</v>
      </c>
      <c r="AK12" s="3479" t="s">
        <v>2525</v>
      </c>
      <c r="AL12" s="3479" t="s">
        <v>757</v>
      </c>
      <c r="AM12" s="3479">
        <v>20913</v>
      </c>
      <c r="AN12" s="778">
        <v>10</v>
      </c>
      <c r="AO12" s="778"/>
      <c r="AP12" s="778"/>
      <c r="AQ12" s="778"/>
      <c r="AR12" s="778"/>
      <c r="AS12" s="778"/>
      <c r="AT12" s="778"/>
      <c r="AU12" s="778"/>
      <c r="AV12" s="778"/>
      <c r="AW12" s="778"/>
      <c r="AX12" s="778"/>
      <c r="AY12" s="778"/>
      <c r="AZ12" s="778"/>
      <c r="BA12" s="778"/>
      <c r="BB12" s="778"/>
      <c r="BC12" s="778"/>
    </row>
    <row r="13" spans="1:57" ht="30.75" customHeight="1">
      <c r="A13" s="45"/>
      <c r="B13" s="3083">
        <v>4</v>
      </c>
      <c r="C13" s="4722" t="str">
        <f>'VISITA DE INSP.'!AY5</f>
        <v>DERECHOS DEL NIÑO</v>
      </c>
      <c r="D13" s="4723"/>
      <c r="E13" s="4723"/>
      <c r="F13" s="4723"/>
      <c r="G13" s="4723"/>
      <c r="H13" s="4723"/>
      <c r="I13" s="4723"/>
      <c r="J13" s="4723"/>
      <c r="K13" s="4723"/>
      <c r="L13" s="4723"/>
      <c r="M13" s="4723"/>
      <c r="N13" s="4723"/>
      <c r="O13" s="4724" t="str">
        <f>'VISITA DE INSP.'!BA5</f>
        <v>MATUTINO</v>
      </c>
      <c r="P13" s="4724"/>
      <c r="Q13" s="4724"/>
      <c r="R13" s="4724"/>
      <c r="S13" s="4724" t="str">
        <f>'VISITA DE INSP.'!AZ5</f>
        <v>23DPR0564N</v>
      </c>
      <c r="T13" s="4724"/>
      <c r="U13" s="4724"/>
      <c r="V13" s="4724"/>
      <c r="W13" s="4724"/>
      <c r="X13" s="4725" t="s">
        <v>79</v>
      </c>
      <c r="Y13" s="4725"/>
      <c r="Z13" s="4725"/>
      <c r="AA13" s="4725"/>
      <c r="AB13" s="4725"/>
      <c r="AC13" s="4725"/>
      <c r="AD13" s="4725"/>
      <c r="AE13" s="4726"/>
      <c r="AF13" s="4727">
        <f>VLOOKUP(AG4,AI1:BD26,10,10)</f>
        <v>0</v>
      </c>
      <c r="AG13" s="4728"/>
      <c r="AH13" s="43"/>
      <c r="AI13" s="1903">
        <v>12</v>
      </c>
      <c r="AJ13" s="3480" t="s">
        <v>2537</v>
      </c>
      <c r="AK13" s="3479" t="s">
        <v>2525</v>
      </c>
      <c r="AL13" s="3479" t="s">
        <v>757</v>
      </c>
      <c r="AM13" s="3479">
        <v>2013</v>
      </c>
      <c r="AN13" s="778">
        <v>8</v>
      </c>
      <c r="AO13" s="778"/>
      <c r="AP13" s="778"/>
      <c r="AQ13" s="778"/>
      <c r="AR13" s="778"/>
      <c r="AS13" s="778"/>
      <c r="AT13" s="778"/>
      <c r="AU13" s="778"/>
      <c r="AV13" s="778"/>
      <c r="AW13" s="778"/>
      <c r="AX13" s="778"/>
      <c r="AY13" s="778"/>
      <c r="AZ13" s="778"/>
      <c r="BA13" s="778"/>
      <c r="BB13" s="778"/>
      <c r="BC13" s="778"/>
    </row>
    <row r="14" spans="1:57" ht="30.75" customHeight="1">
      <c r="A14" s="45"/>
      <c r="B14" s="3083">
        <v>5</v>
      </c>
      <c r="C14" s="4722" t="str">
        <f>'VISITA DE INSP.'!AY6</f>
        <v>DERECHOS DEL NIÑO</v>
      </c>
      <c r="D14" s="4723"/>
      <c r="E14" s="4723"/>
      <c r="F14" s="4723"/>
      <c r="G14" s="4723"/>
      <c r="H14" s="4723"/>
      <c r="I14" s="4723"/>
      <c r="J14" s="4723"/>
      <c r="K14" s="4723"/>
      <c r="L14" s="4723"/>
      <c r="M14" s="4723"/>
      <c r="N14" s="4723"/>
      <c r="O14" s="4724" t="str">
        <f>'VISITA DE INSP.'!BA6</f>
        <v>VESPERTINO</v>
      </c>
      <c r="P14" s="4724"/>
      <c r="Q14" s="4724"/>
      <c r="R14" s="4724"/>
      <c r="S14" s="4724" t="str">
        <f>'VISITA DE INSP.'!AZ6</f>
        <v>23DPR0570Y</v>
      </c>
      <c r="T14" s="4724"/>
      <c r="U14" s="4724"/>
      <c r="V14" s="4724"/>
      <c r="W14" s="4724"/>
      <c r="X14" s="4725" t="s">
        <v>79</v>
      </c>
      <c r="Y14" s="4725"/>
      <c r="Z14" s="4725"/>
      <c r="AA14" s="4725"/>
      <c r="AB14" s="4725"/>
      <c r="AC14" s="4725"/>
      <c r="AD14" s="4725"/>
      <c r="AE14" s="4726"/>
      <c r="AF14" s="4727">
        <f>VLOOKUP(AG4,AI1:BD26,11,711)</f>
        <v>0</v>
      </c>
      <c r="AG14" s="4728"/>
      <c r="AH14" s="43"/>
      <c r="AI14" s="1903">
        <v>13</v>
      </c>
      <c r="AJ14" s="3480" t="s">
        <v>2538</v>
      </c>
      <c r="AK14" s="3479" t="s">
        <v>2525</v>
      </c>
      <c r="AL14" s="3479" t="s">
        <v>757</v>
      </c>
      <c r="AM14" s="3479">
        <v>2013</v>
      </c>
      <c r="AN14" s="778">
        <v>6</v>
      </c>
      <c r="AO14" s="778"/>
      <c r="AP14" s="778"/>
      <c r="AQ14" s="778"/>
      <c r="AR14" s="778"/>
      <c r="AS14" s="778"/>
      <c r="AT14" s="778"/>
      <c r="AU14" s="778"/>
      <c r="AV14" s="778"/>
      <c r="AW14" s="778"/>
      <c r="AX14" s="778"/>
      <c r="AY14" s="778"/>
      <c r="AZ14" s="778"/>
      <c r="BA14" s="778"/>
      <c r="BB14" s="778"/>
      <c r="BC14" s="778"/>
    </row>
    <row r="15" spans="1:57" ht="30.75" customHeight="1">
      <c r="A15" s="45"/>
      <c r="B15" s="3083">
        <v>6</v>
      </c>
      <c r="C15" s="4722" t="str">
        <f>'VISITA DE INSP.'!AY7</f>
        <v>CUITLAHUAC</v>
      </c>
      <c r="D15" s="4723"/>
      <c r="E15" s="4723"/>
      <c r="F15" s="4723"/>
      <c r="G15" s="4723"/>
      <c r="H15" s="4723"/>
      <c r="I15" s="4723"/>
      <c r="J15" s="4723"/>
      <c r="K15" s="4723"/>
      <c r="L15" s="4723"/>
      <c r="M15" s="4723"/>
      <c r="N15" s="4723"/>
      <c r="O15" s="4724" t="str">
        <f>'VISITA DE INSP.'!BA7</f>
        <v>MATUTINO</v>
      </c>
      <c r="P15" s="4724"/>
      <c r="Q15" s="4724"/>
      <c r="R15" s="4724"/>
      <c r="S15" s="4724" t="str">
        <f>'VISITA DE INSP.'!AZ7</f>
        <v>23DPR572W</v>
      </c>
      <c r="T15" s="4724"/>
      <c r="U15" s="4724"/>
      <c r="V15" s="4724"/>
      <c r="W15" s="4724"/>
      <c r="X15" s="4725" t="s">
        <v>79</v>
      </c>
      <c r="Y15" s="4725"/>
      <c r="Z15" s="4725"/>
      <c r="AA15" s="4725"/>
      <c r="AB15" s="4725"/>
      <c r="AC15" s="4725"/>
      <c r="AD15" s="4725"/>
      <c r="AE15" s="4726"/>
      <c r="AF15" s="4727">
        <f>VLOOKUP(AG4,AI1:BD26,12,12)</f>
        <v>0</v>
      </c>
      <c r="AG15" s="4728"/>
      <c r="AH15" s="43"/>
      <c r="AI15" s="1903">
        <v>14</v>
      </c>
      <c r="AJ15" s="3480" t="s">
        <v>2539</v>
      </c>
      <c r="AK15" s="3479" t="s">
        <v>2525</v>
      </c>
      <c r="AL15" s="3479" t="s">
        <v>757</v>
      </c>
      <c r="AM15" s="3479">
        <v>2013</v>
      </c>
      <c r="AN15" s="778">
        <v>5</v>
      </c>
      <c r="AO15" s="778"/>
      <c r="AP15" s="778"/>
      <c r="AQ15" s="778"/>
      <c r="AR15" s="778"/>
      <c r="AS15" s="778"/>
      <c r="AT15" s="778"/>
      <c r="AU15" s="778"/>
      <c r="AV15" s="778"/>
      <c r="AW15" s="778"/>
      <c r="AX15" s="778"/>
      <c r="AY15" s="778"/>
      <c r="AZ15" s="778"/>
      <c r="BA15" s="778"/>
      <c r="BB15" s="778"/>
      <c r="BC15" s="778"/>
    </row>
    <row r="16" spans="1:57" ht="30.75" customHeight="1">
      <c r="A16" s="45"/>
      <c r="B16" s="3083">
        <v>7</v>
      </c>
      <c r="C16" s="4722" t="str">
        <f>'VISITA DE INSP.'!AY8</f>
        <v>CUITLAHUAC</v>
      </c>
      <c r="D16" s="4723"/>
      <c r="E16" s="4723"/>
      <c r="F16" s="4723"/>
      <c r="G16" s="4723"/>
      <c r="H16" s="4723"/>
      <c r="I16" s="4723"/>
      <c r="J16" s="4723"/>
      <c r="K16" s="4723"/>
      <c r="L16" s="4723"/>
      <c r="M16" s="4723"/>
      <c r="N16" s="4723"/>
      <c r="O16" s="4724" t="str">
        <f>'VISITA DE INSP.'!BA8</f>
        <v>VESPERTINO</v>
      </c>
      <c r="P16" s="4724"/>
      <c r="Q16" s="4724"/>
      <c r="R16" s="4724"/>
      <c r="S16" s="4724" t="str">
        <f>'VISITA DE INSP.'!AZ8</f>
        <v>23DPR0581D</v>
      </c>
      <c r="T16" s="4724"/>
      <c r="U16" s="4724"/>
      <c r="V16" s="4724"/>
      <c r="W16" s="4724"/>
      <c r="X16" s="4725" t="s">
        <v>79</v>
      </c>
      <c r="Y16" s="4725"/>
      <c r="Z16" s="4725"/>
      <c r="AA16" s="4725"/>
      <c r="AB16" s="4725"/>
      <c r="AC16" s="4725"/>
      <c r="AD16" s="4725"/>
      <c r="AE16" s="4726"/>
      <c r="AF16" s="4727">
        <f>VLOOKUP(AG4,AI1:BD26,13,13)</f>
        <v>0</v>
      </c>
      <c r="AG16" s="4728"/>
      <c r="AH16" s="43"/>
      <c r="AI16" s="1903">
        <v>15</v>
      </c>
      <c r="AJ16" s="3480" t="s">
        <v>2540</v>
      </c>
      <c r="AK16" s="3479" t="s">
        <v>2525</v>
      </c>
      <c r="AL16" s="3479" t="s">
        <v>757</v>
      </c>
      <c r="AM16" s="3479">
        <v>2013</v>
      </c>
      <c r="AN16" s="778">
        <v>5</v>
      </c>
      <c r="AO16" s="778"/>
      <c r="AP16" s="778"/>
      <c r="AQ16" s="778"/>
      <c r="AR16" s="778"/>
      <c r="AS16" s="778"/>
      <c r="AT16" s="778"/>
      <c r="AU16" s="778"/>
      <c r="AV16" s="778"/>
      <c r="AW16" s="778"/>
      <c r="AX16" s="778"/>
      <c r="AY16" s="778"/>
      <c r="AZ16" s="778"/>
      <c r="BA16" s="778"/>
      <c r="BB16" s="778"/>
      <c r="BC16" s="778"/>
    </row>
    <row r="17" spans="1:55" ht="30.75" customHeight="1">
      <c r="A17" s="45"/>
      <c r="B17" s="3083">
        <v>8</v>
      </c>
      <c r="C17" s="4722" t="str">
        <f>'VISITA DE INSP.'!AY9</f>
        <v>KABAH</v>
      </c>
      <c r="D17" s="4723"/>
      <c r="E17" s="4723"/>
      <c r="F17" s="4723"/>
      <c r="G17" s="4723"/>
      <c r="H17" s="4723"/>
      <c r="I17" s="4723"/>
      <c r="J17" s="4723"/>
      <c r="K17" s="4723"/>
      <c r="L17" s="4723"/>
      <c r="M17" s="4723"/>
      <c r="N17" s="4723"/>
      <c r="O17" s="4724" t="str">
        <f>'VISITA DE INSP.'!BA9</f>
        <v>VESPERTINO</v>
      </c>
      <c r="P17" s="4724"/>
      <c r="Q17" s="4724"/>
      <c r="R17" s="4724"/>
      <c r="S17" s="4724" t="str">
        <f>'VISITA DE INSP.'!AZ9</f>
        <v>23DPR0593I</v>
      </c>
      <c r="T17" s="4724"/>
      <c r="U17" s="4724"/>
      <c r="V17" s="4724"/>
      <c r="W17" s="4724"/>
      <c r="X17" s="4725" t="s">
        <v>79</v>
      </c>
      <c r="Y17" s="4725"/>
      <c r="Z17" s="4725"/>
      <c r="AA17" s="4725"/>
      <c r="AB17" s="4725"/>
      <c r="AC17" s="4725"/>
      <c r="AD17" s="4725"/>
      <c r="AE17" s="4726"/>
      <c r="AF17" s="4727">
        <f>VLOOKUP(AG4,AI1:BD26,14,14)</f>
        <v>0</v>
      </c>
      <c r="AG17" s="4728"/>
      <c r="AH17" s="43"/>
      <c r="AI17" s="1903">
        <v>16</v>
      </c>
      <c r="AJ17" s="3480" t="s">
        <v>2693</v>
      </c>
      <c r="AK17" s="3479">
        <v>20</v>
      </c>
      <c r="AL17" s="3479" t="s">
        <v>2692</v>
      </c>
      <c r="AM17" s="3479">
        <v>2013</v>
      </c>
      <c r="AN17" s="778">
        <v>15</v>
      </c>
      <c r="AO17" s="778"/>
      <c r="AP17" s="778"/>
      <c r="AQ17" s="778"/>
      <c r="AR17" s="778"/>
      <c r="AS17" s="778"/>
      <c r="AT17" s="778"/>
      <c r="AU17" s="778"/>
      <c r="AV17" s="778"/>
      <c r="AW17" s="778"/>
      <c r="AX17" s="778"/>
      <c r="AY17" s="778"/>
      <c r="AZ17" s="778"/>
      <c r="BA17" s="778"/>
      <c r="BB17" s="778"/>
      <c r="BC17" s="778"/>
    </row>
    <row r="18" spans="1:55" ht="30.75" customHeight="1">
      <c r="A18" s="45"/>
      <c r="B18" s="3083">
        <v>9</v>
      </c>
      <c r="C18" s="4722" t="str">
        <f>'VISITA DE INSP.'!AY10</f>
        <v>ANTONIO MEDIZ BOLIO</v>
      </c>
      <c r="D18" s="4723"/>
      <c r="E18" s="4723"/>
      <c r="F18" s="4723"/>
      <c r="G18" s="4723"/>
      <c r="H18" s="4723"/>
      <c r="I18" s="4723"/>
      <c r="J18" s="4723"/>
      <c r="K18" s="4723"/>
      <c r="L18" s="4723"/>
      <c r="M18" s="4723"/>
      <c r="N18" s="4723"/>
      <c r="O18" s="4724" t="str">
        <f>'VISITA DE INSP.'!BA10</f>
        <v>MATUTINO</v>
      </c>
      <c r="P18" s="4724"/>
      <c r="Q18" s="4724"/>
      <c r="R18" s="4724"/>
      <c r="S18" s="4724" t="str">
        <f>'VISITA DE INSP.'!AZ10</f>
        <v>23DPR0640C</v>
      </c>
      <c r="T18" s="4724"/>
      <c r="U18" s="4724"/>
      <c r="V18" s="4724"/>
      <c r="W18" s="4724"/>
      <c r="X18" s="4725" t="s">
        <v>79</v>
      </c>
      <c r="Y18" s="4725"/>
      <c r="Z18" s="4725"/>
      <c r="AA18" s="4725"/>
      <c r="AB18" s="4725"/>
      <c r="AC18" s="4725"/>
      <c r="AD18" s="4725"/>
      <c r="AE18" s="4726"/>
      <c r="AF18" s="4727">
        <f>VLOOKUP(AG4,AI1:BD26,15,15)</f>
        <v>0</v>
      </c>
      <c r="AG18" s="4728"/>
      <c r="AH18" s="43"/>
      <c r="AI18" s="1903">
        <v>17</v>
      </c>
      <c r="AJ18" s="3480" t="s">
        <v>2694</v>
      </c>
      <c r="AK18" s="3479">
        <v>21</v>
      </c>
      <c r="AL18" s="3479" t="s">
        <v>2695</v>
      </c>
      <c r="AM18" s="3479">
        <v>2013</v>
      </c>
      <c r="AN18" s="778"/>
      <c r="AO18" s="778"/>
      <c r="AP18" s="778"/>
      <c r="AQ18" s="778"/>
      <c r="AR18" s="778"/>
      <c r="AS18" s="778"/>
      <c r="AT18" s="778"/>
      <c r="AU18" s="778"/>
      <c r="AV18" s="778"/>
      <c r="AW18" s="778"/>
      <c r="AX18" s="778"/>
      <c r="AY18" s="778"/>
      <c r="AZ18" s="778"/>
      <c r="BA18" s="778"/>
      <c r="BB18" s="778"/>
      <c r="BC18" s="778"/>
    </row>
    <row r="19" spans="1:55" ht="30.75" customHeight="1">
      <c r="A19" s="45"/>
      <c r="B19" s="3083">
        <v>10</v>
      </c>
      <c r="C19" s="4722" t="str">
        <f>'VISITA DE INSP.'!AY11</f>
        <v>MANUEL CRESCENCIO REJON</v>
      </c>
      <c r="D19" s="4723"/>
      <c r="E19" s="4723"/>
      <c r="F19" s="4723"/>
      <c r="G19" s="4723"/>
      <c r="H19" s="4723"/>
      <c r="I19" s="4723"/>
      <c r="J19" s="4723"/>
      <c r="K19" s="4723"/>
      <c r="L19" s="4723"/>
      <c r="M19" s="4723"/>
      <c r="N19" s="4723"/>
      <c r="O19" s="4724" t="str">
        <f>'VISITA DE INSP.'!BA11</f>
        <v>MATUTINO</v>
      </c>
      <c r="P19" s="4724"/>
      <c r="Q19" s="4724"/>
      <c r="R19" s="4724"/>
      <c r="S19" s="4724" t="str">
        <f>'VISITA DE INSP.'!AZ11</f>
        <v>23DPR0681C</v>
      </c>
      <c r="T19" s="4724"/>
      <c r="U19" s="4724"/>
      <c r="V19" s="4724"/>
      <c r="W19" s="4724"/>
      <c r="X19" s="4725" t="s">
        <v>79</v>
      </c>
      <c r="Y19" s="4725"/>
      <c r="Z19" s="4725"/>
      <c r="AA19" s="4725"/>
      <c r="AB19" s="4725"/>
      <c r="AC19" s="4725"/>
      <c r="AD19" s="4725"/>
      <c r="AE19" s="4726"/>
      <c r="AF19" s="4727">
        <f>VLOOKUP(AG4,AI1:BD26,16,16)</f>
        <v>0</v>
      </c>
      <c r="AG19" s="4728"/>
      <c r="AH19" s="43"/>
      <c r="AI19" s="1903">
        <v>18</v>
      </c>
      <c r="AJ19" s="3480" t="s">
        <v>2697</v>
      </c>
      <c r="AK19" s="3479">
        <v>21</v>
      </c>
      <c r="AL19" s="3479" t="s">
        <v>2696</v>
      </c>
      <c r="AM19" s="3479">
        <v>2013</v>
      </c>
      <c r="AN19" s="778"/>
      <c r="AO19" s="778"/>
      <c r="AP19" s="778"/>
      <c r="AQ19" s="778"/>
      <c r="AR19" s="778"/>
      <c r="AS19" s="778"/>
      <c r="AT19" s="778"/>
      <c r="AU19" s="778"/>
      <c r="AV19" s="778"/>
      <c r="AW19" s="778"/>
      <c r="AX19" s="778"/>
      <c r="AY19" s="778"/>
      <c r="AZ19" s="778"/>
      <c r="BA19" s="778"/>
      <c r="BB19" s="778"/>
      <c r="BC19" s="778"/>
    </row>
    <row r="20" spans="1:55" ht="30.75" customHeight="1">
      <c r="A20" s="45"/>
      <c r="B20" s="3083">
        <v>11</v>
      </c>
      <c r="C20" s="4722" t="str">
        <f>'VISITA DE INSP.'!AY12</f>
        <v>CENTRO EDUCATIVO EL MANANTIAL</v>
      </c>
      <c r="D20" s="4723"/>
      <c r="E20" s="4723"/>
      <c r="F20" s="4723"/>
      <c r="G20" s="4723"/>
      <c r="H20" s="4723"/>
      <c r="I20" s="4723"/>
      <c r="J20" s="4723"/>
      <c r="K20" s="4723"/>
      <c r="L20" s="4723"/>
      <c r="M20" s="4723"/>
      <c r="N20" s="4723"/>
      <c r="O20" s="4724" t="str">
        <f>'VISITA DE INSP.'!BA12</f>
        <v>MATUTINO</v>
      </c>
      <c r="P20" s="4724"/>
      <c r="Q20" s="4724"/>
      <c r="R20" s="4724"/>
      <c r="S20" s="4724" t="str">
        <f>'VISITA DE INSP.'!AZ12</f>
        <v>23PPR0099M</v>
      </c>
      <c r="T20" s="4724"/>
      <c r="U20" s="4724"/>
      <c r="V20" s="4724"/>
      <c r="W20" s="4724"/>
      <c r="X20" s="4725" t="s">
        <v>79</v>
      </c>
      <c r="Y20" s="4725"/>
      <c r="Z20" s="4725"/>
      <c r="AA20" s="4725"/>
      <c r="AB20" s="4725"/>
      <c r="AC20" s="4725"/>
      <c r="AD20" s="4725"/>
      <c r="AE20" s="4726"/>
      <c r="AF20" s="4727">
        <f>VLOOKUP(AG4,AI1:BD26,17,17)</f>
        <v>0</v>
      </c>
      <c r="AG20" s="4728"/>
      <c r="AH20" s="43"/>
      <c r="AI20" s="1903">
        <v>19</v>
      </c>
      <c r="AJ20" s="3480" t="s">
        <v>2698</v>
      </c>
      <c r="AK20" s="3479">
        <v>21</v>
      </c>
      <c r="AL20" s="3479" t="s">
        <v>2692</v>
      </c>
      <c r="AM20" s="3479">
        <v>2013</v>
      </c>
      <c r="AN20" s="778"/>
      <c r="AO20" s="778"/>
      <c r="AP20" s="778"/>
      <c r="AQ20" s="778"/>
      <c r="AR20" s="778"/>
      <c r="AS20" s="778"/>
      <c r="AT20" s="778"/>
      <c r="AU20" s="778"/>
      <c r="AV20" s="778"/>
      <c r="AW20" s="778"/>
      <c r="AX20" s="778"/>
      <c r="AY20" s="778"/>
      <c r="AZ20" s="778"/>
      <c r="BA20" s="778"/>
      <c r="BB20" s="778"/>
      <c r="BC20" s="778"/>
    </row>
    <row r="21" spans="1:55" ht="30.75" customHeight="1">
      <c r="A21" s="45"/>
      <c r="B21" s="3083">
        <v>12</v>
      </c>
      <c r="C21" s="4722" t="str">
        <f>'VISITA DE INSP.'!AY13</f>
        <v>COLEGIO HISPANOAMERICANO LA LUNA</v>
      </c>
      <c r="D21" s="4723"/>
      <c r="E21" s="4723"/>
      <c r="F21" s="4723"/>
      <c r="G21" s="4723"/>
      <c r="H21" s="4723"/>
      <c r="I21" s="4723"/>
      <c r="J21" s="4723"/>
      <c r="K21" s="4723"/>
      <c r="L21" s="4723"/>
      <c r="M21" s="4723"/>
      <c r="N21" s="4723"/>
      <c r="O21" s="4724" t="str">
        <f>'VISITA DE INSP.'!BA13</f>
        <v>MATUTINO</v>
      </c>
      <c r="P21" s="4724"/>
      <c r="Q21" s="4724"/>
      <c r="R21" s="4724"/>
      <c r="S21" s="4724" t="str">
        <f>'VISITA DE INSP.'!AZ13</f>
        <v>23PPR0100L</v>
      </c>
      <c r="T21" s="4724"/>
      <c r="U21" s="4724"/>
      <c r="V21" s="4724"/>
      <c r="W21" s="4724"/>
      <c r="X21" s="4725" t="s">
        <v>79</v>
      </c>
      <c r="Y21" s="4725"/>
      <c r="Z21" s="4725"/>
      <c r="AA21" s="4725"/>
      <c r="AB21" s="4725"/>
      <c r="AC21" s="4725"/>
      <c r="AD21" s="4725"/>
      <c r="AE21" s="4726"/>
      <c r="AF21" s="4727">
        <f>VLOOKUP(AG4,AI1:BD26,18,18)</f>
        <v>0</v>
      </c>
      <c r="AG21" s="4728"/>
      <c r="AH21" s="43"/>
      <c r="AI21" s="1903">
        <v>20</v>
      </c>
      <c r="AJ21" s="3480"/>
      <c r="AK21" s="3479"/>
      <c r="AL21" s="3479"/>
      <c r="AM21" s="3479"/>
      <c r="AN21" s="778"/>
      <c r="AO21" s="778"/>
      <c r="AP21" s="778"/>
      <c r="AQ21" s="778"/>
      <c r="AR21" s="778"/>
      <c r="AS21" s="778"/>
      <c r="AT21" s="778"/>
      <c r="AU21" s="778"/>
      <c r="AV21" s="778"/>
      <c r="AW21" s="778"/>
      <c r="AX21" s="778"/>
      <c r="AY21" s="778"/>
      <c r="AZ21" s="778"/>
      <c r="BA21" s="778"/>
      <c r="BB21" s="778"/>
      <c r="BC21" s="778"/>
    </row>
    <row r="22" spans="1:55" ht="30.75" customHeight="1">
      <c r="A22" s="45"/>
      <c r="B22" s="3083">
        <v>13</v>
      </c>
      <c r="C22" s="4722" t="str">
        <f>'VISITA DE INSP.'!AY14</f>
        <v>JOSE VASCONCELOS</v>
      </c>
      <c r="D22" s="4723"/>
      <c r="E22" s="4723"/>
      <c r="F22" s="4723"/>
      <c r="G22" s="4723"/>
      <c r="H22" s="4723"/>
      <c r="I22" s="4723"/>
      <c r="J22" s="4723"/>
      <c r="K22" s="4723"/>
      <c r="L22" s="4723"/>
      <c r="M22" s="4723"/>
      <c r="N22" s="4723"/>
      <c r="O22" s="4724" t="str">
        <f>'VISITA DE INSP.'!BA14</f>
        <v>MATUTINO</v>
      </c>
      <c r="P22" s="4724"/>
      <c r="Q22" s="4724"/>
      <c r="R22" s="4724"/>
      <c r="S22" s="4724" t="str">
        <f>'VISITA DE INSP.'!AZ14</f>
        <v>23PPR0125U</v>
      </c>
      <c r="T22" s="4724"/>
      <c r="U22" s="4724"/>
      <c r="V22" s="4724"/>
      <c r="W22" s="4724"/>
      <c r="X22" s="4725" t="s">
        <v>79</v>
      </c>
      <c r="Y22" s="4725"/>
      <c r="Z22" s="4725"/>
      <c r="AA22" s="4725"/>
      <c r="AB22" s="4725"/>
      <c r="AC22" s="4725"/>
      <c r="AD22" s="4725"/>
      <c r="AE22" s="4726"/>
      <c r="AF22" s="4727">
        <f>VLOOKUP(AG4,AI1:BD26,19,19)</f>
        <v>0</v>
      </c>
      <c r="AG22" s="4728"/>
      <c r="AH22" s="43"/>
      <c r="AI22" s="1903">
        <v>21</v>
      </c>
      <c r="AJ22" s="3480"/>
      <c r="AK22" s="3479"/>
      <c r="AL22" s="3479"/>
      <c r="AM22" s="3479"/>
      <c r="AN22" s="778"/>
      <c r="AO22" s="778"/>
      <c r="AP22" s="778"/>
      <c r="AQ22" s="778"/>
      <c r="AR22" s="778"/>
      <c r="AS22" s="778"/>
      <c r="AT22" s="778"/>
      <c r="AU22" s="778"/>
      <c r="AV22" s="778"/>
      <c r="AW22" s="778"/>
      <c r="AX22" s="778"/>
      <c r="AY22" s="778"/>
      <c r="AZ22" s="778"/>
      <c r="BA22" s="778"/>
      <c r="BB22" s="778"/>
      <c r="BC22" s="778"/>
    </row>
    <row r="23" spans="1:55" ht="30.75" customHeight="1">
      <c r="A23" s="45"/>
      <c r="B23" s="3083">
        <v>14</v>
      </c>
      <c r="C23" s="4722" t="str">
        <f>'VISITA DE INSP.'!AY15</f>
        <v>CENTRO INFANTIL LATINOAMERICANO</v>
      </c>
      <c r="D23" s="4723"/>
      <c r="E23" s="4723"/>
      <c r="F23" s="4723"/>
      <c r="G23" s="4723"/>
      <c r="H23" s="4723"/>
      <c r="I23" s="4723"/>
      <c r="J23" s="4723"/>
      <c r="K23" s="4723"/>
      <c r="L23" s="4723"/>
      <c r="M23" s="4723"/>
      <c r="N23" s="4723"/>
      <c r="O23" s="4724" t="str">
        <f>'VISITA DE INSP.'!BA15</f>
        <v>MATUTINO</v>
      </c>
      <c r="P23" s="4724"/>
      <c r="Q23" s="4724"/>
      <c r="R23" s="4724"/>
      <c r="S23" s="4724" t="str">
        <f>'VISITA DE INSP.'!AZ15</f>
        <v>23PPR0156N</v>
      </c>
      <c r="T23" s="4724"/>
      <c r="U23" s="4724"/>
      <c r="V23" s="4724"/>
      <c r="W23" s="4724"/>
      <c r="X23" s="4725" t="s">
        <v>79</v>
      </c>
      <c r="Y23" s="4725"/>
      <c r="Z23" s="4725"/>
      <c r="AA23" s="4725"/>
      <c r="AB23" s="4725"/>
      <c r="AC23" s="4725"/>
      <c r="AD23" s="4725"/>
      <c r="AE23" s="4726"/>
      <c r="AF23" s="4727">
        <f>VLOOKUP(AG4,AI1:BD26,20,20)</f>
        <v>0</v>
      </c>
      <c r="AG23" s="4728"/>
      <c r="AH23" s="43"/>
      <c r="AI23" s="1903">
        <v>22</v>
      </c>
      <c r="AJ23" s="3480"/>
      <c r="AK23" s="3479"/>
      <c r="AL23" s="3479"/>
      <c r="AM23" s="3479"/>
      <c r="AN23" s="778"/>
      <c r="AO23" s="778"/>
      <c r="AP23" s="778"/>
      <c r="AQ23" s="778"/>
      <c r="AR23" s="778"/>
      <c r="AS23" s="778"/>
      <c r="AT23" s="778"/>
      <c r="AU23" s="778"/>
      <c r="AV23" s="778"/>
      <c r="AW23" s="778"/>
      <c r="AX23" s="778"/>
      <c r="AY23" s="778"/>
      <c r="AZ23" s="778"/>
      <c r="BA23" s="778"/>
      <c r="BB23" s="778"/>
      <c r="BC23" s="778"/>
    </row>
    <row r="24" spans="1:55" ht="30.75" customHeight="1">
      <c r="A24" s="45"/>
      <c r="B24" s="3083">
        <v>15</v>
      </c>
      <c r="C24" s="4722" t="str">
        <f>'VISITA DE INSP.'!AY16</f>
        <v>COLEGIO KING DAVID</v>
      </c>
      <c r="D24" s="4723"/>
      <c r="E24" s="4723"/>
      <c r="F24" s="4723"/>
      <c r="G24" s="4723"/>
      <c r="H24" s="4723"/>
      <c r="I24" s="4723"/>
      <c r="J24" s="4723"/>
      <c r="K24" s="4723"/>
      <c r="L24" s="4723"/>
      <c r="M24" s="4723"/>
      <c r="N24" s="4723"/>
      <c r="O24" s="4724" t="str">
        <f>'VISITA DE INSP.'!BA16</f>
        <v>MATUTINO</v>
      </c>
      <c r="P24" s="4724"/>
      <c r="Q24" s="4724"/>
      <c r="R24" s="4724"/>
      <c r="S24" s="4724" t="str">
        <f>'VISITA DE INSP.'!AZ16</f>
        <v>23PPR0163X</v>
      </c>
      <c r="T24" s="4724"/>
      <c r="U24" s="4724"/>
      <c r="V24" s="4724"/>
      <c r="W24" s="4724"/>
      <c r="X24" s="4725" t="s">
        <v>79</v>
      </c>
      <c r="Y24" s="4725"/>
      <c r="Z24" s="4725"/>
      <c r="AA24" s="4725"/>
      <c r="AB24" s="4725"/>
      <c r="AC24" s="4725"/>
      <c r="AD24" s="4725"/>
      <c r="AE24" s="4726"/>
      <c r="AF24" s="4727">
        <f>VLOOKUP(AG4,AI1:BD26,21,21)</f>
        <v>0</v>
      </c>
      <c r="AG24" s="4728"/>
      <c r="AH24" s="43"/>
      <c r="AI24" s="1903">
        <v>23</v>
      </c>
      <c r="AJ24" s="3480"/>
      <c r="AK24" s="3479"/>
      <c r="AL24" s="3479"/>
      <c r="AM24" s="3479"/>
      <c r="AN24" s="778"/>
      <c r="AO24" s="778"/>
      <c r="AP24" s="778"/>
      <c r="AQ24" s="778"/>
      <c r="AR24" s="778"/>
      <c r="AS24" s="778"/>
      <c r="AT24" s="778"/>
      <c r="AU24" s="778"/>
      <c r="AV24" s="778"/>
      <c r="AW24" s="778"/>
      <c r="AX24" s="778"/>
      <c r="AY24" s="778"/>
      <c r="AZ24" s="778"/>
      <c r="BA24" s="778"/>
      <c r="BB24" s="778"/>
      <c r="BC24" s="778"/>
    </row>
    <row r="25" spans="1:55" ht="30.75" customHeight="1">
      <c r="A25" s="45"/>
      <c r="B25" s="3083">
        <v>16</v>
      </c>
      <c r="C25" s="4722">
        <f>'VISITA DE INSP.'!AY17</f>
        <v>0</v>
      </c>
      <c r="D25" s="4723"/>
      <c r="E25" s="4723"/>
      <c r="F25" s="4723"/>
      <c r="G25" s="4723"/>
      <c r="H25" s="4723"/>
      <c r="I25" s="4723"/>
      <c r="J25" s="4723"/>
      <c r="K25" s="4723"/>
      <c r="L25" s="4723"/>
      <c r="M25" s="4723"/>
      <c r="N25" s="4723"/>
      <c r="O25" s="4724">
        <f>'VISITA DE INSP.'!BA17</f>
        <v>0</v>
      </c>
      <c r="P25" s="4724"/>
      <c r="Q25" s="4724"/>
      <c r="R25" s="4724"/>
      <c r="S25" s="4724">
        <f>'VISITA DE INSP.'!AZ17</f>
        <v>0</v>
      </c>
      <c r="T25" s="4724"/>
      <c r="U25" s="4724"/>
      <c r="V25" s="4724"/>
      <c r="W25" s="4724"/>
      <c r="X25" s="4725" t="s">
        <v>79</v>
      </c>
      <c r="Y25" s="4725"/>
      <c r="Z25" s="4725"/>
      <c r="AA25" s="4725"/>
      <c r="AB25" s="4725"/>
      <c r="AC25" s="4725"/>
      <c r="AD25" s="4725"/>
      <c r="AE25" s="4726"/>
      <c r="AF25" s="4727">
        <f>VLOOKUP(AG4,AI1:BD26,22,22)</f>
        <v>0</v>
      </c>
      <c r="AG25" s="4728"/>
      <c r="AH25" s="43"/>
      <c r="AI25" s="1903">
        <v>24</v>
      </c>
      <c r="AJ25" s="3480"/>
      <c r="AK25" s="3479"/>
      <c r="AL25" s="3479"/>
      <c r="AM25" s="3479"/>
      <c r="AN25" s="778"/>
      <c r="AO25" s="778"/>
      <c r="AP25" s="778"/>
      <c r="AQ25" s="778"/>
      <c r="AR25" s="778"/>
      <c r="AS25" s="778"/>
      <c r="AT25" s="778"/>
      <c r="AU25" s="778"/>
      <c r="AV25" s="778"/>
      <c r="AW25" s="778"/>
      <c r="AX25" s="778"/>
      <c r="AY25" s="778"/>
      <c r="AZ25" s="778"/>
      <c r="BA25" s="778"/>
      <c r="BB25" s="778"/>
      <c r="BC25" s="778"/>
    </row>
    <row r="26" spans="1:55" ht="30.75" customHeight="1" thickBot="1">
      <c r="A26" s="45"/>
      <c r="B26" s="1643">
        <v>17</v>
      </c>
      <c r="C26" s="4737">
        <f>'VISITA DE INSP.'!AY18</f>
        <v>0</v>
      </c>
      <c r="D26" s="4738"/>
      <c r="E26" s="4738"/>
      <c r="F26" s="4738"/>
      <c r="G26" s="4738"/>
      <c r="H26" s="4738"/>
      <c r="I26" s="4738"/>
      <c r="J26" s="4738"/>
      <c r="K26" s="4738"/>
      <c r="L26" s="4738"/>
      <c r="M26" s="4738"/>
      <c r="N26" s="4739"/>
      <c r="O26" s="4736">
        <f>'VISITA DE INSP.'!BA18</f>
        <v>0</v>
      </c>
      <c r="P26" s="4734"/>
      <c r="Q26" s="4734"/>
      <c r="R26" s="4735"/>
      <c r="S26" s="4733">
        <f>'VISITA DE INSP.'!AZ18</f>
        <v>0</v>
      </c>
      <c r="T26" s="4734"/>
      <c r="U26" s="4734"/>
      <c r="V26" s="4734"/>
      <c r="W26" s="4735"/>
      <c r="X26" s="4731" t="s">
        <v>79</v>
      </c>
      <c r="Y26" s="4732"/>
      <c r="Z26" s="4732"/>
      <c r="AA26" s="4732"/>
      <c r="AB26" s="4732"/>
      <c r="AC26" s="4732"/>
      <c r="AD26" s="4732"/>
      <c r="AE26" s="4732"/>
      <c r="AF26" s="4729">
        <f>VLOOKUP(AG4,AI1:BE26,23,23)</f>
        <v>0</v>
      </c>
      <c r="AG26" s="4730"/>
      <c r="AH26" s="43"/>
      <c r="AI26" s="1903">
        <v>25</v>
      </c>
      <c r="AJ26" s="3480"/>
      <c r="AK26" s="3479"/>
      <c r="AL26" s="3479"/>
      <c r="AM26" s="3479"/>
      <c r="AN26" s="778"/>
      <c r="AO26" s="778"/>
      <c r="AP26" s="778"/>
      <c r="AQ26" s="778"/>
      <c r="AR26" s="778"/>
      <c r="AS26" s="778"/>
      <c r="AT26" s="778"/>
      <c r="AU26" s="778"/>
      <c r="AV26" s="778"/>
      <c r="AW26" s="778"/>
      <c r="AX26" s="778"/>
      <c r="AY26" s="778"/>
      <c r="AZ26" s="778"/>
      <c r="BA26" s="778"/>
      <c r="BB26" s="778"/>
      <c r="BC26" s="778"/>
    </row>
    <row r="27" spans="1:55" ht="17.25" customHeight="1" thickTop="1" thickBot="1">
      <c r="A27" s="45"/>
      <c r="B27" s="1642"/>
      <c r="C27" s="4690" t="str">
        <f>CONCATENATE(AO1,AP1,AQ1,AR1,AS1,AT1,AU1,AV1)</f>
        <v>La   inspeccion   entrega   el   día  21  de  Noviembre  de  2013               Un todal de   0</v>
      </c>
      <c r="D27" s="4690"/>
      <c r="E27" s="4690"/>
      <c r="F27" s="4690"/>
      <c r="G27" s="4690"/>
      <c r="H27" s="4690"/>
      <c r="I27" s="4690"/>
      <c r="J27" s="4690"/>
      <c r="K27" s="4690"/>
      <c r="L27" s="4690"/>
      <c r="M27" s="4690"/>
      <c r="N27" s="4690"/>
      <c r="O27" s="4690"/>
      <c r="P27" s="4690"/>
      <c r="Q27" s="4690"/>
      <c r="R27" s="4690"/>
      <c r="S27" s="4690"/>
      <c r="T27" s="4690"/>
      <c r="U27" s="4690"/>
      <c r="V27" s="4690"/>
      <c r="W27" s="4690"/>
      <c r="X27" s="4690"/>
      <c r="Y27" s="4690"/>
      <c r="Z27" s="4690"/>
      <c r="AA27" s="4690"/>
      <c r="AB27" s="4690"/>
      <c r="AC27" s="4690"/>
      <c r="AD27" s="4690"/>
      <c r="AE27" s="4690"/>
      <c r="AF27" s="4691"/>
      <c r="AG27" s="4692"/>
      <c r="AH27" s="43"/>
      <c r="AI27" s="1903">
        <v>25</v>
      </c>
      <c r="AJ27" s="3480"/>
      <c r="AK27" s="3479"/>
      <c r="AL27" s="3479"/>
      <c r="AM27" s="3479"/>
      <c r="AN27" s="778"/>
      <c r="AO27" s="778"/>
      <c r="AP27" s="778"/>
      <c r="AQ27" s="778"/>
      <c r="AR27" s="778"/>
      <c r="AS27" s="778"/>
      <c r="AT27" s="778"/>
      <c r="AU27" s="778"/>
      <c r="AV27" s="778"/>
      <c r="AW27" s="778"/>
      <c r="AX27" s="778"/>
      <c r="AY27" s="778"/>
      <c r="AZ27" s="778"/>
      <c r="BA27" s="778"/>
      <c r="BB27" s="778"/>
      <c r="BC27" s="778"/>
    </row>
    <row r="28" spans="1:55" ht="13.5" thickTop="1"/>
  </sheetData>
  <sheetProtection selectLockedCells="1"/>
  <mergeCells count="98">
    <mergeCell ref="AF26:AG26"/>
    <mergeCell ref="C24:N24"/>
    <mergeCell ref="O24:R24"/>
    <mergeCell ref="S24:W24"/>
    <mergeCell ref="X24:AE24"/>
    <mergeCell ref="AF24:AG24"/>
    <mergeCell ref="X26:AE26"/>
    <mergeCell ref="S26:W26"/>
    <mergeCell ref="O26:R26"/>
    <mergeCell ref="C26:N26"/>
    <mergeCell ref="C25:N25"/>
    <mergeCell ref="O25:R25"/>
    <mergeCell ref="S25:W25"/>
    <mergeCell ref="X25:AE25"/>
    <mergeCell ref="AF25:AG25"/>
    <mergeCell ref="C23:N23"/>
    <mergeCell ref="O23:R23"/>
    <mergeCell ref="S23:W23"/>
    <mergeCell ref="X23:AE23"/>
    <mergeCell ref="AF23:AG23"/>
    <mergeCell ref="C22:N22"/>
    <mergeCell ref="O22:R22"/>
    <mergeCell ref="S22:W22"/>
    <mergeCell ref="X22:AE22"/>
    <mergeCell ref="AF22:AG22"/>
    <mergeCell ref="C21:N21"/>
    <mergeCell ref="O21:R21"/>
    <mergeCell ref="S21:W21"/>
    <mergeCell ref="X21:AE21"/>
    <mergeCell ref="AF21:AG21"/>
    <mergeCell ref="C20:N20"/>
    <mergeCell ref="O20:R20"/>
    <mergeCell ref="S20:W20"/>
    <mergeCell ref="X20:AE20"/>
    <mergeCell ref="AF20:AG20"/>
    <mergeCell ref="C19:N19"/>
    <mergeCell ref="O19:R19"/>
    <mergeCell ref="S19:W19"/>
    <mergeCell ref="X19:AE19"/>
    <mergeCell ref="AF19:AG19"/>
    <mergeCell ref="C18:N18"/>
    <mergeCell ref="O18:R18"/>
    <mergeCell ref="S18:W18"/>
    <mergeCell ref="X18:AE18"/>
    <mergeCell ref="AF18:AG18"/>
    <mergeCell ref="C17:N17"/>
    <mergeCell ref="O17:R17"/>
    <mergeCell ref="S17:W17"/>
    <mergeCell ref="X17:AE17"/>
    <mergeCell ref="AF17:AG17"/>
    <mergeCell ref="C16:N16"/>
    <mergeCell ref="O16:R16"/>
    <mergeCell ref="S16:W16"/>
    <mergeCell ref="X16:AE16"/>
    <mergeCell ref="AF16:AG16"/>
    <mergeCell ref="C15:N15"/>
    <mergeCell ref="O15:R15"/>
    <mergeCell ref="S15:W15"/>
    <mergeCell ref="X15:AE15"/>
    <mergeCell ref="AF15:AG15"/>
    <mergeCell ref="C14:N14"/>
    <mergeCell ref="O14:R14"/>
    <mergeCell ref="S14:W14"/>
    <mergeCell ref="X14:AE14"/>
    <mergeCell ref="AF14:AG14"/>
    <mergeCell ref="C13:N13"/>
    <mergeCell ref="O13:R13"/>
    <mergeCell ref="S13:W13"/>
    <mergeCell ref="X13:AE13"/>
    <mergeCell ref="AF13:AG13"/>
    <mergeCell ref="C12:N12"/>
    <mergeCell ref="O12:R12"/>
    <mergeCell ref="S12:W12"/>
    <mergeCell ref="X12:AE12"/>
    <mergeCell ref="AF12:AG12"/>
    <mergeCell ref="X10:AE10"/>
    <mergeCell ref="AF10:AG10"/>
    <mergeCell ref="C11:N11"/>
    <mergeCell ref="O11:R11"/>
    <mergeCell ref="S11:W11"/>
    <mergeCell ref="X11:AE11"/>
    <mergeCell ref="AF11:AG11"/>
    <mergeCell ref="C27:AE27"/>
    <mergeCell ref="AF27:AG27"/>
    <mergeCell ref="S4:T4"/>
    <mergeCell ref="V4:W4"/>
    <mergeCell ref="B6:J6"/>
    <mergeCell ref="K6:AG8"/>
    <mergeCell ref="C8:D8"/>
    <mergeCell ref="E8:F8"/>
    <mergeCell ref="C9:N9"/>
    <mergeCell ref="O9:R9"/>
    <mergeCell ref="S9:W9"/>
    <mergeCell ref="X9:AE9"/>
    <mergeCell ref="AF9:AG9"/>
    <mergeCell ref="C10:N10"/>
    <mergeCell ref="O10:R10"/>
    <mergeCell ref="S10:W10"/>
  </mergeCells>
  <conditionalFormatting sqref="C10:W26">
    <cfRule type="cellIs" dxfId="797" priority="2" stopIfTrue="1" operator="equal">
      <formula>0</formula>
    </cfRule>
    <cfRule type="cellIs" dxfId="796" priority="5" stopIfTrue="1" operator="equal">
      <formula>0</formula>
    </cfRule>
  </conditionalFormatting>
  <conditionalFormatting sqref="K6:AG8 X10:AE26">
    <cfRule type="cellIs" dxfId="795" priority="4" stopIfTrue="1" operator="equal">
      <formula>0</formula>
    </cfRule>
  </conditionalFormatting>
  <conditionalFormatting sqref="AF10:AG26">
    <cfRule type="cellIs" dxfId="794" priority="1" operator="equal">
      <formula>0</formula>
    </cfRule>
  </conditionalFormatting>
  <pageMargins left="0.70866141732283472" right="0.70866141732283472" top="0.74803149606299213" bottom="0.74803149606299213" header="0.31496062992125984" footer="0.31496062992125984"/>
  <pageSetup paperSize="9" scale="70" orientation="landscape" horizontalDpi="4294967293" verticalDpi="300" r:id="rId1"/>
  <drawing r:id="rId2"/>
  <legacyDrawing r:id="rId3"/>
  <oleObjects>
    <mc:AlternateContent xmlns:mc="http://schemas.openxmlformats.org/markup-compatibility/2006">
      <mc:Choice Requires="x14">
        <oleObject progId="MSPhotoEd.3" shapeId="21506" r:id="rId4">
          <objectPr defaultSize="0" autoPict="0" r:id="rId5">
            <anchor moveWithCells="1" sizeWithCells="1">
              <from>
                <xdr:col>1</xdr:col>
                <xdr:colOff>38100</xdr:colOff>
                <xdr:row>3</xdr:row>
                <xdr:rowOff>47625</xdr:rowOff>
              </from>
              <to>
                <xdr:col>3</xdr:col>
                <xdr:colOff>19050</xdr:colOff>
                <xdr:row>4</xdr:row>
                <xdr:rowOff>171450</xdr:rowOff>
              </to>
            </anchor>
          </objectPr>
        </oleObject>
      </mc:Choice>
      <mc:Fallback>
        <oleObject progId="MSPhotoEd.3" shapeId="21506" r:id="rId4"/>
      </mc:Fallback>
    </mc:AlternateContent>
  </oleObject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2"/>
  <dimension ref="A1:BA68"/>
  <sheetViews>
    <sheetView view="pageBreakPreview" zoomScaleNormal="88" zoomScaleSheetLayoutView="100" workbookViewId="0">
      <selection activeCell="AK15" sqref="AK15"/>
    </sheetView>
  </sheetViews>
  <sheetFormatPr baseColWidth="10" defaultRowHeight="12.75"/>
  <cols>
    <col min="1" max="2" width="1.28515625" style="246" customWidth="1"/>
    <col min="3" max="15" width="4" style="246" customWidth="1"/>
    <col min="16" max="18" width="1.28515625" style="246" customWidth="1"/>
    <col min="19" max="31" width="4" style="246" customWidth="1"/>
    <col min="32" max="33" width="1.28515625" style="246" customWidth="1"/>
    <col min="34" max="34" width="3.5703125" style="247" customWidth="1"/>
    <col min="35" max="53" width="6.5703125" style="246" customWidth="1"/>
    <col min="54" max="16384" width="11.42578125" style="246"/>
  </cols>
  <sheetData>
    <row r="1" spans="2:53" ht="9" customHeight="1">
      <c r="AI1" s="248">
        <v>2</v>
      </c>
      <c r="AJ1" s="248">
        <v>3</v>
      </c>
      <c r="AK1" s="248">
        <v>4</v>
      </c>
      <c r="AL1" s="248">
        <v>5</v>
      </c>
      <c r="AM1" s="248">
        <v>6</v>
      </c>
      <c r="AN1" s="248">
        <v>7</v>
      </c>
      <c r="AO1" s="248">
        <v>8</v>
      </c>
      <c r="AP1" s="248">
        <v>9</v>
      </c>
      <c r="AQ1" s="248">
        <v>10</v>
      </c>
      <c r="AR1" s="248">
        <v>11</v>
      </c>
      <c r="AS1" s="248">
        <v>12</v>
      </c>
      <c r="AT1" s="248">
        <v>13</v>
      </c>
      <c r="AU1" s="248">
        <v>14</v>
      </c>
      <c r="AV1" s="248">
        <v>15</v>
      </c>
      <c r="AW1" s="248">
        <v>16</v>
      </c>
      <c r="AX1" s="248">
        <v>17</v>
      </c>
      <c r="AY1" s="248">
        <v>18</v>
      </c>
      <c r="AZ1" s="248">
        <v>19</v>
      </c>
      <c r="BA1" s="248">
        <v>20</v>
      </c>
    </row>
    <row r="2" spans="2:53" ht="12" customHeight="1">
      <c r="B2" s="249"/>
      <c r="C2" s="250"/>
      <c r="D2" s="250"/>
      <c r="E2" s="250"/>
      <c r="F2" s="250"/>
      <c r="G2" s="250"/>
      <c r="H2" s="250"/>
      <c r="I2" s="250"/>
      <c r="J2" s="250"/>
      <c r="K2" s="250"/>
      <c r="L2" s="250"/>
      <c r="M2" s="250"/>
      <c r="N2" s="250"/>
      <c r="O2" s="250"/>
      <c r="P2" s="251"/>
      <c r="Q2" s="213">
        <v>1</v>
      </c>
      <c r="R2" s="249"/>
      <c r="S2" s="250"/>
      <c r="T2" s="250"/>
      <c r="U2" s="250"/>
      <c r="V2" s="250"/>
      <c r="W2" s="250"/>
      <c r="X2" s="250"/>
      <c r="Y2" s="250"/>
      <c r="Z2" s="250"/>
      <c r="AA2" s="250"/>
      <c r="AB2" s="250"/>
      <c r="AC2" s="250"/>
      <c r="AD2" s="250"/>
      <c r="AE2" s="250"/>
      <c r="AF2" s="251"/>
      <c r="AH2" s="247">
        <v>1</v>
      </c>
      <c r="AI2" s="246" t="s">
        <v>80</v>
      </c>
      <c r="AJ2" s="246" t="s">
        <v>26</v>
      </c>
      <c r="AK2" s="246" t="s">
        <v>81</v>
      </c>
      <c r="AL2" s="246">
        <v>0</v>
      </c>
      <c r="AM2" s="246" t="s">
        <v>82</v>
      </c>
      <c r="AN2" s="246" t="s">
        <v>83</v>
      </c>
      <c r="AO2" s="246" t="s">
        <v>84</v>
      </c>
      <c r="AP2" s="246" t="s">
        <v>85</v>
      </c>
      <c r="AQ2" s="246" t="s">
        <v>86</v>
      </c>
      <c r="AR2" s="246" t="s">
        <v>898</v>
      </c>
      <c r="AS2" s="252" t="s">
        <v>87</v>
      </c>
      <c r="AT2" s="253" t="s">
        <v>199</v>
      </c>
      <c r="AU2" s="246" t="s">
        <v>88</v>
      </c>
    </row>
    <row r="3" spans="2:53" ht="12" customHeight="1">
      <c r="B3" s="254"/>
      <c r="C3" s="255"/>
      <c r="D3" s="255"/>
      <c r="E3" s="256"/>
      <c r="F3" s="256"/>
      <c r="G3" s="256"/>
      <c r="H3" s="256"/>
      <c r="I3" s="255"/>
      <c r="J3" s="255"/>
      <c r="K3" s="255"/>
      <c r="L3" s="255"/>
      <c r="M3" s="255"/>
      <c r="N3" s="255"/>
      <c r="O3" s="255"/>
      <c r="P3" s="257"/>
      <c r="R3" s="254"/>
      <c r="S3" s="255"/>
      <c r="T3" s="255"/>
      <c r="U3" s="256"/>
      <c r="V3" s="256"/>
      <c r="W3" s="256"/>
      <c r="X3" s="256"/>
      <c r="Y3" s="255"/>
      <c r="Z3" s="255"/>
      <c r="AA3" s="255"/>
      <c r="AB3" s="255"/>
      <c r="AC3" s="255"/>
      <c r="AD3" s="255"/>
      <c r="AE3" s="255"/>
      <c r="AF3" s="257"/>
      <c r="AH3" s="247">
        <v>2</v>
      </c>
      <c r="AI3" s="246" t="s">
        <v>89</v>
      </c>
      <c r="AJ3" s="246" t="s">
        <v>90</v>
      </c>
      <c r="AK3" s="246" t="s">
        <v>91</v>
      </c>
      <c r="AL3" s="246">
        <v>0</v>
      </c>
      <c r="AM3" s="246" t="s">
        <v>82</v>
      </c>
      <c r="AN3" s="246" t="s">
        <v>83</v>
      </c>
      <c r="AO3" s="246" t="s">
        <v>84</v>
      </c>
      <c r="AP3" s="258" t="s">
        <v>85</v>
      </c>
      <c r="AQ3" s="253" t="s">
        <v>86</v>
      </c>
      <c r="AR3" s="253" t="s">
        <v>92</v>
      </c>
      <c r="AS3" s="259" t="s">
        <v>195</v>
      </c>
      <c r="AT3" s="253" t="s">
        <v>200</v>
      </c>
      <c r="AU3" s="253" t="s">
        <v>88</v>
      </c>
    </row>
    <row r="4" spans="2:53" s="258" customFormat="1" ht="12" customHeight="1">
      <c r="B4" s="260"/>
      <c r="C4" s="256"/>
      <c r="D4" s="256"/>
      <c r="E4" s="256"/>
      <c r="F4" s="256"/>
      <c r="G4" s="256"/>
      <c r="H4" s="256"/>
      <c r="I4" s="256"/>
      <c r="J4" s="256"/>
      <c r="K4" s="256"/>
      <c r="L4" s="256"/>
      <c r="M4" s="256"/>
      <c r="N4" s="256"/>
      <c r="O4" s="256"/>
      <c r="P4" s="261"/>
      <c r="R4" s="260"/>
      <c r="S4" s="256"/>
      <c r="T4" s="256"/>
      <c r="U4" s="256"/>
      <c r="V4" s="256"/>
      <c r="W4" s="256"/>
      <c r="X4" s="256"/>
      <c r="Y4" s="256"/>
      <c r="Z4" s="256"/>
      <c r="AA4" s="256"/>
      <c r="AB4" s="256"/>
      <c r="AC4" s="256"/>
      <c r="AD4" s="256"/>
      <c r="AE4" s="256"/>
      <c r="AF4" s="261"/>
      <c r="AH4" s="262">
        <v>3</v>
      </c>
      <c r="AI4" s="787" t="s">
        <v>89</v>
      </c>
      <c r="AJ4" s="258" t="s">
        <v>791</v>
      </c>
      <c r="AK4" s="258" t="s">
        <v>91</v>
      </c>
      <c r="AL4" s="258">
        <v>0</v>
      </c>
      <c r="AM4" s="246" t="s">
        <v>789</v>
      </c>
      <c r="AN4" s="246" t="s">
        <v>83</v>
      </c>
      <c r="AO4" s="246" t="s">
        <v>84</v>
      </c>
      <c r="AP4" s="258" t="s">
        <v>85</v>
      </c>
      <c r="AQ4" s="253" t="s">
        <v>86</v>
      </c>
      <c r="AR4" s="253" t="s">
        <v>900</v>
      </c>
      <c r="AS4" s="785" t="s">
        <v>899</v>
      </c>
      <c r="AT4" s="253" t="s">
        <v>790</v>
      </c>
      <c r="AU4" s="253" t="s">
        <v>88</v>
      </c>
      <c r="AV4" s="246"/>
    </row>
    <row r="5" spans="2:53" ht="12" customHeight="1">
      <c r="B5" s="263"/>
      <c r="C5" s="256"/>
      <c r="D5" s="256"/>
      <c r="E5" s="256"/>
      <c r="F5" s="256"/>
      <c r="G5" s="256"/>
      <c r="H5" s="256"/>
      <c r="I5" s="256"/>
      <c r="J5" s="256"/>
      <c r="K5" s="256"/>
      <c r="L5" s="256"/>
      <c r="M5" s="256"/>
      <c r="N5" s="256"/>
      <c r="O5" s="256"/>
      <c r="P5" s="264"/>
      <c r="R5" s="263"/>
      <c r="S5" s="256"/>
      <c r="T5" s="256"/>
      <c r="U5" s="256"/>
      <c r="V5" s="256"/>
      <c r="W5" s="256"/>
      <c r="X5" s="256"/>
      <c r="Y5" s="256"/>
      <c r="Z5" s="256"/>
      <c r="AA5" s="256"/>
      <c r="AB5" s="256"/>
      <c r="AC5" s="256"/>
      <c r="AD5" s="256"/>
      <c r="AE5" s="256"/>
      <c r="AF5" s="264"/>
      <c r="AH5" s="265">
        <v>4</v>
      </c>
    </row>
    <row r="6" spans="2:53" ht="12" customHeight="1">
      <c r="B6" s="266"/>
      <c r="C6" s="267"/>
      <c r="D6" s="268"/>
      <c r="F6" s="269"/>
      <c r="G6" s="270"/>
      <c r="H6" s="270"/>
      <c r="J6" s="270"/>
      <c r="K6" s="270"/>
      <c r="L6" s="270"/>
      <c r="M6" s="270"/>
      <c r="N6" s="270"/>
      <c r="O6" s="267"/>
      <c r="P6" s="271"/>
      <c r="R6" s="260"/>
      <c r="S6" s="256"/>
      <c r="T6" s="240"/>
      <c r="V6" s="272"/>
      <c r="W6" s="241"/>
      <c r="X6" s="241"/>
      <c r="Z6" s="241"/>
      <c r="AA6" s="241"/>
      <c r="AB6" s="241"/>
      <c r="AC6" s="241"/>
      <c r="AD6" s="241"/>
      <c r="AE6" s="256"/>
      <c r="AF6" s="261"/>
      <c r="AH6" s="265">
        <v>5</v>
      </c>
    </row>
    <row r="7" spans="2:53" ht="12" customHeight="1">
      <c r="B7" s="266"/>
      <c r="C7" s="267"/>
      <c r="D7" s="786" t="str">
        <f>VLOOKUP(Q2,AH2:BA17,2,2)</f>
        <v>MS.C.</v>
      </c>
      <c r="E7" s="789"/>
      <c r="F7" s="788"/>
      <c r="G7" s="270"/>
      <c r="H7" s="270"/>
      <c r="I7" s="282" t="str">
        <f>VLOOKUP(Q2,AH2:BA17,3,3)</f>
        <v>JESUS MARTIN RICALDE CASTRO</v>
      </c>
      <c r="J7" s="270"/>
      <c r="K7" s="270"/>
      <c r="L7" s="270"/>
      <c r="M7" s="270"/>
      <c r="N7" s="270"/>
      <c r="O7" s="267"/>
      <c r="P7" s="273"/>
      <c r="R7" s="260"/>
      <c r="S7" s="256"/>
      <c r="T7" s="790" t="str">
        <f>D7</f>
        <v>MS.C.</v>
      </c>
      <c r="U7" s="789"/>
      <c r="V7" s="241"/>
      <c r="W7" s="241"/>
      <c r="X7" s="241"/>
      <c r="Y7" s="244" t="str">
        <f>I7</f>
        <v>JESUS MARTIN RICALDE CASTRO</v>
      </c>
      <c r="Z7" s="241"/>
      <c r="AA7" s="241"/>
      <c r="AB7" s="241"/>
      <c r="AC7" s="241"/>
      <c r="AD7" s="241"/>
      <c r="AE7" s="256"/>
      <c r="AF7" s="274"/>
      <c r="AH7" s="265">
        <v>6</v>
      </c>
    </row>
    <row r="8" spans="2:53" ht="12" customHeight="1">
      <c r="B8" s="266"/>
      <c r="C8" s="267"/>
      <c r="D8" s="267"/>
      <c r="E8" s="267"/>
      <c r="F8" s="267"/>
      <c r="G8" s="267"/>
      <c r="H8" s="267"/>
      <c r="I8" s="282" t="str">
        <f>VLOOKUP(Q2,AH2:BA17,4,4)</f>
        <v>INSPECTOR ESCOLAR</v>
      </c>
      <c r="J8" s="267"/>
      <c r="K8" s="267"/>
      <c r="L8" s="267"/>
      <c r="M8" s="267"/>
      <c r="N8" s="267"/>
      <c r="O8" s="267"/>
      <c r="P8" s="271"/>
      <c r="R8" s="260"/>
      <c r="S8" s="256"/>
      <c r="T8" s="256"/>
      <c r="U8" s="256"/>
      <c r="V8" s="256"/>
      <c r="W8" s="256"/>
      <c r="X8" s="256"/>
      <c r="Y8" s="244" t="str">
        <f>I8</f>
        <v>INSPECTOR ESCOLAR</v>
      </c>
      <c r="Z8" s="256"/>
      <c r="AA8" s="256"/>
      <c r="AB8" s="256"/>
      <c r="AC8" s="256"/>
      <c r="AD8" s="256"/>
      <c r="AE8" s="256"/>
      <c r="AF8" s="261"/>
      <c r="AH8" s="265">
        <v>7</v>
      </c>
    </row>
    <row r="9" spans="2:53" ht="12" customHeight="1">
      <c r="B9" s="266"/>
      <c r="C9" s="267"/>
      <c r="D9" s="267"/>
      <c r="E9" s="267"/>
      <c r="F9" s="267"/>
      <c r="G9" s="267"/>
      <c r="H9" s="267"/>
      <c r="I9" s="243">
        <f>VLOOKUP(Q2,AH2:BA17,5,5)</f>
        <v>0</v>
      </c>
      <c r="J9" s="267"/>
      <c r="K9" s="267"/>
      <c r="L9" s="267"/>
      <c r="M9" s="267"/>
      <c r="N9" s="267"/>
      <c r="O9" s="267"/>
      <c r="P9" s="273"/>
      <c r="R9" s="260"/>
      <c r="S9" s="256"/>
      <c r="T9" s="256"/>
      <c r="U9" s="256"/>
      <c r="V9" s="256"/>
      <c r="W9" s="256"/>
      <c r="X9" s="256"/>
      <c r="Y9" s="245">
        <f>I9</f>
        <v>0</v>
      </c>
      <c r="Z9" s="256"/>
      <c r="AA9" s="256"/>
      <c r="AB9" s="256"/>
      <c r="AC9" s="256"/>
      <c r="AD9" s="256"/>
      <c r="AE9" s="256"/>
      <c r="AF9" s="274"/>
      <c r="AH9" s="265">
        <v>8</v>
      </c>
    </row>
    <row r="10" spans="2:53" ht="12" customHeight="1">
      <c r="B10" s="266"/>
      <c r="C10" s="267"/>
      <c r="D10" s="267"/>
      <c r="E10" s="267"/>
      <c r="F10" s="267"/>
      <c r="G10" s="267"/>
      <c r="H10" s="267"/>
      <c r="I10" s="242" t="str">
        <f>VLOOKUP(Q2,AH2:BA17,6,6)</f>
        <v>ZONA ESCOLAR 042</v>
      </c>
      <c r="J10" s="267"/>
      <c r="K10" s="267"/>
      <c r="L10" s="267"/>
      <c r="M10" s="267"/>
      <c r="N10" s="267"/>
      <c r="O10" s="267"/>
      <c r="P10" s="271"/>
      <c r="R10" s="260"/>
      <c r="S10" s="256"/>
      <c r="T10" s="256"/>
      <c r="U10" s="256"/>
      <c r="V10" s="256"/>
      <c r="W10" s="256"/>
      <c r="X10" s="256"/>
      <c r="Y10" s="244" t="str">
        <f>I10</f>
        <v>ZONA ESCOLAR 042</v>
      </c>
      <c r="Z10" s="256"/>
      <c r="AA10" s="256"/>
      <c r="AB10" s="256"/>
      <c r="AC10" s="256"/>
      <c r="AD10" s="256"/>
      <c r="AE10" s="256"/>
      <c r="AF10" s="261"/>
      <c r="AH10" s="265">
        <v>9</v>
      </c>
    </row>
    <row r="11" spans="2:53" ht="12" customHeight="1">
      <c r="B11" s="266"/>
      <c r="C11" s="267"/>
      <c r="D11" s="267"/>
      <c r="E11" s="267"/>
      <c r="F11" s="267"/>
      <c r="G11" s="267"/>
      <c r="H11" s="267"/>
      <c r="I11" s="267"/>
      <c r="J11" s="267"/>
      <c r="K11" s="267"/>
      <c r="L11" s="267"/>
      <c r="M11" s="267"/>
      <c r="N11" s="267"/>
      <c r="O11" s="267"/>
      <c r="P11" s="273"/>
      <c r="R11" s="260"/>
      <c r="S11" s="256"/>
      <c r="T11" s="256"/>
      <c r="U11" s="256"/>
      <c r="V11" s="256"/>
      <c r="W11" s="256"/>
      <c r="X11" s="256"/>
      <c r="Y11" s="256"/>
      <c r="Z11" s="256"/>
      <c r="AA11" s="256"/>
      <c r="AB11" s="256"/>
      <c r="AC11" s="256"/>
      <c r="AD11" s="256"/>
      <c r="AE11" s="256"/>
      <c r="AF11" s="274"/>
      <c r="AH11" s="265">
        <v>10</v>
      </c>
    </row>
    <row r="12" spans="2:53" ht="12" customHeight="1">
      <c r="B12" s="266"/>
      <c r="C12" s="267"/>
      <c r="D12" s="267"/>
      <c r="E12" s="267"/>
      <c r="F12" s="267"/>
      <c r="G12" s="267"/>
      <c r="H12" s="267"/>
      <c r="I12" s="267"/>
      <c r="J12" s="267"/>
      <c r="K12" s="267"/>
      <c r="L12" s="267"/>
      <c r="M12" s="267"/>
      <c r="N12" s="267"/>
      <c r="O12" s="267"/>
      <c r="P12" s="271"/>
      <c r="R12" s="260"/>
      <c r="S12" s="256"/>
      <c r="T12" s="256"/>
      <c r="U12" s="256"/>
      <c r="V12" s="256"/>
      <c r="W12" s="256"/>
      <c r="X12" s="256"/>
      <c r="Y12" s="256"/>
      <c r="Z12" s="256"/>
      <c r="AA12" s="256"/>
      <c r="AB12" s="256"/>
      <c r="AC12" s="256"/>
      <c r="AD12" s="256"/>
      <c r="AE12" s="256"/>
      <c r="AF12" s="261"/>
      <c r="AH12" s="265">
        <v>11</v>
      </c>
    </row>
    <row r="13" spans="2:53" ht="12" customHeight="1">
      <c r="B13" s="266"/>
      <c r="C13" s="270" t="str">
        <f>VLOOKUP(Q2,AH2:BA17,7,7)</f>
        <v>MODULO  DE  INSPECTORES</v>
      </c>
      <c r="D13" s="267"/>
      <c r="E13" s="267"/>
      <c r="F13" s="267"/>
      <c r="G13" s="267"/>
      <c r="H13" s="267"/>
      <c r="I13" s="267"/>
      <c r="J13" s="267"/>
      <c r="K13" s="267"/>
      <c r="L13" s="267"/>
      <c r="M13" s="267"/>
      <c r="N13" s="267"/>
      <c r="O13" s="268" t="str">
        <f>VLOOKUP(Q2,AH2:BA17,8,8)</f>
        <v>REG-93   MZA-5   ENTRE</v>
      </c>
      <c r="P13" s="271"/>
      <c r="R13" s="260"/>
      <c r="S13" s="241" t="str">
        <f>C13</f>
        <v>MODULO  DE  INSPECTORES</v>
      </c>
      <c r="T13" s="256"/>
      <c r="U13" s="256"/>
      <c r="V13" s="256"/>
      <c r="W13" s="256"/>
      <c r="X13" s="256"/>
      <c r="Y13" s="256"/>
      <c r="Z13" s="256"/>
      <c r="AA13" s="256"/>
      <c r="AB13" s="256"/>
      <c r="AC13" s="256"/>
      <c r="AD13" s="256"/>
      <c r="AE13" s="240" t="str">
        <f>O13</f>
        <v>REG-93   MZA-5   ENTRE</v>
      </c>
      <c r="AF13" s="261"/>
      <c r="AH13" s="265">
        <v>12</v>
      </c>
    </row>
    <row r="14" spans="2:53" ht="12" customHeight="1">
      <c r="B14" s="266"/>
      <c r="C14" s="270" t="str">
        <f>VLOOKUP(Q2,AH2:BA17,9,9)</f>
        <v>AV-MIGUEL   HIDALGO   Y</v>
      </c>
      <c r="D14" s="267"/>
      <c r="E14" s="267"/>
      <c r="F14" s="267"/>
      <c r="G14" s="267"/>
      <c r="H14" s="267"/>
      <c r="I14" s="267"/>
      <c r="J14" s="267"/>
      <c r="K14" s="267"/>
      <c r="L14" s="267"/>
      <c r="M14" s="267"/>
      <c r="N14" s="267"/>
      <c r="O14" s="275" t="str">
        <f>VLOOKUP(Q2,AH2:BA17,10,10)</f>
        <v>AV-FCO.   I.    MADERO</v>
      </c>
      <c r="P14" s="271"/>
      <c r="R14" s="260"/>
      <c r="S14" s="241" t="str">
        <f>C14</f>
        <v>AV-MIGUEL   HIDALGO   Y</v>
      </c>
      <c r="T14" s="256"/>
      <c r="U14" s="256"/>
      <c r="V14" s="256"/>
      <c r="W14" s="256"/>
      <c r="X14" s="256"/>
      <c r="Y14" s="256"/>
      <c r="Z14" s="256"/>
      <c r="AA14" s="256"/>
      <c r="AB14" s="256"/>
      <c r="AC14" s="256"/>
      <c r="AD14" s="256"/>
      <c r="AE14" s="240" t="str">
        <f>O14</f>
        <v>AV-FCO.   I.    MADERO</v>
      </c>
      <c r="AF14" s="261"/>
      <c r="AH14" s="265">
        <v>13</v>
      </c>
    </row>
    <row r="15" spans="2:53" ht="12" customHeight="1">
      <c r="B15" s="266"/>
      <c r="C15" s="270" t="str">
        <f>VLOOKUP(Q2,AH2:BA17,11,11)</f>
        <v>CEL- 99 88 60 03 81</v>
      </c>
      <c r="D15" s="267"/>
      <c r="E15" s="267"/>
      <c r="F15" s="267"/>
      <c r="G15" s="267"/>
      <c r="H15" s="267"/>
      <c r="I15" s="267"/>
      <c r="J15" s="267"/>
      <c r="K15" s="267"/>
      <c r="L15" s="267"/>
      <c r="M15" s="267"/>
      <c r="N15" s="267"/>
      <c r="O15" s="268" t="str">
        <f>VLOOKUP(Q2,AH2:BA17,12,12)</f>
        <v>martincancun69@hotmail.com</v>
      </c>
      <c r="P15" s="271"/>
      <c r="R15" s="260"/>
      <c r="S15" s="241" t="str">
        <f>C15</f>
        <v>CEL- 99 88 60 03 81</v>
      </c>
      <c r="T15" s="256"/>
      <c r="U15" s="256"/>
      <c r="V15" s="256"/>
      <c r="W15" s="256"/>
      <c r="X15" s="256"/>
      <c r="Y15" s="256"/>
      <c r="Z15" s="256"/>
      <c r="AA15" s="256"/>
      <c r="AB15" s="256"/>
      <c r="AC15" s="256"/>
      <c r="AD15" s="256"/>
      <c r="AE15" s="240" t="str">
        <f>O15</f>
        <v>martincancun69@hotmail.com</v>
      </c>
      <c r="AF15" s="261"/>
      <c r="AH15" s="265">
        <v>14</v>
      </c>
    </row>
    <row r="16" spans="2:53" ht="12" customHeight="1">
      <c r="B16" s="266"/>
      <c r="C16" s="270" t="str">
        <f>VLOOKUP(Q2,AH2:BA17,13,13)</f>
        <v>OFICINA: 8 40 17 45 EXT. 107</v>
      </c>
      <c r="D16" s="267"/>
      <c r="E16" s="267"/>
      <c r="F16" s="267"/>
      <c r="G16" s="267"/>
      <c r="H16" s="267"/>
      <c r="I16" s="267"/>
      <c r="J16" s="267"/>
      <c r="K16" s="267"/>
      <c r="L16" s="267"/>
      <c r="M16" s="267"/>
      <c r="N16" s="267"/>
      <c r="O16" s="268" t="str">
        <f>VLOOKUP(Q2,AH2:BA17,14,14)</f>
        <v>CANCUN QUINTANA ROO MEXICO</v>
      </c>
      <c r="P16" s="271"/>
      <c r="R16" s="260"/>
      <c r="S16" s="241" t="str">
        <f>C16</f>
        <v>OFICINA: 8 40 17 45 EXT. 107</v>
      </c>
      <c r="T16" s="256"/>
      <c r="U16" s="256"/>
      <c r="V16" s="256"/>
      <c r="W16" s="256"/>
      <c r="X16" s="256"/>
      <c r="Y16" s="256"/>
      <c r="Z16" s="256"/>
      <c r="AA16" s="256"/>
      <c r="AB16" s="256"/>
      <c r="AC16" s="256"/>
      <c r="AD16" s="256"/>
      <c r="AE16" s="240" t="str">
        <f>O16</f>
        <v>CANCUN QUINTANA ROO MEXICO</v>
      </c>
      <c r="AF16" s="261"/>
      <c r="AH16" s="265">
        <v>15</v>
      </c>
    </row>
    <row r="17" spans="1:34" ht="12" customHeight="1">
      <c r="B17" s="276"/>
      <c r="C17" s="277"/>
      <c r="D17" s="277"/>
      <c r="E17" s="277"/>
      <c r="F17" s="277"/>
      <c r="G17" s="277"/>
      <c r="H17" s="277"/>
      <c r="I17" s="277"/>
      <c r="J17" s="277"/>
      <c r="K17" s="277"/>
      <c r="L17" s="277"/>
      <c r="M17" s="277"/>
      <c r="N17" s="277"/>
      <c r="O17" s="277"/>
      <c r="P17" s="278"/>
      <c r="R17" s="279"/>
      <c r="S17" s="280"/>
      <c r="T17" s="280"/>
      <c r="U17" s="280"/>
      <c r="V17" s="280"/>
      <c r="W17" s="280"/>
      <c r="X17" s="280"/>
      <c r="Y17" s="280"/>
      <c r="Z17" s="280"/>
      <c r="AA17" s="280"/>
      <c r="AB17" s="280"/>
      <c r="AC17" s="280"/>
      <c r="AD17" s="280"/>
      <c r="AE17" s="280"/>
      <c r="AF17" s="281"/>
      <c r="AH17" s="265"/>
    </row>
    <row r="18" spans="1:34" ht="8.1" customHeight="1"/>
    <row r="19" spans="1:34" ht="12" customHeight="1">
      <c r="B19" s="249"/>
      <c r="C19" s="250"/>
      <c r="D19" s="250"/>
      <c r="E19" s="250"/>
      <c r="F19" s="250"/>
      <c r="G19" s="250"/>
      <c r="H19" s="250"/>
      <c r="I19" s="250"/>
      <c r="J19" s="250"/>
      <c r="K19" s="250"/>
      <c r="L19" s="250"/>
      <c r="M19" s="250"/>
      <c r="N19" s="250"/>
      <c r="O19" s="250"/>
      <c r="P19" s="251"/>
      <c r="R19" s="249"/>
      <c r="S19" s="250"/>
      <c r="T19" s="250"/>
      <c r="U19" s="250"/>
      <c r="V19" s="250"/>
      <c r="W19" s="250"/>
      <c r="X19" s="250"/>
      <c r="Y19" s="250"/>
      <c r="Z19" s="250"/>
      <c r="AA19" s="250"/>
      <c r="AB19" s="250"/>
      <c r="AC19" s="250"/>
      <c r="AD19" s="250"/>
      <c r="AE19" s="250"/>
      <c r="AF19" s="251"/>
    </row>
    <row r="20" spans="1:34" ht="12" customHeight="1">
      <c r="B20" s="254"/>
      <c r="C20" s="255"/>
      <c r="D20" s="255"/>
      <c r="E20" s="256"/>
      <c r="F20" s="256"/>
      <c r="G20" s="256"/>
      <c r="H20" s="256"/>
      <c r="I20" s="255"/>
      <c r="J20" s="255"/>
      <c r="K20" s="255"/>
      <c r="L20" s="255"/>
      <c r="M20" s="255"/>
      <c r="N20" s="255"/>
      <c r="O20" s="255"/>
      <c r="P20" s="257"/>
      <c r="R20" s="254"/>
      <c r="S20" s="255"/>
      <c r="T20" s="255"/>
      <c r="U20" s="256"/>
      <c r="V20" s="256"/>
      <c r="W20" s="256"/>
      <c r="X20" s="256"/>
      <c r="Y20" s="255"/>
      <c r="Z20" s="255"/>
      <c r="AA20" s="255"/>
      <c r="AB20" s="255"/>
      <c r="AC20" s="255"/>
      <c r="AD20" s="255"/>
      <c r="AE20" s="255"/>
      <c r="AF20" s="257"/>
    </row>
    <row r="21" spans="1:34" ht="12" customHeight="1">
      <c r="A21" s="258"/>
      <c r="B21" s="260"/>
      <c r="C21" s="256"/>
      <c r="D21" s="256"/>
      <c r="E21" s="256"/>
      <c r="F21" s="256"/>
      <c r="G21" s="256"/>
      <c r="H21" s="256"/>
      <c r="I21" s="256"/>
      <c r="J21" s="256"/>
      <c r="K21" s="256"/>
      <c r="L21" s="256"/>
      <c r="M21" s="256"/>
      <c r="N21" s="256"/>
      <c r="O21" s="256"/>
      <c r="P21" s="261"/>
      <c r="Q21" s="258"/>
      <c r="R21" s="260"/>
      <c r="S21" s="256"/>
      <c r="T21" s="256"/>
      <c r="U21" s="256"/>
      <c r="V21" s="256"/>
      <c r="W21" s="256"/>
      <c r="X21" s="256"/>
      <c r="Y21" s="256"/>
      <c r="Z21" s="256"/>
      <c r="AA21" s="256"/>
      <c r="AB21" s="256"/>
      <c r="AC21" s="256"/>
      <c r="AD21" s="256"/>
      <c r="AE21" s="256"/>
      <c r="AF21" s="261"/>
      <c r="AG21" s="258"/>
    </row>
    <row r="22" spans="1:34" ht="12" customHeight="1">
      <c r="B22" s="263"/>
      <c r="C22" s="256"/>
      <c r="D22" s="256"/>
      <c r="E22" s="256"/>
      <c r="F22" s="256"/>
      <c r="G22" s="256"/>
      <c r="H22" s="256"/>
      <c r="I22" s="256"/>
      <c r="J22" s="256"/>
      <c r="K22" s="256"/>
      <c r="L22" s="256"/>
      <c r="M22" s="256"/>
      <c r="N22" s="256"/>
      <c r="O22" s="256"/>
      <c r="P22" s="264"/>
      <c r="R22" s="263"/>
      <c r="S22" s="256"/>
      <c r="T22" s="256"/>
      <c r="U22" s="256"/>
      <c r="V22" s="256"/>
      <c r="W22" s="256"/>
      <c r="X22" s="256"/>
      <c r="Y22" s="256"/>
      <c r="Z22" s="256"/>
      <c r="AA22" s="256"/>
      <c r="AB22" s="256"/>
      <c r="AC22" s="256"/>
      <c r="AD22" s="256"/>
      <c r="AE22" s="256"/>
      <c r="AF22" s="264"/>
    </row>
    <row r="23" spans="1:34" ht="12" customHeight="1">
      <c r="B23" s="260"/>
      <c r="C23" s="256"/>
      <c r="D23" s="240"/>
      <c r="F23" s="272"/>
      <c r="G23" s="241"/>
      <c r="H23" s="241"/>
      <c r="J23" s="241"/>
      <c r="K23" s="241"/>
      <c r="L23" s="241"/>
      <c r="M23" s="241"/>
      <c r="N23" s="241"/>
      <c r="O23" s="256"/>
      <c r="P23" s="261"/>
      <c r="R23" s="260"/>
      <c r="S23" s="256"/>
      <c r="T23" s="240"/>
      <c r="V23" s="272"/>
      <c r="W23" s="241"/>
      <c r="X23" s="241"/>
      <c r="Z23" s="241"/>
      <c r="AA23" s="241"/>
      <c r="AB23" s="241"/>
      <c r="AC23" s="241"/>
      <c r="AD23" s="241"/>
      <c r="AE23" s="256"/>
      <c r="AF23" s="261"/>
    </row>
    <row r="24" spans="1:34" ht="12" customHeight="1">
      <c r="B24" s="260"/>
      <c r="C24" s="256"/>
      <c r="D24" s="790" t="str">
        <f>D7</f>
        <v>MS.C.</v>
      </c>
      <c r="E24" s="789"/>
      <c r="F24" s="241"/>
      <c r="G24" s="241"/>
      <c r="H24" s="241"/>
      <c r="I24" s="244" t="str">
        <f>I7</f>
        <v>JESUS MARTIN RICALDE CASTRO</v>
      </c>
      <c r="J24" s="241"/>
      <c r="K24" s="241"/>
      <c r="L24" s="241"/>
      <c r="M24" s="241"/>
      <c r="N24" s="241"/>
      <c r="O24" s="256"/>
      <c r="P24" s="274"/>
      <c r="R24" s="260"/>
      <c r="S24" s="256"/>
      <c r="T24" s="790" t="str">
        <f>T7</f>
        <v>MS.C.</v>
      </c>
      <c r="U24" s="789"/>
      <c r="V24" s="241"/>
      <c r="W24" s="241"/>
      <c r="X24" s="241"/>
      <c r="Y24" s="244" t="str">
        <f>Y7</f>
        <v>JESUS MARTIN RICALDE CASTRO</v>
      </c>
      <c r="Z24" s="241"/>
      <c r="AA24" s="241"/>
      <c r="AB24" s="241"/>
      <c r="AC24" s="241"/>
      <c r="AD24" s="241"/>
      <c r="AE24" s="256"/>
      <c r="AF24" s="274"/>
    </row>
    <row r="25" spans="1:34" ht="12" customHeight="1">
      <c r="B25" s="260"/>
      <c r="C25" s="256"/>
      <c r="D25" s="256"/>
      <c r="E25" s="256"/>
      <c r="F25" s="256"/>
      <c r="G25" s="256"/>
      <c r="H25" s="256"/>
      <c r="I25" s="244" t="str">
        <f>I8</f>
        <v>INSPECTOR ESCOLAR</v>
      </c>
      <c r="J25" s="256"/>
      <c r="K25" s="256"/>
      <c r="L25" s="256"/>
      <c r="M25" s="256"/>
      <c r="N25" s="256"/>
      <c r="O25" s="256"/>
      <c r="P25" s="261"/>
      <c r="R25" s="260"/>
      <c r="S25" s="256"/>
      <c r="T25" s="256"/>
      <c r="U25" s="256"/>
      <c r="V25" s="256"/>
      <c r="W25" s="256"/>
      <c r="X25" s="256"/>
      <c r="Y25" s="244" t="str">
        <f>Y8</f>
        <v>INSPECTOR ESCOLAR</v>
      </c>
      <c r="Z25" s="256"/>
      <c r="AA25" s="256"/>
      <c r="AB25" s="256"/>
      <c r="AC25" s="256"/>
      <c r="AD25" s="256"/>
      <c r="AE25" s="256"/>
      <c r="AF25" s="261"/>
    </row>
    <row r="26" spans="1:34" ht="12" customHeight="1">
      <c r="B26" s="260"/>
      <c r="C26" s="256"/>
      <c r="D26" s="256"/>
      <c r="E26" s="256"/>
      <c r="F26" s="256"/>
      <c r="G26" s="256"/>
      <c r="H26" s="256"/>
      <c r="I26" s="244">
        <f>I9</f>
        <v>0</v>
      </c>
      <c r="J26" s="256"/>
      <c r="K26" s="256"/>
      <c r="L26" s="256"/>
      <c r="M26" s="256"/>
      <c r="N26" s="256"/>
      <c r="O26" s="256"/>
      <c r="P26" s="274"/>
      <c r="R26" s="260"/>
      <c r="S26" s="256"/>
      <c r="T26" s="256"/>
      <c r="U26" s="256"/>
      <c r="V26" s="256"/>
      <c r="W26" s="256"/>
      <c r="X26" s="256"/>
      <c r="Y26" s="244">
        <f>Y9</f>
        <v>0</v>
      </c>
      <c r="Z26" s="256"/>
      <c r="AA26" s="256"/>
      <c r="AB26" s="256"/>
      <c r="AC26" s="256"/>
      <c r="AD26" s="256"/>
      <c r="AE26" s="256"/>
      <c r="AF26" s="274"/>
    </row>
    <row r="27" spans="1:34" ht="12" customHeight="1">
      <c r="B27" s="260"/>
      <c r="C27" s="256"/>
      <c r="D27" s="256"/>
      <c r="E27" s="256"/>
      <c r="F27" s="256"/>
      <c r="G27" s="256"/>
      <c r="H27" s="256"/>
      <c r="I27" s="244" t="str">
        <f>I10</f>
        <v>ZONA ESCOLAR 042</v>
      </c>
      <c r="J27" s="256"/>
      <c r="K27" s="256"/>
      <c r="L27" s="256"/>
      <c r="M27" s="256"/>
      <c r="N27" s="256"/>
      <c r="O27" s="256"/>
      <c r="P27" s="261"/>
      <c r="R27" s="260"/>
      <c r="S27" s="256"/>
      <c r="T27" s="256"/>
      <c r="U27" s="256"/>
      <c r="V27" s="256"/>
      <c r="W27" s="256"/>
      <c r="X27" s="256"/>
      <c r="Y27" s="244" t="str">
        <f>Y10</f>
        <v>ZONA ESCOLAR 042</v>
      </c>
      <c r="Z27" s="256"/>
      <c r="AA27" s="256"/>
      <c r="AB27" s="256"/>
      <c r="AC27" s="256"/>
      <c r="AD27" s="256"/>
      <c r="AE27" s="256"/>
      <c r="AF27" s="261"/>
    </row>
    <row r="28" spans="1:34" ht="12" customHeight="1">
      <c r="B28" s="260"/>
      <c r="C28" s="256"/>
      <c r="D28" s="256"/>
      <c r="E28" s="256"/>
      <c r="F28" s="256"/>
      <c r="G28" s="256"/>
      <c r="H28" s="256"/>
      <c r="I28" s="256"/>
      <c r="J28" s="256"/>
      <c r="K28" s="256"/>
      <c r="L28" s="256"/>
      <c r="M28" s="256"/>
      <c r="N28" s="256"/>
      <c r="O28" s="256"/>
      <c r="P28" s="274"/>
      <c r="R28" s="260"/>
      <c r="S28" s="256"/>
      <c r="T28" s="256"/>
      <c r="U28" s="256"/>
      <c r="V28" s="256"/>
      <c r="W28" s="256"/>
      <c r="X28" s="256"/>
      <c r="Y28" s="256"/>
      <c r="Z28" s="256"/>
      <c r="AA28" s="256"/>
      <c r="AB28" s="256"/>
      <c r="AC28" s="256"/>
      <c r="AD28" s="256"/>
      <c r="AE28" s="256"/>
      <c r="AF28" s="274"/>
    </row>
    <row r="29" spans="1:34" ht="12" customHeight="1">
      <c r="B29" s="260"/>
      <c r="C29" s="256"/>
      <c r="D29" s="256"/>
      <c r="E29" s="256"/>
      <c r="F29" s="256"/>
      <c r="G29" s="256"/>
      <c r="H29" s="256"/>
      <c r="I29" s="256"/>
      <c r="J29" s="256"/>
      <c r="K29" s="256"/>
      <c r="L29" s="256"/>
      <c r="M29" s="256"/>
      <c r="N29" s="256"/>
      <c r="O29" s="256"/>
      <c r="P29" s="261"/>
      <c r="R29" s="260"/>
      <c r="S29" s="256"/>
      <c r="T29" s="256"/>
      <c r="U29" s="256"/>
      <c r="V29" s="256"/>
      <c r="W29" s="256"/>
      <c r="X29" s="256"/>
      <c r="Y29" s="256"/>
      <c r="Z29" s="256"/>
      <c r="AA29" s="256"/>
      <c r="AB29" s="256"/>
      <c r="AC29" s="256"/>
      <c r="AD29" s="256"/>
      <c r="AE29" s="256"/>
      <c r="AF29" s="261"/>
    </row>
    <row r="30" spans="1:34" ht="12" customHeight="1">
      <c r="B30" s="260"/>
      <c r="C30" s="241" t="str">
        <f>C13</f>
        <v>MODULO  DE  INSPECTORES</v>
      </c>
      <c r="D30" s="256"/>
      <c r="E30" s="256"/>
      <c r="F30" s="256"/>
      <c r="G30" s="256"/>
      <c r="H30" s="256"/>
      <c r="I30" s="256"/>
      <c r="J30" s="256"/>
      <c r="K30" s="256"/>
      <c r="L30" s="256"/>
      <c r="M30" s="256"/>
      <c r="N30" s="256"/>
      <c r="O30" s="240" t="str">
        <f>O13</f>
        <v>REG-93   MZA-5   ENTRE</v>
      </c>
      <c r="P30" s="261"/>
      <c r="R30" s="260"/>
      <c r="S30" s="241" t="str">
        <f>S13</f>
        <v>MODULO  DE  INSPECTORES</v>
      </c>
      <c r="T30" s="256"/>
      <c r="U30" s="256"/>
      <c r="V30" s="256"/>
      <c r="W30" s="256"/>
      <c r="X30" s="256"/>
      <c r="Y30" s="256"/>
      <c r="Z30" s="256"/>
      <c r="AA30" s="256"/>
      <c r="AB30" s="256"/>
      <c r="AC30" s="256"/>
      <c r="AD30" s="256"/>
      <c r="AE30" s="240" t="str">
        <f>AE13</f>
        <v>REG-93   MZA-5   ENTRE</v>
      </c>
      <c r="AF30" s="261"/>
    </row>
    <row r="31" spans="1:34" ht="12" customHeight="1">
      <c r="B31" s="260"/>
      <c r="C31" s="241" t="str">
        <f>C14</f>
        <v>AV-MIGUEL   HIDALGO   Y</v>
      </c>
      <c r="D31" s="256"/>
      <c r="E31" s="256"/>
      <c r="F31" s="256"/>
      <c r="G31" s="256"/>
      <c r="H31" s="256"/>
      <c r="I31" s="256"/>
      <c r="J31" s="256"/>
      <c r="K31" s="256"/>
      <c r="L31" s="256"/>
      <c r="M31" s="256"/>
      <c r="N31" s="256"/>
      <c r="O31" s="240" t="str">
        <f>O14</f>
        <v>AV-FCO.   I.    MADERO</v>
      </c>
      <c r="P31" s="261"/>
      <c r="R31" s="260"/>
      <c r="S31" s="241" t="str">
        <f>S14</f>
        <v>AV-MIGUEL   HIDALGO   Y</v>
      </c>
      <c r="T31" s="256"/>
      <c r="U31" s="256"/>
      <c r="V31" s="256"/>
      <c r="W31" s="256"/>
      <c r="X31" s="256"/>
      <c r="Y31" s="256"/>
      <c r="Z31" s="256"/>
      <c r="AA31" s="256"/>
      <c r="AB31" s="256"/>
      <c r="AC31" s="256"/>
      <c r="AD31" s="256"/>
      <c r="AE31" s="240" t="str">
        <f>AE14</f>
        <v>AV-FCO.   I.    MADERO</v>
      </c>
      <c r="AF31" s="261"/>
    </row>
    <row r="32" spans="1:34" ht="12" customHeight="1">
      <c r="B32" s="260"/>
      <c r="C32" s="241" t="str">
        <f>C15</f>
        <v>CEL- 99 88 60 03 81</v>
      </c>
      <c r="D32" s="256"/>
      <c r="E32" s="256"/>
      <c r="F32" s="256"/>
      <c r="G32" s="256"/>
      <c r="H32" s="256"/>
      <c r="I32" s="256"/>
      <c r="J32" s="256"/>
      <c r="K32" s="256"/>
      <c r="L32" s="256"/>
      <c r="M32" s="256"/>
      <c r="N32" s="256"/>
      <c r="O32" s="240" t="str">
        <f>O15</f>
        <v>martincancun69@hotmail.com</v>
      </c>
      <c r="P32" s="261"/>
      <c r="R32" s="260"/>
      <c r="S32" s="241" t="str">
        <f>S15</f>
        <v>CEL- 99 88 60 03 81</v>
      </c>
      <c r="T32" s="256"/>
      <c r="U32" s="256"/>
      <c r="V32" s="256"/>
      <c r="W32" s="256"/>
      <c r="X32" s="256"/>
      <c r="Y32" s="256"/>
      <c r="Z32" s="256"/>
      <c r="AA32" s="256"/>
      <c r="AB32" s="256"/>
      <c r="AC32" s="256"/>
      <c r="AD32" s="256"/>
      <c r="AE32" s="240" t="str">
        <f>AE15</f>
        <v>martincancun69@hotmail.com</v>
      </c>
      <c r="AF32" s="261"/>
    </row>
    <row r="33" spans="1:33" ht="12" customHeight="1">
      <c r="B33" s="260"/>
      <c r="C33" s="241" t="str">
        <f>C16</f>
        <v>OFICINA: 8 40 17 45 EXT. 107</v>
      </c>
      <c r="D33" s="256"/>
      <c r="E33" s="256"/>
      <c r="F33" s="256"/>
      <c r="G33" s="256"/>
      <c r="H33" s="256"/>
      <c r="I33" s="256"/>
      <c r="J33" s="256"/>
      <c r="K33" s="256"/>
      <c r="L33" s="256"/>
      <c r="M33" s="256"/>
      <c r="N33" s="256"/>
      <c r="O33" s="240" t="str">
        <f>O16</f>
        <v>CANCUN QUINTANA ROO MEXICO</v>
      </c>
      <c r="P33" s="261"/>
      <c r="R33" s="260"/>
      <c r="S33" s="241" t="str">
        <f>S16</f>
        <v>OFICINA: 8 40 17 45 EXT. 107</v>
      </c>
      <c r="T33" s="256"/>
      <c r="U33" s="256"/>
      <c r="V33" s="256"/>
      <c r="W33" s="256"/>
      <c r="X33" s="256"/>
      <c r="Y33" s="256"/>
      <c r="Z33" s="256"/>
      <c r="AA33" s="256"/>
      <c r="AB33" s="256"/>
      <c r="AC33" s="256"/>
      <c r="AD33" s="256"/>
      <c r="AE33" s="240" t="str">
        <f>AE16</f>
        <v>CANCUN QUINTANA ROO MEXICO</v>
      </c>
      <c r="AF33" s="261"/>
    </row>
    <row r="34" spans="1:33" ht="12" customHeight="1">
      <c r="B34" s="279"/>
      <c r="C34" s="280"/>
      <c r="D34" s="280"/>
      <c r="E34" s="280"/>
      <c r="F34" s="280"/>
      <c r="G34" s="280"/>
      <c r="H34" s="280"/>
      <c r="I34" s="280"/>
      <c r="J34" s="280"/>
      <c r="K34" s="280"/>
      <c r="L34" s="280"/>
      <c r="M34" s="280"/>
      <c r="N34" s="280"/>
      <c r="O34" s="280"/>
      <c r="P34" s="281"/>
      <c r="R34" s="279"/>
      <c r="S34" s="280"/>
      <c r="T34" s="280"/>
      <c r="U34" s="280"/>
      <c r="V34" s="280"/>
      <c r="W34" s="280"/>
      <c r="X34" s="280"/>
      <c r="Y34" s="280"/>
      <c r="Z34" s="280"/>
      <c r="AA34" s="280"/>
      <c r="AB34" s="280"/>
      <c r="AC34" s="280"/>
      <c r="AD34" s="280"/>
      <c r="AE34" s="280"/>
      <c r="AF34" s="281"/>
    </row>
    <row r="35" spans="1:33" ht="8.1" customHeight="1"/>
    <row r="36" spans="1:33" ht="12" customHeight="1">
      <c r="B36" s="249"/>
      <c r="C36" s="250"/>
      <c r="D36" s="250"/>
      <c r="E36" s="250"/>
      <c r="F36" s="250"/>
      <c r="G36" s="250"/>
      <c r="H36" s="250"/>
      <c r="I36" s="250"/>
      <c r="J36" s="250"/>
      <c r="K36" s="250"/>
      <c r="L36" s="250"/>
      <c r="M36" s="250"/>
      <c r="N36" s="250"/>
      <c r="O36" s="250"/>
      <c r="P36" s="251"/>
      <c r="R36" s="249"/>
      <c r="S36" s="250"/>
      <c r="T36" s="250"/>
      <c r="U36" s="250"/>
      <c r="V36" s="250"/>
      <c r="W36" s="250"/>
      <c r="X36" s="250"/>
      <c r="Y36" s="250"/>
      <c r="Z36" s="250"/>
      <c r="AA36" s="250"/>
      <c r="AB36" s="250"/>
      <c r="AC36" s="250"/>
      <c r="AD36" s="250"/>
      <c r="AE36" s="250"/>
      <c r="AF36" s="251"/>
    </row>
    <row r="37" spans="1:33" ht="12" customHeight="1">
      <c r="B37" s="254"/>
      <c r="C37" s="255"/>
      <c r="D37" s="255"/>
      <c r="E37" s="256"/>
      <c r="F37" s="256"/>
      <c r="G37" s="256"/>
      <c r="H37" s="256"/>
      <c r="I37" s="255"/>
      <c r="J37" s="255"/>
      <c r="K37" s="255"/>
      <c r="L37" s="255"/>
      <c r="M37" s="255"/>
      <c r="N37" s="255"/>
      <c r="O37" s="255"/>
      <c r="P37" s="257"/>
      <c r="R37" s="254"/>
      <c r="S37" s="255"/>
      <c r="T37" s="255"/>
      <c r="U37" s="256"/>
      <c r="V37" s="256"/>
      <c r="W37" s="256"/>
      <c r="X37" s="256"/>
      <c r="Y37" s="255"/>
      <c r="Z37" s="255"/>
      <c r="AA37" s="255"/>
      <c r="AB37" s="255"/>
      <c r="AC37" s="255"/>
      <c r="AD37" s="255"/>
      <c r="AE37" s="255"/>
      <c r="AF37" s="257"/>
    </row>
    <row r="38" spans="1:33" ht="12" customHeight="1">
      <c r="A38" s="258"/>
      <c r="B38" s="260"/>
      <c r="C38" s="256"/>
      <c r="D38" s="256"/>
      <c r="E38" s="256"/>
      <c r="F38" s="256"/>
      <c r="G38" s="256"/>
      <c r="H38" s="256"/>
      <c r="I38" s="256"/>
      <c r="J38" s="256"/>
      <c r="K38" s="256"/>
      <c r="L38" s="256"/>
      <c r="M38" s="256"/>
      <c r="N38" s="256"/>
      <c r="O38" s="256"/>
      <c r="P38" s="261"/>
      <c r="Q38" s="258"/>
      <c r="R38" s="260"/>
      <c r="S38" s="256"/>
      <c r="T38" s="256"/>
      <c r="U38" s="256"/>
      <c r="V38" s="256"/>
      <c r="W38" s="256"/>
      <c r="X38" s="256"/>
      <c r="Y38" s="256"/>
      <c r="Z38" s="256"/>
      <c r="AA38" s="256"/>
      <c r="AB38" s="256"/>
      <c r="AC38" s="256"/>
      <c r="AD38" s="256"/>
      <c r="AE38" s="256"/>
      <c r="AF38" s="261"/>
      <c r="AG38" s="258"/>
    </row>
    <row r="39" spans="1:33" ht="12" customHeight="1">
      <c r="B39" s="263"/>
      <c r="C39" s="256"/>
      <c r="D39" s="256"/>
      <c r="E39" s="256"/>
      <c r="F39" s="256"/>
      <c r="G39" s="256"/>
      <c r="H39" s="256"/>
      <c r="I39" s="256"/>
      <c r="J39" s="256"/>
      <c r="K39" s="256"/>
      <c r="L39" s="256"/>
      <c r="M39" s="256"/>
      <c r="N39" s="256"/>
      <c r="O39" s="256"/>
      <c r="P39" s="264"/>
      <c r="R39" s="263"/>
      <c r="S39" s="256"/>
      <c r="T39" s="256"/>
      <c r="U39" s="256"/>
      <c r="V39" s="256"/>
      <c r="W39" s="256"/>
      <c r="X39" s="256"/>
      <c r="Y39" s="256"/>
      <c r="Z39" s="256"/>
      <c r="AA39" s="256"/>
      <c r="AB39" s="256"/>
      <c r="AC39" s="256"/>
      <c r="AD39" s="256"/>
      <c r="AE39" s="256"/>
      <c r="AF39" s="264"/>
    </row>
    <row r="40" spans="1:33" ht="12" customHeight="1">
      <c r="B40" s="260"/>
      <c r="C40" s="256"/>
      <c r="D40" s="240"/>
      <c r="F40" s="272"/>
      <c r="G40" s="241"/>
      <c r="H40" s="241"/>
      <c r="J40" s="241"/>
      <c r="K40" s="241"/>
      <c r="L40" s="241"/>
      <c r="M40" s="241"/>
      <c r="N40" s="241"/>
      <c r="O40" s="256"/>
      <c r="P40" s="261"/>
      <c r="R40" s="260"/>
      <c r="S40" s="256"/>
      <c r="T40" s="240"/>
      <c r="V40" s="272"/>
      <c r="W40" s="241"/>
      <c r="X40" s="241"/>
      <c r="Z40" s="241"/>
      <c r="AA40" s="241"/>
      <c r="AB40" s="241"/>
      <c r="AC40" s="241"/>
      <c r="AD40" s="241"/>
      <c r="AE40" s="256"/>
      <c r="AF40" s="261"/>
    </row>
    <row r="41" spans="1:33" ht="12" customHeight="1">
      <c r="B41" s="260"/>
      <c r="C41" s="256"/>
      <c r="D41" s="790" t="str">
        <f>D24</f>
        <v>MS.C.</v>
      </c>
      <c r="E41" s="789"/>
      <c r="F41" s="241"/>
      <c r="G41" s="241"/>
      <c r="H41" s="241"/>
      <c r="I41" s="244" t="str">
        <f>I24</f>
        <v>JESUS MARTIN RICALDE CASTRO</v>
      </c>
      <c r="J41" s="241"/>
      <c r="K41" s="241"/>
      <c r="L41" s="241"/>
      <c r="M41" s="241"/>
      <c r="N41" s="241"/>
      <c r="O41" s="256"/>
      <c r="P41" s="274"/>
      <c r="R41" s="260"/>
      <c r="S41" s="256"/>
      <c r="T41" s="790" t="str">
        <f>T24</f>
        <v>MS.C.</v>
      </c>
      <c r="U41" s="789"/>
      <c r="V41" s="241"/>
      <c r="W41" s="241"/>
      <c r="X41" s="241"/>
      <c r="Y41" s="244" t="str">
        <f>Y24</f>
        <v>JESUS MARTIN RICALDE CASTRO</v>
      </c>
      <c r="Z41" s="241"/>
      <c r="AA41" s="241"/>
      <c r="AB41" s="241"/>
      <c r="AC41" s="241"/>
      <c r="AD41" s="241"/>
      <c r="AE41" s="256"/>
      <c r="AF41" s="274"/>
    </row>
    <row r="42" spans="1:33" ht="12" customHeight="1">
      <c r="B42" s="260"/>
      <c r="C42" s="256"/>
      <c r="D42" s="256"/>
      <c r="E42" s="256"/>
      <c r="F42" s="256"/>
      <c r="G42" s="256"/>
      <c r="H42" s="256"/>
      <c r="I42" s="244" t="str">
        <f>I25</f>
        <v>INSPECTOR ESCOLAR</v>
      </c>
      <c r="J42" s="256"/>
      <c r="K42" s="256"/>
      <c r="L42" s="256"/>
      <c r="M42" s="256"/>
      <c r="N42" s="256"/>
      <c r="O42" s="256"/>
      <c r="P42" s="261"/>
      <c r="R42" s="260"/>
      <c r="S42" s="256"/>
      <c r="T42" s="256"/>
      <c r="U42" s="256"/>
      <c r="V42" s="256"/>
      <c r="W42" s="256"/>
      <c r="X42" s="256"/>
      <c r="Y42" s="244" t="str">
        <f>Y25</f>
        <v>INSPECTOR ESCOLAR</v>
      </c>
      <c r="Z42" s="256"/>
      <c r="AA42" s="256"/>
      <c r="AB42" s="256"/>
      <c r="AC42" s="256"/>
      <c r="AD42" s="256"/>
      <c r="AE42" s="256"/>
      <c r="AF42" s="261"/>
    </row>
    <row r="43" spans="1:33" ht="12" customHeight="1">
      <c r="B43" s="260"/>
      <c r="C43" s="256"/>
      <c r="D43" s="256"/>
      <c r="E43" s="256"/>
      <c r="F43" s="256"/>
      <c r="G43" s="256"/>
      <c r="H43" s="256"/>
      <c r="I43" s="244">
        <f>I26</f>
        <v>0</v>
      </c>
      <c r="J43" s="256"/>
      <c r="K43" s="256"/>
      <c r="L43" s="256"/>
      <c r="M43" s="256"/>
      <c r="N43" s="256"/>
      <c r="O43" s="256"/>
      <c r="P43" s="274"/>
      <c r="R43" s="260"/>
      <c r="S43" s="256"/>
      <c r="T43" s="256"/>
      <c r="U43" s="256"/>
      <c r="V43" s="256"/>
      <c r="W43" s="256"/>
      <c r="X43" s="256"/>
      <c r="Y43" s="244">
        <f>Y26</f>
        <v>0</v>
      </c>
      <c r="Z43" s="256"/>
      <c r="AA43" s="256"/>
      <c r="AB43" s="256"/>
      <c r="AC43" s="256"/>
      <c r="AD43" s="256"/>
      <c r="AE43" s="256"/>
      <c r="AF43" s="274"/>
    </row>
    <row r="44" spans="1:33" ht="12" customHeight="1">
      <c r="B44" s="260"/>
      <c r="C44" s="256"/>
      <c r="D44" s="256"/>
      <c r="E44" s="256"/>
      <c r="F44" s="256"/>
      <c r="G44" s="256"/>
      <c r="H44" s="256"/>
      <c r="I44" s="244" t="str">
        <f>I27</f>
        <v>ZONA ESCOLAR 042</v>
      </c>
      <c r="J44" s="256"/>
      <c r="K44" s="256"/>
      <c r="L44" s="256"/>
      <c r="M44" s="256"/>
      <c r="N44" s="256"/>
      <c r="O44" s="256"/>
      <c r="P44" s="261"/>
      <c r="R44" s="260"/>
      <c r="S44" s="256"/>
      <c r="T44" s="256"/>
      <c r="U44" s="256"/>
      <c r="V44" s="256"/>
      <c r="W44" s="256"/>
      <c r="X44" s="256"/>
      <c r="Y44" s="244" t="str">
        <f>Y27</f>
        <v>ZONA ESCOLAR 042</v>
      </c>
      <c r="Z44" s="256"/>
      <c r="AA44" s="256"/>
      <c r="AB44" s="256"/>
      <c r="AC44" s="256"/>
      <c r="AD44" s="256"/>
      <c r="AE44" s="256"/>
      <c r="AF44" s="261"/>
    </row>
    <row r="45" spans="1:33" ht="12" customHeight="1">
      <c r="B45" s="260"/>
      <c r="C45" s="256"/>
      <c r="D45" s="256"/>
      <c r="E45" s="256"/>
      <c r="F45" s="256"/>
      <c r="G45" s="256"/>
      <c r="H45" s="256"/>
      <c r="I45" s="256"/>
      <c r="J45" s="256"/>
      <c r="K45" s="256"/>
      <c r="L45" s="256"/>
      <c r="M45" s="256"/>
      <c r="N45" s="256"/>
      <c r="O45" s="256"/>
      <c r="P45" s="274"/>
      <c r="R45" s="260"/>
      <c r="S45" s="256"/>
      <c r="T45" s="256"/>
      <c r="U45" s="256"/>
      <c r="V45" s="256"/>
      <c r="W45" s="256"/>
      <c r="X45" s="256"/>
      <c r="Y45" s="256"/>
      <c r="Z45" s="256"/>
      <c r="AA45" s="256"/>
      <c r="AB45" s="256"/>
      <c r="AC45" s="256"/>
      <c r="AD45" s="256"/>
      <c r="AE45" s="256"/>
      <c r="AF45" s="274"/>
    </row>
    <row r="46" spans="1:33" ht="12" customHeight="1">
      <c r="B46" s="260"/>
      <c r="C46" s="256"/>
      <c r="D46" s="256"/>
      <c r="E46" s="256"/>
      <c r="F46" s="256"/>
      <c r="G46" s="256"/>
      <c r="H46" s="256"/>
      <c r="I46" s="256"/>
      <c r="J46" s="256"/>
      <c r="K46" s="256"/>
      <c r="L46" s="256"/>
      <c r="M46" s="256"/>
      <c r="N46" s="256"/>
      <c r="O46" s="256"/>
      <c r="P46" s="261"/>
      <c r="R46" s="260"/>
      <c r="S46" s="256"/>
      <c r="T46" s="256"/>
      <c r="U46" s="256"/>
      <c r="V46" s="256"/>
      <c r="W46" s="256"/>
      <c r="X46" s="256"/>
      <c r="Y46" s="256"/>
      <c r="Z46" s="256"/>
      <c r="AA46" s="256"/>
      <c r="AB46" s="256"/>
      <c r="AC46" s="256"/>
      <c r="AD46" s="256"/>
      <c r="AE46" s="256"/>
      <c r="AF46" s="261"/>
    </row>
    <row r="47" spans="1:33" ht="12" customHeight="1">
      <c r="B47" s="260"/>
      <c r="C47" s="241" t="str">
        <f>C30</f>
        <v>MODULO  DE  INSPECTORES</v>
      </c>
      <c r="D47" s="256"/>
      <c r="E47" s="256"/>
      <c r="F47" s="256"/>
      <c r="G47" s="256"/>
      <c r="H47" s="256"/>
      <c r="I47" s="256"/>
      <c r="J47" s="256"/>
      <c r="K47" s="256"/>
      <c r="L47" s="256"/>
      <c r="M47" s="256"/>
      <c r="N47" s="256"/>
      <c r="O47" s="240" t="str">
        <f>O30</f>
        <v>REG-93   MZA-5   ENTRE</v>
      </c>
      <c r="P47" s="261"/>
      <c r="R47" s="260"/>
      <c r="S47" s="241" t="str">
        <f>S30</f>
        <v>MODULO  DE  INSPECTORES</v>
      </c>
      <c r="T47" s="256"/>
      <c r="U47" s="256"/>
      <c r="V47" s="256"/>
      <c r="W47" s="256"/>
      <c r="X47" s="256"/>
      <c r="Y47" s="256"/>
      <c r="Z47" s="256"/>
      <c r="AA47" s="256"/>
      <c r="AB47" s="256"/>
      <c r="AC47" s="256"/>
      <c r="AD47" s="256"/>
      <c r="AE47" s="240" t="str">
        <f>AE30</f>
        <v>REG-93   MZA-5   ENTRE</v>
      </c>
      <c r="AF47" s="261"/>
    </row>
    <row r="48" spans="1:33" ht="12" customHeight="1">
      <c r="B48" s="260"/>
      <c r="C48" s="241" t="str">
        <f>C31</f>
        <v>AV-MIGUEL   HIDALGO   Y</v>
      </c>
      <c r="D48" s="256"/>
      <c r="E48" s="256"/>
      <c r="F48" s="256"/>
      <c r="G48" s="256"/>
      <c r="H48" s="256"/>
      <c r="I48" s="256"/>
      <c r="J48" s="256"/>
      <c r="K48" s="256"/>
      <c r="L48" s="256"/>
      <c r="M48" s="256"/>
      <c r="N48" s="256"/>
      <c r="O48" s="240" t="str">
        <f>O31</f>
        <v>AV-FCO.   I.    MADERO</v>
      </c>
      <c r="P48" s="261"/>
      <c r="R48" s="260"/>
      <c r="S48" s="241" t="str">
        <f>S31</f>
        <v>AV-MIGUEL   HIDALGO   Y</v>
      </c>
      <c r="T48" s="256"/>
      <c r="U48" s="256"/>
      <c r="V48" s="256"/>
      <c r="W48" s="256"/>
      <c r="X48" s="256"/>
      <c r="Y48" s="256"/>
      <c r="Z48" s="256"/>
      <c r="AA48" s="256"/>
      <c r="AB48" s="256"/>
      <c r="AC48" s="256"/>
      <c r="AD48" s="256"/>
      <c r="AE48" s="240" t="str">
        <f>AE31</f>
        <v>AV-FCO.   I.    MADERO</v>
      </c>
      <c r="AF48" s="261"/>
    </row>
    <row r="49" spans="1:33" ht="12" customHeight="1">
      <c r="B49" s="260"/>
      <c r="C49" s="241" t="str">
        <f>C32</f>
        <v>CEL- 99 88 60 03 81</v>
      </c>
      <c r="D49" s="256"/>
      <c r="E49" s="256"/>
      <c r="F49" s="256"/>
      <c r="G49" s="256"/>
      <c r="H49" s="256"/>
      <c r="I49" s="256"/>
      <c r="J49" s="256"/>
      <c r="K49" s="256"/>
      <c r="L49" s="256"/>
      <c r="M49" s="256"/>
      <c r="N49" s="256"/>
      <c r="O49" s="240" t="str">
        <f>O32</f>
        <v>martincancun69@hotmail.com</v>
      </c>
      <c r="P49" s="261"/>
      <c r="R49" s="260"/>
      <c r="S49" s="241" t="str">
        <f>S32</f>
        <v>CEL- 99 88 60 03 81</v>
      </c>
      <c r="T49" s="256"/>
      <c r="U49" s="256"/>
      <c r="V49" s="256"/>
      <c r="W49" s="256"/>
      <c r="X49" s="256"/>
      <c r="Y49" s="256"/>
      <c r="Z49" s="256"/>
      <c r="AA49" s="256"/>
      <c r="AB49" s="256"/>
      <c r="AC49" s="256"/>
      <c r="AD49" s="256"/>
      <c r="AE49" s="240" t="str">
        <f>AE32</f>
        <v>martincancun69@hotmail.com</v>
      </c>
      <c r="AF49" s="261"/>
    </row>
    <row r="50" spans="1:33" ht="12" customHeight="1">
      <c r="B50" s="260"/>
      <c r="C50" s="241" t="str">
        <f>C33</f>
        <v>OFICINA: 8 40 17 45 EXT. 107</v>
      </c>
      <c r="D50" s="256"/>
      <c r="E50" s="256"/>
      <c r="F50" s="256"/>
      <c r="G50" s="256"/>
      <c r="H50" s="256"/>
      <c r="I50" s="256"/>
      <c r="J50" s="256"/>
      <c r="K50" s="256"/>
      <c r="L50" s="256"/>
      <c r="M50" s="256"/>
      <c r="N50" s="256"/>
      <c r="O50" s="240" t="str">
        <f>O33</f>
        <v>CANCUN QUINTANA ROO MEXICO</v>
      </c>
      <c r="P50" s="261"/>
      <c r="R50" s="260"/>
      <c r="S50" s="241" t="str">
        <f>S33</f>
        <v>OFICINA: 8 40 17 45 EXT. 107</v>
      </c>
      <c r="T50" s="256"/>
      <c r="U50" s="256"/>
      <c r="V50" s="256"/>
      <c r="W50" s="256"/>
      <c r="X50" s="256"/>
      <c r="Y50" s="256"/>
      <c r="Z50" s="256"/>
      <c r="AA50" s="256"/>
      <c r="AB50" s="256"/>
      <c r="AC50" s="256"/>
      <c r="AD50" s="256"/>
      <c r="AE50" s="240" t="str">
        <f>AE33</f>
        <v>CANCUN QUINTANA ROO MEXICO</v>
      </c>
      <c r="AF50" s="261"/>
    </row>
    <row r="51" spans="1:33" ht="12" customHeight="1">
      <c r="B51" s="279"/>
      <c r="C51" s="280"/>
      <c r="D51" s="280"/>
      <c r="E51" s="280"/>
      <c r="F51" s="280"/>
      <c r="G51" s="280"/>
      <c r="H51" s="280"/>
      <c r="I51" s="280"/>
      <c r="J51" s="280"/>
      <c r="K51" s="280"/>
      <c r="L51" s="280"/>
      <c r="M51" s="280"/>
      <c r="N51" s="280"/>
      <c r="O51" s="280"/>
      <c r="P51" s="281"/>
      <c r="R51" s="279"/>
      <c r="S51" s="280"/>
      <c r="T51" s="280"/>
      <c r="U51" s="280"/>
      <c r="V51" s="280"/>
      <c r="W51" s="280"/>
      <c r="X51" s="280"/>
      <c r="Y51" s="280"/>
      <c r="Z51" s="280"/>
      <c r="AA51" s="280"/>
      <c r="AB51" s="280"/>
      <c r="AC51" s="280"/>
      <c r="AD51" s="280"/>
      <c r="AE51" s="280"/>
      <c r="AF51" s="281"/>
    </row>
    <row r="52" spans="1:33" ht="8.1" customHeight="1"/>
    <row r="53" spans="1:33" ht="12" customHeight="1">
      <c r="B53" s="249"/>
      <c r="C53" s="250"/>
      <c r="D53" s="250"/>
      <c r="E53" s="250"/>
      <c r="F53" s="250"/>
      <c r="G53" s="250"/>
      <c r="H53" s="250"/>
      <c r="I53" s="250"/>
      <c r="J53" s="250"/>
      <c r="K53" s="250"/>
      <c r="L53" s="250"/>
      <c r="M53" s="250"/>
      <c r="N53" s="250"/>
      <c r="O53" s="250"/>
      <c r="P53" s="251"/>
      <c r="R53" s="249"/>
      <c r="S53" s="250"/>
      <c r="T53" s="250"/>
      <c r="U53" s="250"/>
      <c r="V53" s="250"/>
      <c r="W53" s="250"/>
      <c r="X53" s="250"/>
      <c r="Y53" s="250"/>
      <c r="Z53" s="250"/>
      <c r="AA53" s="250"/>
      <c r="AB53" s="250"/>
      <c r="AC53" s="250"/>
      <c r="AD53" s="250"/>
      <c r="AE53" s="250"/>
      <c r="AF53" s="251"/>
    </row>
    <row r="54" spans="1:33" ht="12" customHeight="1">
      <c r="B54" s="254"/>
      <c r="C54" s="255"/>
      <c r="D54" s="255"/>
      <c r="E54" s="256"/>
      <c r="F54" s="256"/>
      <c r="G54" s="256"/>
      <c r="H54" s="256"/>
      <c r="I54" s="255"/>
      <c r="J54" s="255"/>
      <c r="K54" s="255"/>
      <c r="L54" s="255"/>
      <c r="M54" s="255"/>
      <c r="N54" s="255"/>
      <c r="O54" s="255"/>
      <c r="P54" s="257"/>
      <c r="R54" s="254"/>
      <c r="S54" s="255"/>
      <c r="T54" s="255"/>
      <c r="U54" s="256"/>
      <c r="V54" s="256"/>
      <c r="W54" s="256"/>
      <c r="X54" s="256"/>
      <c r="Y54" s="255"/>
      <c r="Z54" s="255"/>
      <c r="AA54" s="255"/>
      <c r="AB54" s="255"/>
      <c r="AC54" s="255"/>
      <c r="AD54" s="255"/>
      <c r="AE54" s="255"/>
      <c r="AF54" s="257"/>
    </row>
    <row r="55" spans="1:33" ht="12" customHeight="1">
      <c r="A55" s="258"/>
      <c r="B55" s="260"/>
      <c r="C55" s="256"/>
      <c r="D55" s="256"/>
      <c r="E55" s="256"/>
      <c r="F55" s="256"/>
      <c r="G55" s="256"/>
      <c r="H55" s="256"/>
      <c r="I55" s="256"/>
      <c r="J55" s="256"/>
      <c r="K55" s="256"/>
      <c r="L55" s="256"/>
      <c r="M55" s="256"/>
      <c r="N55" s="256"/>
      <c r="O55" s="256"/>
      <c r="P55" s="261"/>
      <c r="Q55" s="258"/>
      <c r="R55" s="260"/>
      <c r="S55" s="256"/>
      <c r="T55" s="256"/>
      <c r="U55" s="256"/>
      <c r="V55" s="256"/>
      <c r="W55" s="256"/>
      <c r="X55" s="256"/>
      <c r="Y55" s="256"/>
      <c r="Z55" s="256"/>
      <c r="AA55" s="256"/>
      <c r="AB55" s="256"/>
      <c r="AC55" s="256"/>
      <c r="AD55" s="256"/>
      <c r="AE55" s="256"/>
      <c r="AF55" s="261"/>
      <c r="AG55" s="258"/>
    </row>
    <row r="56" spans="1:33" ht="12" customHeight="1">
      <c r="B56" s="263"/>
      <c r="C56" s="256"/>
      <c r="D56" s="256"/>
      <c r="E56" s="256"/>
      <c r="F56" s="256"/>
      <c r="G56" s="256"/>
      <c r="H56" s="256"/>
      <c r="I56" s="256"/>
      <c r="J56" s="256"/>
      <c r="K56" s="256"/>
      <c r="L56" s="256"/>
      <c r="M56" s="256"/>
      <c r="N56" s="256"/>
      <c r="O56" s="256"/>
      <c r="P56" s="264"/>
      <c r="R56" s="263"/>
      <c r="S56" s="256"/>
      <c r="T56" s="256"/>
      <c r="U56" s="256"/>
      <c r="V56" s="256"/>
      <c r="W56" s="256"/>
      <c r="X56" s="256"/>
      <c r="Y56" s="256"/>
      <c r="Z56" s="256"/>
      <c r="AA56" s="256"/>
      <c r="AB56" s="256"/>
      <c r="AC56" s="256"/>
      <c r="AD56" s="256"/>
      <c r="AE56" s="256"/>
      <c r="AF56" s="264"/>
    </row>
    <row r="57" spans="1:33" ht="12" customHeight="1">
      <c r="B57" s="260"/>
      <c r="C57" s="256"/>
      <c r="D57" s="240"/>
      <c r="F57" s="272"/>
      <c r="G57" s="241"/>
      <c r="H57" s="241"/>
      <c r="J57" s="241"/>
      <c r="K57" s="241"/>
      <c r="L57" s="241"/>
      <c r="M57" s="241"/>
      <c r="N57" s="241"/>
      <c r="O57" s="256"/>
      <c r="P57" s="261"/>
      <c r="R57" s="260"/>
      <c r="S57" s="256"/>
      <c r="T57" s="240"/>
      <c r="V57" s="272"/>
      <c r="W57" s="241"/>
      <c r="X57" s="241"/>
      <c r="Z57" s="241"/>
      <c r="AA57" s="241"/>
      <c r="AB57" s="241"/>
      <c r="AC57" s="241"/>
      <c r="AD57" s="241"/>
      <c r="AE57" s="256"/>
      <c r="AF57" s="261"/>
    </row>
    <row r="58" spans="1:33" ht="12" customHeight="1">
      <c r="B58" s="260"/>
      <c r="C58" s="256"/>
      <c r="D58" s="790" t="str">
        <f>D41</f>
        <v>MS.C.</v>
      </c>
      <c r="E58" s="789"/>
      <c r="F58" s="241"/>
      <c r="G58" s="241"/>
      <c r="H58" s="241"/>
      <c r="I58" s="244" t="str">
        <f>I41</f>
        <v>JESUS MARTIN RICALDE CASTRO</v>
      </c>
      <c r="J58" s="241"/>
      <c r="K58" s="241"/>
      <c r="L58" s="241"/>
      <c r="M58" s="241"/>
      <c r="N58" s="241"/>
      <c r="O58" s="256"/>
      <c r="P58" s="274"/>
      <c r="R58" s="260"/>
      <c r="S58" s="256"/>
      <c r="T58" s="790" t="str">
        <f>T41</f>
        <v>MS.C.</v>
      </c>
      <c r="U58" s="789"/>
      <c r="V58" s="241"/>
      <c r="W58" s="241"/>
      <c r="X58" s="241"/>
      <c r="Y58" s="244" t="str">
        <f>Y41</f>
        <v>JESUS MARTIN RICALDE CASTRO</v>
      </c>
      <c r="Z58" s="241"/>
      <c r="AA58" s="241"/>
      <c r="AB58" s="241"/>
      <c r="AC58" s="241"/>
      <c r="AD58" s="241"/>
      <c r="AE58" s="256"/>
      <c r="AF58" s="274"/>
    </row>
    <row r="59" spans="1:33" ht="12" customHeight="1">
      <c r="B59" s="260"/>
      <c r="C59" s="256"/>
      <c r="D59" s="256"/>
      <c r="E59" s="256"/>
      <c r="F59" s="256"/>
      <c r="G59" s="256"/>
      <c r="H59" s="256"/>
      <c r="I59" s="244" t="str">
        <f>I42</f>
        <v>INSPECTOR ESCOLAR</v>
      </c>
      <c r="J59" s="256"/>
      <c r="K59" s="256"/>
      <c r="L59" s="256"/>
      <c r="M59" s="256"/>
      <c r="N59" s="256"/>
      <c r="O59" s="256"/>
      <c r="P59" s="261"/>
      <c r="R59" s="260"/>
      <c r="S59" s="256"/>
      <c r="T59" s="256"/>
      <c r="U59" s="256"/>
      <c r="V59" s="256"/>
      <c r="W59" s="256"/>
      <c r="X59" s="256"/>
      <c r="Y59" s="244" t="str">
        <f>Y42</f>
        <v>INSPECTOR ESCOLAR</v>
      </c>
      <c r="Z59" s="256"/>
      <c r="AA59" s="256"/>
      <c r="AB59" s="256"/>
      <c r="AC59" s="256"/>
      <c r="AD59" s="256"/>
      <c r="AE59" s="256"/>
      <c r="AF59" s="261"/>
    </row>
    <row r="60" spans="1:33" ht="12" customHeight="1">
      <c r="B60" s="260"/>
      <c r="C60" s="256"/>
      <c r="D60" s="256"/>
      <c r="E60" s="256"/>
      <c r="F60" s="256"/>
      <c r="G60" s="256"/>
      <c r="H60" s="256"/>
      <c r="I60" s="244">
        <f>I43</f>
        <v>0</v>
      </c>
      <c r="J60" s="256"/>
      <c r="K60" s="256"/>
      <c r="L60" s="256"/>
      <c r="M60" s="256"/>
      <c r="N60" s="256"/>
      <c r="O60" s="256"/>
      <c r="P60" s="274"/>
      <c r="R60" s="260"/>
      <c r="S60" s="256"/>
      <c r="T60" s="256"/>
      <c r="U60" s="256"/>
      <c r="V60" s="256"/>
      <c r="W60" s="256"/>
      <c r="X60" s="256"/>
      <c r="Y60" s="244">
        <f>Y43</f>
        <v>0</v>
      </c>
      <c r="Z60" s="256"/>
      <c r="AA60" s="256"/>
      <c r="AB60" s="256"/>
      <c r="AC60" s="256"/>
      <c r="AD60" s="256"/>
      <c r="AE60" s="256"/>
      <c r="AF60" s="274"/>
    </row>
    <row r="61" spans="1:33" ht="12" customHeight="1">
      <c r="B61" s="260"/>
      <c r="C61" s="256"/>
      <c r="D61" s="256"/>
      <c r="E61" s="256"/>
      <c r="F61" s="256"/>
      <c r="G61" s="256"/>
      <c r="H61" s="256"/>
      <c r="I61" s="244" t="str">
        <f>I44</f>
        <v>ZONA ESCOLAR 042</v>
      </c>
      <c r="J61" s="256"/>
      <c r="K61" s="256"/>
      <c r="L61" s="256"/>
      <c r="M61" s="256"/>
      <c r="N61" s="256"/>
      <c r="O61" s="256"/>
      <c r="P61" s="261"/>
      <c r="R61" s="260"/>
      <c r="S61" s="256"/>
      <c r="T61" s="256"/>
      <c r="U61" s="256"/>
      <c r="V61" s="256"/>
      <c r="W61" s="256"/>
      <c r="X61" s="256"/>
      <c r="Y61" s="244" t="str">
        <f>Y44</f>
        <v>ZONA ESCOLAR 042</v>
      </c>
      <c r="Z61" s="256"/>
      <c r="AA61" s="256"/>
      <c r="AB61" s="256"/>
      <c r="AC61" s="256"/>
      <c r="AD61" s="256"/>
      <c r="AE61" s="256"/>
      <c r="AF61" s="261"/>
    </row>
    <row r="62" spans="1:33" ht="12" customHeight="1">
      <c r="B62" s="260"/>
      <c r="C62" s="256"/>
      <c r="D62" s="256"/>
      <c r="E62" s="256"/>
      <c r="F62" s="256"/>
      <c r="G62" s="256"/>
      <c r="H62" s="256"/>
      <c r="I62" s="256"/>
      <c r="J62" s="256"/>
      <c r="K62" s="256"/>
      <c r="L62" s="256"/>
      <c r="M62" s="256"/>
      <c r="N62" s="256"/>
      <c r="O62" s="256"/>
      <c r="P62" s="274"/>
      <c r="R62" s="260"/>
      <c r="S62" s="256"/>
      <c r="T62" s="256"/>
      <c r="U62" s="256"/>
      <c r="V62" s="256"/>
      <c r="W62" s="256"/>
      <c r="X62" s="256"/>
      <c r="Y62" s="256"/>
      <c r="Z62" s="256"/>
      <c r="AA62" s="256"/>
      <c r="AB62" s="256"/>
      <c r="AC62" s="256"/>
      <c r="AD62" s="256"/>
      <c r="AE62" s="256"/>
      <c r="AF62" s="274"/>
    </row>
    <row r="63" spans="1:33" ht="12" customHeight="1">
      <c r="B63" s="260"/>
      <c r="C63" s="256"/>
      <c r="D63" s="256"/>
      <c r="E63" s="256"/>
      <c r="F63" s="256"/>
      <c r="G63" s="256"/>
      <c r="H63" s="256"/>
      <c r="I63" s="256"/>
      <c r="J63" s="256"/>
      <c r="K63" s="256"/>
      <c r="L63" s="256"/>
      <c r="M63" s="256"/>
      <c r="N63" s="256"/>
      <c r="O63" s="256"/>
      <c r="P63" s="261"/>
      <c r="R63" s="260"/>
      <c r="S63" s="256"/>
      <c r="T63" s="256"/>
      <c r="U63" s="256"/>
      <c r="V63" s="256"/>
      <c r="W63" s="256"/>
      <c r="X63" s="256"/>
      <c r="Y63" s="256"/>
      <c r="Z63" s="256"/>
      <c r="AA63" s="256"/>
      <c r="AB63" s="256"/>
      <c r="AC63" s="256"/>
      <c r="AD63" s="256"/>
      <c r="AE63" s="256"/>
      <c r="AF63" s="261"/>
    </row>
    <row r="64" spans="1:33" ht="12" customHeight="1">
      <c r="B64" s="260"/>
      <c r="C64" s="241" t="str">
        <f>C47</f>
        <v>MODULO  DE  INSPECTORES</v>
      </c>
      <c r="D64" s="256"/>
      <c r="E64" s="256"/>
      <c r="F64" s="256"/>
      <c r="G64" s="256"/>
      <c r="H64" s="256"/>
      <c r="I64" s="256"/>
      <c r="J64" s="256"/>
      <c r="K64" s="256"/>
      <c r="L64" s="256"/>
      <c r="M64" s="256"/>
      <c r="N64" s="256"/>
      <c r="O64" s="240" t="str">
        <f>O47</f>
        <v>REG-93   MZA-5   ENTRE</v>
      </c>
      <c r="P64" s="261"/>
      <c r="R64" s="260"/>
      <c r="S64" s="241" t="str">
        <f>S47</f>
        <v>MODULO  DE  INSPECTORES</v>
      </c>
      <c r="T64" s="256"/>
      <c r="U64" s="256"/>
      <c r="V64" s="256"/>
      <c r="W64" s="256"/>
      <c r="X64" s="256"/>
      <c r="Y64" s="256"/>
      <c r="Z64" s="256"/>
      <c r="AA64" s="256"/>
      <c r="AB64" s="256"/>
      <c r="AC64" s="256"/>
      <c r="AD64" s="256"/>
      <c r="AE64" s="240" t="str">
        <f>AE47</f>
        <v>REG-93   MZA-5   ENTRE</v>
      </c>
      <c r="AF64" s="261"/>
    </row>
    <row r="65" spans="2:32" ht="12" customHeight="1">
      <c r="B65" s="260"/>
      <c r="C65" s="241" t="str">
        <f>C48</f>
        <v>AV-MIGUEL   HIDALGO   Y</v>
      </c>
      <c r="D65" s="256"/>
      <c r="E65" s="256"/>
      <c r="F65" s="256"/>
      <c r="G65" s="256"/>
      <c r="H65" s="256"/>
      <c r="I65" s="256"/>
      <c r="J65" s="256"/>
      <c r="K65" s="256"/>
      <c r="L65" s="256"/>
      <c r="M65" s="256"/>
      <c r="N65" s="256"/>
      <c r="O65" s="240" t="str">
        <f>O48</f>
        <v>AV-FCO.   I.    MADERO</v>
      </c>
      <c r="P65" s="261"/>
      <c r="R65" s="260"/>
      <c r="S65" s="241" t="str">
        <f>S48</f>
        <v>AV-MIGUEL   HIDALGO   Y</v>
      </c>
      <c r="T65" s="256"/>
      <c r="U65" s="256"/>
      <c r="V65" s="256"/>
      <c r="W65" s="256"/>
      <c r="X65" s="256"/>
      <c r="Y65" s="256"/>
      <c r="Z65" s="256"/>
      <c r="AA65" s="256"/>
      <c r="AB65" s="256"/>
      <c r="AC65" s="256"/>
      <c r="AD65" s="256"/>
      <c r="AE65" s="240" t="str">
        <f>AE48</f>
        <v>AV-FCO.   I.    MADERO</v>
      </c>
      <c r="AF65" s="261"/>
    </row>
    <row r="66" spans="2:32" ht="12" customHeight="1">
      <c r="B66" s="260"/>
      <c r="C66" s="241" t="str">
        <f>C49</f>
        <v>CEL- 99 88 60 03 81</v>
      </c>
      <c r="D66" s="256"/>
      <c r="E66" s="256"/>
      <c r="F66" s="256"/>
      <c r="G66" s="256"/>
      <c r="H66" s="256"/>
      <c r="I66" s="256"/>
      <c r="J66" s="256"/>
      <c r="K66" s="256"/>
      <c r="L66" s="256"/>
      <c r="M66" s="256"/>
      <c r="N66" s="256"/>
      <c r="O66" s="240" t="str">
        <f>O49</f>
        <v>martincancun69@hotmail.com</v>
      </c>
      <c r="P66" s="261"/>
      <c r="R66" s="260"/>
      <c r="S66" s="241" t="str">
        <f>S49</f>
        <v>CEL- 99 88 60 03 81</v>
      </c>
      <c r="T66" s="256"/>
      <c r="U66" s="256"/>
      <c r="V66" s="256"/>
      <c r="W66" s="256"/>
      <c r="X66" s="256"/>
      <c r="Y66" s="256"/>
      <c r="Z66" s="256"/>
      <c r="AA66" s="256"/>
      <c r="AB66" s="256"/>
      <c r="AC66" s="256"/>
      <c r="AD66" s="256"/>
      <c r="AE66" s="240" t="str">
        <f>AE49</f>
        <v>martincancun69@hotmail.com</v>
      </c>
      <c r="AF66" s="261"/>
    </row>
    <row r="67" spans="2:32" ht="12" customHeight="1">
      <c r="B67" s="260"/>
      <c r="C67" s="241" t="str">
        <f>C50</f>
        <v>OFICINA: 8 40 17 45 EXT. 107</v>
      </c>
      <c r="D67" s="256"/>
      <c r="E67" s="256"/>
      <c r="F67" s="256"/>
      <c r="G67" s="256"/>
      <c r="H67" s="256"/>
      <c r="I67" s="256"/>
      <c r="J67" s="256"/>
      <c r="K67" s="256"/>
      <c r="L67" s="256"/>
      <c r="M67" s="256"/>
      <c r="N67" s="256"/>
      <c r="O67" s="240" t="str">
        <f>O50</f>
        <v>CANCUN QUINTANA ROO MEXICO</v>
      </c>
      <c r="P67" s="261"/>
      <c r="R67" s="260"/>
      <c r="S67" s="241" t="str">
        <f>S50</f>
        <v>OFICINA: 8 40 17 45 EXT. 107</v>
      </c>
      <c r="T67" s="256"/>
      <c r="U67" s="256"/>
      <c r="V67" s="256"/>
      <c r="W67" s="256"/>
      <c r="X67" s="256"/>
      <c r="Y67" s="256"/>
      <c r="Z67" s="256"/>
      <c r="AA67" s="256"/>
      <c r="AB67" s="256"/>
      <c r="AC67" s="256"/>
      <c r="AD67" s="256"/>
      <c r="AE67" s="240" t="str">
        <f>AE50</f>
        <v>CANCUN QUINTANA ROO MEXICO</v>
      </c>
      <c r="AF67" s="261"/>
    </row>
    <row r="68" spans="2:32" ht="12" customHeight="1">
      <c r="B68" s="279"/>
      <c r="C68" s="280"/>
      <c r="D68" s="280"/>
      <c r="E68" s="280"/>
      <c r="F68" s="280"/>
      <c r="G68" s="280"/>
      <c r="H68" s="280"/>
      <c r="I68" s="280"/>
      <c r="J68" s="280"/>
      <c r="K68" s="280"/>
      <c r="L68" s="280"/>
      <c r="M68" s="280"/>
      <c r="N68" s="280"/>
      <c r="O68" s="280"/>
      <c r="P68" s="281"/>
      <c r="R68" s="279"/>
      <c r="S68" s="280"/>
      <c r="T68" s="280"/>
      <c r="U68" s="280"/>
      <c r="V68" s="280"/>
      <c r="W68" s="280"/>
      <c r="X68" s="280"/>
      <c r="Y68" s="280"/>
      <c r="Z68" s="280"/>
      <c r="AA68" s="280"/>
      <c r="AB68" s="280"/>
      <c r="AC68" s="280"/>
      <c r="AD68" s="280"/>
      <c r="AE68" s="280"/>
      <c r="AF68" s="281"/>
    </row>
  </sheetData>
  <sheetProtection selectLockedCells="1"/>
  <conditionalFormatting sqref="E59:E65536 I1:I5 F1:H1048576 E1:E5 I58:I65536 Y41:Y56 I41:I56 U59:U65536 E42:E56 V1:X1048576 Y58:Y65536 U42:U56 U25:U39 I24:I39 Y24:Y39 E25:E39 Y7:Y22 I7:I22 E8:E22 Y1:Y5 U1:U5 U8:U22 Z1:IV1048576 A1:D1048576 J1:T1048576">
    <cfRule type="cellIs" dxfId="793" priority="1" stopIfTrue="1" operator="equal">
      <formula>0</formula>
    </cfRule>
  </conditionalFormatting>
  <hyperlinks>
    <hyperlink ref="AS3" r:id="rId1"/>
    <hyperlink ref="AS2" r:id="rId2"/>
    <hyperlink ref="AS4" r:id="rId3"/>
  </hyperlinks>
  <printOptions horizontalCentered="1" verticalCentered="1"/>
  <pageMargins left="0.31496062992125984" right="0.31496062992125984" top="0.35433070866141736" bottom="0.35433070866141736" header="0.31496062992125984" footer="0.31496062992125984"/>
  <pageSetup scale="76" orientation="portrait" horizontalDpi="300" verticalDpi="300" r:id="rId4"/>
  <drawing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3">
    <tabColor theme="2" tint="-0.499984740745262"/>
  </sheetPr>
  <dimension ref="A1:V72"/>
  <sheetViews>
    <sheetView view="pageBreakPreview" topLeftCell="A3" zoomScale="110" zoomScaleSheetLayoutView="110" workbookViewId="0">
      <selection activeCell="F102" sqref="F102:I103"/>
    </sheetView>
  </sheetViews>
  <sheetFormatPr baseColWidth="10" defaultColWidth="21.42578125" defaultRowHeight="11.25"/>
  <cols>
    <col min="1" max="1" width="3.5703125" style="791" bestFit="1" customWidth="1"/>
    <col min="2" max="2" width="24.7109375" style="791" customWidth="1"/>
    <col min="3" max="4" width="9.42578125" style="791" customWidth="1"/>
    <col min="5" max="6" width="11.42578125" style="791" hidden="1" customWidth="1"/>
    <col min="7" max="7" width="10.140625" style="791" hidden="1" customWidth="1"/>
    <col min="8" max="8" width="24.85546875" style="791" hidden="1" customWidth="1"/>
    <col min="9" max="9" width="25" style="791" hidden="1" customWidth="1"/>
    <col min="10" max="10" width="27.42578125" style="1363" hidden="1" customWidth="1"/>
    <col min="11" max="11" width="12.140625" style="1363" hidden="1" customWidth="1"/>
    <col min="12" max="12" width="12" style="791" hidden="1" customWidth="1"/>
    <col min="13" max="13" width="28.140625" style="791" hidden="1" customWidth="1"/>
    <col min="14" max="14" width="23" style="791" hidden="1" customWidth="1"/>
    <col min="15" max="15" width="41.28515625" style="791" hidden="1" customWidth="1"/>
    <col min="16" max="16" width="8.42578125" style="1379" hidden="1" customWidth="1"/>
    <col min="17" max="17" width="24.7109375" style="791" customWidth="1"/>
    <col min="18" max="18" width="9" style="791" hidden="1" customWidth="1"/>
    <col min="19" max="19" width="8.42578125" style="791" hidden="1" customWidth="1"/>
    <col min="20" max="20" width="8.85546875" style="791" customWidth="1"/>
    <col min="21" max="21" width="14.42578125" style="791" customWidth="1"/>
    <col min="22" max="22" width="1.7109375" style="791" customWidth="1"/>
    <col min="23" max="16384" width="21.42578125" style="791"/>
  </cols>
  <sheetData>
    <row r="1" spans="1:22" ht="9.75" hidden="1" customHeight="1">
      <c r="B1" s="1313"/>
      <c r="D1" s="4747" t="s">
        <v>1103</v>
      </c>
      <c r="E1" s="4747"/>
      <c r="F1" s="4747"/>
      <c r="G1" s="4747"/>
      <c r="H1" s="4747"/>
      <c r="I1" s="4747"/>
      <c r="J1" s="4747"/>
      <c r="K1" s="4747"/>
      <c r="L1" s="4747"/>
      <c r="M1" s="4747"/>
      <c r="N1" s="4747"/>
      <c r="O1" s="4747"/>
      <c r="P1" s="4747"/>
      <c r="Q1" s="4747"/>
      <c r="R1" s="4747"/>
      <c r="S1" s="4747"/>
      <c r="T1" s="4747"/>
      <c r="U1" s="4747"/>
    </row>
    <row r="2" spans="1:22" s="1372" customFormat="1" ht="9.75" hidden="1" customHeight="1">
      <c r="A2" s="2726"/>
      <c r="B2" s="4748" t="s">
        <v>1118</v>
      </c>
      <c r="C2" s="4749"/>
      <c r="D2" s="4749"/>
      <c r="E2" s="4749"/>
      <c r="F2" s="4749"/>
      <c r="G2" s="4749"/>
      <c r="H2" s="4749"/>
      <c r="I2" s="4750"/>
      <c r="J2" s="4750"/>
      <c r="K2" s="4750"/>
      <c r="L2" s="4750"/>
      <c r="M2" s="4751"/>
      <c r="N2" s="4741" t="s">
        <v>1104</v>
      </c>
      <c r="O2" s="4742"/>
      <c r="P2" s="4743"/>
      <c r="Q2" s="4744" t="s">
        <v>1117</v>
      </c>
      <c r="R2" s="4745"/>
      <c r="S2" s="4745"/>
      <c r="T2" s="4745"/>
      <c r="U2" s="4746"/>
      <c r="V2" s="1371"/>
    </row>
    <row r="3" spans="1:22" ht="76.5" customHeight="1">
      <c r="A3" s="4740"/>
      <c r="B3" s="4740"/>
      <c r="C3" s="4740"/>
      <c r="D3" s="4740"/>
      <c r="E3" s="4740"/>
      <c r="F3" s="4740"/>
      <c r="G3" s="4740"/>
      <c r="H3" s="4740"/>
      <c r="I3" s="3537"/>
      <c r="J3" s="3538"/>
      <c r="K3" s="3538"/>
      <c r="L3" s="3537"/>
      <c r="M3" s="3537"/>
      <c r="N3" s="3537"/>
      <c r="O3" s="3537"/>
      <c r="P3" s="3539"/>
      <c r="Q3" s="3537"/>
      <c r="R3" s="3537"/>
      <c r="S3" s="3537"/>
      <c r="T3" s="3537"/>
      <c r="U3" s="3537"/>
    </row>
    <row r="4" spans="1:22" s="1315" customFormat="1" ht="14.25" customHeight="1">
      <c r="A4" s="1314" t="s">
        <v>174</v>
      </c>
      <c r="B4" s="1314" t="s">
        <v>846</v>
      </c>
      <c r="C4" s="1314" t="s">
        <v>374</v>
      </c>
      <c r="D4" s="1314" t="s">
        <v>373</v>
      </c>
      <c r="E4" s="1314" t="s">
        <v>847</v>
      </c>
      <c r="F4" s="1314" t="s">
        <v>1956</v>
      </c>
      <c r="G4" s="1314" t="s">
        <v>1957</v>
      </c>
      <c r="H4" s="1314" t="s">
        <v>1958</v>
      </c>
      <c r="I4" s="1314" t="s">
        <v>1962</v>
      </c>
      <c r="J4" s="1314" t="s">
        <v>1140</v>
      </c>
      <c r="K4" s="1314" t="s">
        <v>1961</v>
      </c>
      <c r="L4" s="1314" t="s">
        <v>1963</v>
      </c>
      <c r="M4" s="3438" t="s">
        <v>1521</v>
      </c>
      <c r="N4" s="1314" t="s">
        <v>1519</v>
      </c>
      <c r="O4" s="1314" t="s">
        <v>792</v>
      </c>
      <c r="P4" s="1314" t="s">
        <v>793</v>
      </c>
      <c r="Q4" s="1314" t="s">
        <v>1520</v>
      </c>
      <c r="R4" s="1314" t="s">
        <v>792</v>
      </c>
      <c r="S4" s="1314" t="s">
        <v>793</v>
      </c>
      <c r="T4" s="1314" t="s">
        <v>1101</v>
      </c>
      <c r="U4" s="1314" t="s">
        <v>1102</v>
      </c>
    </row>
    <row r="5" spans="1:22" s="1375" customFormat="1" ht="21" customHeight="1">
      <c r="A5" s="1267">
        <f>'VISITA DE INSP.'!AX2</f>
        <v>1</v>
      </c>
      <c r="B5" s="792" t="str">
        <f>'VISITA DE INSP.'!AY2</f>
        <v>KABAH</v>
      </c>
      <c r="C5" s="1647" t="str">
        <f>'VISITA DE INSP.'!AZ2</f>
        <v>23DPR0055K</v>
      </c>
      <c r="D5" s="1647" t="str">
        <f>'VISITA DE INSP.'!BA2</f>
        <v>MATUTINO</v>
      </c>
      <c r="E5" s="2719" t="s">
        <v>245</v>
      </c>
      <c r="F5" s="2720">
        <v>163952</v>
      </c>
      <c r="G5" s="2720">
        <v>163993</v>
      </c>
      <c r="H5" s="1266"/>
      <c r="I5" s="1362" t="str">
        <f>'VISITA DE INSP.'!BE2</f>
        <v>CERVANTES BENITEZ * ANTONIA</v>
      </c>
      <c r="J5" s="1373" t="str">
        <f>'VISITA DE INSP.'!BC2</f>
        <v>SM-48 C-OCOSINGO CON OCOTEPEC</v>
      </c>
      <c r="K5" s="2744" t="s">
        <v>1964</v>
      </c>
      <c r="L5" s="1378" t="str">
        <f>'VISITA DE INSP.'!BD2</f>
        <v>9981 49 34 04</v>
      </c>
      <c r="M5" s="3439" t="str">
        <f>'VISITA DE INSP.'!DI23</f>
        <v>antonia-sari02@hotmail</v>
      </c>
      <c r="N5" s="792" t="s">
        <v>800</v>
      </c>
      <c r="O5" s="792" t="s">
        <v>801</v>
      </c>
      <c r="P5" s="1266">
        <v>2061051</v>
      </c>
      <c r="Q5" s="792" t="s">
        <v>2544</v>
      </c>
      <c r="R5" s="792"/>
      <c r="S5" s="792"/>
      <c r="T5" s="3535">
        <v>3000</v>
      </c>
      <c r="U5" s="1374"/>
    </row>
    <row r="6" spans="1:22" s="1375" customFormat="1" ht="21" customHeight="1">
      <c r="A6" s="1267">
        <f>'VISITA DE INSP.'!AX3</f>
        <v>2</v>
      </c>
      <c r="B6" s="792" t="str">
        <f>'VISITA DE INSP.'!AY3</f>
        <v>8 DE OCTUBRE</v>
      </c>
      <c r="C6" s="1647" t="str">
        <f>'VISITA DE INSP.'!AZ3</f>
        <v>23DPR0491L</v>
      </c>
      <c r="D6" s="1647" t="str">
        <f>'VISITA DE INSP.'!BA3</f>
        <v>MATUTINO</v>
      </c>
      <c r="E6" s="2719" t="s">
        <v>245</v>
      </c>
      <c r="F6" s="2720">
        <f>G5+1</f>
        <v>163994</v>
      </c>
      <c r="G6" s="2720">
        <v>164035</v>
      </c>
      <c r="H6" s="1266"/>
      <c r="I6" s="1362" t="str">
        <f>'VISITA DE INSP.'!BE3</f>
        <v>BALAN XIU * MANUEL JESUS</v>
      </c>
      <c r="J6" s="1373" t="str">
        <f>'VISITA DE INSP.'!BC3</f>
        <v>RG-96  MZA-89 Y 90</v>
      </c>
      <c r="K6" s="2744" t="s">
        <v>1965</v>
      </c>
      <c r="L6" s="1378" t="str">
        <f>'VISITA DE INSP.'!BD3</f>
        <v>9988-95-00-52</v>
      </c>
      <c r="M6" s="3439" t="str">
        <f>'VISITA DE INSP.'!DI24</f>
        <v>toloc65@hotmail.com</v>
      </c>
      <c r="N6" s="792" t="s">
        <v>796</v>
      </c>
      <c r="O6" s="792" t="s">
        <v>797</v>
      </c>
      <c r="P6" s="1266">
        <v>8435538</v>
      </c>
      <c r="Q6" s="792" t="s">
        <v>2543</v>
      </c>
      <c r="R6" s="792"/>
      <c r="S6" s="792"/>
      <c r="T6" s="3535">
        <v>3000</v>
      </c>
      <c r="U6" s="1374"/>
    </row>
    <row r="7" spans="1:22" s="1375" customFormat="1" ht="21" customHeight="1">
      <c r="A7" s="1267">
        <f>'VISITA DE INSP.'!AX4</f>
        <v>3</v>
      </c>
      <c r="B7" s="792" t="str">
        <f>'VISITA DE INSP.'!AY4</f>
        <v>8 DE OCTUBRE</v>
      </c>
      <c r="C7" s="1647" t="str">
        <f>'VISITA DE INSP.'!AZ4</f>
        <v>23DPR0492K</v>
      </c>
      <c r="D7" s="1647" t="str">
        <f>'VISITA DE INSP.'!BA4</f>
        <v>VESPERTINO</v>
      </c>
      <c r="E7" s="2719" t="s">
        <v>245</v>
      </c>
      <c r="F7" s="2720">
        <f t="shared" ref="F7:F11" si="0">G6+1</f>
        <v>164036</v>
      </c>
      <c r="G7" s="2720">
        <v>164077</v>
      </c>
      <c r="H7" s="1266"/>
      <c r="I7" s="1362" t="str">
        <f>'VISITA DE INSP.'!BE4</f>
        <v>CARDEÑA BENITEZ * LIDIA ESMERALDA</v>
      </c>
      <c r="J7" s="1373" t="str">
        <f>'VISITA DE INSP.'!BC4</f>
        <v>RG-96  MZA-89 y 90   C-127</v>
      </c>
      <c r="K7" s="2744" t="s">
        <v>1966</v>
      </c>
      <c r="L7" s="1378" t="str">
        <f>'VISITA DE INSP.'!BD4</f>
        <v>9982 25 54 93</v>
      </c>
      <c r="M7" s="3439" t="str">
        <f>'VISITA DE INSP.'!DI25</f>
        <v>esmerald_96@hotmail.com</v>
      </c>
      <c r="N7" s="792" t="s">
        <v>798</v>
      </c>
      <c r="O7" s="792" t="s">
        <v>799</v>
      </c>
      <c r="P7" s="1266">
        <v>9981141044</v>
      </c>
      <c r="Q7" s="792" t="s">
        <v>2635</v>
      </c>
      <c r="R7" s="792"/>
      <c r="S7" s="792"/>
      <c r="T7" s="3535">
        <v>1500</v>
      </c>
      <c r="U7" s="1374"/>
    </row>
    <row r="8" spans="1:22" s="1375" customFormat="1" ht="21" customHeight="1">
      <c r="A8" s="1267">
        <f>'VISITA DE INSP.'!AX5</f>
        <v>4</v>
      </c>
      <c r="B8" s="792" t="str">
        <f>'VISITA DE INSP.'!AY5</f>
        <v>DERECHOS DEL NIÑO</v>
      </c>
      <c r="C8" s="1647" t="str">
        <f>'VISITA DE INSP.'!AZ5</f>
        <v>23DPR0564N</v>
      </c>
      <c r="D8" s="1647" t="str">
        <f>'VISITA DE INSP.'!BA5</f>
        <v>MATUTINO</v>
      </c>
      <c r="E8" s="2719" t="s">
        <v>245</v>
      </c>
      <c r="F8" s="2720">
        <f t="shared" si="0"/>
        <v>164078</v>
      </c>
      <c r="G8" s="2720">
        <v>164119</v>
      </c>
      <c r="H8" s="1266"/>
      <c r="I8" s="1362" t="str">
        <f>'VISITA DE INSP.'!BE5</f>
        <v>CETINA CHAY * JUAN CARLOS</v>
      </c>
      <c r="J8" s="1373" t="str">
        <f>'VISITA DE INSP.'!BC5</f>
        <v>RG-96  MZA-23   LTE-1   C-12</v>
      </c>
      <c r="K8" s="2744" t="s">
        <v>1967</v>
      </c>
      <c r="L8" s="1378" t="str">
        <f>'VISITA DE INSP.'!BD5</f>
        <v>9988-43-76-43</v>
      </c>
      <c r="M8" s="3439" t="str">
        <f>'VISITA DE INSP.'!DI26</f>
        <v>m.roxana07@hotmail.com</v>
      </c>
      <c r="N8" s="792" t="s">
        <v>804</v>
      </c>
      <c r="O8" s="792" t="s">
        <v>805</v>
      </c>
      <c r="P8" s="1266">
        <v>2898071</v>
      </c>
      <c r="Q8" s="792" t="s">
        <v>2542</v>
      </c>
      <c r="R8" s="792"/>
      <c r="S8" s="792"/>
      <c r="T8" s="3535">
        <v>1500</v>
      </c>
      <c r="U8" s="1374"/>
    </row>
    <row r="9" spans="1:22" s="1375" customFormat="1" ht="21" customHeight="1">
      <c r="A9" s="1267">
        <f>'VISITA DE INSP.'!AX6</f>
        <v>5</v>
      </c>
      <c r="B9" s="792" t="str">
        <f>'VISITA DE INSP.'!AY6</f>
        <v>DERECHOS DEL NIÑO</v>
      </c>
      <c r="C9" s="1647" t="str">
        <f>'VISITA DE INSP.'!AZ6</f>
        <v>23DPR0570Y</v>
      </c>
      <c r="D9" s="1647" t="str">
        <f>'VISITA DE INSP.'!BA6</f>
        <v>VESPERTINO</v>
      </c>
      <c r="E9" s="2719" t="s">
        <v>245</v>
      </c>
      <c r="F9" s="2720">
        <f t="shared" si="0"/>
        <v>164120</v>
      </c>
      <c r="G9" s="2720">
        <v>164161</v>
      </c>
      <c r="H9" s="1266"/>
      <c r="I9" s="1362" t="str">
        <f>'VISITA DE INSP.'!BE6</f>
        <v>COOX YAH * CARLOS  ENRIQUE</v>
      </c>
      <c r="J9" s="1373" t="str">
        <f>'VISITA DE INSP.'!BC6</f>
        <v>RG-INFONAVID RG-96</v>
      </c>
      <c r="K9" s="2744"/>
      <c r="L9" s="1378" t="str">
        <f>'VISITA DE INSP.'!BD6</f>
        <v>9981-09-97-59</v>
      </c>
      <c r="M9" s="3439" t="str">
        <f>'VISITA DE INSP.'!DI27</f>
        <v>carcox_68@hotmail.com</v>
      </c>
      <c r="N9" s="792" t="s">
        <v>802</v>
      </c>
      <c r="O9" s="792" t="s">
        <v>803</v>
      </c>
      <c r="P9" s="1266">
        <v>9982018860</v>
      </c>
      <c r="Q9" s="792" t="s">
        <v>2547</v>
      </c>
      <c r="R9" s="792"/>
      <c r="S9" s="792"/>
      <c r="T9" s="3535">
        <v>1500</v>
      </c>
      <c r="U9" s="1374"/>
    </row>
    <row r="10" spans="1:22" s="1375" customFormat="1" ht="21" customHeight="1">
      <c r="A10" s="1267">
        <f>'VISITA DE INSP.'!AX7</f>
        <v>6</v>
      </c>
      <c r="B10" s="792" t="str">
        <f>'VISITA DE INSP.'!AY7</f>
        <v>CUITLAHUAC</v>
      </c>
      <c r="C10" s="1647" t="str">
        <f>'VISITA DE INSP.'!AZ7</f>
        <v>23DPR572W</v>
      </c>
      <c r="D10" s="1647" t="str">
        <f>'VISITA DE INSP.'!BA7</f>
        <v>MATUTINO</v>
      </c>
      <c r="E10" s="2719" t="s">
        <v>245</v>
      </c>
      <c r="F10" s="2720">
        <f t="shared" si="0"/>
        <v>164162</v>
      </c>
      <c r="G10" s="2720">
        <v>164203</v>
      </c>
      <c r="H10" s="1266"/>
      <c r="I10" s="1362" t="str">
        <f>'VISITA DE INSP.'!BE7</f>
        <v>DZIB TUZ * MANUEL JESUS</v>
      </c>
      <c r="J10" s="1373" t="str">
        <f>'VISITA DE INSP.'!BC7</f>
        <v>RG-519  MZA-1 Y 2   COL-JACENTO PAT</v>
      </c>
      <c r="K10" s="2744" t="s">
        <v>1976</v>
      </c>
      <c r="L10" s="1378" t="str">
        <f>'VISITA DE INSP.'!BD7</f>
        <v>9985 78 74 49</v>
      </c>
      <c r="M10" s="3439" t="str">
        <f>'VISITA DE INSP.'!DI28</f>
        <v>neydi_carrillo@hotmail.com</v>
      </c>
      <c r="N10" s="792" t="s">
        <v>806</v>
      </c>
      <c r="O10" s="792" t="s">
        <v>807</v>
      </c>
      <c r="P10" s="1266"/>
      <c r="Q10" s="792" t="s">
        <v>2548</v>
      </c>
      <c r="R10" s="792"/>
      <c r="S10" s="792"/>
      <c r="T10" s="3535">
        <v>2500</v>
      </c>
      <c r="U10" s="1374"/>
    </row>
    <row r="11" spans="1:22" s="1375" customFormat="1" ht="21" customHeight="1">
      <c r="A11" s="1267">
        <f>'VISITA DE INSP.'!AX8</f>
        <v>7</v>
      </c>
      <c r="B11" s="792" t="str">
        <f>'VISITA DE INSP.'!AY8</f>
        <v>CUITLAHUAC</v>
      </c>
      <c r="C11" s="1647" t="str">
        <f>'VISITA DE INSP.'!AZ8</f>
        <v>23DPR0581D</v>
      </c>
      <c r="D11" s="1647" t="str">
        <f>'VISITA DE INSP.'!BA8</f>
        <v>VESPERTINO</v>
      </c>
      <c r="E11" s="2719" t="s">
        <v>245</v>
      </c>
      <c r="F11" s="2720">
        <f t="shared" si="0"/>
        <v>164204</v>
      </c>
      <c r="G11" s="2720">
        <v>164245</v>
      </c>
      <c r="H11" s="1266"/>
      <c r="I11" s="1362" t="str">
        <f>'VISITA DE INSP.'!BE8</f>
        <v>PUCH GOMEZ * MADAI ROXANA</v>
      </c>
      <c r="J11" s="1373" t="str">
        <f>'VISITA DE INSP.'!BC8</f>
        <v>RG-510  MZA-1 Y 2   COL-JACENTO PAT</v>
      </c>
      <c r="K11" s="2744"/>
      <c r="L11" s="1378" t="str">
        <f>'VISITA DE INSP.'!BD8</f>
        <v>9987-34-95-64</v>
      </c>
      <c r="M11" s="3439" t="str">
        <f>'VISITA DE INSP.'!DI29</f>
        <v>gemelamarcar@hotmail.com</v>
      </c>
      <c r="N11" s="792" t="s">
        <v>808</v>
      </c>
      <c r="O11" s="792" t="s">
        <v>809</v>
      </c>
      <c r="P11" s="1266"/>
      <c r="Q11" s="792" t="s">
        <v>2541</v>
      </c>
      <c r="R11" s="792"/>
      <c r="S11" s="792"/>
      <c r="T11" s="3535">
        <v>1500</v>
      </c>
      <c r="U11" s="1374"/>
    </row>
    <row r="12" spans="1:22" s="1375" customFormat="1" ht="21" customHeight="1">
      <c r="A12" s="1267">
        <f>'VISITA DE INSP.'!AX9</f>
        <v>8</v>
      </c>
      <c r="B12" s="792" t="str">
        <f>'VISITA DE INSP.'!AY9</f>
        <v>KABAH</v>
      </c>
      <c r="C12" s="1647" t="str">
        <f>'VISITA DE INSP.'!AZ9</f>
        <v>23DPR0593I</v>
      </c>
      <c r="D12" s="1647" t="str">
        <f>'VISITA DE INSP.'!BA9</f>
        <v>VESPERTINO</v>
      </c>
      <c r="E12" s="2719" t="s">
        <v>245</v>
      </c>
      <c r="F12" s="1376"/>
      <c r="H12" s="1266"/>
      <c r="I12" s="1362" t="str">
        <f>'VISITA DE INSP.'!BE9</f>
        <v>DZIB TUZ * MANUEL JESUS</v>
      </c>
      <c r="J12" s="1373" t="str">
        <f>'VISITA DE INSP.'!BC9</f>
        <v>SM-46   MZA-13   LTE.2   C-OCOSINGO CON OCOTEPEC</v>
      </c>
      <c r="K12" s="2744" t="s">
        <v>1968</v>
      </c>
      <c r="L12" s="1378" t="str">
        <f>'VISITA DE INSP.'!BD9</f>
        <v>998 2-51-88-28</v>
      </c>
      <c r="M12" s="3439" t="str">
        <f>'VISITA DE INSP.'!DI30</f>
        <v>manueljesu_95@hotmail.com</v>
      </c>
      <c r="N12" s="792" t="s">
        <v>810</v>
      </c>
      <c r="O12" s="792" t="s">
        <v>811</v>
      </c>
      <c r="P12" s="1266">
        <v>2719891</v>
      </c>
      <c r="Q12" s="792" t="s">
        <v>2546</v>
      </c>
      <c r="R12" s="792"/>
      <c r="S12" s="792"/>
      <c r="T12" s="3535"/>
      <c r="U12" s="1374"/>
    </row>
    <row r="13" spans="1:22" s="1375" customFormat="1" ht="21" customHeight="1">
      <c r="A13" s="1267">
        <f>'VISITA DE INSP.'!AX10</f>
        <v>9</v>
      </c>
      <c r="B13" s="792" t="str">
        <f>'VISITA DE INSP.'!AY10</f>
        <v>ANTONIO MEDIZ BOLIO</v>
      </c>
      <c r="C13" s="1647" t="str">
        <f>'VISITA DE INSP.'!AZ10</f>
        <v>23DPR0640C</v>
      </c>
      <c r="D13" s="1647" t="str">
        <f>'VISITA DE INSP.'!BA10</f>
        <v>MATUTINO</v>
      </c>
      <c r="E13" s="2719" t="s">
        <v>245</v>
      </c>
      <c r="F13" s="2720">
        <f>G11+1</f>
        <v>164246</v>
      </c>
      <c r="G13" s="2720">
        <v>164287</v>
      </c>
      <c r="H13" s="1266"/>
      <c r="I13" s="1362" t="str">
        <f>'VISITA DE INSP.'!BE10</f>
        <v>ARJONA SANTOYO * MARCO ANTONIO</v>
      </c>
      <c r="J13" s="1373" t="str">
        <f>'VISITA DE INSP.'!BC10</f>
        <v>SM-502   MZA-2   LTE-1   COL-PEHALTUN</v>
      </c>
      <c r="K13" s="2744" t="s">
        <v>1969</v>
      </c>
      <c r="L13" s="1378" t="str">
        <f>'VISITA DE INSP.'!BD10</f>
        <v>9981 98 41 36</v>
      </c>
      <c r="M13" s="3439" t="str">
        <f>'VISITA DE INSP.'!DI31</f>
        <v>arjonasantoyo@hotmail.com</v>
      </c>
      <c r="N13" s="792" t="s">
        <v>812</v>
      </c>
      <c r="O13" s="792" t="s">
        <v>813</v>
      </c>
      <c r="P13" s="1266">
        <v>9981656679</v>
      </c>
      <c r="Q13" s="792" t="s">
        <v>2545</v>
      </c>
      <c r="R13" s="792"/>
      <c r="S13" s="792"/>
      <c r="T13" s="3535">
        <v>3000</v>
      </c>
      <c r="U13" s="1374"/>
    </row>
    <row r="14" spans="1:22" s="1375" customFormat="1" ht="21" customHeight="1">
      <c r="A14" s="1267">
        <f>'VISITA DE INSP.'!AX11</f>
        <v>10</v>
      </c>
      <c r="B14" s="792" t="str">
        <f>'VISITA DE INSP.'!AY11</f>
        <v>MANUEL CRESCENCIO REJON</v>
      </c>
      <c r="C14" s="1647" t="str">
        <f>'VISITA DE INSP.'!AZ11</f>
        <v>23DPR0681C</v>
      </c>
      <c r="D14" s="1647" t="str">
        <f>'VISITA DE INSP.'!BA11</f>
        <v>MATUTINO</v>
      </c>
      <c r="E14" s="2719" t="s">
        <v>245</v>
      </c>
      <c r="F14" s="2720">
        <f>G13+1</f>
        <v>164288</v>
      </c>
      <c r="G14" s="2720">
        <v>164299</v>
      </c>
      <c r="H14" s="1266"/>
      <c r="I14" s="1362" t="str">
        <f>'VISITA DE INSP.'!BE11</f>
        <v>CERVERA VIDAL * DULCE RUTH</v>
      </c>
      <c r="J14" s="1373" t="str">
        <f>'VISITA DE INSP.'!BC11</f>
        <v>RG-95   MZA-129   LTE.2</v>
      </c>
      <c r="K14" s="2744" t="s">
        <v>1970</v>
      </c>
      <c r="L14" s="1378" t="str">
        <f>'VISITA DE INSP.'!BD11</f>
        <v>9987 34 27 50</v>
      </c>
      <c r="M14" s="3439" t="str">
        <f>'VISITA DE INSP.'!DI32</f>
        <v>esc.manuelcrescenciorejon.tm@hotmail.com</v>
      </c>
      <c r="N14" s="792" t="s">
        <v>814</v>
      </c>
      <c r="O14" s="792" t="s">
        <v>815</v>
      </c>
      <c r="P14" s="1266">
        <v>2082065</v>
      </c>
      <c r="Q14" s="792" t="s">
        <v>2634</v>
      </c>
      <c r="R14" s="792"/>
      <c r="S14" s="792"/>
      <c r="T14" s="3535">
        <v>1000</v>
      </c>
      <c r="U14" s="1374"/>
    </row>
    <row r="15" spans="1:22" s="1375" customFormat="1" ht="21" hidden="1" customHeight="1">
      <c r="A15" s="2733">
        <f>'VISITA DE INSP.'!AX12</f>
        <v>11</v>
      </c>
      <c r="B15" s="2734" t="str">
        <f>'VISITA DE INSP.'!AY12</f>
        <v>CENTRO EDUCATIVO EL MANANTIAL</v>
      </c>
      <c r="C15" s="2735" t="str">
        <f>'VISITA DE INSP.'!AZ12</f>
        <v>23PPR0099M</v>
      </c>
      <c r="D15" s="2735" t="str">
        <f>'VISITA DE INSP.'!BA12</f>
        <v>MATUTINO</v>
      </c>
      <c r="E15" s="2736" t="s">
        <v>245</v>
      </c>
      <c r="F15" s="3437"/>
      <c r="G15" s="3437"/>
      <c r="H15" s="2737"/>
      <c r="I15" s="2738" t="str">
        <f>'VISITA DE INSP.'!BE12</f>
        <v>TUCUCH SANTOS * AURORA LETICIA</v>
      </c>
      <c r="J15" s="2739" t="str">
        <f>'VISITA DE INSP.'!BC12</f>
        <v>RG-95   MZA-129   LTE.2</v>
      </c>
      <c r="K15" s="2745"/>
      <c r="L15" s="2740" t="str">
        <f>'VISITA DE INSP.'!BD12</f>
        <v>9981 49 34 04</v>
      </c>
      <c r="M15" s="3439" t="str">
        <f>'VISITA DE INSP.'!DI34</f>
        <v>manantialcedu@hotmail.com</v>
      </c>
      <c r="N15" s="792" t="s">
        <v>816</v>
      </c>
      <c r="O15" s="792" t="s">
        <v>817</v>
      </c>
      <c r="P15" s="1266"/>
      <c r="Q15" s="792"/>
      <c r="R15" s="792"/>
      <c r="S15" s="792"/>
      <c r="T15" s="3535"/>
      <c r="U15" s="1374"/>
    </row>
    <row r="16" spans="1:22" s="1375" customFormat="1" ht="21" hidden="1" customHeight="1">
      <c r="A16" s="2733">
        <f>'VISITA DE INSP.'!AX13</f>
        <v>12</v>
      </c>
      <c r="B16" s="2734" t="str">
        <f>'VISITA DE INSP.'!AY13</f>
        <v>COLEGIO HISPANOAMERICANO LA LUNA</v>
      </c>
      <c r="C16" s="2735" t="str">
        <f>'VISITA DE INSP.'!AZ13</f>
        <v>23PPR0100L</v>
      </c>
      <c r="D16" s="2735" t="str">
        <f>'VISITA DE INSP.'!BA13</f>
        <v>MATUTINO</v>
      </c>
      <c r="E16" s="2736" t="s">
        <v>245</v>
      </c>
      <c r="F16" s="2736"/>
      <c r="G16" s="2736"/>
      <c r="H16" s="2737"/>
      <c r="I16" s="2738" t="str">
        <f>'VISITA DE INSP.'!BE13</f>
        <v>CRUZ MARTINEZ * BELEM</v>
      </c>
      <c r="J16" s="2739">
        <f>'VISITA DE INSP.'!BC13</f>
        <v>0</v>
      </c>
      <c r="K16" s="2745" t="s">
        <v>1971</v>
      </c>
      <c r="L16" s="2740" t="str">
        <f>'VISITA DE INSP.'!BD13</f>
        <v>9981 23 57 16</v>
      </c>
      <c r="M16" s="3439" t="str">
        <f>'VISITA DE INSP.'!DI35</f>
        <v>centroescolarhispano@hotmail.com</v>
      </c>
      <c r="N16" s="2734" t="s">
        <v>818</v>
      </c>
      <c r="O16" s="2734" t="s">
        <v>819</v>
      </c>
      <c r="P16" s="2737">
        <v>1858764</v>
      </c>
      <c r="Q16" s="2734"/>
      <c r="R16" s="2734"/>
      <c r="S16" s="2734"/>
      <c r="T16" s="3536"/>
      <c r="U16" s="2741"/>
    </row>
    <row r="17" spans="1:21" s="1375" customFormat="1" ht="21" hidden="1" customHeight="1">
      <c r="A17" s="2733">
        <f>'VISITA DE INSP.'!AX14</f>
        <v>13</v>
      </c>
      <c r="B17" s="2734" t="str">
        <f>'VISITA DE INSP.'!AY14</f>
        <v>JOSE VASCONCELOS</v>
      </c>
      <c r="C17" s="2735" t="str">
        <f>'VISITA DE INSP.'!AZ14</f>
        <v>23PPR0125U</v>
      </c>
      <c r="D17" s="2735" t="str">
        <f>'VISITA DE INSP.'!BA14</f>
        <v>MATUTINO</v>
      </c>
      <c r="E17" s="2736" t="s">
        <v>245</v>
      </c>
      <c r="F17" s="2736"/>
      <c r="G17" s="2736"/>
      <c r="H17" s="2737"/>
      <c r="I17" s="2738" t="str">
        <f>'VISITA DE INSP.'!BE14</f>
        <v>RUIZ VALLE * PATRICIA</v>
      </c>
      <c r="J17" s="2739">
        <f>'VISITA DE INSP.'!BC14</f>
        <v>0</v>
      </c>
      <c r="K17" s="2745" t="s">
        <v>1972</v>
      </c>
      <c r="L17" s="2740" t="str">
        <f>'VISITA DE INSP.'!BD14</f>
        <v>9981 47 65 68</v>
      </c>
      <c r="M17" s="3439" t="str">
        <f>'VISITA DE INSP.'!DI36</f>
        <v>pspatriciarv@hotmail.com</v>
      </c>
      <c r="N17" s="2734" t="s">
        <v>820</v>
      </c>
      <c r="O17" s="2734" t="s">
        <v>821</v>
      </c>
      <c r="P17" s="2737"/>
      <c r="Q17" s="2734"/>
      <c r="R17" s="2734"/>
      <c r="S17" s="2734"/>
      <c r="T17" s="3536"/>
      <c r="U17" s="2741"/>
    </row>
    <row r="18" spans="1:21" s="1375" customFormat="1" ht="21" hidden="1" customHeight="1">
      <c r="A18" s="2733">
        <f>'VISITA DE INSP.'!AX15</f>
        <v>14</v>
      </c>
      <c r="B18" s="2734" t="str">
        <f>'VISITA DE INSP.'!AY15</f>
        <v>CENTRO INFANTIL LATINOAMERICANO</v>
      </c>
      <c r="C18" s="2735" t="str">
        <f>'VISITA DE INSP.'!AZ15</f>
        <v>23PPR0156N</v>
      </c>
      <c r="D18" s="2735" t="str">
        <f>'VISITA DE INSP.'!BA15</f>
        <v>MATUTINO</v>
      </c>
      <c r="E18" s="2736" t="s">
        <v>245</v>
      </c>
      <c r="F18" s="2736"/>
      <c r="G18" s="2736"/>
      <c r="H18" s="2737"/>
      <c r="I18" s="2738" t="str">
        <f>'VISITA DE INSP.'!BE15</f>
        <v>G.CANTON PUERTO * REBECA</v>
      </c>
      <c r="J18" s="2739">
        <f>'VISITA DE INSP.'!BC15</f>
        <v>0</v>
      </c>
      <c r="K18" s="2745" t="s">
        <v>1973</v>
      </c>
      <c r="L18" s="2740" t="str">
        <f>'VISITA DE INSP.'!BD15</f>
        <v>9985 77 44 15</v>
      </c>
      <c r="M18" s="3439" t="str">
        <f>'VISITA DE INSP.'!DI37</f>
        <v>cilaqroo@hotmail.com</v>
      </c>
      <c r="N18" s="2734" t="s">
        <v>822</v>
      </c>
      <c r="O18" s="2734" t="s">
        <v>823</v>
      </c>
      <c r="P18" s="2737">
        <v>2679666</v>
      </c>
      <c r="Q18" s="2734"/>
      <c r="R18" s="2734"/>
      <c r="S18" s="2734"/>
      <c r="T18" s="3536"/>
      <c r="U18" s="2741"/>
    </row>
    <row r="19" spans="1:21" s="1375" customFormat="1" ht="21" hidden="1" customHeight="1">
      <c r="A19" s="2733">
        <f>'VISITA DE INSP.'!AX16</f>
        <v>15</v>
      </c>
      <c r="B19" s="2734" t="str">
        <f>'VISITA DE INSP.'!AY16</f>
        <v>COLEGIO KING DAVID</v>
      </c>
      <c r="C19" s="2735" t="str">
        <f>'VISITA DE INSP.'!AZ16</f>
        <v>23PPR0163X</v>
      </c>
      <c r="D19" s="2735" t="str">
        <f>'VISITA DE INSP.'!BA16</f>
        <v>MATUTINO</v>
      </c>
      <c r="E19" s="2736" t="s">
        <v>245</v>
      </c>
      <c r="F19" s="2736"/>
      <c r="G19" s="2736"/>
      <c r="H19" s="2737"/>
      <c r="I19" s="2738" t="str">
        <f>'VISITA DE INSP.'!BE16</f>
        <v>MARIA ALMA MIRANDA VALDEZ</v>
      </c>
      <c r="J19" s="2739">
        <f>'VISITA DE INSP.'!BC16</f>
        <v>0</v>
      </c>
      <c r="K19" s="2745" t="s">
        <v>1974</v>
      </c>
      <c r="L19" s="2740" t="str">
        <f>'VISITA DE INSP.'!BD16</f>
        <v>9981 79 87 49</v>
      </c>
      <c r="M19" s="3439" t="str">
        <f>'VISITA DE INSP.'!DI38</f>
        <v>glorita05111@hotmail.com</v>
      </c>
      <c r="N19" s="2734" t="s">
        <v>794</v>
      </c>
      <c r="O19" s="2734" t="s">
        <v>795</v>
      </c>
      <c r="P19" s="2737">
        <v>8477265</v>
      </c>
      <c r="Q19" s="2734"/>
      <c r="R19" s="2734"/>
      <c r="S19" s="2734"/>
      <c r="T19" s="3536"/>
      <c r="U19" s="2741"/>
    </row>
    <row r="20" spans="1:21" s="1375" customFormat="1" ht="21" hidden="1" customHeight="1">
      <c r="A20" s="2733">
        <f>'VISITA DE INSP.'!AX17</f>
        <v>16</v>
      </c>
      <c r="B20" s="2734">
        <f>'VISITA DE INSP.'!AY17</f>
        <v>0</v>
      </c>
      <c r="C20" s="2735">
        <f>'VISITA DE INSP.'!AZ17</f>
        <v>0</v>
      </c>
      <c r="D20" s="2735">
        <f>'VISITA DE INSP.'!BA17</f>
        <v>0</v>
      </c>
      <c r="E20" s="2736" t="s">
        <v>245</v>
      </c>
      <c r="F20" s="2736"/>
      <c r="G20" s="2736"/>
      <c r="H20" s="2737"/>
      <c r="I20" s="2738">
        <f>'VISITA DE INSP.'!BE17</f>
        <v>0</v>
      </c>
      <c r="J20" s="2739">
        <f>'VISITA DE INSP.'!BC17</f>
        <v>0</v>
      </c>
      <c r="K20" s="2745" t="s">
        <v>1975</v>
      </c>
      <c r="L20" s="2740">
        <f>'VISITA DE INSP.'!BD17</f>
        <v>0</v>
      </c>
      <c r="M20" s="3439">
        <f>'VISITA DE INSP.'!DI39</f>
        <v>0</v>
      </c>
      <c r="N20" s="2734"/>
      <c r="O20" s="2734"/>
      <c r="P20" s="2737"/>
      <c r="Q20" s="2734"/>
      <c r="R20" s="2734"/>
      <c r="S20" s="2734"/>
      <c r="T20" s="3536"/>
      <c r="U20" s="2741"/>
    </row>
    <row r="21" spans="1:21" s="1375" customFormat="1" ht="21" hidden="1" customHeight="1">
      <c r="A21" s="2721">
        <f>'VISITA DE INSP.'!AX18</f>
        <v>17</v>
      </c>
      <c r="B21" s="1376"/>
      <c r="C21" s="1367"/>
      <c r="D21" s="1366"/>
      <c r="E21" s="1366"/>
      <c r="F21" s="1366"/>
      <c r="G21" s="1366"/>
      <c r="H21" s="1366"/>
      <c r="I21" s="1365"/>
      <c r="J21" s="1365"/>
      <c r="K21" s="2743"/>
      <c r="L21" s="1366"/>
      <c r="M21" s="3439">
        <f>'VISITA DE INSP.'!DI39</f>
        <v>0</v>
      </c>
      <c r="N21" s="1365"/>
      <c r="O21" s="1365"/>
      <c r="P21" s="1380"/>
      <c r="Q21" s="1376"/>
      <c r="R21" s="1376"/>
      <c r="S21" s="1376"/>
      <c r="T21" s="3535"/>
      <c r="U21" s="1374"/>
    </row>
    <row r="22" spans="1:21" s="1375" customFormat="1" ht="21" hidden="1" customHeight="1">
      <c r="A22" s="2721">
        <f>'VISITA DE INSP.'!AX19</f>
        <v>18</v>
      </c>
      <c r="B22" s="1376"/>
      <c r="C22" s="1367"/>
      <c r="D22" s="1367"/>
      <c r="E22" s="1367"/>
      <c r="F22" s="1367"/>
      <c r="G22" s="1367"/>
      <c r="H22" s="1367"/>
      <c r="I22" s="1376"/>
      <c r="J22" s="1376"/>
      <c r="K22" s="1367"/>
      <c r="L22" s="1367"/>
      <c r="M22" s="3439">
        <f>'VISITA DE INSP.'!DI40</f>
        <v>0</v>
      </c>
      <c r="N22" s="1376"/>
      <c r="O22" s="1376"/>
      <c r="P22" s="1267"/>
      <c r="Q22" s="1376"/>
      <c r="R22" s="1376"/>
      <c r="S22" s="1376"/>
      <c r="T22" s="3535"/>
      <c r="U22" s="1374"/>
    </row>
    <row r="23" spans="1:21" s="1375" customFormat="1" ht="21" hidden="1" customHeight="1">
      <c r="A23" s="2721">
        <f>'VISITA DE INSP.'!AX20</f>
        <v>19</v>
      </c>
      <c r="B23" s="1377"/>
      <c r="C23" s="1368"/>
      <c r="D23" s="1368"/>
      <c r="E23" s="1368"/>
      <c r="F23" s="1368"/>
      <c r="G23" s="1368"/>
      <c r="H23" s="1368"/>
      <c r="I23" s="1377"/>
      <c r="J23" s="1377"/>
      <c r="K23" s="1368"/>
      <c r="L23" s="1368"/>
      <c r="M23" s="3439">
        <f>'VISITA DE INSP.'!DI41</f>
        <v>0</v>
      </c>
      <c r="N23" s="1376"/>
      <c r="O23" s="1376"/>
      <c r="P23" s="1267"/>
      <c r="Q23" s="1376"/>
      <c r="R23" s="1376"/>
      <c r="S23" s="1376"/>
      <c r="T23" s="3535"/>
      <c r="U23" s="1374"/>
    </row>
    <row r="24" spans="1:21" s="1375" customFormat="1" ht="21" hidden="1" customHeight="1">
      <c r="A24" s="2721">
        <f>'VISITA DE INSP.'!AX21</f>
        <v>20</v>
      </c>
      <c r="B24" s="1369"/>
      <c r="C24" s="1370"/>
      <c r="D24" s="1370"/>
      <c r="E24" s="1370"/>
      <c r="F24" s="1370"/>
      <c r="G24" s="1370"/>
      <c r="H24" s="1370"/>
      <c r="I24" s="1369"/>
      <c r="J24" s="1369"/>
      <c r="K24" s="1370"/>
      <c r="L24" s="1370"/>
      <c r="M24" s="3439">
        <f>'VISITA DE INSP.'!DI42</f>
        <v>0</v>
      </c>
      <c r="N24" s="1376"/>
      <c r="O24" s="1376"/>
      <c r="P24" s="1267"/>
      <c r="Q24" s="1376"/>
      <c r="R24" s="1376"/>
      <c r="S24" s="1376"/>
      <c r="T24" s="3535"/>
      <c r="U24" s="1374"/>
    </row>
    <row r="25" spans="1:21" s="1375" customFormat="1" ht="16.5" customHeight="1">
      <c r="B25" s="1265"/>
      <c r="C25" s="1265"/>
      <c r="D25" s="1265"/>
      <c r="E25" s="1265"/>
      <c r="F25" s="1265"/>
      <c r="G25" s="1265"/>
      <c r="H25" s="1265"/>
      <c r="I25" s="1265"/>
      <c r="J25" s="1265"/>
      <c r="K25" s="1265"/>
      <c r="L25" s="1364"/>
      <c r="M25" s="3440"/>
      <c r="P25" s="1379"/>
      <c r="T25" s="3536">
        <f>SUM(T5:T24)</f>
        <v>18500</v>
      </c>
      <c r="U25" s="2742">
        <f>SUM(U5:U24)</f>
        <v>0</v>
      </c>
    </row>
    <row r="26" spans="1:21" s="1375" customFormat="1" ht="16.5" customHeight="1">
      <c r="B26" s="2725" t="s">
        <v>1960</v>
      </c>
      <c r="C26" s="2724" t="s">
        <v>26</v>
      </c>
      <c r="D26" s="2724"/>
      <c r="E26" s="2724"/>
      <c r="F26" s="2724"/>
      <c r="G26" s="2725" t="s">
        <v>1524</v>
      </c>
      <c r="H26" s="2723" t="s">
        <v>1959</v>
      </c>
      <c r="I26" s="2724"/>
      <c r="J26" s="1265"/>
      <c r="K26" s="1265"/>
      <c r="L26" s="1364"/>
      <c r="M26" s="1805"/>
      <c r="P26" s="1379"/>
      <c r="T26" s="2722"/>
      <c r="U26" s="2722"/>
    </row>
    <row r="27" spans="1:21" ht="16.5" customHeight="1">
      <c r="B27" s="1265"/>
      <c r="C27" s="1265"/>
      <c r="D27" s="1265"/>
      <c r="E27" s="1265"/>
      <c r="F27" s="1265"/>
      <c r="G27" s="1265"/>
      <c r="H27" s="1265"/>
      <c r="I27" s="1265"/>
      <c r="J27" s="1364"/>
      <c r="K27" s="1364"/>
      <c r="L27" s="1265"/>
      <c r="M27" s="1265"/>
    </row>
    <row r="28" spans="1:21" ht="15.75" hidden="1" customHeight="1">
      <c r="A28" s="2136"/>
      <c r="B28" s="1369"/>
      <c r="C28" s="1369"/>
      <c r="D28" s="1369"/>
      <c r="E28" s="1369"/>
      <c r="F28" s="1369"/>
      <c r="G28" s="1369"/>
      <c r="H28" s="1369"/>
      <c r="I28" s="1370" t="s">
        <v>774</v>
      </c>
      <c r="J28" s="1370" t="s">
        <v>877</v>
      </c>
      <c r="K28" s="1370"/>
      <c r="L28" s="1370" t="s">
        <v>768</v>
      </c>
      <c r="M28" s="1370" t="s">
        <v>775</v>
      </c>
      <c r="N28" s="1370" t="s">
        <v>776</v>
      </c>
      <c r="O28" s="1267" t="s">
        <v>777</v>
      </c>
      <c r="P28" s="1267" t="s">
        <v>408</v>
      </c>
      <c r="Q28" s="1267" t="s">
        <v>375</v>
      </c>
    </row>
    <row r="29" spans="1:21" ht="15.75" hidden="1" customHeight="1">
      <c r="A29" s="2136">
        <f>A5</f>
        <v>1</v>
      </c>
      <c r="B29" s="2136" t="str">
        <f t="shared" ref="B29:C29" si="1">B5</f>
        <v>KABAH</v>
      </c>
      <c r="C29" s="2136" t="str">
        <f t="shared" si="1"/>
        <v>23DPR0055K</v>
      </c>
      <c r="D29" s="2137" t="str">
        <f t="shared" ref="D29:D45" si="2">I5</f>
        <v>CERVANTES BENITEZ * ANTONIA</v>
      </c>
      <c r="E29" s="2137"/>
      <c r="F29" s="2137"/>
      <c r="G29" s="2137"/>
      <c r="H29" s="2137"/>
      <c r="I29" s="1370">
        <v>68</v>
      </c>
      <c r="J29" s="1370">
        <v>68</v>
      </c>
      <c r="K29" s="1370"/>
      <c r="L29" s="1370">
        <v>65</v>
      </c>
      <c r="M29" s="1267">
        <v>69</v>
      </c>
      <c r="N29" s="1267">
        <v>69</v>
      </c>
      <c r="O29" s="1267">
        <v>69</v>
      </c>
      <c r="P29" s="1267">
        <f>SUM(I29:O29)</f>
        <v>408</v>
      </c>
      <c r="Q29" s="1267"/>
    </row>
    <row r="30" spans="1:21" ht="15.75" hidden="1" customHeight="1">
      <c r="A30" s="2136">
        <f t="shared" ref="A30:C30" si="3">A6</f>
        <v>2</v>
      </c>
      <c r="B30" s="2136" t="str">
        <f t="shared" si="3"/>
        <v>8 DE OCTUBRE</v>
      </c>
      <c r="C30" s="2136" t="str">
        <f t="shared" si="3"/>
        <v>23DPR0491L</v>
      </c>
      <c r="D30" s="2137" t="str">
        <f t="shared" si="2"/>
        <v>BALAN XIU * MANUEL JESUS</v>
      </c>
      <c r="E30" s="2137"/>
      <c r="F30" s="2137"/>
      <c r="G30" s="2137"/>
      <c r="H30" s="2137"/>
      <c r="I30" s="1370">
        <v>65</v>
      </c>
      <c r="J30" s="1370">
        <v>93</v>
      </c>
      <c r="K30" s="1370"/>
      <c r="L30" s="1370">
        <v>68</v>
      </c>
      <c r="M30" s="1267">
        <v>69</v>
      </c>
      <c r="N30" s="1267">
        <v>92</v>
      </c>
      <c r="O30" s="1267">
        <v>63</v>
      </c>
      <c r="P30" s="1267">
        <f t="shared" ref="P30:P45" si="4">SUM(I30:O30)</f>
        <v>450</v>
      </c>
      <c r="Q30" s="1267"/>
    </row>
    <row r="31" spans="1:21" ht="15.75" hidden="1" customHeight="1">
      <c r="A31" s="2136">
        <f t="shared" ref="A31:C31" si="5">A7</f>
        <v>3</v>
      </c>
      <c r="B31" s="2136" t="str">
        <f t="shared" si="5"/>
        <v>8 DE OCTUBRE</v>
      </c>
      <c r="C31" s="2136" t="str">
        <f t="shared" si="5"/>
        <v>23DPR0492K</v>
      </c>
      <c r="D31" s="2137" t="str">
        <f t="shared" si="2"/>
        <v>CARDEÑA BENITEZ * LIDIA ESMERALDA</v>
      </c>
      <c r="E31" s="2137"/>
      <c r="F31" s="2137"/>
      <c r="G31" s="2137"/>
      <c r="H31" s="2137"/>
      <c r="I31" s="1370">
        <v>50</v>
      </c>
      <c r="J31" s="1370">
        <v>35</v>
      </c>
      <c r="K31" s="1370"/>
      <c r="L31" s="1370">
        <v>48</v>
      </c>
      <c r="M31" s="1267">
        <v>59</v>
      </c>
      <c r="N31" s="1267">
        <v>42</v>
      </c>
      <c r="O31" s="1267">
        <v>35</v>
      </c>
      <c r="P31" s="1267">
        <f t="shared" si="4"/>
        <v>269</v>
      </c>
      <c r="Q31" s="1267"/>
    </row>
    <row r="32" spans="1:21" ht="15.75" hidden="1" customHeight="1">
      <c r="A32" s="2136">
        <f t="shared" ref="A32:C32" si="6">A8</f>
        <v>4</v>
      </c>
      <c r="B32" s="2136" t="str">
        <f t="shared" si="6"/>
        <v>DERECHOS DEL NIÑO</v>
      </c>
      <c r="C32" s="2136" t="str">
        <f t="shared" si="6"/>
        <v>23DPR0564N</v>
      </c>
      <c r="D32" s="2137" t="str">
        <f t="shared" si="2"/>
        <v>CETINA CHAY * JUAN CARLOS</v>
      </c>
      <c r="E32" s="2137"/>
      <c r="F32" s="2137"/>
      <c r="G32" s="2137"/>
      <c r="H32" s="2137"/>
      <c r="I32" s="1370">
        <v>63</v>
      </c>
      <c r="J32" s="1370">
        <v>56</v>
      </c>
      <c r="K32" s="1370"/>
      <c r="L32" s="1370">
        <v>52</v>
      </c>
      <c r="M32" s="1267">
        <v>68</v>
      </c>
      <c r="N32" s="1267">
        <v>64</v>
      </c>
      <c r="O32" s="1267">
        <v>51</v>
      </c>
      <c r="P32" s="1267">
        <f t="shared" si="4"/>
        <v>354</v>
      </c>
      <c r="Q32" s="1267"/>
    </row>
    <row r="33" spans="1:17" ht="15.75" hidden="1" customHeight="1">
      <c r="A33" s="2136">
        <f t="shared" ref="A33:C33" si="7">A9</f>
        <v>5</v>
      </c>
      <c r="B33" s="2136" t="str">
        <f t="shared" si="7"/>
        <v>DERECHOS DEL NIÑO</v>
      </c>
      <c r="C33" s="2136" t="str">
        <f t="shared" si="7"/>
        <v>23DPR0570Y</v>
      </c>
      <c r="D33" s="2137" t="str">
        <f t="shared" si="2"/>
        <v>COOX YAH * CARLOS  ENRIQUE</v>
      </c>
      <c r="E33" s="2137"/>
      <c r="F33" s="2137"/>
      <c r="G33" s="2137"/>
      <c r="H33" s="2137"/>
      <c r="I33" s="1370">
        <v>37</v>
      </c>
      <c r="J33" s="1370">
        <v>34</v>
      </c>
      <c r="K33" s="1370"/>
      <c r="L33" s="1370">
        <v>25</v>
      </c>
      <c r="M33" s="1267">
        <v>32</v>
      </c>
      <c r="N33" s="1267">
        <v>49</v>
      </c>
      <c r="O33" s="1267">
        <v>27</v>
      </c>
      <c r="P33" s="1267">
        <f t="shared" si="4"/>
        <v>204</v>
      </c>
      <c r="Q33" s="1267"/>
    </row>
    <row r="34" spans="1:17" ht="15.75" hidden="1" customHeight="1">
      <c r="A34" s="2136">
        <f t="shared" ref="A34:C34" si="8">A10</f>
        <v>6</v>
      </c>
      <c r="B34" s="2136" t="str">
        <f t="shared" si="8"/>
        <v>CUITLAHUAC</v>
      </c>
      <c r="C34" s="2136" t="str">
        <f t="shared" si="8"/>
        <v>23DPR572W</v>
      </c>
      <c r="D34" s="2137" t="str">
        <f t="shared" si="2"/>
        <v>DZIB TUZ * MANUEL JESUS</v>
      </c>
      <c r="E34" s="2137"/>
      <c r="F34" s="2137"/>
      <c r="G34" s="2137"/>
      <c r="H34" s="2137"/>
      <c r="I34" s="1370">
        <v>48</v>
      </c>
      <c r="J34" s="1370">
        <v>58</v>
      </c>
      <c r="K34" s="1370"/>
      <c r="L34" s="1370">
        <v>67</v>
      </c>
      <c r="M34" s="1267">
        <v>69</v>
      </c>
      <c r="N34" s="1267">
        <v>86</v>
      </c>
      <c r="O34" s="1267">
        <v>65</v>
      </c>
      <c r="P34" s="1267">
        <f t="shared" si="4"/>
        <v>393</v>
      </c>
      <c r="Q34" s="1267"/>
    </row>
    <row r="35" spans="1:17" ht="15.75" hidden="1" customHeight="1">
      <c r="A35" s="2136">
        <f t="shared" ref="A35:C35" si="9">A11</f>
        <v>7</v>
      </c>
      <c r="B35" s="2136" t="str">
        <f t="shared" si="9"/>
        <v>CUITLAHUAC</v>
      </c>
      <c r="C35" s="2136" t="str">
        <f t="shared" si="9"/>
        <v>23DPR0581D</v>
      </c>
      <c r="D35" s="2137" t="str">
        <f t="shared" si="2"/>
        <v>PUCH GOMEZ * MADAI ROXANA</v>
      </c>
      <c r="E35" s="2137"/>
      <c r="F35" s="2137"/>
      <c r="G35" s="2137"/>
      <c r="H35" s="2137"/>
      <c r="I35" s="1370">
        <v>24</v>
      </c>
      <c r="J35" s="1370">
        <v>27</v>
      </c>
      <c r="K35" s="1370"/>
      <c r="L35" s="1370">
        <v>31</v>
      </c>
      <c r="M35" s="1267">
        <v>48</v>
      </c>
      <c r="N35" s="1267">
        <v>31</v>
      </c>
      <c r="O35" s="1267">
        <v>33</v>
      </c>
      <c r="P35" s="1267">
        <f t="shared" si="4"/>
        <v>194</v>
      </c>
      <c r="Q35" s="1267"/>
    </row>
    <row r="36" spans="1:17" ht="15.75" hidden="1" customHeight="1">
      <c r="A36" s="2136">
        <f t="shared" ref="A36:C36" si="10">A12</f>
        <v>8</v>
      </c>
      <c r="B36" s="2136" t="str">
        <f t="shared" si="10"/>
        <v>KABAH</v>
      </c>
      <c r="C36" s="2136" t="str">
        <f t="shared" si="10"/>
        <v>23DPR0593I</v>
      </c>
      <c r="D36" s="2137" t="str">
        <f t="shared" si="2"/>
        <v>DZIB TUZ * MANUEL JESUS</v>
      </c>
      <c r="E36" s="2137"/>
      <c r="F36" s="2137"/>
      <c r="G36" s="2137"/>
      <c r="H36" s="2137"/>
      <c r="I36" s="1267">
        <v>0</v>
      </c>
      <c r="J36" s="1267">
        <v>0</v>
      </c>
      <c r="K36" s="1267"/>
      <c r="L36" s="1267">
        <v>26</v>
      </c>
      <c r="M36" s="1267">
        <v>26</v>
      </c>
      <c r="N36" s="1267">
        <v>31</v>
      </c>
      <c r="O36" s="1267">
        <v>18</v>
      </c>
      <c r="P36" s="1267">
        <f t="shared" si="4"/>
        <v>101</v>
      </c>
      <c r="Q36" s="1267"/>
    </row>
    <row r="37" spans="1:17" ht="15.75" hidden="1" customHeight="1">
      <c r="A37" s="2136">
        <f t="shared" ref="A37:C37" si="11">A13</f>
        <v>9</v>
      </c>
      <c r="B37" s="2136" t="str">
        <f t="shared" si="11"/>
        <v>ANTONIO MEDIZ BOLIO</v>
      </c>
      <c r="C37" s="2136" t="str">
        <f t="shared" si="11"/>
        <v>23DPR0640C</v>
      </c>
      <c r="D37" s="2137" t="str">
        <f t="shared" si="2"/>
        <v>ARJONA SANTOYO * MARCO ANTONIO</v>
      </c>
      <c r="E37" s="2137"/>
      <c r="F37" s="2137"/>
      <c r="G37" s="2137"/>
      <c r="H37" s="2137"/>
      <c r="I37" s="1370">
        <v>59</v>
      </c>
      <c r="J37" s="1370">
        <v>64</v>
      </c>
      <c r="K37" s="1370"/>
      <c r="L37" s="1370">
        <v>63</v>
      </c>
      <c r="M37" s="1267">
        <v>70</v>
      </c>
      <c r="N37" s="1267">
        <v>68</v>
      </c>
      <c r="O37" s="1267">
        <v>71</v>
      </c>
      <c r="P37" s="1267">
        <f t="shared" si="4"/>
        <v>395</v>
      </c>
      <c r="Q37" s="1267"/>
    </row>
    <row r="38" spans="1:17" ht="15.75" hidden="1" customHeight="1">
      <c r="A38" s="2136">
        <f t="shared" ref="A38:C39" si="12">A14</f>
        <v>10</v>
      </c>
      <c r="B38" s="2136" t="str">
        <f t="shared" si="12"/>
        <v>MANUEL CRESCENCIO REJON</v>
      </c>
      <c r="C38" s="2136" t="str">
        <f t="shared" si="12"/>
        <v>23DPR0681C</v>
      </c>
      <c r="D38" s="2137" t="str">
        <f t="shared" si="2"/>
        <v>CERVERA VIDAL * DULCE RUTH</v>
      </c>
      <c r="E38" s="2137"/>
      <c r="F38" s="2137"/>
      <c r="G38" s="2137"/>
      <c r="H38" s="2137"/>
      <c r="I38" s="1370">
        <v>33</v>
      </c>
      <c r="J38" s="1370">
        <v>34</v>
      </c>
      <c r="K38" s="1370"/>
      <c r="L38" s="1370">
        <v>53</v>
      </c>
      <c r="M38" s="1267">
        <v>34</v>
      </c>
      <c r="N38" s="1267">
        <v>34</v>
      </c>
      <c r="O38" s="1267">
        <v>30</v>
      </c>
      <c r="P38" s="1267">
        <f t="shared" si="4"/>
        <v>218</v>
      </c>
      <c r="Q38" s="1267"/>
    </row>
    <row r="39" spans="1:17" ht="15.75" hidden="1" customHeight="1">
      <c r="A39" s="2136">
        <f t="shared" si="12"/>
        <v>11</v>
      </c>
      <c r="B39" s="2136" t="str">
        <f t="shared" si="12"/>
        <v>CENTRO EDUCATIVO EL MANANTIAL</v>
      </c>
      <c r="C39" s="2136" t="str">
        <f t="shared" si="12"/>
        <v>23PPR0099M</v>
      </c>
      <c r="D39" s="2137" t="str">
        <f t="shared" si="2"/>
        <v>TUCUCH SANTOS * AURORA LETICIA</v>
      </c>
      <c r="E39" s="2137"/>
      <c r="F39" s="2137"/>
      <c r="G39" s="2137"/>
      <c r="H39" s="2137"/>
      <c r="I39" s="1370">
        <v>0</v>
      </c>
      <c r="J39" s="1370">
        <v>0</v>
      </c>
      <c r="K39" s="1370"/>
      <c r="L39" s="1370">
        <v>21</v>
      </c>
      <c r="M39" s="1267">
        <v>55</v>
      </c>
      <c r="N39" s="1267">
        <v>28</v>
      </c>
      <c r="O39" s="1267">
        <v>15</v>
      </c>
      <c r="P39" s="1267">
        <f t="shared" si="4"/>
        <v>119</v>
      </c>
      <c r="Q39" s="1267"/>
    </row>
    <row r="40" spans="1:17" ht="15.75" hidden="1" customHeight="1">
      <c r="A40" s="2136">
        <f t="shared" ref="A40:A45" si="13">A16</f>
        <v>12</v>
      </c>
      <c r="B40" s="2136" t="str">
        <f t="shared" ref="B40:C40" si="14">B16</f>
        <v>COLEGIO HISPANOAMERICANO LA LUNA</v>
      </c>
      <c r="C40" s="2136" t="str">
        <f t="shared" si="14"/>
        <v>23PPR0100L</v>
      </c>
      <c r="D40" s="2137" t="str">
        <f t="shared" si="2"/>
        <v>CRUZ MARTINEZ * BELEM</v>
      </c>
      <c r="E40" s="2137"/>
      <c r="F40" s="2137"/>
      <c r="G40" s="2137"/>
      <c r="H40" s="2137"/>
      <c r="I40" s="1267">
        <v>0</v>
      </c>
      <c r="J40" s="1267">
        <v>0</v>
      </c>
      <c r="K40" s="1267"/>
      <c r="L40" s="1267">
        <v>0</v>
      </c>
      <c r="M40" s="1267">
        <v>0</v>
      </c>
      <c r="N40" s="1267">
        <v>0</v>
      </c>
      <c r="O40" s="1267">
        <v>0</v>
      </c>
      <c r="P40" s="1267">
        <f t="shared" si="4"/>
        <v>0</v>
      </c>
      <c r="Q40" s="1267"/>
    </row>
    <row r="41" spans="1:17" ht="15.75" hidden="1" customHeight="1">
      <c r="A41" s="2136">
        <f t="shared" si="13"/>
        <v>13</v>
      </c>
      <c r="B41" s="2136" t="str">
        <f>B17</f>
        <v>JOSE VASCONCELOS</v>
      </c>
      <c r="C41" s="2136" t="str">
        <f>C17</f>
        <v>23PPR0125U</v>
      </c>
      <c r="D41" s="2137" t="str">
        <f t="shared" si="2"/>
        <v>RUIZ VALLE * PATRICIA</v>
      </c>
      <c r="E41" s="2137"/>
      <c r="F41" s="2137"/>
      <c r="G41" s="2137"/>
      <c r="H41" s="2137"/>
      <c r="I41" s="1267">
        <v>0</v>
      </c>
      <c r="J41" s="1267">
        <v>0</v>
      </c>
      <c r="K41" s="1267"/>
      <c r="L41" s="1267">
        <v>0</v>
      </c>
      <c r="M41" s="1267">
        <v>0</v>
      </c>
      <c r="N41" s="1267">
        <v>0</v>
      </c>
      <c r="O41" s="1267">
        <v>0</v>
      </c>
      <c r="P41" s="1267">
        <f t="shared" si="4"/>
        <v>0</v>
      </c>
      <c r="Q41" s="1267"/>
    </row>
    <row r="42" spans="1:17" ht="15.75" hidden="1" customHeight="1">
      <c r="A42" s="2136">
        <f t="shared" si="13"/>
        <v>14</v>
      </c>
      <c r="B42" s="2136" t="str">
        <f>B18</f>
        <v>CENTRO INFANTIL LATINOAMERICANO</v>
      </c>
      <c r="C42" s="2136" t="str">
        <f>C18</f>
        <v>23PPR0156N</v>
      </c>
      <c r="D42" s="2137" t="str">
        <f t="shared" si="2"/>
        <v>G.CANTON PUERTO * REBECA</v>
      </c>
      <c r="E42" s="2137"/>
      <c r="F42" s="2137"/>
      <c r="G42" s="2137"/>
      <c r="H42" s="2137"/>
      <c r="I42" s="1267">
        <v>0</v>
      </c>
      <c r="J42" s="1267">
        <v>0</v>
      </c>
      <c r="K42" s="1267"/>
      <c r="L42" s="1267">
        <v>0</v>
      </c>
      <c r="M42" s="1267">
        <v>0</v>
      </c>
      <c r="N42" s="1267">
        <v>0</v>
      </c>
      <c r="O42" s="1267">
        <v>0</v>
      </c>
      <c r="P42" s="1267">
        <f t="shared" si="4"/>
        <v>0</v>
      </c>
      <c r="Q42" s="1267"/>
    </row>
    <row r="43" spans="1:17" ht="15.75" hidden="1" customHeight="1">
      <c r="A43" s="2136">
        <f t="shared" si="13"/>
        <v>15</v>
      </c>
      <c r="B43" s="2136" t="str">
        <f t="shared" ref="B43" si="15">B19</f>
        <v>COLEGIO KING DAVID</v>
      </c>
      <c r="C43" s="2136" t="str">
        <f t="shared" ref="C43" si="16">C19</f>
        <v>23PPR0163X</v>
      </c>
      <c r="D43" s="2137" t="str">
        <f t="shared" si="2"/>
        <v>MARIA ALMA MIRANDA VALDEZ</v>
      </c>
      <c r="E43" s="2137"/>
      <c r="F43" s="2137"/>
      <c r="G43" s="2137"/>
      <c r="H43" s="2137"/>
      <c r="I43" s="1267">
        <v>0</v>
      </c>
      <c r="J43" s="1267">
        <v>0</v>
      </c>
      <c r="K43" s="1267"/>
      <c r="L43" s="1267">
        <v>0</v>
      </c>
      <c r="M43" s="1267">
        <v>0</v>
      </c>
      <c r="N43" s="1267">
        <v>0</v>
      </c>
      <c r="O43" s="1267">
        <v>0</v>
      </c>
      <c r="P43" s="1267">
        <f t="shared" si="4"/>
        <v>0</v>
      </c>
      <c r="Q43" s="1267"/>
    </row>
    <row r="44" spans="1:17" ht="15.75" hidden="1" customHeight="1">
      <c r="A44" s="2136">
        <f t="shared" si="13"/>
        <v>16</v>
      </c>
      <c r="B44" s="2136">
        <f>B20</f>
        <v>0</v>
      </c>
      <c r="C44" s="2136">
        <f>C20</f>
        <v>0</v>
      </c>
      <c r="D44" s="2137">
        <f t="shared" si="2"/>
        <v>0</v>
      </c>
      <c r="E44" s="2137"/>
      <c r="F44" s="2137"/>
      <c r="G44" s="2137"/>
      <c r="H44" s="2137"/>
      <c r="I44" s="1267">
        <v>0</v>
      </c>
      <c r="J44" s="1267">
        <v>0</v>
      </c>
      <c r="K44" s="1267"/>
      <c r="L44" s="1267">
        <v>0</v>
      </c>
      <c r="M44" s="1267">
        <v>0</v>
      </c>
      <c r="N44" s="1267">
        <v>0</v>
      </c>
      <c r="O44" s="1267">
        <v>0</v>
      </c>
      <c r="P44" s="1267">
        <f t="shared" si="4"/>
        <v>0</v>
      </c>
      <c r="Q44" s="1267"/>
    </row>
    <row r="45" spans="1:17" ht="15.75" hidden="1" customHeight="1">
      <c r="A45" s="2136">
        <f t="shared" si="13"/>
        <v>17</v>
      </c>
      <c r="B45" s="2136">
        <f>B21</f>
        <v>0</v>
      </c>
      <c r="C45" s="2136">
        <f>C21</f>
        <v>0</v>
      </c>
      <c r="D45" s="2137">
        <f t="shared" si="2"/>
        <v>0</v>
      </c>
      <c r="E45" s="2137"/>
      <c r="F45" s="2137"/>
      <c r="G45" s="2137"/>
      <c r="H45" s="2137"/>
      <c r="I45" s="1267">
        <v>0</v>
      </c>
      <c r="J45" s="1267">
        <v>0</v>
      </c>
      <c r="K45" s="1267"/>
      <c r="L45" s="1267">
        <v>0</v>
      </c>
      <c r="M45" s="1267">
        <v>0</v>
      </c>
      <c r="N45" s="1267">
        <v>0</v>
      </c>
      <c r="O45" s="1267">
        <v>0</v>
      </c>
      <c r="P45" s="1267">
        <f t="shared" si="4"/>
        <v>0</v>
      </c>
      <c r="Q45" s="1267"/>
    </row>
    <row r="46" spans="1:17" ht="15.75" hidden="1" customHeight="1">
      <c r="A46" s="2140"/>
      <c r="B46" s="2140"/>
      <c r="C46" s="2140"/>
      <c r="D46" s="2140"/>
      <c r="E46" s="2140"/>
      <c r="F46" s="2140"/>
      <c r="G46" s="2140"/>
      <c r="H46" s="2140"/>
      <c r="I46" s="1267">
        <f>SUM(I29:I45)</f>
        <v>447</v>
      </c>
      <c r="J46" s="1267">
        <f t="shared" ref="J46:O46" si="17">SUM(J29:J45)</f>
        <v>469</v>
      </c>
      <c r="K46" s="1267"/>
      <c r="L46" s="1267">
        <f t="shared" si="17"/>
        <v>519</v>
      </c>
      <c r="M46" s="1267">
        <f t="shared" si="17"/>
        <v>599</v>
      </c>
      <c r="N46" s="1267">
        <f t="shared" si="17"/>
        <v>594</v>
      </c>
      <c r="O46" s="1267">
        <f t="shared" si="17"/>
        <v>477</v>
      </c>
      <c r="P46" s="1267">
        <f>SUM(P29:P45)</f>
        <v>3105</v>
      </c>
    </row>
    <row r="47" spans="1:17" ht="15.75" hidden="1" customHeight="1">
      <c r="A47" s="2140"/>
      <c r="B47" s="2140"/>
      <c r="C47" s="2140"/>
      <c r="D47" s="2142" t="s">
        <v>848</v>
      </c>
      <c r="E47" s="2142"/>
      <c r="F47" s="2142"/>
      <c r="G47" s="2142"/>
      <c r="H47" s="2138"/>
      <c r="I47" s="1267">
        <v>510</v>
      </c>
      <c r="J47" s="1267">
        <v>516</v>
      </c>
      <c r="K47" s="1267"/>
      <c r="L47" s="1267">
        <v>571</v>
      </c>
      <c r="M47" s="1267">
        <v>633</v>
      </c>
      <c r="N47" s="1267">
        <v>651</v>
      </c>
      <c r="O47" s="1267">
        <v>513</v>
      </c>
      <c r="P47" s="2139"/>
    </row>
    <row r="48" spans="1:17" ht="15.75" hidden="1" customHeight="1">
      <c r="A48" s="2140"/>
      <c r="B48" s="2140"/>
      <c r="C48" s="2140"/>
      <c r="D48" s="2142" t="s">
        <v>1687</v>
      </c>
      <c r="E48" s="2142"/>
      <c r="F48" s="2142"/>
      <c r="G48" s="2142"/>
      <c r="H48" s="2138"/>
      <c r="I48" s="1267">
        <f>I47-I46</f>
        <v>63</v>
      </c>
      <c r="J48" s="1267">
        <f t="shared" ref="J48:O48" si="18">J47-J46</f>
        <v>47</v>
      </c>
      <c r="K48" s="1267"/>
      <c r="L48" s="1267">
        <f t="shared" si="18"/>
        <v>52</v>
      </c>
      <c r="M48" s="1267">
        <f t="shared" si="18"/>
        <v>34</v>
      </c>
      <c r="N48" s="1267">
        <f t="shared" si="18"/>
        <v>57</v>
      </c>
      <c r="O48" s="1267">
        <f t="shared" si="18"/>
        <v>36</v>
      </c>
      <c r="P48" s="2139"/>
    </row>
    <row r="49" spans="1:16" ht="15.75" hidden="1" customHeight="1">
      <c r="A49" s="2140"/>
      <c r="B49" s="2140"/>
      <c r="C49" s="2140"/>
      <c r="D49" s="2138" t="s">
        <v>1688</v>
      </c>
      <c r="E49" s="2138"/>
      <c r="F49" s="2138"/>
      <c r="G49" s="2138"/>
      <c r="H49" s="2138"/>
      <c r="I49" s="1267"/>
      <c r="J49" s="1267"/>
      <c r="K49" s="1267"/>
      <c r="L49" s="1267"/>
      <c r="M49" s="1267"/>
      <c r="N49" s="1267"/>
      <c r="O49" s="1267"/>
      <c r="P49" s="2139"/>
    </row>
    <row r="50" spans="1:16" ht="15.75" hidden="1" customHeight="1">
      <c r="I50" s="1379"/>
      <c r="J50" s="1379"/>
      <c r="K50" s="1379"/>
      <c r="L50" s="1379"/>
      <c r="M50" s="1379"/>
      <c r="N50" s="1379"/>
      <c r="O50" s="1379"/>
    </row>
    <row r="51" spans="1:16" ht="15.75" hidden="1" customHeight="1">
      <c r="A51" s="2136"/>
      <c r="B51" s="1369"/>
      <c r="C51" s="2141"/>
      <c r="D51" s="1369"/>
      <c r="E51" s="1369"/>
      <c r="F51" s="1369"/>
      <c r="G51" s="1369"/>
      <c r="H51" s="1369"/>
      <c r="I51" s="1370" t="s">
        <v>877</v>
      </c>
      <c r="J51" s="1370" t="s">
        <v>768</v>
      </c>
      <c r="K51" s="1370"/>
      <c r="L51" s="1370" t="s">
        <v>775</v>
      </c>
      <c r="M51" s="1370" t="s">
        <v>776</v>
      </c>
      <c r="N51" s="1370" t="s">
        <v>408</v>
      </c>
      <c r="O51" s="1267" t="s">
        <v>375</v>
      </c>
    </row>
    <row r="52" spans="1:16" ht="15.75" hidden="1" customHeight="1">
      <c r="A52" s="2136">
        <f>A29</f>
        <v>1</v>
      </c>
      <c r="B52" s="2136" t="str">
        <f t="shared" ref="B52:C52" si="19">B29</f>
        <v>KABAH</v>
      </c>
      <c r="C52" s="2143" t="str">
        <f t="shared" si="19"/>
        <v>23DPR0055K</v>
      </c>
      <c r="D52" s="2137" t="str">
        <f>D29</f>
        <v>CERVANTES BENITEZ * ANTONIA</v>
      </c>
      <c r="E52" s="2137"/>
      <c r="F52" s="2137"/>
      <c r="G52" s="2137"/>
      <c r="H52" s="2137"/>
      <c r="I52" s="1370">
        <v>2</v>
      </c>
      <c r="J52" s="1370">
        <v>2</v>
      </c>
      <c r="K52" s="1370"/>
      <c r="L52" s="1370">
        <v>2</v>
      </c>
      <c r="M52" s="1267">
        <v>2</v>
      </c>
      <c r="N52" s="1267">
        <f>SUM(I52:M52)</f>
        <v>8</v>
      </c>
      <c r="O52" s="1267"/>
    </row>
    <row r="53" spans="1:16" ht="15.75" hidden="1" customHeight="1">
      <c r="A53" s="2136">
        <f t="shared" ref="A53:D53" si="20">A30</f>
        <v>2</v>
      </c>
      <c r="B53" s="2136" t="str">
        <f t="shared" si="20"/>
        <v>8 DE OCTUBRE</v>
      </c>
      <c r="C53" s="2143" t="str">
        <f t="shared" si="20"/>
        <v>23DPR0491L</v>
      </c>
      <c r="D53" s="2137" t="str">
        <f t="shared" si="20"/>
        <v>BALAN XIU * MANUEL JESUS</v>
      </c>
      <c r="E53" s="2137"/>
      <c r="F53" s="2137"/>
      <c r="G53" s="2137"/>
      <c r="H53" s="2137"/>
      <c r="I53" s="1370">
        <v>3</v>
      </c>
      <c r="J53" s="1370">
        <v>2</v>
      </c>
      <c r="K53" s="1370"/>
      <c r="L53" s="1370">
        <v>2</v>
      </c>
      <c r="M53" s="1267">
        <v>3</v>
      </c>
      <c r="N53" s="1267">
        <f t="shared" ref="N53:N68" si="21">SUM(I53:M53)</f>
        <v>10</v>
      </c>
      <c r="O53" s="1267"/>
    </row>
    <row r="54" spans="1:16" ht="15.75" hidden="1" customHeight="1">
      <c r="A54" s="2136">
        <f t="shared" ref="A54:D54" si="22">A31</f>
        <v>3</v>
      </c>
      <c r="B54" s="2136" t="str">
        <f t="shared" si="22"/>
        <v>8 DE OCTUBRE</v>
      </c>
      <c r="C54" s="2143" t="str">
        <f t="shared" si="22"/>
        <v>23DPR0492K</v>
      </c>
      <c r="D54" s="2137" t="str">
        <f t="shared" si="22"/>
        <v>CARDEÑA BENITEZ * LIDIA ESMERALDA</v>
      </c>
      <c r="E54" s="2137"/>
      <c r="F54" s="2137"/>
      <c r="G54" s="2137"/>
      <c r="H54" s="2137"/>
      <c r="I54" s="1370">
        <v>1</v>
      </c>
      <c r="J54" s="1370">
        <v>2</v>
      </c>
      <c r="K54" s="1370"/>
      <c r="L54" s="1370">
        <v>2</v>
      </c>
      <c r="M54" s="1267">
        <v>2</v>
      </c>
      <c r="N54" s="1267">
        <f t="shared" si="21"/>
        <v>7</v>
      </c>
      <c r="O54" s="1267"/>
    </row>
    <row r="55" spans="1:16" ht="15.75" hidden="1" customHeight="1">
      <c r="A55" s="2136">
        <f t="shared" ref="A55:D55" si="23">A32</f>
        <v>4</v>
      </c>
      <c r="B55" s="2136" t="str">
        <f t="shared" si="23"/>
        <v>DERECHOS DEL NIÑO</v>
      </c>
      <c r="C55" s="2143" t="str">
        <f t="shared" si="23"/>
        <v>23DPR0564N</v>
      </c>
      <c r="D55" s="2137" t="str">
        <f t="shared" si="23"/>
        <v>CETINA CHAY * JUAN CARLOS</v>
      </c>
      <c r="E55" s="2137"/>
      <c r="F55" s="2137"/>
      <c r="G55" s="2137"/>
      <c r="H55" s="2137"/>
      <c r="I55" s="1370">
        <v>2</v>
      </c>
      <c r="J55" s="1370">
        <v>2</v>
      </c>
      <c r="K55" s="1370"/>
      <c r="L55" s="1370">
        <v>2</v>
      </c>
      <c r="M55" s="1267">
        <v>2</v>
      </c>
      <c r="N55" s="1267">
        <f t="shared" si="21"/>
        <v>8</v>
      </c>
      <c r="O55" s="1267"/>
    </row>
    <row r="56" spans="1:16" ht="15.75" hidden="1" customHeight="1">
      <c r="A56" s="2136">
        <f t="shared" ref="A56:D56" si="24">A33</f>
        <v>5</v>
      </c>
      <c r="B56" s="2136" t="str">
        <f t="shared" si="24"/>
        <v>DERECHOS DEL NIÑO</v>
      </c>
      <c r="C56" s="2143" t="str">
        <f t="shared" si="24"/>
        <v>23DPR0570Y</v>
      </c>
      <c r="D56" s="2137" t="str">
        <f t="shared" si="24"/>
        <v>COOX YAH * CARLOS  ENRIQUE</v>
      </c>
      <c r="E56" s="2137"/>
      <c r="F56" s="2137"/>
      <c r="G56" s="2137"/>
      <c r="H56" s="2137"/>
      <c r="I56" s="1370">
        <v>1</v>
      </c>
      <c r="J56" s="1370">
        <v>1</v>
      </c>
      <c r="K56" s="1370"/>
      <c r="L56" s="1370">
        <v>1</v>
      </c>
      <c r="M56" s="1267">
        <v>2</v>
      </c>
      <c r="N56" s="1267">
        <f t="shared" si="21"/>
        <v>5</v>
      </c>
      <c r="O56" s="1267"/>
    </row>
    <row r="57" spans="1:16" ht="15.75" hidden="1" customHeight="1">
      <c r="A57" s="2136">
        <f t="shared" ref="A57:D57" si="25">A34</f>
        <v>6</v>
      </c>
      <c r="B57" s="2136" t="str">
        <f t="shared" si="25"/>
        <v>CUITLAHUAC</v>
      </c>
      <c r="C57" s="2143" t="str">
        <f t="shared" si="25"/>
        <v>23DPR572W</v>
      </c>
      <c r="D57" s="2137" t="str">
        <f t="shared" si="25"/>
        <v>DZIB TUZ * MANUEL JESUS</v>
      </c>
      <c r="E57" s="2137"/>
      <c r="F57" s="2137"/>
      <c r="G57" s="2137"/>
      <c r="H57" s="2137"/>
      <c r="I57" s="1370">
        <v>2</v>
      </c>
      <c r="J57" s="1370">
        <v>2</v>
      </c>
      <c r="K57" s="1370"/>
      <c r="L57" s="1370">
        <v>2</v>
      </c>
      <c r="M57" s="1267">
        <v>3</v>
      </c>
      <c r="N57" s="1267">
        <f t="shared" si="21"/>
        <v>9</v>
      </c>
      <c r="O57" s="1267"/>
    </row>
    <row r="58" spans="1:16" ht="15.75" hidden="1" customHeight="1">
      <c r="A58" s="2136">
        <f t="shared" ref="A58:D58" si="26">A35</f>
        <v>7</v>
      </c>
      <c r="B58" s="2136" t="str">
        <f t="shared" si="26"/>
        <v>CUITLAHUAC</v>
      </c>
      <c r="C58" s="2143" t="str">
        <f t="shared" si="26"/>
        <v>23DPR0581D</v>
      </c>
      <c r="D58" s="2137" t="str">
        <f t="shared" si="26"/>
        <v>PUCH GOMEZ * MADAI ROXANA</v>
      </c>
      <c r="E58" s="2137"/>
      <c r="F58" s="2137"/>
      <c r="G58" s="2137"/>
      <c r="H58" s="2137"/>
      <c r="I58" s="1370">
        <v>1</v>
      </c>
      <c r="J58" s="1370">
        <v>1</v>
      </c>
      <c r="K58" s="1370"/>
      <c r="L58" s="1370">
        <v>2</v>
      </c>
      <c r="M58" s="1267">
        <v>1</v>
      </c>
      <c r="N58" s="1267">
        <f t="shared" si="21"/>
        <v>5</v>
      </c>
      <c r="O58" s="1267"/>
    </row>
    <row r="59" spans="1:16" ht="15.75" hidden="1" customHeight="1">
      <c r="A59" s="2136">
        <f t="shared" ref="A59:D59" si="27">A36</f>
        <v>8</v>
      </c>
      <c r="B59" s="2136" t="str">
        <f t="shared" si="27"/>
        <v>KABAH</v>
      </c>
      <c r="C59" s="2143" t="str">
        <f t="shared" si="27"/>
        <v>23DPR0593I</v>
      </c>
      <c r="D59" s="2137" t="str">
        <f t="shared" si="27"/>
        <v>DZIB TUZ * MANUEL JESUS</v>
      </c>
      <c r="E59" s="2137"/>
      <c r="F59" s="2137"/>
      <c r="G59" s="2137"/>
      <c r="H59" s="2137"/>
      <c r="I59" s="1267">
        <v>0</v>
      </c>
      <c r="J59" s="1267">
        <v>1</v>
      </c>
      <c r="K59" s="1267"/>
      <c r="L59" s="1267">
        <v>1</v>
      </c>
      <c r="M59" s="1267">
        <v>1</v>
      </c>
      <c r="N59" s="1267">
        <f t="shared" si="21"/>
        <v>3</v>
      </c>
      <c r="O59" s="1267"/>
    </row>
    <row r="60" spans="1:16" ht="15.75" hidden="1" customHeight="1">
      <c r="A60" s="2136">
        <f t="shared" ref="A60:D60" si="28">A37</f>
        <v>9</v>
      </c>
      <c r="B60" s="2136" t="str">
        <f t="shared" si="28"/>
        <v>ANTONIO MEDIZ BOLIO</v>
      </c>
      <c r="C60" s="2143" t="str">
        <f t="shared" si="28"/>
        <v>23DPR0640C</v>
      </c>
      <c r="D60" s="2137" t="str">
        <f t="shared" si="28"/>
        <v>ARJONA SANTOYO * MARCO ANTONIO</v>
      </c>
      <c r="E60" s="2137"/>
      <c r="F60" s="2137"/>
      <c r="G60" s="2137"/>
      <c r="H60" s="2137"/>
      <c r="I60" s="1370">
        <v>2</v>
      </c>
      <c r="J60" s="1370">
        <v>2</v>
      </c>
      <c r="K60" s="1370"/>
      <c r="L60" s="1370">
        <v>2</v>
      </c>
      <c r="M60" s="1267">
        <v>2</v>
      </c>
      <c r="N60" s="1267">
        <f t="shared" si="21"/>
        <v>8</v>
      </c>
      <c r="O60" s="1267"/>
    </row>
    <row r="61" spans="1:16" ht="15.75" hidden="1" customHeight="1">
      <c r="A61" s="2136">
        <f t="shared" ref="A61:D61" si="29">A38</f>
        <v>10</v>
      </c>
      <c r="B61" s="2136" t="str">
        <f t="shared" si="29"/>
        <v>MANUEL CRESCENCIO REJON</v>
      </c>
      <c r="C61" s="2143" t="str">
        <f t="shared" si="29"/>
        <v>23DPR0681C</v>
      </c>
      <c r="D61" s="2137" t="str">
        <f t="shared" si="29"/>
        <v>CERVERA VIDAL * DULCE RUTH</v>
      </c>
      <c r="E61" s="2137"/>
      <c r="F61" s="2137"/>
      <c r="G61" s="2137"/>
      <c r="H61" s="2137"/>
      <c r="I61" s="1370">
        <v>1</v>
      </c>
      <c r="J61" s="1370">
        <v>2</v>
      </c>
      <c r="K61" s="1370"/>
      <c r="L61" s="1370">
        <v>1</v>
      </c>
      <c r="M61" s="1267">
        <v>1</v>
      </c>
      <c r="N61" s="1267">
        <f t="shared" si="21"/>
        <v>5</v>
      </c>
      <c r="O61" s="1267"/>
    </row>
    <row r="62" spans="1:16" ht="15.75" hidden="1" customHeight="1">
      <c r="A62" s="2136">
        <f>A39</f>
        <v>11</v>
      </c>
      <c r="B62" s="2136" t="str">
        <f t="shared" ref="B62:D62" si="30">B39</f>
        <v>CENTRO EDUCATIVO EL MANANTIAL</v>
      </c>
      <c r="C62" s="2143" t="str">
        <f t="shared" si="30"/>
        <v>23PPR0099M</v>
      </c>
      <c r="D62" s="2137" t="str">
        <f t="shared" si="30"/>
        <v>TUCUCH SANTOS * AURORA LETICIA</v>
      </c>
      <c r="E62" s="2137"/>
      <c r="F62" s="2137"/>
      <c r="G62" s="2137"/>
      <c r="H62" s="2137"/>
      <c r="I62" s="1370">
        <v>0</v>
      </c>
      <c r="J62" s="1370">
        <v>1</v>
      </c>
      <c r="K62" s="1370"/>
      <c r="L62" s="1370">
        <v>2</v>
      </c>
      <c r="M62" s="1267">
        <v>1</v>
      </c>
      <c r="N62" s="1267">
        <f t="shared" si="21"/>
        <v>4</v>
      </c>
      <c r="O62" s="1267"/>
    </row>
    <row r="63" spans="1:16" ht="15.75" hidden="1" customHeight="1">
      <c r="A63" s="2136">
        <f>A40</f>
        <v>12</v>
      </c>
      <c r="B63" s="2136" t="str">
        <f t="shared" ref="B63:D63" si="31">B40</f>
        <v>COLEGIO HISPANOAMERICANO LA LUNA</v>
      </c>
      <c r="C63" s="2143" t="str">
        <f t="shared" si="31"/>
        <v>23PPR0100L</v>
      </c>
      <c r="D63" s="2137" t="str">
        <f t="shared" si="31"/>
        <v>CRUZ MARTINEZ * BELEM</v>
      </c>
      <c r="E63" s="2137"/>
      <c r="F63" s="2137"/>
      <c r="G63" s="2137"/>
      <c r="H63" s="2137"/>
      <c r="I63" s="1267">
        <v>0</v>
      </c>
      <c r="J63" s="1267">
        <v>0</v>
      </c>
      <c r="K63" s="1267"/>
      <c r="L63" s="1267">
        <v>0</v>
      </c>
      <c r="M63" s="1267">
        <v>0</v>
      </c>
      <c r="N63" s="1267">
        <f t="shared" si="21"/>
        <v>0</v>
      </c>
      <c r="O63" s="1267"/>
    </row>
    <row r="64" spans="1:16" ht="15.75" hidden="1" customHeight="1">
      <c r="A64" s="2136">
        <f t="shared" ref="A64:D64" si="32">A41</f>
        <v>13</v>
      </c>
      <c r="B64" s="2136" t="str">
        <f t="shared" si="32"/>
        <v>JOSE VASCONCELOS</v>
      </c>
      <c r="C64" s="2143" t="str">
        <f t="shared" si="32"/>
        <v>23PPR0125U</v>
      </c>
      <c r="D64" s="2137" t="str">
        <f t="shared" si="32"/>
        <v>RUIZ VALLE * PATRICIA</v>
      </c>
      <c r="E64" s="2137"/>
      <c r="F64" s="2137"/>
      <c r="G64" s="2137"/>
      <c r="H64" s="2137"/>
      <c r="I64" s="1267">
        <v>0</v>
      </c>
      <c r="J64" s="1267">
        <v>0</v>
      </c>
      <c r="K64" s="1267"/>
      <c r="L64" s="1267">
        <v>0</v>
      </c>
      <c r="M64" s="1267">
        <v>0</v>
      </c>
      <c r="N64" s="1267">
        <f t="shared" si="21"/>
        <v>0</v>
      </c>
      <c r="O64" s="1267"/>
    </row>
    <row r="65" spans="1:16" ht="15.75" hidden="1" customHeight="1">
      <c r="A65" s="2136">
        <f>A42</f>
        <v>14</v>
      </c>
      <c r="B65" s="2136" t="str">
        <f t="shared" ref="B65:D68" si="33">B42</f>
        <v>CENTRO INFANTIL LATINOAMERICANO</v>
      </c>
      <c r="C65" s="2143" t="str">
        <f t="shared" si="33"/>
        <v>23PPR0156N</v>
      </c>
      <c r="D65" s="2137" t="str">
        <f t="shared" si="33"/>
        <v>G.CANTON PUERTO * REBECA</v>
      </c>
      <c r="E65" s="2137"/>
      <c r="F65" s="2137"/>
      <c r="G65" s="2137"/>
      <c r="H65" s="2137"/>
      <c r="I65" s="1267">
        <v>0</v>
      </c>
      <c r="J65" s="1267">
        <v>0</v>
      </c>
      <c r="K65" s="1267"/>
      <c r="L65" s="1267">
        <v>0</v>
      </c>
      <c r="M65" s="1267">
        <v>0</v>
      </c>
      <c r="N65" s="1267">
        <f t="shared" si="21"/>
        <v>0</v>
      </c>
      <c r="O65" s="1267"/>
    </row>
    <row r="66" spans="1:16" ht="15.75" hidden="1" customHeight="1">
      <c r="A66" s="2136">
        <f>A43</f>
        <v>15</v>
      </c>
      <c r="B66" s="2136" t="str">
        <f t="shared" si="33"/>
        <v>COLEGIO KING DAVID</v>
      </c>
      <c r="C66" s="2143" t="str">
        <f t="shared" si="33"/>
        <v>23PPR0163X</v>
      </c>
      <c r="D66" s="2137" t="str">
        <f t="shared" si="33"/>
        <v>MARIA ALMA MIRANDA VALDEZ</v>
      </c>
      <c r="E66" s="2137"/>
      <c r="F66" s="2137"/>
      <c r="G66" s="2137"/>
      <c r="H66" s="2137"/>
      <c r="I66" s="1267">
        <v>0</v>
      </c>
      <c r="J66" s="1267">
        <v>0</v>
      </c>
      <c r="K66" s="1267"/>
      <c r="L66" s="1267">
        <v>0</v>
      </c>
      <c r="M66" s="1267">
        <v>0</v>
      </c>
      <c r="N66" s="1267">
        <f t="shared" si="21"/>
        <v>0</v>
      </c>
      <c r="O66" s="1267"/>
    </row>
    <row r="67" spans="1:16" ht="15.75" hidden="1" customHeight="1">
      <c r="A67" s="2136">
        <f>A44</f>
        <v>16</v>
      </c>
      <c r="B67" s="2136">
        <f t="shared" si="33"/>
        <v>0</v>
      </c>
      <c r="C67" s="2143">
        <f t="shared" si="33"/>
        <v>0</v>
      </c>
      <c r="D67" s="2137">
        <f t="shared" si="33"/>
        <v>0</v>
      </c>
      <c r="E67" s="2137"/>
      <c r="F67" s="2137"/>
      <c r="G67" s="2137"/>
      <c r="H67" s="2137"/>
      <c r="I67" s="1267">
        <v>0</v>
      </c>
      <c r="J67" s="1267">
        <v>0</v>
      </c>
      <c r="K67" s="1267"/>
      <c r="L67" s="1267">
        <v>0</v>
      </c>
      <c r="M67" s="1267">
        <v>0</v>
      </c>
      <c r="N67" s="1267">
        <f t="shared" si="21"/>
        <v>0</v>
      </c>
      <c r="O67" s="1267"/>
    </row>
    <row r="68" spans="1:16" ht="15.75" hidden="1" customHeight="1">
      <c r="A68" s="2136">
        <f>A45</f>
        <v>17</v>
      </c>
      <c r="B68" s="2136">
        <f t="shared" si="33"/>
        <v>0</v>
      </c>
      <c r="C68" s="2143">
        <f t="shared" si="33"/>
        <v>0</v>
      </c>
      <c r="D68" s="2137">
        <f t="shared" si="33"/>
        <v>0</v>
      </c>
      <c r="E68" s="2137"/>
      <c r="F68" s="2137"/>
      <c r="G68" s="2137"/>
      <c r="H68" s="2137"/>
      <c r="I68" s="1267">
        <v>0</v>
      </c>
      <c r="J68" s="1267">
        <v>0</v>
      </c>
      <c r="K68" s="1267"/>
      <c r="L68" s="1267">
        <v>0</v>
      </c>
      <c r="M68" s="1267">
        <v>0</v>
      </c>
      <c r="N68" s="1267">
        <f t="shared" si="21"/>
        <v>0</v>
      </c>
      <c r="O68" s="1267"/>
    </row>
    <row r="69" spans="1:16" ht="11.25" hidden="1" customHeight="1">
      <c r="A69" s="2140"/>
      <c r="B69" s="2140"/>
      <c r="C69" s="2140"/>
      <c r="D69" s="2140"/>
      <c r="E69" s="2140"/>
      <c r="F69" s="2140"/>
      <c r="G69" s="2140"/>
      <c r="H69" s="2140"/>
      <c r="I69" s="1267">
        <f>SUM(I52:I68)</f>
        <v>15</v>
      </c>
      <c r="J69" s="1267">
        <f t="shared" ref="J69" si="34">SUM(J52:J68)</f>
        <v>18</v>
      </c>
      <c r="K69" s="1267"/>
      <c r="L69" s="1267">
        <f t="shared" ref="L69" si="35">SUM(L52:L68)</f>
        <v>19</v>
      </c>
      <c r="M69" s="1267">
        <f t="shared" ref="M69" si="36">SUM(M52:M68)</f>
        <v>20</v>
      </c>
      <c r="N69" s="1267">
        <f>SUM(N52:N68)</f>
        <v>72</v>
      </c>
      <c r="O69" s="1267"/>
    </row>
    <row r="70" spans="1:16" ht="11.25" hidden="1" customHeight="1">
      <c r="A70" s="2140"/>
      <c r="B70" s="2140"/>
      <c r="C70" s="2140"/>
      <c r="D70" s="2142" t="s">
        <v>848</v>
      </c>
      <c r="E70" s="2142"/>
      <c r="F70" s="2142"/>
      <c r="G70" s="2142"/>
      <c r="H70" s="2142"/>
      <c r="I70" s="1267">
        <v>19</v>
      </c>
      <c r="J70" s="1267">
        <v>18</v>
      </c>
      <c r="K70" s="1267"/>
      <c r="L70" s="1267">
        <v>13</v>
      </c>
      <c r="M70" s="1267">
        <v>15</v>
      </c>
      <c r="N70" s="1267"/>
      <c r="O70" s="1267"/>
      <c r="P70" s="2139"/>
    </row>
    <row r="71" spans="1:16" ht="11.25" hidden="1" customHeight="1">
      <c r="A71" s="2140"/>
      <c r="B71" s="2140"/>
      <c r="C71" s="2140"/>
      <c r="D71" s="2142" t="s">
        <v>1687</v>
      </c>
      <c r="E71" s="2142"/>
      <c r="F71" s="2142"/>
      <c r="G71" s="2142"/>
      <c r="H71" s="2142"/>
      <c r="I71" s="1267">
        <f>I70-I69</f>
        <v>4</v>
      </c>
      <c r="J71" s="1267">
        <f t="shared" ref="J71" si="37">J70-J69</f>
        <v>0</v>
      </c>
      <c r="K71" s="1267"/>
      <c r="L71" s="1267">
        <f t="shared" ref="L71" si="38">L70-L69</f>
        <v>-6</v>
      </c>
      <c r="M71" s="1267">
        <f t="shared" ref="M71" si="39">M70-M69</f>
        <v>-5</v>
      </c>
      <c r="N71" s="1267"/>
      <c r="O71" s="1267"/>
      <c r="P71" s="2139"/>
    </row>
    <row r="72" spans="1:16" ht="11.25" hidden="1" customHeight="1">
      <c r="A72" s="2140"/>
      <c r="B72" s="2140"/>
      <c r="C72" s="2140"/>
      <c r="D72" s="2138" t="s">
        <v>1688</v>
      </c>
      <c r="E72" s="2138"/>
      <c r="F72" s="2138"/>
      <c r="G72" s="2138"/>
      <c r="H72" s="2138"/>
      <c r="I72" s="1267"/>
      <c r="J72" s="1267"/>
      <c r="K72" s="1267"/>
      <c r="L72" s="1267"/>
      <c r="M72" s="1267"/>
      <c r="N72" s="1267"/>
      <c r="O72" s="1267"/>
      <c r="P72" s="2139"/>
    </row>
  </sheetData>
  <mergeCells count="5">
    <mergeCell ref="A3:H3"/>
    <mergeCell ref="N2:P2"/>
    <mergeCell ref="Q2:U2"/>
    <mergeCell ref="D1:U1"/>
    <mergeCell ref="B2:M2"/>
  </mergeCells>
  <conditionalFormatting sqref="I29:P44 I46:P46 O45:P45 A21:U26 A5:U5 H12:U14 F13:G14 F6:U11 F15:U20 A6:E20">
    <cfRule type="cellIs" dxfId="792" priority="16" operator="equal">
      <formula>0</formula>
    </cfRule>
  </conditionalFormatting>
  <conditionalFormatting sqref="I47:P50">
    <cfRule type="cellIs" dxfId="791" priority="15" operator="equal">
      <formula>0</formula>
    </cfRule>
  </conditionalFormatting>
  <conditionalFormatting sqref="I45:P45">
    <cfRule type="cellIs" dxfId="790" priority="14" operator="equal">
      <formula>0</formula>
    </cfRule>
  </conditionalFormatting>
  <conditionalFormatting sqref="B45:H45">
    <cfRule type="cellIs" dxfId="789" priority="13" operator="equal">
      <formula>0</formula>
    </cfRule>
  </conditionalFormatting>
  <conditionalFormatting sqref="P70:P72">
    <cfRule type="cellIs" dxfId="788" priority="11" operator="equal">
      <formula>0</formula>
    </cfRule>
  </conditionalFormatting>
  <conditionalFormatting sqref="B68:C68">
    <cfRule type="cellIs" dxfId="787" priority="5" operator="equal">
      <formula>0</formula>
    </cfRule>
  </conditionalFormatting>
  <conditionalFormatting sqref="I52:O52 I69:O69 I53:M67 N53:O68">
    <cfRule type="cellIs" dxfId="786" priority="4" operator="equal">
      <formula>0</formula>
    </cfRule>
  </conditionalFormatting>
  <conditionalFormatting sqref="I70:O72">
    <cfRule type="cellIs" dxfId="785" priority="3" operator="equal">
      <formula>0</formula>
    </cfRule>
  </conditionalFormatting>
  <conditionalFormatting sqref="I68:M68 O68">
    <cfRule type="cellIs" dxfId="784" priority="2" operator="equal">
      <formula>0</formula>
    </cfRule>
  </conditionalFormatting>
  <hyperlinks>
    <hyperlink ref="M5" r:id="rId1" display="carloscetin4226@hotmail.com"/>
    <hyperlink ref="M6:M24" r:id="rId2" display="carloscetin4226@hotmail.com"/>
  </hyperlinks>
  <pageMargins left="0.23622047244094491" right="0.23622047244094491" top="0.74803149606299213" bottom="0.74803149606299213" header="0.31496062992125984" footer="0.31496062992125984"/>
  <pageSetup paperSize="9" orientation="landscape" r:id="rId3"/>
  <drawing r:id="rId4"/>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4"/>
  <dimension ref="A1:BI604"/>
  <sheetViews>
    <sheetView topLeftCell="A128" workbookViewId="0">
      <selection activeCell="S161" sqref="S161"/>
    </sheetView>
  </sheetViews>
  <sheetFormatPr baseColWidth="10" defaultRowHeight="12.75"/>
  <cols>
    <col min="1" max="1" width="1" style="417" customWidth="1"/>
    <col min="2" max="5" width="5.5703125" style="417" hidden="1" customWidth="1"/>
    <col min="6" max="18" width="5.28515625" style="417" customWidth="1"/>
    <col min="19" max="19" width="4.42578125" style="417" customWidth="1"/>
    <col min="20" max="29" width="5.28515625" style="417" customWidth="1"/>
    <col min="30" max="30" width="1" style="662" customWidth="1"/>
    <col min="31" max="32" width="6" style="430" hidden="1" customWidth="1"/>
    <col min="33" max="33" width="7.28515625" style="430" hidden="1" customWidth="1"/>
    <col min="34" max="35" width="11.42578125" style="430" hidden="1" customWidth="1"/>
    <col min="36" max="36" width="3.7109375" style="430" hidden="1" customWidth="1"/>
    <col min="37" max="37" width="3.7109375" style="112" hidden="1" customWidth="1"/>
    <col min="38" max="47" width="3.7109375" style="430" hidden="1" customWidth="1"/>
    <col min="48" max="59" width="4.42578125" style="430" hidden="1" customWidth="1"/>
    <col min="60" max="60" width="11.42578125" style="430" hidden="1" customWidth="1"/>
    <col min="61" max="16384" width="11.42578125" style="417"/>
  </cols>
  <sheetData>
    <row r="1" spans="1:60" ht="12" customHeight="1">
      <c r="A1" s="418"/>
      <c r="B1" s="419"/>
      <c r="C1" s="419"/>
      <c r="D1" s="419"/>
      <c r="E1" s="419"/>
      <c r="F1" s="419"/>
      <c r="G1" s="419"/>
      <c r="H1" s="419"/>
      <c r="I1" s="419"/>
      <c r="J1" s="419"/>
      <c r="K1" s="419"/>
      <c r="L1" s="419"/>
      <c r="M1" s="420"/>
      <c r="N1" s="419"/>
      <c r="O1" s="420" t="e">
        <f>#REF!</f>
        <v>#REF!</v>
      </c>
      <c r="P1" s="419"/>
      <c r="Q1" s="419"/>
      <c r="R1" s="419"/>
      <c r="S1" s="419"/>
      <c r="T1" s="419"/>
      <c r="U1" s="419"/>
      <c r="V1" s="419"/>
      <c r="W1" s="419"/>
      <c r="X1" s="419"/>
      <c r="Y1" s="419"/>
      <c r="Z1" s="419"/>
      <c r="AA1" s="421"/>
      <c r="AB1" s="163"/>
      <c r="AC1" s="163"/>
      <c r="AD1" s="422"/>
      <c r="AE1" s="423">
        <v>0</v>
      </c>
      <c r="AF1" s="424">
        <v>0</v>
      </c>
      <c r="AG1" s="424">
        <v>0</v>
      </c>
      <c r="AH1" s="425" t="s">
        <v>379</v>
      </c>
      <c r="AI1" s="426" t="s">
        <v>380</v>
      </c>
      <c r="AJ1" s="427" t="s">
        <v>228</v>
      </c>
      <c r="AK1" s="428">
        <f>R20</f>
        <v>0</v>
      </c>
      <c r="AL1" s="429"/>
      <c r="AM1" s="429"/>
      <c r="AN1" s="429"/>
      <c r="AO1" s="430">
        <f>COUNTIF(AK1:AN1,AJ1)</f>
        <v>0</v>
      </c>
      <c r="AU1" s="430">
        <f t="shared" ref="AU1:AU18" si="0">COUNTIF(AQ4:AT4,AP4)</f>
        <v>0</v>
      </c>
      <c r="AV1" s="112"/>
      <c r="AW1" s="431"/>
      <c r="AX1" s="431"/>
      <c r="AY1" s="431"/>
      <c r="AZ1" s="431"/>
      <c r="BA1" s="431"/>
      <c r="BB1" s="431"/>
      <c r="BC1" s="431"/>
      <c r="BD1" s="431"/>
      <c r="BE1" s="431"/>
      <c r="BF1" s="431"/>
    </row>
    <row r="2" spans="1:60" ht="12" customHeight="1">
      <c r="A2" s="418"/>
      <c r="B2" s="432"/>
      <c r="C2" s="419"/>
      <c r="D2" s="419"/>
      <c r="E2" s="419"/>
      <c r="F2" s="759">
        <f>'VISITA DE INSP.'!T6</f>
        <v>1</v>
      </c>
      <c r="G2" s="419"/>
      <c r="H2" s="419"/>
      <c r="I2" s="419"/>
      <c r="J2" s="419"/>
      <c r="K2" s="419"/>
      <c r="L2" s="419"/>
      <c r="M2" s="420"/>
      <c r="N2" s="419"/>
      <c r="O2" s="420" t="e">
        <f>#REF!</f>
        <v>#REF!</v>
      </c>
      <c r="P2" s="419"/>
      <c r="Q2" s="419"/>
      <c r="R2" s="419"/>
      <c r="S2" s="419"/>
      <c r="T2" s="419"/>
      <c r="U2" s="419"/>
      <c r="V2" s="419"/>
      <c r="W2" s="419"/>
      <c r="X2" s="419"/>
      <c r="Y2" s="419"/>
      <c r="Z2" s="419"/>
      <c r="AA2" s="421"/>
      <c r="AB2" s="163"/>
      <c r="AC2" s="432"/>
      <c r="AD2" s="422"/>
      <c r="AE2" s="433" t="s">
        <v>228</v>
      </c>
      <c r="AF2" s="86" t="s">
        <v>93</v>
      </c>
      <c r="AG2" s="177" t="s">
        <v>381</v>
      </c>
      <c r="AH2" s="434">
        <v>0</v>
      </c>
      <c r="AI2" s="87">
        <v>0</v>
      </c>
      <c r="AJ2" s="427" t="s">
        <v>230</v>
      </c>
      <c r="AK2" s="428">
        <f>R20</f>
        <v>0</v>
      </c>
      <c r="AL2" s="429"/>
      <c r="AM2" s="429"/>
      <c r="AN2" s="429"/>
      <c r="AO2" s="430">
        <f t="shared" ref="AO2:AO22" si="1">COUNTIF(AK2:AN2,AJ2)</f>
        <v>0</v>
      </c>
      <c r="AU2" s="430">
        <f t="shared" si="0"/>
        <v>0</v>
      </c>
      <c r="AV2" s="111" t="s">
        <v>228</v>
      </c>
      <c r="AW2" s="431" t="str">
        <f>R15</f>
        <v>A</v>
      </c>
      <c r="AX2" s="431" t="str">
        <f>R45</f>
        <v>C</v>
      </c>
      <c r="AY2" s="431" t="str">
        <f>R75</f>
        <v>C</v>
      </c>
      <c r="AZ2" s="431" t="str">
        <f>R105</f>
        <v>C</v>
      </c>
      <c r="BA2" s="431" t="str">
        <f>R135</f>
        <v>C</v>
      </c>
      <c r="BB2" s="431" t="str">
        <f>R165</f>
        <v>C</v>
      </c>
      <c r="BC2" s="431">
        <f>R195</f>
        <v>0</v>
      </c>
      <c r="BD2" s="431" t="str">
        <f>R225</f>
        <v>C</v>
      </c>
      <c r="BE2" s="431" t="str">
        <f>R255</f>
        <v>C</v>
      </c>
      <c r="BF2" s="431" t="str">
        <f>R285</f>
        <v>C</v>
      </c>
      <c r="BG2" s="430">
        <f>COUNTIF(AW2:BF2,AV2)</f>
        <v>1</v>
      </c>
      <c r="BH2" s="430" t="s">
        <v>382</v>
      </c>
    </row>
    <row r="3" spans="1:60" ht="12" customHeight="1" thickBot="1">
      <c r="A3" s="418"/>
      <c r="B3" s="435"/>
      <c r="C3" s="436"/>
      <c r="D3" s="436"/>
      <c r="E3" s="436"/>
      <c r="F3" s="436"/>
      <c r="G3" s="436"/>
      <c r="H3" s="436"/>
      <c r="I3" s="436"/>
      <c r="J3" s="436"/>
      <c r="K3" s="436"/>
      <c r="L3" s="436"/>
      <c r="M3" s="437"/>
      <c r="N3" s="436"/>
      <c r="O3" s="437" t="e">
        <f>#REF!</f>
        <v>#REF!</v>
      </c>
      <c r="P3" s="436"/>
      <c r="Q3" s="436"/>
      <c r="R3" s="436"/>
      <c r="S3" s="436"/>
      <c r="T3" s="436"/>
      <c r="U3" s="436"/>
      <c r="V3" s="436"/>
      <c r="W3" s="436"/>
      <c r="X3" s="436"/>
      <c r="Y3" s="436"/>
      <c r="Z3" s="436"/>
      <c r="AA3" s="438"/>
      <c r="AB3" s="439"/>
      <c r="AC3" s="439"/>
      <c r="AD3" s="422"/>
      <c r="AE3" s="433" t="s">
        <v>230</v>
      </c>
      <c r="AF3" s="86" t="s">
        <v>383</v>
      </c>
      <c r="AG3" s="177" t="s">
        <v>384</v>
      </c>
      <c r="AH3" s="434">
        <v>3</v>
      </c>
      <c r="AI3" s="82" t="s">
        <v>61</v>
      </c>
      <c r="AJ3" s="427" t="s">
        <v>7</v>
      </c>
      <c r="AK3" s="428">
        <f>R20</f>
        <v>0</v>
      </c>
      <c r="AL3" s="429"/>
      <c r="AM3" s="429"/>
      <c r="AN3" s="429"/>
      <c r="AO3" s="430">
        <f t="shared" si="1"/>
        <v>0</v>
      </c>
      <c r="AU3" s="430">
        <f t="shared" si="0"/>
        <v>0</v>
      </c>
      <c r="AV3" s="111" t="s">
        <v>230</v>
      </c>
      <c r="AW3" s="431" t="str">
        <f>R15</f>
        <v>A</v>
      </c>
      <c r="AX3" s="431" t="str">
        <f>R45</f>
        <v>C</v>
      </c>
      <c r="AY3" s="431" t="str">
        <f>R75</f>
        <v>C</v>
      </c>
      <c r="AZ3" s="431" t="str">
        <f>R105</f>
        <v>C</v>
      </c>
      <c r="BA3" s="431" t="str">
        <f>R135</f>
        <v>C</v>
      </c>
      <c r="BB3" s="431" t="str">
        <f>R165</f>
        <v>C</v>
      </c>
      <c r="BC3" s="431">
        <f>R195</f>
        <v>0</v>
      </c>
      <c r="BD3" s="431" t="str">
        <f>R225</f>
        <v>C</v>
      </c>
      <c r="BE3" s="431" t="str">
        <f>R255</f>
        <v>C</v>
      </c>
      <c r="BF3" s="431" t="str">
        <f>R285</f>
        <v>C</v>
      </c>
      <c r="BG3" s="430">
        <f t="shared" ref="BG3:BG19" si="2">COUNTIF(AW3:BF3,AV3)</f>
        <v>0</v>
      </c>
      <c r="BH3" s="430" t="s">
        <v>385</v>
      </c>
    </row>
    <row r="4" spans="1:60" ht="12" customHeight="1" thickTop="1">
      <c r="A4" s="686"/>
      <c r="B4" s="4761" t="s">
        <v>386</v>
      </c>
      <c r="C4" s="4762"/>
      <c r="D4" s="4762"/>
      <c r="E4" s="4762"/>
      <c r="F4" s="4762"/>
      <c r="G4" s="4762"/>
      <c r="H4" s="4762"/>
      <c r="I4" s="4763"/>
      <c r="J4" s="440">
        <f>COUNTA(I9:I10)</f>
        <v>1</v>
      </c>
      <c r="K4" s="563" t="s">
        <v>387</v>
      </c>
      <c r="L4" s="564"/>
      <c r="M4" s="564"/>
      <c r="N4" s="564"/>
      <c r="O4" s="564"/>
      <c r="P4" s="564"/>
      <c r="Q4" s="564"/>
      <c r="R4" s="564"/>
      <c r="S4" s="564"/>
      <c r="T4" s="564"/>
      <c r="U4" s="564"/>
      <c r="V4" s="564"/>
      <c r="W4" s="564"/>
      <c r="X4" s="564"/>
      <c r="Y4" s="441"/>
      <c r="Z4" s="4770" t="s">
        <v>388</v>
      </c>
      <c r="AA4" s="4771"/>
      <c r="AB4" s="4771"/>
      <c r="AC4" s="4772"/>
      <c r="AD4" s="442" t="s">
        <v>389</v>
      </c>
      <c r="AE4" s="433" t="s">
        <v>7</v>
      </c>
      <c r="AF4" s="86" t="s">
        <v>390</v>
      </c>
      <c r="AG4" s="177" t="s">
        <v>391</v>
      </c>
      <c r="AH4" s="434">
        <v>9</v>
      </c>
      <c r="AI4" s="82" t="s">
        <v>392</v>
      </c>
      <c r="AJ4" s="427" t="s">
        <v>393</v>
      </c>
      <c r="AK4" s="428">
        <f>R20</f>
        <v>0</v>
      </c>
      <c r="AL4" s="429"/>
      <c r="AM4" s="429"/>
      <c r="AN4" s="429"/>
      <c r="AO4" s="430">
        <f t="shared" si="1"/>
        <v>0</v>
      </c>
      <c r="AP4" s="86" t="s">
        <v>228</v>
      </c>
      <c r="AQ4" s="431" t="e">
        <f>G17</f>
        <v>#REF!</v>
      </c>
      <c r="AR4" s="112"/>
      <c r="AS4" s="112"/>
      <c r="AT4" s="112"/>
      <c r="AU4" s="430">
        <f t="shared" si="0"/>
        <v>0</v>
      </c>
      <c r="AV4" s="111" t="s">
        <v>7</v>
      </c>
      <c r="AW4" s="431" t="str">
        <f>R15</f>
        <v>A</v>
      </c>
      <c r="AX4" s="431" t="str">
        <f>R45</f>
        <v>C</v>
      </c>
      <c r="AY4" s="431" t="str">
        <f>R75</f>
        <v>C</v>
      </c>
      <c r="AZ4" s="431" t="str">
        <f>R105</f>
        <v>C</v>
      </c>
      <c r="BA4" s="431" t="str">
        <f>R135</f>
        <v>C</v>
      </c>
      <c r="BB4" s="431" t="str">
        <f>R165</f>
        <v>C</v>
      </c>
      <c r="BC4" s="431">
        <f>R195</f>
        <v>0</v>
      </c>
      <c r="BD4" s="431" t="str">
        <f>R225</f>
        <v>C</v>
      </c>
      <c r="BE4" s="431" t="str">
        <f>R255</f>
        <v>C</v>
      </c>
      <c r="BF4" s="431" t="str">
        <f>R285</f>
        <v>C</v>
      </c>
      <c r="BG4" s="443">
        <f>COUNTIF(AW4:BF4,AV4)</f>
        <v>8</v>
      </c>
      <c r="BH4" s="430" t="s">
        <v>394</v>
      </c>
    </row>
    <row r="5" spans="1:60" ht="12" customHeight="1">
      <c r="A5" s="686"/>
      <c r="B5" s="4764"/>
      <c r="C5" s="4765"/>
      <c r="D5" s="4765"/>
      <c r="E5" s="4765"/>
      <c r="F5" s="4765"/>
      <c r="G5" s="4765"/>
      <c r="H5" s="4765"/>
      <c r="I5" s="4766"/>
      <c r="J5" s="444" t="str">
        <f>CONCATENATE(O5,J22,R5,K22,U5,L22)</f>
        <v xml:space="preserve">       </v>
      </c>
      <c r="K5" s="699" t="s">
        <v>395</v>
      </c>
      <c r="L5" s="700"/>
      <c r="M5" s="539"/>
      <c r="N5" s="539"/>
      <c r="O5" s="701"/>
      <c r="P5" s="573"/>
      <c r="R5" s="701"/>
      <c r="S5" s="573"/>
      <c r="U5" s="701"/>
      <c r="V5" s="702"/>
      <c r="W5" s="703"/>
      <c r="X5" s="641"/>
      <c r="Y5" s="445" t="str">
        <f>CONCATENATE(U5,K22,O5,J22,R5,L22)</f>
        <v xml:space="preserve">       </v>
      </c>
      <c r="Z5" s="446" t="s">
        <v>396</v>
      </c>
      <c r="AA5" s="447" t="str">
        <f>J5</f>
        <v xml:space="preserve">       </v>
      </c>
      <c r="AB5" s="448"/>
      <c r="AC5" s="449"/>
      <c r="AD5" s="442" t="s">
        <v>389</v>
      </c>
      <c r="AE5" s="433" t="s">
        <v>393</v>
      </c>
      <c r="AF5" s="86" t="s">
        <v>397</v>
      </c>
      <c r="AG5" s="177" t="s">
        <v>398</v>
      </c>
      <c r="AH5" s="434">
        <v>10</v>
      </c>
      <c r="AI5" s="82" t="s">
        <v>31</v>
      </c>
      <c r="AJ5" s="427" t="s">
        <v>399</v>
      </c>
      <c r="AK5" s="428">
        <f>R20</f>
        <v>0</v>
      </c>
      <c r="AL5" s="429"/>
      <c r="AM5" s="429"/>
      <c r="AN5" s="429"/>
      <c r="AO5" s="430">
        <f t="shared" si="1"/>
        <v>0</v>
      </c>
      <c r="AP5" s="86" t="s">
        <v>230</v>
      </c>
      <c r="AQ5" s="431" t="e">
        <f>G17</f>
        <v>#REF!</v>
      </c>
      <c r="AR5" s="112"/>
      <c r="AS5" s="112"/>
      <c r="AT5" s="112"/>
      <c r="AU5" s="430">
        <f t="shared" si="0"/>
        <v>0</v>
      </c>
      <c r="AV5" s="111" t="s">
        <v>393</v>
      </c>
      <c r="AW5" s="431" t="str">
        <f>R15</f>
        <v>A</v>
      </c>
      <c r="AX5" s="431" t="str">
        <f>R45</f>
        <v>C</v>
      </c>
      <c r="AY5" s="431" t="str">
        <f>R75</f>
        <v>C</v>
      </c>
      <c r="AZ5" s="431" t="str">
        <f>R105</f>
        <v>C</v>
      </c>
      <c r="BA5" s="431" t="str">
        <f>R135</f>
        <v>C</v>
      </c>
      <c r="BB5" s="431" t="str">
        <f>R165</f>
        <v>C</v>
      </c>
      <c r="BC5" s="431">
        <f>R195</f>
        <v>0</v>
      </c>
      <c r="BD5" s="431" t="str">
        <f>R225</f>
        <v>C</v>
      </c>
      <c r="BE5" s="431" t="str">
        <f>R255</f>
        <v>C</v>
      </c>
      <c r="BF5" s="431" t="str">
        <f>R285</f>
        <v>C</v>
      </c>
      <c r="BG5" s="430">
        <f t="shared" si="2"/>
        <v>0</v>
      </c>
      <c r="BH5" s="430" t="s">
        <v>398</v>
      </c>
    </row>
    <row r="6" spans="1:60" ht="12" customHeight="1" thickBot="1">
      <c r="A6" s="686"/>
      <c r="B6" s="4767"/>
      <c r="C6" s="4768"/>
      <c r="D6" s="4768"/>
      <c r="E6" s="4768"/>
      <c r="F6" s="4768"/>
      <c r="G6" s="4768"/>
      <c r="H6" s="4768"/>
      <c r="I6" s="4769"/>
      <c r="J6" s="444"/>
      <c r="K6" s="539" t="str">
        <f>'VISITA DE INSP.'!D17</f>
        <v>CERVANTES BENITEZ * ANTONIA</v>
      </c>
      <c r="L6" s="539"/>
      <c r="M6" s="539"/>
      <c r="N6" s="539"/>
      <c r="P6" s="704"/>
      <c r="Q6" s="705"/>
      <c r="S6" s="704"/>
      <c r="T6" s="705"/>
      <c r="U6" s="706"/>
      <c r="V6" s="706"/>
      <c r="W6" s="706"/>
      <c r="X6" s="706"/>
      <c r="Y6" s="450" t="str">
        <f>CONCATENATE(V7,L22,W7)</f>
        <v>11007831200.0   078312 E022100.0231688</v>
      </c>
      <c r="Z6" s="4773" t="s">
        <v>400</v>
      </c>
      <c r="AA6" s="4774"/>
      <c r="AB6" s="4774"/>
      <c r="AC6" s="4775"/>
      <c r="AD6" s="442" t="s">
        <v>389</v>
      </c>
      <c r="AE6" s="433" t="s">
        <v>399</v>
      </c>
      <c r="AF6" s="86" t="s">
        <v>401</v>
      </c>
      <c r="AG6" s="177" t="s">
        <v>402</v>
      </c>
      <c r="AH6" s="434">
        <v>20</v>
      </c>
      <c r="AI6" s="82" t="s">
        <v>33</v>
      </c>
      <c r="AJ6" s="427" t="s">
        <v>403</v>
      </c>
      <c r="AK6" s="428">
        <f>R20</f>
        <v>0</v>
      </c>
      <c r="AL6" s="429"/>
      <c r="AM6" s="429"/>
      <c r="AN6" s="429"/>
      <c r="AO6" s="430">
        <f t="shared" si="1"/>
        <v>0</v>
      </c>
      <c r="AP6" s="86" t="s">
        <v>404</v>
      </c>
      <c r="AQ6" s="431" t="e">
        <f>G17</f>
        <v>#REF!</v>
      </c>
      <c r="AR6" s="112"/>
      <c r="AS6" s="112"/>
      <c r="AT6" s="112"/>
      <c r="AU6" s="430">
        <f t="shared" si="0"/>
        <v>0</v>
      </c>
      <c r="AV6" s="111" t="s">
        <v>399</v>
      </c>
      <c r="AW6" s="431" t="str">
        <f>R15</f>
        <v>A</v>
      </c>
      <c r="AX6" s="431" t="str">
        <f>R45</f>
        <v>C</v>
      </c>
      <c r="AY6" s="431" t="str">
        <f>R75</f>
        <v>C</v>
      </c>
      <c r="AZ6" s="431" t="str">
        <f>R105</f>
        <v>C</v>
      </c>
      <c r="BA6" s="431" t="str">
        <f>R135</f>
        <v>C</v>
      </c>
      <c r="BB6" s="431" t="str">
        <f>R165</f>
        <v>C</v>
      </c>
      <c r="BC6" s="431">
        <f>R195</f>
        <v>0</v>
      </c>
      <c r="BD6" s="431" t="str">
        <f>R225</f>
        <v>C</v>
      </c>
      <c r="BE6" s="431" t="str">
        <f>R255</f>
        <v>C</v>
      </c>
      <c r="BF6" s="431">
        <f>R295</f>
        <v>0</v>
      </c>
      <c r="BG6" s="451">
        <f>COUNTIF(AW6:BF6,AV6)</f>
        <v>0</v>
      </c>
      <c r="BH6" s="430" t="s">
        <v>405</v>
      </c>
    </row>
    <row r="7" spans="1:60" ht="12" customHeight="1" thickTop="1">
      <c r="A7" s="686"/>
      <c r="B7" s="452">
        <v>1</v>
      </c>
      <c r="C7" s="453" t="s">
        <v>406</v>
      </c>
      <c r="D7" s="454" t="s">
        <v>407</v>
      </c>
      <c r="E7" s="455" t="s">
        <v>408</v>
      </c>
      <c r="F7" s="456" t="s">
        <v>409</v>
      </c>
      <c r="G7" s="457" t="e">
        <f>#REF!</f>
        <v>#REF!</v>
      </c>
      <c r="H7" s="458"/>
      <c r="I7" s="459">
        <f>COUNTA(G10,G40,G70,G100,G130,G160,G190,G220,G250,G280)</f>
        <v>10</v>
      </c>
      <c r="J7" s="444" t="str">
        <f>CONCATENATE(N7,K22,O7)</f>
        <v>CEBA641230  X0</v>
      </c>
      <c r="K7" s="699" t="s">
        <v>410</v>
      </c>
      <c r="L7" s="700"/>
      <c r="M7" s="707"/>
      <c r="N7" s="708" t="str">
        <f>MID('VISITA DE INSP.'!AN17,1,10)</f>
        <v>CEBA641230</v>
      </c>
      <c r="O7" s="701" t="str">
        <f>MID('VISITA DE INSP.'!AN17,12,15)</f>
        <v>X0</v>
      </c>
      <c r="P7" s="641"/>
      <c r="Q7" s="700"/>
      <c r="R7" s="709"/>
      <c r="T7" s="710" t="s">
        <v>411</v>
      </c>
      <c r="U7" s="641"/>
      <c r="V7" s="711" t="s">
        <v>179</v>
      </c>
      <c r="W7" s="712" t="str">
        <f>'VISITA DE INSP.'!AO17</f>
        <v>078312 E022100.0231688</v>
      </c>
      <c r="X7" s="713"/>
      <c r="Y7" s="460" t="str">
        <f>CONCATENATE(V7,K22,W7)</f>
        <v>11007831200.0  078312 E022100.0231688</v>
      </c>
      <c r="Z7" s="446" t="s">
        <v>396</v>
      </c>
      <c r="AA7" s="461" t="str">
        <f>Y5</f>
        <v xml:space="preserve">       </v>
      </c>
      <c r="AB7" s="448"/>
      <c r="AC7" s="449"/>
      <c r="AD7" s="442" t="s">
        <v>389</v>
      </c>
      <c r="AE7" s="433" t="s">
        <v>403</v>
      </c>
      <c r="AF7" s="86" t="s">
        <v>412</v>
      </c>
      <c r="AG7" s="177" t="s">
        <v>413</v>
      </c>
      <c r="AH7" s="434">
        <v>95</v>
      </c>
      <c r="AI7" s="82" t="s">
        <v>62</v>
      </c>
      <c r="AJ7" s="427" t="s">
        <v>414</v>
      </c>
      <c r="AK7" s="428">
        <f>R20</f>
        <v>0</v>
      </c>
      <c r="AL7" s="429"/>
      <c r="AM7" s="429"/>
      <c r="AN7" s="429"/>
      <c r="AO7" s="430">
        <f t="shared" si="1"/>
        <v>0</v>
      </c>
      <c r="AP7" s="86" t="s">
        <v>7</v>
      </c>
      <c r="AQ7" s="431" t="e">
        <f>G17</f>
        <v>#REF!</v>
      </c>
      <c r="AR7" s="112"/>
      <c r="AS7" s="112"/>
      <c r="AT7" s="112"/>
      <c r="AU7" s="430">
        <f t="shared" si="0"/>
        <v>0</v>
      </c>
      <c r="AV7" s="111" t="s">
        <v>403</v>
      </c>
      <c r="AW7" s="431" t="str">
        <f>R15</f>
        <v>A</v>
      </c>
      <c r="AX7" s="431" t="str">
        <f>R45</f>
        <v>C</v>
      </c>
      <c r="AY7" s="431" t="str">
        <f>R75</f>
        <v>C</v>
      </c>
      <c r="AZ7" s="431" t="str">
        <f>R105</f>
        <v>C</v>
      </c>
      <c r="BA7" s="431" t="str">
        <f>R135</f>
        <v>C</v>
      </c>
      <c r="BB7" s="431" t="str">
        <f>R165</f>
        <v>C</v>
      </c>
      <c r="BC7" s="431">
        <f>R195</f>
        <v>0</v>
      </c>
      <c r="BD7" s="431" t="str">
        <f>R225</f>
        <v>C</v>
      </c>
      <c r="BE7" s="431" t="str">
        <f>R255</f>
        <v>C</v>
      </c>
      <c r="BF7" s="431" t="str">
        <f>R285</f>
        <v>C</v>
      </c>
      <c r="BG7" s="430">
        <f t="shared" si="2"/>
        <v>0</v>
      </c>
      <c r="BH7" s="430" t="s">
        <v>415</v>
      </c>
    </row>
    <row r="8" spans="1:60" ht="12" customHeight="1">
      <c r="A8" s="686"/>
      <c r="B8" s="462" t="s">
        <v>416</v>
      </c>
      <c r="C8" s="463"/>
      <c r="D8" s="464"/>
      <c r="E8" s="465">
        <f t="shared" ref="E8:E13" si="3">C8+D8</f>
        <v>0</v>
      </c>
      <c r="F8" s="466" t="s">
        <v>417</v>
      </c>
      <c r="G8" s="467" t="e">
        <f>#REF!</f>
        <v>#REF!</v>
      </c>
      <c r="H8" s="468" t="e">
        <f>#REF!</f>
        <v>#REF!</v>
      </c>
      <c r="I8" s="469"/>
      <c r="J8" s="444"/>
      <c r="K8" s="714"/>
      <c r="L8" s="715"/>
      <c r="M8" s="716"/>
      <c r="O8" s="716"/>
      <c r="P8" s="716"/>
      <c r="Q8" s="717" t="s">
        <v>418</v>
      </c>
      <c r="R8" s="714"/>
      <c r="S8" s="540"/>
      <c r="T8" s="540"/>
      <c r="U8" s="716"/>
      <c r="V8" s="716"/>
      <c r="W8" s="716"/>
      <c r="X8" s="718"/>
      <c r="Y8" s="450" t="str">
        <f>MID(W7,1,5)</f>
        <v>07831</v>
      </c>
      <c r="Z8" s="4773" t="s">
        <v>419</v>
      </c>
      <c r="AA8" s="4774"/>
      <c r="AB8" s="4774"/>
      <c r="AC8" s="4775"/>
      <c r="AD8" s="442" t="s">
        <v>389</v>
      </c>
      <c r="AE8" s="433" t="s">
        <v>414</v>
      </c>
      <c r="AF8" s="86" t="s">
        <v>420</v>
      </c>
      <c r="AG8" s="177" t="s">
        <v>421</v>
      </c>
      <c r="AH8" s="434">
        <v>96</v>
      </c>
      <c r="AI8" s="82" t="s">
        <v>63</v>
      </c>
      <c r="AJ8" s="427" t="s">
        <v>406</v>
      </c>
      <c r="AK8" s="428">
        <f>R20</f>
        <v>0</v>
      </c>
      <c r="AL8" s="429"/>
      <c r="AM8" s="429"/>
      <c r="AN8" s="429"/>
      <c r="AO8" s="430">
        <f t="shared" si="1"/>
        <v>0</v>
      </c>
      <c r="AP8" s="86" t="s">
        <v>393</v>
      </c>
      <c r="AQ8" s="431" t="e">
        <f>G17</f>
        <v>#REF!</v>
      </c>
      <c r="AR8" s="112"/>
      <c r="AS8" s="112"/>
      <c r="AT8" s="112"/>
      <c r="AU8" s="430">
        <f t="shared" si="0"/>
        <v>0</v>
      </c>
      <c r="AV8" s="111" t="s">
        <v>414</v>
      </c>
      <c r="AW8" s="431" t="str">
        <f>R15</f>
        <v>A</v>
      </c>
      <c r="AX8" s="431" t="str">
        <f>R45</f>
        <v>C</v>
      </c>
      <c r="AY8" s="431" t="str">
        <f>R75</f>
        <v>C</v>
      </c>
      <c r="AZ8" s="431" t="str">
        <f>R105</f>
        <v>C</v>
      </c>
      <c r="BA8" s="431" t="str">
        <f>R135</f>
        <v>C</v>
      </c>
      <c r="BB8" s="431" t="str">
        <f>R165</f>
        <v>C</v>
      </c>
      <c r="BC8" s="431">
        <f>R195</f>
        <v>0</v>
      </c>
      <c r="BD8" s="431" t="str">
        <f>R225</f>
        <v>C</v>
      </c>
      <c r="BE8" s="431" t="str">
        <f>R255</f>
        <v>C</v>
      </c>
      <c r="BF8" s="431" t="str">
        <f>R285</f>
        <v>C</v>
      </c>
      <c r="BG8" s="430">
        <f t="shared" si="2"/>
        <v>0</v>
      </c>
      <c r="BH8" s="430" t="s">
        <v>422</v>
      </c>
    </row>
    <row r="9" spans="1:60" ht="12" customHeight="1">
      <c r="A9" s="686"/>
      <c r="B9" s="470" t="s">
        <v>423</v>
      </c>
      <c r="C9" s="463"/>
      <c r="D9" s="464"/>
      <c r="E9" s="465">
        <f t="shared" si="3"/>
        <v>0</v>
      </c>
      <c r="F9" s="692" t="s">
        <v>3</v>
      </c>
      <c r="G9" s="679">
        <f>'VISITA DE INSP.'!B17</f>
        <v>0</v>
      </c>
      <c r="H9" s="471" t="s">
        <v>406</v>
      </c>
      <c r="I9" s="480"/>
      <c r="J9" s="472">
        <f>COUNTA(I9,I39,I69,I99,I129,I159,I189,I219,I249,I279)</f>
        <v>1</v>
      </c>
      <c r="K9" s="522" t="s">
        <v>424</v>
      </c>
      <c r="L9" s="539"/>
      <c r="M9" s="539"/>
      <c r="N9" s="539"/>
      <c r="O9" s="712" t="str">
        <f>'VISITA DE INSP.'!AU17</f>
        <v>16-09-1986</v>
      </c>
      <c r="P9" s="719"/>
      <c r="Q9" s="720"/>
      <c r="R9" s="714"/>
      <c r="S9" s="714"/>
      <c r="T9" s="714"/>
      <c r="U9" s="574" t="s">
        <v>425</v>
      </c>
      <c r="V9" s="721">
        <f>'VISITA DE INSP.'!AT17</f>
        <v>10</v>
      </c>
      <c r="W9" s="722" t="str">
        <f>Y9</f>
        <v>BASE</v>
      </c>
      <c r="X9" s="723"/>
      <c r="Y9" s="473" t="str">
        <f>VLOOKUP(V9,AH2:AI14,2)</f>
        <v>BASE</v>
      </c>
      <c r="Z9" s="446" t="s">
        <v>396</v>
      </c>
      <c r="AA9" s="447" t="str">
        <f>J7</f>
        <v>CEBA641230  X0</v>
      </c>
      <c r="AB9" s="448"/>
      <c r="AC9" s="449"/>
      <c r="AD9" s="442" t="s">
        <v>389</v>
      </c>
      <c r="AE9" s="433" t="s">
        <v>406</v>
      </c>
      <c r="AF9" s="86" t="s">
        <v>426</v>
      </c>
      <c r="AG9" s="86" t="s">
        <v>427</v>
      </c>
      <c r="AH9" s="434">
        <v>97</v>
      </c>
      <c r="AI9" s="82">
        <v>99999</v>
      </c>
      <c r="AJ9" s="427" t="s">
        <v>8</v>
      </c>
      <c r="AK9" s="428">
        <f>R20</f>
        <v>0</v>
      </c>
      <c r="AL9" s="429"/>
      <c r="AM9" s="429"/>
      <c r="AN9" s="429"/>
      <c r="AO9" s="430">
        <f t="shared" si="1"/>
        <v>0</v>
      </c>
      <c r="AP9" s="86" t="s">
        <v>399</v>
      </c>
      <c r="AQ9" s="431" t="e">
        <f>G17</f>
        <v>#REF!</v>
      </c>
      <c r="AR9" s="112"/>
      <c r="AS9" s="112"/>
      <c r="AT9" s="112"/>
      <c r="AU9" s="430">
        <f t="shared" si="0"/>
        <v>0</v>
      </c>
      <c r="AV9" s="111" t="s">
        <v>406</v>
      </c>
      <c r="AW9" s="431" t="str">
        <f>R15</f>
        <v>A</v>
      </c>
      <c r="AX9" s="431" t="str">
        <f>R45</f>
        <v>C</v>
      </c>
      <c r="AY9" s="431" t="str">
        <f>R75</f>
        <v>C</v>
      </c>
      <c r="AZ9" s="431" t="str">
        <f>R105</f>
        <v>C</v>
      </c>
      <c r="BA9" s="431" t="str">
        <f>R135</f>
        <v>C</v>
      </c>
      <c r="BB9" s="431" t="str">
        <f>R165</f>
        <v>C</v>
      </c>
      <c r="BC9" s="431">
        <f>R195</f>
        <v>0</v>
      </c>
      <c r="BD9" s="431" t="str">
        <f>R225</f>
        <v>C</v>
      </c>
      <c r="BE9" s="431" t="str">
        <f>R255</f>
        <v>C</v>
      </c>
      <c r="BF9" s="431" t="str">
        <f>R285</f>
        <v>C</v>
      </c>
      <c r="BG9" s="474">
        <f>COUNTIF(AW9:BF9,AV9)</f>
        <v>0</v>
      </c>
      <c r="BH9" s="430" t="s">
        <v>428</v>
      </c>
    </row>
    <row r="10" spans="1:60" ht="12" customHeight="1">
      <c r="A10" s="686"/>
      <c r="B10" s="470" t="s">
        <v>408</v>
      </c>
      <c r="C10" s="463"/>
      <c r="D10" s="464"/>
      <c r="E10" s="465">
        <f t="shared" si="3"/>
        <v>0</v>
      </c>
      <c r="F10" s="692" t="s">
        <v>4</v>
      </c>
      <c r="G10" s="679">
        <f>'VISITA DE INSP.'!C17</f>
        <v>0</v>
      </c>
      <c r="H10" s="475" t="s">
        <v>407</v>
      </c>
      <c r="I10" s="623" t="s">
        <v>78</v>
      </c>
      <c r="J10" s="472">
        <f>COUNTA(I10,I40,I70,I100,I130,I160,I190,I220,I250,I280)</f>
        <v>2</v>
      </c>
      <c r="K10" s="717"/>
      <c r="L10" s="717"/>
      <c r="M10" s="539"/>
      <c r="N10" s="714"/>
      <c r="O10" s="716"/>
      <c r="P10" s="716"/>
      <c r="Q10" s="716"/>
      <c r="R10" s="539"/>
      <c r="S10" s="539"/>
      <c r="T10" s="714"/>
      <c r="U10" s="714"/>
      <c r="V10" s="724"/>
      <c r="W10" s="724"/>
      <c r="X10" s="716"/>
      <c r="Y10" s="476"/>
      <c r="Z10" s="4773" t="s">
        <v>429</v>
      </c>
      <c r="AA10" s="4774"/>
      <c r="AB10" s="4774"/>
      <c r="AC10" s="4775"/>
      <c r="AD10" s="442" t="s">
        <v>389</v>
      </c>
      <c r="AE10" s="433" t="s">
        <v>8</v>
      </c>
      <c r="AF10" s="86" t="s">
        <v>430</v>
      </c>
      <c r="AG10" s="177" t="s">
        <v>431</v>
      </c>
      <c r="AH10" s="434">
        <v>98</v>
      </c>
      <c r="AI10" s="82">
        <v>99999</v>
      </c>
      <c r="AJ10" s="427" t="s">
        <v>432</v>
      </c>
      <c r="AK10" s="428">
        <f>R20</f>
        <v>0</v>
      </c>
      <c r="AL10" s="429"/>
      <c r="AM10" s="429"/>
      <c r="AN10" s="429"/>
      <c r="AO10" s="430">
        <f t="shared" si="1"/>
        <v>0</v>
      </c>
      <c r="AP10" s="86" t="s">
        <v>228</v>
      </c>
      <c r="AQ10" s="431" t="e">
        <f>G17</f>
        <v>#REF!</v>
      </c>
      <c r="AR10" s="112"/>
      <c r="AS10" s="112"/>
      <c r="AT10" s="112"/>
      <c r="AU10" s="430">
        <f t="shared" si="0"/>
        <v>0</v>
      </c>
      <c r="AV10" s="111" t="s">
        <v>8</v>
      </c>
      <c r="AW10" s="431" t="str">
        <f>R15</f>
        <v>A</v>
      </c>
      <c r="AX10" s="431" t="str">
        <f>R45</f>
        <v>C</v>
      </c>
      <c r="AY10" s="431" t="str">
        <f>R75</f>
        <v>C</v>
      </c>
      <c r="AZ10" s="431" t="str">
        <f>R105</f>
        <v>C</v>
      </c>
      <c r="BA10" s="431" t="str">
        <f>R135</f>
        <v>C</v>
      </c>
      <c r="BB10" s="431" t="str">
        <f>R165</f>
        <v>C</v>
      </c>
      <c r="BC10" s="431">
        <f>R195</f>
        <v>0</v>
      </c>
      <c r="BD10" s="431" t="str">
        <f>R225</f>
        <v>C</v>
      </c>
      <c r="BE10" s="431" t="str">
        <f>R255</f>
        <v>C</v>
      </c>
      <c r="BF10" s="431" t="str">
        <f>R285</f>
        <v>C</v>
      </c>
      <c r="BG10" s="430">
        <f t="shared" si="2"/>
        <v>0</v>
      </c>
      <c r="BH10" s="430" t="s">
        <v>433</v>
      </c>
    </row>
    <row r="11" spans="1:60" ht="12" customHeight="1">
      <c r="A11" s="686"/>
      <c r="B11" s="470" t="s">
        <v>434</v>
      </c>
      <c r="C11" s="463"/>
      <c r="D11" s="464"/>
      <c r="E11" s="465">
        <f t="shared" si="3"/>
        <v>0</v>
      </c>
      <c r="F11" s="4776" t="s">
        <v>435</v>
      </c>
      <c r="G11" s="4777"/>
      <c r="H11" s="4777" t="s">
        <v>436</v>
      </c>
      <c r="I11" s="4778"/>
      <c r="J11" s="472">
        <f>SUM(J9,J10)</f>
        <v>3</v>
      </c>
      <c r="K11" s="522" t="s">
        <v>437</v>
      </c>
      <c r="L11" s="539"/>
      <c r="M11" s="725"/>
      <c r="N11" s="725"/>
      <c r="O11" s="725"/>
      <c r="P11" s="725"/>
      <c r="Q11" s="725"/>
      <c r="R11" s="726"/>
      <c r="S11" s="725"/>
      <c r="T11" s="727"/>
      <c r="U11" s="725"/>
      <c r="V11" s="574" t="s">
        <v>438</v>
      </c>
      <c r="W11" s="728"/>
      <c r="X11" s="723"/>
      <c r="Y11" s="445" t="str">
        <f>CONCATENATE(O24,S11)</f>
        <v xml:space="preserve">  COL-</v>
      </c>
      <c r="Z11" s="446" t="s">
        <v>396</v>
      </c>
      <c r="AA11" s="461" t="str">
        <f>Y7</f>
        <v>11007831200.0  078312 E022100.0231688</v>
      </c>
      <c r="AB11" s="448"/>
      <c r="AC11" s="449"/>
      <c r="AD11" s="442" t="s">
        <v>389</v>
      </c>
      <c r="AE11" s="433" t="s">
        <v>439</v>
      </c>
      <c r="AF11" s="86" t="s">
        <v>440</v>
      </c>
      <c r="AG11" s="177" t="s">
        <v>441</v>
      </c>
      <c r="AH11" s="434">
        <v>99</v>
      </c>
      <c r="AI11" s="82">
        <v>99999</v>
      </c>
      <c r="AJ11" s="427" t="s">
        <v>442</v>
      </c>
      <c r="AK11" s="428">
        <f>R20</f>
        <v>0</v>
      </c>
      <c r="AL11" s="429"/>
      <c r="AM11" s="429"/>
      <c r="AN11" s="429"/>
      <c r="AO11" s="430">
        <f t="shared" si="1"/>
        <v>0</v>
      </c>
      <c r="AP11" s="86" t="s">
        <v>230</v>
      </c>
      <c r="AQ11" s="431" t="e">
        <f>G17</f>
        <v>#REF!</v>
      </c>
      <c r="AR11" s="112"/>
      <c r="AS11" s="112"/>
      <c r="AT11" s="112"/>
      <c r="AU11" s="430">
        <f t="shared" si="0"/>
        <v>0</v>
      </c>
      <c r="AV11" s="111" t="s">
        <v>439</v>
      </c>
      <c r="AW11" s="431" t="str">
        <f>R15</f>
        <v>A</v>
      </c>
      <c r="AX11" s="431">
        <f>R46</f>
        <v>1</v>
      </c>
      <c r="AY11" s="431" t="str">
        <f>R75</f>
        <v>C</v>
      </c>
      <c r="AZ11" s="431" t="str">
        <f>R105</f>
        <v>C</v>
      </c>
      <c r="BA11" s="431" t="str">
        <f>R135</f>
        <v>C</v>
      </c>
      <c r="BB11" s="431" t="str">
        <f>R165</f>
        <v>C</v>
      </c>
      <c r="BC11" s="431">
        <f>R195</f>
        <v>0</v>
      </c>
      <c r="BD11" s="431" t="str">
        <f>R225</f>
        <v>C</v>
      </c>
      <c r="BE11" s="431" t="str">
        <f>R255</f>
        <v>C</v>
      </c>
      <c r="BF11" s="431" t="str">
        <f>R285</f>
        <v>C</v>
      </c>
      <c r="BG11" s="477">
        <f>COUNTIF(AW11:BF11,AV11)</f>
        <v>0</v>
      </c>
      <c r="BH11" s="430" t="s">
        <v>441</v>
      </c>
    </row>
    <row r="12" spans="1:60" ht="12" customHeight="1">
      <c r="A12" s="686"/>
      <c r="B12" s="470" t="s">
        <v>443</v>
      </c>
      <c r="C12" s="463"/>
      <c r="D12" s="464"/>
      <c r="E12" s="465">
        <f>C12+D12</f>
        <v>0</v>
      </c>
      <c r="F12" s="478" t="s">
        <v>444</v>
      </c>
      <c r="G12" s="624">
        <v>1</v>
      </c>
      <c r="H12" s="479" t="e">
        <f>#REF!</f>
        <v>#REF!</v>
      </c>
      <c r="I12" s="480" t="e">
        <f>H12+1</f>
        <v>#REF!</v>
      </c>
      <c r="J12" s="481" t="str">
        <f>CONCATENATE(J24,M11,K24,N11,L24,O11,M24,P11,N24,Q11,O24,S11)</f>
        <v>RG-  SM-  MZA-  LTE-  CALLE-  COL-</v>
      </c>
      <c r="K12" s="729"/>
      <c r="L12" s="539"/>
      <c r="M12" s="492"/>
      <c r="N12" s="492"/>
      <c r="O12" s="492"/>
      <c r="P12" s="492"/>
      <c r="Q12" s="492"/>
      <c r="R12" s="730"/>
      <c r="S12" s="731"/>
      <c r="T12" s="731"/>
      <c r="U12" s="731"/>
      <c r="V12" s="533"/>
      <c r="W12" s="732"/>
      <c r="X12" s="733"/>
      <c r="Y12" s="450" t="str">
        <f>CONCATENATE(K22,P24,U11)</f>
        <v xml:space="preserve">    C.P.-</v>
      </c>
      <c r="Z12" s="4779" t="s">
        <v>445</v>
      </c>
      <c r="AA12" s="4780"/>
      <c r="AB12" s="4780"/>
      <c r="AC12" s="4781"/>
      <c r="AD12" s="442" t="s">
        <v>389</v>
      </c>
      <c r="AE12" s="433" t="s">
        <v>446</v>
      </c>
      <c r="AF12" s="86" t="s">
        <v>447</v>
      </c>
      <c r="AG12" s="177" t="s">
        <v>448</v>
      </c>
      <c r="AH12" s="434">
        <v>100</v>
      </c>
      <c r="AI12" s="82" t="s">
        <v>64</v>
      </c>
      <c r="AJ12" s="427" t="s">
        <v>449</v>
      </c>
      <c r="AK12" s="428">
        <f>R20</f>
        <v>0</v>
      </c>
      <c r="AL12" s="429"/>
      <c r="AM12" s="429"/>
      <c r="AN12" s="429"/>
      <c r="AO12" s="430">
        <f t="shared" si="1"/>
        <v>0</v>
      </c>
      <c r="AP12" s="86" t="s">
        <v>404</v>
      </c>
      <c r="AQ12" s="431" t="e">
        <f>G17</f>
        <v>#REF!</v>
      </c>
      <c r="AR12" s="112"/>
      <c r="AS12" s="112"/>
      <c r="AT12" s="112"/>
      <c r="AU12" s="430">
        <f t="shared" si="0"/>
        <v>0</v>
      </c>
      <c r="AV12" s="111" t="s">
        <v>446</v>
      </c>
      <c r="AW12" s="431" t="str">
        <f>R15</f>
        <v>A</v>
      </c>
      <c r="AX12" s="431">
        <f>R46</f>
        <v>1</v>
      </c>
      <c r="AY12" s="431" t="str">
        <f>R75</f>
        <v>C</v>
      </c>
      <c r="AZ12" s="431" t="str">
        <f>R105</f>
        <v>C</v>
      </c>
      <c r="BA12" s="431" t="str">
        <f>R135</f>
        <v>C</v>
      </c>
      <c r="BB12" s="431" t="str">
        <f>R165</f>
        <v>C</v>
      </c>
      <c r="BC12" s="431">
        <f>R195</f>
        <v>0</v>
      </c>
      <c r="BD12" s="431" t="str">
        <f>R225</f>
        <v>C</v>
      </c>
      <c r="BE12" s="431" t="str">
        <f>R255</f>
        <v>C</v>
      </c>
      <c r="BF12" s="431" t="str">
        <f>R285</f>
        <v>C</v>
      </c>
      <c r="BG12" s="430">
        <f t="shared" si="2"/>
        <v>0</v>
      </c>
      <c r="BH12" s="430" t="s">
        <v>448</v>
      </c>
    </row>
    <row r="13" spans="1:60" ht="12" customHeight="1">
      <c r="A13" s="686"/>
      <c r="B13" s="470" t="s">
        <v>450</v>
      </c>
      <c r="C13" s="463"/>
      <c r="D13" s="464"/>
      <c r="E13" s="465">
        <f t="shared" si="3"/>
        <v>0</v>
      </c>
      <c r="F13" s="692" t="s">
        <v>373</v>
      </c>
      <c r="G13" s="4782" t="s">
        <v>451</v>
      </c>
      <c r="H13" s="4777"/>
      <c r="I13" s="4778"/>
      <c r="J13" s="444" t="str">
        <f>CONCATENATE(O24,S11)</f>
        <v xml:space="preserve">  COL-</v>
      </c>
      <c r="K13" s="522" t="s">
        <v>452</v>
      </c>
      <c r="L13" s="539"/>
      <c r="M13" s="539"/>
      <c r="N13" s="572" t="str">
        <f>'VISITA DE INSP.'!E7</f>
        <v>KABAH</v>
      </c>
      <c r="O13" s="573"/>
      <c r="P13" s="573"/>
      <c r="Q13" s="573"/>
      <c r="R13" s="573"/>
      <c r="S13" s="574" t="s">
        <v>453</v>
      </c>
      <c r="T13" s="572" t="str">
        <f>'VISITA DE INSP.'!V7</f>
        <v>23DPR0055K</v>
      </c>
      <c r="U13" s="575"/>
      <c r="V13" s="574" t="s">
        <v>454</v>
      </c>
      <c r="W13" s="576" t="str">
        <f>'VISITA DE INSP.'!AE7</f>
        <v>MATUTINO</v>
      </c>
      <c r="X13" s="575"/>
      <c r="Y13" s="445"/>
      <c r="Z13" s="446" t="s">
        <v>396</v>
      </c>
      <c r="AA13" s="482" t="str">
        <f>O9</f>
        <v>16-09-1986</v>
      </c>
      <c r="AB13" s="448"/>
      <c r="AC13" s="483"/>
      <c r="AD13" s="442" t="s">
        <v>389</v>
      </c>
      <c r="AE13" s="433" t="s">
        <v>78</v>
      </c>
      <c r="AF13" s="86" t="s">
        <v>455</v>
      </c>
      <c r="AG13" s="177"/>
      <c r="AH13" s="434">
        <v>101</v>
      </c>
      <c r="AI13" s="82" t="s">
        <v>37</v>
      </c>
      <c r="AJ13" s="427" t="s">
        <v>407</v>
      </c>
      <c r="AK13" s="428">
        <f>R20</f>
        <v>0</v>
      </c>
      <c r="AL13" s="429"/>
      <c r="AM13" s="429"/>
      <c r="AN13" s="429"/>
      <c r="AO13" s="430">
        <f t="shared" si="1"/>
        <v>0</v>
      </c>
      <c r="AP13" s="86" t="s">
        <v>7</v>
      </c>
      <c r="AQ13" s="431" t="e">
        <f>G17</f>
        <v>#REF!</v>
      </c>
      <c r="AR13" s="112"/>
      <c r="AS13" s="112"/>
      <c r="AT13" s="112"/>
      <c r="AU13" s="430">
        <f t="shared" si="0"/>
        <v>0</v>
      </c>
      <c r="AV13" s="111" t="s">
        <v>78</v>
      </c>
      <c r="AW13" s="431" t="str">
        <f>R15</f>
        <v>A</v>
      </c>
      <c r="AX13" s="431">
        <f>R46</f>
        <v>1</v>
      </c>
      <c r="AY13" s="431" t="str">
        <f>R75</f>
        <v>C</v>
      </c>
      <c r="AZ13" s="431" t="str">
        <f>R105</f>
        <v>C</v>
      </c>
      <c r="BA13" s="431" t="str">
        <f>R135</f>
        <v>C</v>
      </c>
      <c r="BB13" s="431" t="str">
        <f>R165</f>
        <v>C</v>
      </c>
      <c r="BC13" s="431">
        <f>R195</f>
        <v>0</v>
      </c>
      <c r="BD13" s="431" t="str">
        <f>R225</f>
        <v>C</v>
      </c>
      <c r="BE13" s="431" t="str">
        <f>R255</f>
        <v>C</v>
      </c>
      <c r="BF13" s="431" t="str">
        <f>R285</f>
        <v>C</v>
      </c>
      <c r="BG13" s="430">
        <f t="shared" si="2"/>
        <v>0</v>
      </c>
    </row>
    <row r="14" spans="1:60" ht="12" customHeight="1" thickBot="1">
      <c r="A14" s="686"/>
      <c r="B14" s="484" t="s">
        <v>456</v>
      </c>
      <c r="C14" s="485"/>
      <c r="D14" s="486"/>
      <c r="E14" s="465">
        <f>E12-E13</f>
        <v>0</v>
      </c>
      <c r="F14" s="487">
        <f>VLOOKUP(W13,AE86:AF92,2,2)</f>
        <v>1</v>
      </c>
      <c r="G14" s="488" t="e">
        <f>#REF!</f>
        <v>#REF!</v>
      </c>
      <c r="H14" s="488" t="e">
        <f>#REF!</f>
        <v>#REF!</v>
      </c>
      <c r="I14" s="488" t="e">
        <f>#REF!</f>
        <v>#REF!</v>
      </c>
      <c r="J14" s="489" t="str">
        <f>CONCATENATE(,P24,U11)</f>
        <v xml:space="preserve">  C.P.-</v>
      </c>
      <c r="K14" s="490"/>
      <c r="L14" s="491"/>
      <c r="M14" s="492"/>
      <c r="N14" s="492"/>
      <c r="O14" s="492"/>
      <c r="P14" s="492"/>
      <c r="Q14" s="492"/>
      <c r="R14" s="492"/>
      <c r="S14" s="492"/>
      <c r="T14" s="493"/>
      <c r="V14" s="494"/>
      <c r="W14" s="495"/>
      <c r="X14" s="496"/>
      <c r="Y14" s="497"/>
      <c r="Z14" s="4773" t="s">
        <v>457</v>
      </c>
      <c r="AA14" s="4774"/>
      <c r="AB14" s="4774"/>
      <c r="AC14" s="4775"/>
      <c r="AD14" s="442" t="s">
        <v>389</v>
      </c>
      <c r="AE14" s="433" t="s">
        <v>458</v>
      </c>
      <c r="AF14" s="86" t="s">
        <v>459</v>
      </c>
      <c r="AG14" s="177"/>
      <c r="AH14" s="434">
        <v>102</v>
      </c>
      <c r="AI14" s="82" t="s">
        <v>65</v>
      </c>
      <c r="AJ14" s="427" t="s">
        <v>14</v>
      </c>
      <c r="AK14" s="428">
        <f>R20</f>
        <v>0</v>
      </c>
      <c r="AL14" s="429"/>
      <c r="AM14" s="429"/>
      <c r="AN14" s="429"/>
      <c r="AO14" s="430">
        <f t="shared" si="1"/>
        <v>0</v>
      </c>
      <c r="AP14" s="86" t="s">
        <v>393</v>
      </c>
      <c r="AQ14" s="431" t="e">
        <f>G17</f>
        <v>#REF!</v>
      </c>
      <c r="AR14" s="112"/>
      <c r="AS14" s="112"/>
      <c r="AT14" s="112"/>
      <c r="AU14" s="430">
        <f t="shared" si="0"/>
        <v>0</v>
      </c>
      <c r="AV14" s="111" t="s">
        <v>458</v>
      </c>
      <c r="AW14" s="431" t="str">
        <f>R15</f>
        <v>A</v>
      </c>
      <c r="AX14" s="431">
        <f>R46</f>
        <v>1</v>
      </c>
      <c r="AY14" s="431" t="str">
        <f>R75</f>
        <v>C</v>
      </c>
      <c r="AZ14" s="431" t="str">
        <f>R105</f>
        <v>C</v>
      </c>
      <c r="BA14" s="431" t="str">
        <f>R135</f>
        <v>C</v>
      </c>
      <c r="BB14" s="431" t="str">
        <f>R165</f>
        <v>C</v>
      </c>
      <c r="BC14" s="431">
        <f>R195</f>
        <v>0</v>
      </c>
      <c r="BD14" s="431" t="str">
        <f>R225</f>
        <v>C</v>
      </c>
      <c r="BE14" s="431" t="str">
        <f>R255</f>
        <v>C</v>
      </c>
      <c r="BF14" s="431" t="str">
        <f>R285</f>
        <v>C</v>
      </c>
      <c r="BG14" s="430">
        <f t="shared" si="2"/>
        <v>0</v>
      </c>
    </row>
    <row r="15" spans="1:60" ht="12" customHeight="1" thickTop="1" thickBot="1">
      <c r="A15" s="686"/>
      <c r="B15" s="4783" t="s">
        <v>460</v>
      </c>
      <c r="C15" s="4784"/>
      <c r="D15" s="4784"/>
      <c r="E15" s="4785"/>
      <c r="F15" s="498" t="s">
        <v>396</v>
      </c>
      <c r="G15" s="499" t="str">
        <f>R24</f>
        <v>CERVANTES BENITEZ * ANTONIA</v>
      </c>
      <c r="H15" s="500"/>
      <c r="I15" s="500"/>
      <c r="J15" s="501"/>
      <c r="K15" s="501"/>
      <c r="L15" s="502"/>
      <c r="M15" s="503"/>
      <c r="N15" s="4783" t="s">
        <v>461</v>
      </c>
      <c r="O15" s="4786"/>
      <c r="P15" s="4786"/>
      <c r="Q15" s="4787"/>
      <c r="R15" s="625" t="s">
        <v>228</v>
      </c>
      <c r="S15" s="499" t="str">
        <f>VLOOKUP(R15,AE1:AF16,2,1)</f>
        <v>DIRECTOR</v>
      </c>
      <c r="T15" s="501"/>
      <c r="U15" s="501"/>
      <c r="V15" s="501"/>
      <c r="W15" s="501"/>
      <c r="X15" s="501"/>
      <c r="Y15" s="504"/>
      <c r="Z15" s="446" t="s">
        <v>396</v>
      </c>
      <c r="AA15" s="461" t="str">
        <f>Y9</f>
        <v>BASE</v>
      </c>
      <c r="AB15" s="448"/>
      <c r="AC15" s="505">
        <f>V9</f>
        <v>10</v>
      </c>
      <c r="AD15" s="442"/>
      <c r="AE15" s="433" t="s">
        <v>462</v>
      </c>
      <c r="AF15" s="86" t="s">
        <v>463</v>
      </c>
      <c r="AG15" s="177"/>
      <c r="AH15" s="433"/>
      <c r="AJ15" s="427" t="s">
        <v>464</v>
      </c>
      <c r="AK15" s="428">
        <f>R20</f>
        <v>0</v>
      </c>
      <c r="AL15" s="429"/>
      <c r="AM15" s="429"/>
      <c r="AN15" s="429"/>
      <c r="AO15" s="430">
        <f t="shared" si="1"/>
        <v>0</v>
      </c>
      <c r="AP15" s="86" t="s">
        <v>399</v>
      </c>
      <c r="AQ15" s="431" t="e">
        <f>G17</f>
        <v>#REF!</v>
      </c>
      <c r="AR15" s="112"/>
      <c r="AS15" s="112"/>
      <c r="AT15" s="112"/>
      <c r="AU15" s="430">
        <f t="shared" si="0"/>
        <v>0</v>
      </c>
      <c r="AV15" s="111" t="s">
        <v>462</v>
      </c>
      <c r="AW15" s="431" t="str">
        <f>R15</f>
        <v>A</v>
      </c>
      <c r="AX15" s="431">
        <f>R46</f>
        <v>1</v>
      </c>
      <c r="AY15" s="431" t="str">
        <f>R75</f>
        <v>C</v>
      </c>
      <c r="AZ15" s="431" t="str">
        <f>R105</f>
        <v>C</v>
      </c>
      <c r="BA15" s="431" t="str">
        <f>R135</f>
        <v>C</v>
      </c>
      <c r="BB15" s="431" t="str">
        <f>R165</f>
        <v>C</v>
      </c>
      <c r="BC15" s="431">
        <f>R195</f>
        <v>0</v>
      </c>
      <c r="BD15" s="431" t="str">
        <f>R225</f>
        <v>C</v>
      </c>
      <c r="BE15" s="431" t="str">
        <f>R255</f>
        <v>C</v>
      </c>
      <c r="BF15" s="431" t="str">
        <f>R285</f>
        <v>C</v>
      </c>
      <c r="BG15" s="430">
        <f t="shared" si="2"/>
        <v>0</v>
      </c>
    </row>
    <row r="16" spans="1:60" ht="12" customHeight="1" thickTop="1" thickBot="1">
      <c r="A16" s="686"/>
      <c r="B16" s="4783" t="s">
        <v>465</v>
      </c>
      <c r="C16" s="4786"/>
      <c r="D16" s="4786"/>
      <c r="E16" s="4787"/>
      <c r="F16" s="506" t="s">
        <v>396</v>
      </c>
      <c r="G16" s="499" t="str">
        <f>'VISITA DE INSP.'!AJ41</f>
        <v>JESUS MARTIN RICALDE CASTRO</v>
      </c>
      <c r="H16" s="501"/>
      <c r="I16" s="501"/>
      <c r="J16" s="501"/>
      <c r="K16" s="501"/>
      <c r="L16" s="502"/>
      <c r="M16" s="503"/>
      <c r="N16" s="4783" t="s">
        <v>466</v>
      </c>
      <c r="O16" s="4786"/>
      <c r="P16" s="4786"/>
      <c r="Q16" s="4787"/>
      <c r="R16" s="625">
        <v>1</v>
      </c>
      <c r="S16" s="499" t="str">
        <f>VLOOKUP(R16,AE17:AF22,2,2)</f>
        <v>BASE</v>
      </c>
      <c r="T16" s="501"/>
      <c r="U16" s="501"/>
      <c r="V16" s="501"/>
      <c r="W16" s="501"/>
      <c r="X16" s="501"/>
      <c r="Y16" s="507" t="str">
        <f>CONCATENATE(L26,M11,M26,N11,N26,O11,O26,P11)</f>
        <v/>
      </c>
      <c r="Z16" s="4773" t="s">
        <v>467</v>
      </c>
      <c r="AA16" s="4774"/>
      <c r="AB16" s="4774"/>
      <c r="AC16" s="4775"/>
      <c r="AD16" s="442" t="s">
        <v>389</v>
      </c>
      <c r="AE16" s="433" t="s">
        <v>468</v>
      </c>
      <c r="AF16" s="86" t="s">
        <v>469</v>
      </c>
      <c r="AG16" s="177"/>
      <c r="AH16" s="434"/>
      <c r="AJ16" s="427" t="s">
        <v>470</v>
      </c>
      <c r="AK16" s="428">
        <f>R20</f>
        <v>0</v>
      </c>
      <c r="AL16" s="429"/>
      <c r="AM16" s="429"/>
      <c r="AN16" s="429"/>
      <c r="AO16" s="430">
        <f t="shared" si="1"/>
        <v>0</v>
      </c>
      <c r="AP16" s="86" t="s">
        <v>228</v>
      </c>
      <c r="AQ16" s="431" t="e">
        <f>G17</f>
        <v>#REF!</v>
      </c>
      <c r="AR16" s="112"/>
      <c r="AS16" s="112"/>
      <c r="AT16" s="112"/>
      <c r="AU16" s="430">
        <f t="shared" si="0"/>
        <v>0</v>
      </c>
      <c r="AV16" s="111" t="s">
        <v>432</v>
      </c>
      <c r="AW16" s="431" t="str">
        <f>R15</f>
        <v>A</v>
      </c>
      <c r="AX16" s="431">
        <f>R46</f>
        <v>1</v>
      </c>
      <c r="AY16" s="431">
        <f>R76</f>
        <v>1</v>
      </c>
      <c r="AZ16" s="431" t="str">
        <f>R105</f>
        <v>C</v>
      </c>
      <c r="BA16" s="431" t="str">
        <f>R135</f>
        <v>C</v>
      </c>
      <c r="BB16" s="431" t="str">
        <f>R165</f>
        <v>C</v>
      </c>
      <c r="BC16" s="431">
        <f>R195</f>
        <v>0</v>
      </c>
      <c r="BD16" s="431" t="str">
        <f>R225</f>
        <v>C</v>
      </c>
      <c r="BE16" s="431" t="str">
        <f>R255</f>
        <v>C</v>
      </c>
      <c r="BF16" s="431" t="str">
        <f>R285</f>
        <v>C</v>
      </c>
      <c r="BG16" s="430">
        <f t="shared" si="2"/>
        <v>0</v>
      </c>
    </row>
    <row r="17" spans="1:60" ht="12" customHeight="1" thickTop="1" thickBot="1">
      <c r="A17" s="686"/>
      <c r="B17" s="4788" t="s">
        <v>471</v>
      </c>
      <c r="C17" s="4789"/>
      <c r="D17" s="4789"/>
      <c r="E17" s="4790"/>
      <c r="F17" s="506" t="s">
        <v>396</v>
      </c>
      <c r="G17" s="499" t="e">
        <f>#REF!</f>
        <v>#REF!</v>
      </c>
      <c r="H17" s="501"/>
      <c r="I17" s="501"/>
      <c r="J17" s="501"/>
      <c r="K17" s="501"/>
      <c r="L17" s="502"/>
      <c r="M17" s="502"/>
      <c r="N17" s="4783" t="s">
        <v>472</v>
      </c>
      <c r="O17" s="4786"/>
      <c r="P17" s="4786"/>
      <c r="Q17" s="4787"/>
      <c r="R17" s="625">
        <v>4</v>
      </c>
      <c r="S17" s="499" t="str">
        <f>VLOOKUP(R17,AE25:AF34,2,2)</f>
        <v>ALTA DEFINITIVA. (Si la persona se da de alta en al escuela)</v>
      </c>
      <c r="T17" s="501"/>
      <c r="U17" s="501"/>
      <c r="V17" s="501"/>
      <c r="W17" s="501"/>
      <c r="X17" s="501"/>
      <c r="Y17" s="504"/>
      <c r="Z17" s="446" t="s">
        <v>396</v>
      </c>
      <c r="AA17" s="447" t="str">
        <f>J12</f>
        <v>RG-  SM-  MZA-  LTE-  CALLE-  COL-</v>
      </c>
      <c r="AB17" s="448"/>
      <c r="AC17" s="449"/>
      <c r="AD17" s="442" t="s">
        <v>389</v>
      </c>
      <c r="AE17" s="433">
        <v>0</v>
      </c>
      <c r="AF17" s="424">
        <v>0</v>
      </c>
      <c r="AG17" s="434" t="s">
        <v>379</v>
      </c>
      <c r="AH17" s="434" t="s">
        <v>473</v>
      </c>
      <c r="AJ17" s="427" t="s">
        <v>474</v>
      </c>
      <c r="AK17" s="428">
        <f>R20</f>
        <v>0</v>
      </c>
      <c r="AL17" s="429"/>
      <c r="AM17" s="429"/>
      <c r="AN17" s="429"/>
      <c r="AO17" s="430">
        <f t="shared" si="1"/>
        <v>0</v>
      </c>
      <c r="AP17" s="86" t="s">
        <v>230</v>
      </c>
      <c r="AQ17" s="431" t="e">
        <f>G17</f>
        <v>#REF!</v>
      </c>
      <c r="AR17" s="112"/>
      <c r="AS17" s="112"/>
      <c r="AT17" s="112"/>
      <c r="AU17" s="430">
        <f t="shared" si="0"/>
        <v>0</v>
      </c>
      <c r="AV17" s="111" t="s">
        <v>442</v>
      </c>
      <c r="AW17" s="431" t="str">
        <f>R15</f>
        <v>A</v>
      </c>
      <c r="AX17" s="431">
        <f>R46</f>
        <v>1</v>
      </c>
      <c r="AY17" s="431">
        <f>R76</f>
        <v>1</v>
      </c>
      <c r="AZ17" s="431" t="str">
        <f>R105</f>
        <v>C</v>
      </c>
      <c r="BA17" s="431" t="str">
        <f>R135</f>
        <v>C</v>
      </c>
      <c r="BB17" s="431" t="str">
        <f>R165</f>
        <v>C</v>
      </c>
      <c r="BC17" s="431">
        <f>R195</f>
        <v>0</v>
      </c>
      <c r="BD17" s="431" t="str">
        <f>R225</f>
        <v>C</v>
      </c>
      <c r="BE17" s="431" t="str">
        <f>R255</f>
        <v>C</v>
      </c>
      <c r="BF17" s="431" t="str">
        <f>R285</f>
        <v>C</v>
      </c>
      <c r="BG17" s="430">
        <f t="shared" si="2"/>
        <v>0</v>
      </c>
    </row>
    <row r="18" spans="1:60" ht="12" customHeight="1" thickTop="1" thickBot="1">
      <c r="A18" s="686"/>
      <c r="B18" s="4788" t="s">
        <v>475</v>
      </c>
      <c r="C18" s="4789"/>
      <c r="D18" s="4789"/>
      <c r="E18" s="4790"/>
      <c r="F18" s="508"/>
      <c r="G18" s="499"/>
      <c r="H18" s="501"/>
      <c r="I18" s="501"/>
      <c r="J18" s="501"/>
      <c r="K18" s="501"/>
      <c r="L18" s="502"/>
      <c r="M18" s="502"/>
      <c r="N18" s="4783" t="s">
        <v>476</v>
      </c>
      <c r="O18" s="4786"/>
      <c r="P18" s="4786"/>
      <c r="Q18" s="4787"/>
      <c r="R18" s="625">
        <v>2</v>
      </c>
      <c r="S18" s="499" t="str">
        <f>VLOOKUP(R18,AE35:AF43,2,2)</f>
        <v>FEDERAL TRANFERIDA  (18 de mayo de 2005 )</v>
      </c>
      <c r="T18" s="501"/>
      <c r="U18" s="501"/>
      <c r="V18" s="501"/>
      <c r="W18" s="501"/>
      <c r="X18" s="501"/>
      <c r="Y18" s="504"/>
      <c r="Z18" s="4773" t="s">
        <v>477</v>
      </c>
      <c r="AA18" s="4774"/>
      <c r="AB18" s="4774"/>
      <c r="AC18" s="4775"/>
      <c r="AD18" s="442"/>
      <c r="AE18" s="433">
        <v>1</v>
      </c>
      <c r="AF18" s="86" t="s">
        <v>31</v>
      </c>
      <c r="AG18" s="196"/>
      <c r="AH18" s="433"/>
      <c r="AJ18" s="427" t="s">
        <v>478</v>
      </c>
      <c r="AK18" s="428">
        <f>R20</f>
        <v>0</v>
      </c>
      <c r="AL18" s="429"/>
      <c r="AM18" s="429"/>
      <c r="AN18" s="429"/>
      <c r="AO18" s="430">
        <f t="shared" si="1"/>
        <v>0</v>
      </c>
      <c r="AP18" s="86" t="s">
        <v>404</v>
      </c>
      <c r="AQ18" s="431" t="e">
        <f>G17</f>
        <v>#REF!</v>
      </c>
      <c r="AR18" s="112"/>
      <c r="AS18" s="112"/>
      <c r="AT18" s="112"/>
      <c r="AU18" s="430">
        <f t="shared" si="0"/>
        <v>0</v>
      </c>
      <c r="AV18" s="111" t="s">
        <v>449</v>
      </c>
      <c r="AW18" s="431" t="str">
        <f>R15</f>
        <v>A</v>
      </c>
      <c r="AX18" s="431">
        <f>R46</f>
        <v>1</v>
      </c>
      <c r="AY18" s="431">
        <f>R76</f>
        <v>1</v>
      </c>
      <c r="AZ18" s="431" t="str">
        <f>R105</f>
        <v>C</v>
      </c>
      <c r="BA18" s="431" t="str">
        <f>R135</f>
        <v>C</v>
      </c>
      <c r="BB18" s="431" t="str">
        <f>R165</f>
        <v>C</v>
      </c>
      <c r="BC18" s="431">
        <f>R195</f>
        <v>0</v>
      </c>
      <c r="BD18" s="431" t="str">
        <f>R225</f>
        <v>C</v>
      </c>
      <c r="BE18" s="431" t="str">
        <f>R255</f>
        <v>C</v>
      </c>
      <c r="BF18" s="431" t="str">
        <f>R285</f>
        <v>C</v>
      </c>
      <c r="BG18" s="430">
        <f t="shared" si="2"/>
        <v>0</v>
      </c>
    </row>
    <row r="19" spans="1:60" ht="12" customHeight="1" thickTop="1" thickBot="1">
      <c r="A19" s="686"/>
      <c r="B19" s="4791" t="s">
        <v>479</v>
      </c>
      <c r="C19" s="4792"/>
      <c r="D19" s="4792"/>
      <c r="E19" s="4793"/>
      <c r="F19" s="625"/>
      <c r="G19" s="499">
        <f>VLOOKUP(F19,AE69:AF78,2,1)</f>
        <v>0</v>
      </c>
      <c r="H19" s="501"/>
      <c r="I19" s="501"/>
      <c r="J19" s="501"/>
      <c r="K19" s="501"/>
      <c r="L19" s="509">
        <f>COUNTA(F19,F49,F79,F109,F139,F169,F199,F229,F259,F289)</f>
        <v>0</v>
      </c>
      <c r="M19" s="510">
        <f>COUNTA(F19,F137,F257,F377)</f>
        <v>3</v>
      </c>
      <c r="N19" s="4783" t="s">
        <v>480</v>
      </c>
      <c r="O19" s="4786"/>
      <c r="P19" s="4786"/>
      <c r="Q19" s="4787"/>
      <c r="R19" s="625" t="s">
        <v>474</v>
      </c>
      <c r="S19" s="499" t="str">
        <f>VLOOKUP(R19,AE44:AF68,2,2)</f>
        <v>LICENCIATURA CON TITULO</v>
      </c>
      <c r="T19" s="501"/>
      <c r="U19" s="501"/>
      <c r="V19" s="501"/>
      <c r="W19" s="501"/>
      <c r="X19" s="501"/>
      <c r="Y19" s="504"/>
      <c r="Z19" s="446" t="s">
        <v>481</v>
      </c>
      <c r="AA19" s="447">
        <f>'VISITA DE INSP.'!AQ17</f>
        <v>0</v>
      </c>
      <c r="AB19" s="448"/>
      <c r="AC19" s="449"/>
      <c r="AD19" s="442"/>
      <c r="AE19" s="433">
        <v>2</v>
      </c>
      <c r="AF19" s="86" t="s">
        <v>482</v>
      </c>
      <c r="AG19" s="196"/>
      <c r="AH19" s="433"/>
      <c r="AJ19" s="427" t="s">
        <v>483</v>
      </c>
      <c r="AK19" s="428">
        <f>R20</f>
        <v>0</v>
      </c>
      <c r="AL19" s="429"/>
      <c r="AM19" s="429"/>
      <c r="AN19" s="429"/>
      <c r="AO19" s="430">
        <f t="shared" si="1"/>
        <v>0</v>
      </c>
      <c r="AP19" s="86" t="s">
        <v>7</v>
      </c>
      <c r="AQ19" s="431" t="e">
        <f>G17</f>
        <v>#REF!</v>
      </c>
      <c r="AR19" s="112"/>
      <c r="AS19" s="112"/>
      <c r="AT19" s="112"/>
      <c r="AV19" s="111" t="s">
        <v>407</v>
      </c>
      <c r="AW19" s="431" t="str">
        <f>R15</f>
        <v>A</v>
      </c>
      <c r="AX19" s="431">
        <f>R46</f>
        <v>1</v>
      </c>
      <c r="AY19" s="431">
        <f>R76</f>
        <v>1</v>
      </c>
      <c r="AZ19" s="431" t="str">
        <f>R105</f>
        <v>C</v>
      </c>
      <c r="BA19" s="431" t="str">
        <f>R135</f>
        <v>C</v>
      </c>
      <c r="BB19" s="431" t="str">
        <f>R165</f>
        <v>C</v>
      </c>
      <c r="BC19" s="431">
        <f>R195</f>
        <v>0</v>
      </c>
      <c r="BD19" s="431" t="str">
        <f>R225</f>
        <v>C</v>
      </c>
      <c r="BE19" s="431" t="str">
        <f>R255</f>
        <v>C</v>
      </c>
      <c r="BF19" s="431" t="str">
        <f>R285</f>
        <v>C</v>
      </c>
      <c r="BG19" s="430">
        <f t="shared" si="2"/>
        <v>0</v>
      </c>
    </row>
    <row r="20" spans="1:60" ht="12" customHeight="1" thickTop="1" thickBot="1">
      <c r="A20" s="686"/>
      <c r="B20" s="4791" t="s">
        <v>484</v>
      </c>
      <c r="C20" s="4792"/>
      <c r="D20" s="4792"/>
      <c r="E20" s="4793"/>
      <c r="F20" s="625"/>
      <c r="G20" s="499">
        <f>VLOOKUP(F20,AE79:AF85,2,1)</f>
        <v>0</v>
      </c>
      <c r="H20" s="501"/>
      <c r="I20" s="501"/>
      <c r="J20" s="501"/>
      <c r="K20" s="501"/>
      <c r="L20" s="509">
        <f>COUNTA(F20,F50,F80,F110,F140,F170,F200,F230,F260,F290)</f>
        <v>0</v>
      </c>
      <c r="M20" s="503"/>
      <c r="N20" s="4783" t="s">
        <v>485</v>
      </c>
      <c r="O20" s="4786"/>
      <c r="P20" s="4786"/>
      <c r="Q20" s="4787"/>
      <c r="R20" s="625"/>
      <c r="S20" s="553"/>
      <c r="T20" s="511"/>
      <c r="U20" s="512"/>
      <c r="V20" s="511"/>
      <c r="W20" s="511"/>
      <c r="X20" s="511"/>
      <c r="Y20" s="513"/>
      <c r="Z20" s="4773" t="s">
        <v>486</v>
      </c>
      <c r="AA20" s="4774"/>
      <c r="AB20" s="4774"/>
      <c r="AC20" s="4775"/>
      <c r="AD20" s="442"/>
      <c r="AE20" s="433">
        <v>3</v>
      </c>
      <c r="AF20" s="86" t="s">
        <v>487</v>
      </c>
      <c r="AG20" s="196"/>
      <c r="AH20" s="433"/>
      <c r="AJ20" s="427" t="s">
        <v>78</v>
      </c>
      <c r="AK20" s="428">
        <f>R20</f>
        <v>0</v>
      </c>
      <c r="AL20" s="429"/>
      <c r="AM20" s="429"/>
      <c r="AN20" s="429"/>
      <c r="AO20" s="430">
        <f t="shared" si="1"/>
        <v>0</v>
      </c>
      <c r="AP20" s="86" t="s">
        <v>393</v>
      </c>
      <c r="AQ20" s="431" t="e">
        <f>G17</f>
        <v>#REF!</v>
      </c>
      <c r="AR20" s="112"/>
      <c r="AS20" s="112"/>
      <c r="AT20" s="112"/>
      <c r="AV20" s="111" t="s">
        <v>14</v>
      </c>
      <c r="AW20" s="431" t="str">
        <f>R15</f>
        <v>A</v>
      </c>
      <c r="AX20" s="431">
        <f>R46</f>
        <v>1</v>
      </c>
      <c r="AY20" s="431">
        <f>R76</f>
        <v>1</v>
      </c>
      <c r="AZ20" s="431" t="str">
        <f>R105</f>
        <v>C</v>
      </c>
      <c r="BA20" s="431" t="str">
        <f>R135</f>
        <v>C</v>
      </c>
      <c r="BB20" s="431" t="str">
        <f>R165</f>
        <v>C</v>
      </c>
      <c r="BC20" s="431">
        <f>R195</f>
        <v>0</v>
      </c>
      <c r="BD20" s="431" t="str">
        <f>R225</f>
        <v>C</v>
      </c>
      <c r="BE20" s="431" t="str">
        <f>R255</f>
        <v>C</v>
      </c>
      <c r="BF20" s="431" t="str">
        <f>R285</f>
        <v>C</v>
      </c>
      <c r="BG20" s="430">
        <f>COUNTIF(AW20:BF20,AV20)</f>
        <v>0</v>
      </c>
    </row>
    <row r="21" spans="1:60" ht="12" hidden="1" customHeight="1" thickTop="1" thickBot="1">
      <c r="A21" s="686"/>
      <c r="B21" s="4794" t="s">
        <v>488</v>
      </c>
      <c r="C21" s="4795"/>
      <c r="D21" s="4795"/>
      <c r="E21" s="4795"/>
      <c r="F21" s="4795"/>
      <c r="G21" s="4795"/>
      <c r="H21" s="4795"/>
      <c r="I21" s="4796"/>
      <c r="J21" s="4794" t="s">
        <v>488</v>
      </c>
      <c r="K21" s="4795"/>
      <c r="L21" s="4795"/>
      <c r="M21" s="4795"/>
      <c r="N21" s="4795"/>
      <c r="O21" s="4795"/>
      <c r="P21" s="4795"/>
      <c r="Q21" s="4796"/>
      <c r="R21" s="4794" t="s">
        <v>488</v>
      </c>
      <c r="S21" s="4795"/>
      <c r="T21" s="4795"/>
      <c r="U21" s="4795"/>
      <c r="V21" s="4795"/>
      <c r="W21" s="4795"/>
      <c r="X21" s="4795"/>
      <c r="Y21" s="4796"/>
      <c r="Z21" s="446" t="s">
        <v>489</v>
      </c>
      <c r="AA21" s="447"/>
      <c r="AB21" s="448"/>
      <c r="AC21" s="449"/>
      <c r="AD21" s="442"/>
      <c r="AE21" s="433">
        <v>4</v>
      </c>
      <c r="AF21" s="86" t="s">
        <v>37</v>
      </c>
      <c r="AG21" s="196"/>
      <c r="AH21" s="433"/>
      <c r="AJ21" s="427" t="s">
        <v>458</v>
      </c>
      <c r="AK21" s="428">
        <f>R20</f>
        <v>0</v>
      </c>
      <c r="AL21" s="429"/>
      <c r="AM21" s="429"/>
      <c r="AN21" s="429"/>
      <c r="AO21" s="430">
        <f t="shared" si="1"/>
        <v>0</v>
      </c>
      <c r="AP21" s="86" t="s">
        <v>399</v>
      </c>
      <c r="AQ21" s="431" t="e">
        <f>G17</f>
        <v>#REF!</v>
      </c>
      <c r="AR21" s="112"/>
      <c r="AS21" s="112"/>
      <c r="AT21" s="112"/>
      <c r="AV21" s="111" t="s">
        <v>490</v>
      </c>
      <c r="AW21" s="431" t="str">
        <f>R15</f>
        <v>A</v>
      </c>
      <c r="AX21" s="431">
        <f>R46</f>
        <v>1</v>
      </c>
      <c r="AY21" s="431">
        <f>R76</f>
        <v>1</v>
      </c>
      <c r="AZ21" s="431" t="str">
        <f>R105</f>
        <v>C</v>
      </c>
      <c r="BA21" s="431" t="str">
        <f>R135</f>
        <v>C</v>
      </c>
      <c r="BB21" s="431" t="str">
        <f>R165</f>
        <v>C</v>
      </c>
      <c r="BC21" s="431">
        <f>R195</f>
        <v>0</v>
      </c>
      <c r="BD21" s="431" t="str">
        <f>R225</f>
        <v>C</v>
      </c>
      <c r="BE21" s="431" t="str">
        <f>R255</f>
        <v>C</v>
      </c>
      <c r="BF21" s="431" t="str">
        <f>R285</f>
        <v>C</v>
      </c>
      <c r="BG21" s="430">
        <f>COUNTIF(AW21:BF21,AV21)</f>
        <v>0</v>
      </c>
    </row>
    <row r="22" spans="1:60" ht="12" hidden="1" customHeight="1" thickTop="1" thickBot="1">
      <c r="A22" s="686"/>
      <c r="B22" s="514" t="s">
        <v>491</v>
      </c>
      <c r="C22" s="515" t="s">
        <v>491</v>
      </c>
      <c r="D22" s="516" t="s">
        <v>492</v>
      </c>
      <c r="E22" s="4797"/>
      <c r="F22" s="4797"/>
      <c r="G22" s="517"/>
      <c r="H22" s="518"/>
      <c r="I22" s="519"/>
      <c r="J22" s="678" t="s">
        <v>491</v>
      </c>
      <c r="K22" s="532" t="s">
        <v>491</v>
      </c>
      <c r="L22" s="677" t="s">
        <v>492</v>
      </c>
      <c r="M22" s="4797"/>
      <c r="N22" s="4797"/>
      <c r="O22" s="517" t="s">
        <v>418</v>
      </c>
      <c r="P22" s="518" t="s">
        <v>493</v>
      </c>
      <c r="Q22" s="520"/>
      <c r="R22" s="515" t="s">
        <v>491</v>
      </c>
      <c r="S22" s="515" t="s">
        <v>491</v>
      </c>
      <c r="T22" s="516" t="s">
        <v>492</v>
      </c>
      <c r="U22" s="4797"/>
      <c r="V22" s="4797"/>
      <c r="W22" s="517"/>
      <c r="X22" s="518"/>
      <c r="Y22" s="519"/>
      <c r="Z22" s="4773" t="s">
        <v>494</v>
      </c>
      <c r="AA22" s="4774"/>
      <c r="AB22" s="4774"/>
      <c r="AC22" s="4775"/>
      <c r="AD22" s="442"/>
      <c r="AE22" s="433">
        <v>4</v>
      </c>
      <c r="AF22" s="86" t="s">
        <v>37</v>
      </c>
      <c r="AG22" s="196"/>
      <c r="AH22" s="433"/>
      <c r="AJ22" s="427" t="s">
        <v>495</v>
      </c>
      <c r="AK22" s="428">
        <f>R20</f>
        <v>0</v>
      </c>
      <c r="AL22" s="429"/>
      <c r="AM22" s="429"/>
      <c r="AN22" s="429"/>
      <c r="AO22" s="430">
        <f t="shared" si="1"/>
        <v>0</v>
      </c>
      <c r="BG22" s="430">
        <f>SUM(BG5,BG7,BG8,BG10,BG12,BG13,BG14,BG15,BG16,BG17,BG18,BG19,BG20,BG21)</f>
        <v>0</v>
      </c>
      <c r="BH22" s="430" t="s">
        <v>448</v>
      </c>
    </row>
    <row r="23" spans="1:60" ht="12" hidden="1" customHeight="1" thickTop="1">
      <c r="A23" s="686"/>
      <c r="B23" s="521"/>
      <c r="C23" s="522"/>
      <c r="D23" s="4798" t="s">
        <v>496</v>
      </c>
      <c r="E23" s="4799"/>
      <c r="F23" s="4799"/>
      <c r="G23" s="4800"/>
      <c r="H23" s="515"/>
      <c r="I23" s="519"/>
      <c r="J23" s="523"/>
      <c r="K23" s="522"/>
      <c r="L23" s="4798" t="s">
        <v>496</v>
      </c>
      <c r="M23" s="4799"/>
      <c r="N23" s="4799"/>
      <c r="O23" s="4800"/>
      <c r="P23" s="515"/>
      <c r="Q23" s="520"/>
      <c r="R23" s="521"/>
      <c r="S23" s="522"/>
      <c r="T23" s="4798" t="s">
        <v>496</v>
      </c>
      <c r="U23" s="4799"/>
      <c r="V23" s="4799"/>
      <c r="W23" s="4800"/>
      <c r="X23" s="515"/>
      <c r="Y23" s="519"/>
      <c r="Z23" s="446"/>
      <c r="AA23" s="524">
        <f>VLOOKUP(Z23,BE24:BF34,2,2)</f>
        <v>0</v>
      </c>
      <c r="AB23" s="448"/>
      <c r="AC23" s="449"/>
      <c r="AD23" s="442"/>
      <c r="AE23" s="433">
        <v>0</v>
      </c>
      <c r="AF23" s="525">
        <v>0</v>
      </c>
      <c r="AG23" s="433" t="s">
        <v>379</v>
      </c>
      <c r="AH23" s="426" t="s">
        <v>497</v>
      </c>
      <c r="AJ23" s="427" t="s">
        <v>495</v>
      </c>
      <c r="AK23" s="428">
        <f>R20</f>
        <v>0</v>
      </c>
      <c r="AL23" s="429"/>
      <c r="AM23" s="429"/>
      <c r="AN23" s="429"/>
      <c r="AO23" s="430">
        <f>COUNTIF(AK23:AN23,AJ23)</f>
        <v>0</v>
      </c>
    </row>
    <row r="24" spans="1:60" ht="12" hidden="1" customHeight="1">
      <c r="A24" s="686"/>
      <c r="B24" s="526" t="s">
        <v>498</v>
      </c>
      <c r="C24" s="527" t="str">
        <f>'VISITA DE INSP.'!D17</f>
        <v>CERVANTES BENITEZ * ANTONIA</v>
      </c>
      <c r="D24" s="527" t="s">
        <v>500</v>
      </c>
      <c r="E24" s="527" t="s">
        <v>501</v>
      </c>
      <c r="F24" s="527" t="s">
        <v>502</v>
      </c>
      <c r="G24" s="527" t="s">
        <v>503</v>
      </c>
      <c r="H24" s="527" t="s">
        <v>504</v>
      </c>
      <c r="I24" s="528"/>
      <c r="J24" s="510" t="s">
        <v>498</v>
      </c>
      <c r="K24" s="510" t="s">
        <v>499</v>
      </c>
      <c r="L24" s="510" t="s">
        <v>500</v>
      </c>
      <c r="M24" s="510" t="s">
        <v>501</v>
      </c>
      <c r="N24" s="510" t="s">
        <v>502</v>
      </c>
      <c r="O24" s="510" t="s">
        <v>503</v>
      </c>
      <c r="P24" s="510" t="s">
        <v>504</v>
      </c>
      <c r="Q24" s="529" t="s">
        <v>505</v>
      </c>
      <c r="R24" s="4805" t="str">
        <f>'VISITA DE INSP.'!D17</f>
        <v>CERVANTES BENITEZ * ANTONIA</v>
      </c>
      <c r="S24" s="4759"/>
      <c r="T24" s="4759"/>
      <c r="U24" s="4759"/>
      <c r="V24" s="4759"/>
      <c r="W24" s="4759"/>
      <c r="X24" s="4759"/>
      <c r="Y24" s="4806"/>
      <c r="Z24" s="4801" t="s">
        <v>506</v>
      </c>
      <c r="AA24" s="4802"/>
      <c r="AB24" s="4802"/>
      <c r="AC24" s="4803"/>
      <c r="AD24" s="442"/>
      <c r="AG24" s="196"/>
      <c r="AH24" s="433"/>
      <c r="AJ24" s="427" t="s">
        <v>495</v>
      </c>
      <c r="AK24" s="428">
        <f>R20</f>
        <v>0</v>
      </c>
      <c r="AL24" s="429"/>
      <c r="AM24" s="429"/>
      <c r="AN24" s="429"/>
      <c r="AO24" s="430">
        <f>COUNTIF(AK24:AN24,AJ24)</f>
        <v>0</v>
      </c>
      <c r="AW24" s="112">
        <v>0</v>
      </c>
      <c r="AX24" s="424">
        <v>0</v>
      </c>
      <c r="AY24" s="434">
        <v>0</v>
      </c>
      <c r="AZ24" s="430">
        <v>0</v>
      </c>
      <c r="BB24" s="424">
        <v>0</v>
      </c>
      <c r="BC24" s="424">
        <v>0</v>
      </c>
      <c r="BE24" s="112">
        <v>0</v>
      </c>
      <c r="BF24" s="424">
        <v>0</v>
      </c>
    </row>
    <row r="25" spans="1:60" ht="12" hidden="1" customHeight="1">
      <c r="A25" s="686"/>
      <c r="B25" s="530"/>
      <c r="C25" s="531" t="s">
        <v>491</v>
      </c>
      <c r="D25" s="532" t="s">
        <v>491</v>
      </c>
      <c r="E25" s="533"/>
      <c r="F25" s="532"/>
      <c r="G25" s="532"/>
      <c r="H25" s="532"/>
      <c r="I25" s="519"/>
      <c r="J25" s="534"/>
      <c r="K25" s="531" t="s">
        <v>491</v>
      </c>
      <c r="L25" s="532" t="s">
        <v>491</v>
      </c>
      <c r="M25" s="533"/>
      <c r="N25" s="532"/>
      <c r="O25" s="532"/>
      <c r="P25" s="532"/>
      <c r="Q25" s="520"/>
      <c r="R25" s="530"/>
      <c r="S25" s="4758" t="str">
        <f>'VISITA DE INSP.'!AN17</f>
        <v>CEBA641230GX0</v>
      </c>
      <c r="T25" s="4759"/>
      <c r="U25" s="4759"/>
      <c r="V25" s="4759"/>
      <c r="W25" s="4759"/>
      <c r="X25" s="4760"/>
      <c r="Y25" s="519"/>
      <c r="Z25" s="446"/>
      <c r="AA25" s="524">
        <f>VLOOKUP(Z25,AW24:AX39,2,2)</f>
        <v>0</v>
      </c>
      <c r="AB25" s="448"/>
      <c r="AC25" s="449"/>
      <c r="AD25" s="442"/>
      <c r="AE25" s="433">
        <v>0</v>
      </c>
      <c r="AF25" s="86">
        <v>0</v>
      </c>
      <c r="AG25" s="196"/>
      <c r="AH25" s="433"/>
      <c r="AJ25" s="427"/>
      <c r="AK25" s="428"/>
      <c r="AL25" s="429"/>
      <c r="AM25" s="429"/>
      <c r="AN25" s="429"/>
      <c r="AW25" s="112">
        <v>1</v>
      </c>
      <c r="AX25" s="535" t="s">
        <v>507</v>
      </c>
      <c r="AY25" s="434">
        <v>3</v>
      </c>
      <c r="AZ25" s="87" t="s">
        <v>508</v>
      </c>
      <c r="BB25" s="424">
        <v>1</v>
      </c>
      <c r="BC25" s="430" t="s">
        <v>509</v>
      </c>
      <c r="BE25" s="112">
        <v>1</v>
      </c>
      <c r="BF25" s="424" t="s">
        <v>510</v>
      </c>
    </row>
    <row r="26" spans="1:60" ht="12" hidden="1" customHeight="1">
      <c r="A26" s="686"/>
      <c r="B26" s="536"/>
      <c r="C26" s="537"/>
      <c r="D26" s="527"/>
      <c r="E26" s="527"/>
      <c r="F26" s="527"/>
      <c r="G26" s="527"/>
      <c r="H26" s="527"/>
      <c r="I26" s="519"/>
      <c r="J26" s="538"/>
      <c r="K26" s="537"/>
      <c r="L26" s="527"/>
      <c r="M26" s="527"/>
      <c r="N26" s="527"/>
      <c r="O26" s="527"/>
      <c r="P26" s="527"/>
      <c r="Q26" s="520"/>
      <c r="R26" s="536"/>
      <c r="S26" s="4758" t="str">
        <f>'VISITA DE INSP.'!AO17</f>
        <v>078312 E022100.0231688</v>
      </c>
      <c r="T26" s="4759"/>
      <c r="U26" s="4759"/>
      <c r="V26" s="4759"/>
      <c r="W26" s="4759"/>
      <c r="X26" s="4760"/>
      <c r="Y26" s="519"/>
      <c r="Z26" s="4773" t="s">
        <v>511</v>
      </c>
      <c r="AA26" s="4774"/>
      <c r="AB26" s="4774"/>
      <c r="AC26" s="4775"/>
      <c r="AD26" s="442"/>
      <c r="AE26" s="433">
        <v>3</v>
      </c>
      <c r="AF26" s="86" t="s">
        <v>512</v>
      </c>
      <c r="AG26" s="196"/>
      <c r="AH26" s="433"/>
      <c r="AJ26" s="427"/>
      <c r="AK26" s="428"/>
      <c r="AL26" s="429"/>
      <c r="AM26" s="429"/>
      <c r="AN26" s="429"/>
      <c r="AW26" s="112">
        <v>2</v>
      </c>
      <c r="AX26" s="535" t="s">
        <v>513</v>
      </c>
      <c r="AY26" s="434">
        <v>9</v>
      </c>
      <c r="AZ26" s="82" t="s">
        <v>392</v>
      </c>
      <c r="BB26" s="424">
        <v>2</v>
      </c>
      <c r="BC26" s="430" t="s">
        <v>514</v>
      </c>
      <c r="BE26" s="112">
        <v>2</v>
      </c>
      <c r="BF26" s="424" t="s">
        <v>515</v>
      </c>
    </row>
    <row r="27" spans="1:60" ht="12" hidden="1" customHeight="1">
      <c r="A27" s="686"/>
      <c r="B27" s="530"/>
      <c r="C27" s="537"/>
      <c r="D27" s="531"/>
      <c r="E27" s="533"/>
      <c r="F27" s="532"/>
      <c r="G27" s="532"/>
      <c r="H27" s="532"/>
      <c r="I27" s="519"/>
      <c r="J27" s="534"/>
      <c r="K27" s="537"/>
      <c r="L27" s="531"/>
      <c r="M27" s="533"/>
      <c r="N27" s="532"/>
      <c r="O27" s="532"/>
      <c r="P27" s="532"/>
      <c r="Q27" s="520"/>
      <c r="R27" s="530"/>
      <c r="S27" s="4852" t="str">
        <f>'VISITA DE INSP.'!AU17</f>
        <v>16-09-1986</v>
      </c>
      <c r="T27" s="4853"/>
      <c r="U27" s="4853"/>
      <c r="V27" s="4853"/>
      <c r="W27" s="4853"/>
      <c r="X27" s="4854"/>
      <c r="Y27" s="519"/>
      <c r="Z27" s="446"/>
      <c r="AA27" s="524">
        <f>VLOOKUP(Z27,BB24:BC34,2,2)</f>
        <v>0</v>
      </c>
      <c r="AB27" s="448"/>
      <c r="AC27" s="449"/>
      <c r="AD27" s="442"/>
      <c r="AE27" s="433">
        <v>4</v>
      </c>
      <c r="AF27" s="86" t="s">
        <v>516</v>
      </c>
      <c r="AG27" s="196"/>
      <c r="AH27" s="433"/>
      <c r="AJ27" s="196"/>
      <c r="AW27" s="112">
        <v>3</v>
      </c>
      <c r="AX27" s="535" t="s">
        <v>517</v>
      </c>
      <c r="AY27" s="434">
        <v>10</v>
      </c>
      <c r="AZ27" s="82" t="s">
        <v>31</v>
      </c>
      <c r="BB27" s="424">
        <v>3</v>
      </c>
      <c r="BC27" s="430" t="s">
        <v>518</v>
      </c>
      <c r="BE27" s="112">
        <v>3</v>
      </c>
      <c r="BF27" s="424" t="s">
        <v>519</v>
      </c>
    </row>
    <row r="28" spans="1:60" ht="12" hidden="1" customHeight="1">
      <c r="A28" s="686"/>
      <c r="B28" s="530"/>
      <c r="C28" s="522"/>
      <c r="D28" s="539"/>
      <c r="E28" s="540"/>
      <c r="F28" s="515"/>
      <c r="G28" s="515"/>
      <c r="H28" s="515"/>
      <c r="I28" s="519"/>
      <c r="J28" s="534"/>
      <c r="K28" s="522"/>
      <c r="L28" s="539"/>
      <c r="M28" s="540"/>
      <c r="N28" s="515"/>
      <c r="O28" s="515"/>
      <c r="P28" s="515"/>
      <c r="Q28" s="520"/>
      <c r="R28" s="530"/>
      <c r="S28" s="4758">
        <f>'VISITA DE INSP.'!AT17</f>
        <v>10</v>
      </c>
      <c r="T28" s="4759"/>
      <c r="U28" s="4759"/>
      <c r="V28" s="4759"/>
      <c r="W28" s="4759"/>
      <c r="X28" s="4760"/>
      <c r="Y28" s="519"/>
      <c r="Z28" s="4773" t="s">
        <v>520</v>
      </c>
      <c r="AA28" s="4774"/>
      <c r="AB28" s="4774"/>
      <c r="AC28" s="4775"/>
      <c r="AD28" s="442"/>
      <c r="AE28" s="433">
        <v>5</v>
      </c>
      <c r="AF28" s="86" t="s">
        <v>521</v>
      </c>
      <c r="AG28" s="196"/>
      <c r="AH28" s="433"/>
      <c r="AJ28" s="196"/>
      <c r="AW28" s="112">
        <v>4</v>
      </c>
      <c r="AX28" s="535" t="s">
        <v>522</v>
      </c>
      <c r="AY28" s="434">
        <v>20</v>
      </c>
      <c r="AZ28" s="82" t="s">
        <v>33</v>
      </c>
      <c r="BB28" s="424">
        <v>4</v>
      </c>
      <c r="BC28" s="430" t="s">
        <v>523</v>
      </c>
      <c r="BE28" s="112">
        <v>4</v>
      </c>
      <c r="BF28" s="424" t="s">
        <v>524</v>
      </c>
    </row>
    <row r="29" spans="1:60" ht="12" hidden="1" customHeight="1">
      <c r="A29" s="686"/>
      <c r="B29" s="530"/>
      <c r="C29" s="541"/>
      <c r="D29" s="541"/>
      <c r="E29" s="541"/>
      <c r="F29" s="541"/>
      <c r="G29" s="541"/>
      <c r="H29" s="541"/>
      <c r="I29" s="519"/>
      <c r="J29" s="534"/>
      <c r="K29" s="541"/>
      <c r="L29" s="541"/>
      <c r="M29" s="541"/>
      <c r="N29" s="541"/>
      <c r="O29" s="541"/>
      <c r="P29" s="541"/>
      <c r="Q29" s="520"/>
      <c r="R29" s="530"/>
      <c r="S29" s="4830" t="str">
        <f>'VISITA DE INSP.'!AS17</f>
        <v>7D</v>
      </c>
      <c r="T29" s="4831"/>
      <c r="U29" s="4831"/>
      <c r="V29" s="4831"/>
      <c r="W29" s="4831"/>
      <c r="X29" s="4832"/>
      <c r="Y29" s="519"/>
      <c r="Z29" s="446" t="s">
        <v>396</v>
      </c>
      <c r="AA29" s="447" t="str">
        <f>J13</f>
        <v xml:space="preserve">  COL-</v>
      </c>
      <c r="AB29" s="448"/>
      <c r="AC29" s="449"/>
      <c r="AD29" s="442"/>
      <c r="AE29" s="433">
        <v>6</v>
      </c>
      <c r="AF29" s="86" t="s">
        <v>525</v>
      </c>
      <c r="AG29" s="196"/>
      <c r="AH29" s="433"/>
      <c r="AJ29" s="196"/>
      <c r="AW29" s="112">
        <v>5</v>
      </c>
      <c r="AX29" s="535" t="s">
        <v>526</v>
      </c>
      <c r="AY29" s="434">
        <v>95</v>
      </c>
      <c r="AZ29" s="82" t="s">
        <v>62</v>
      </c>
      <c r="BB29" s="424">
        <v>5</v>
      </c>
      <c r="BC29" s="430" t="s">
        <v>527</v>
      </c>
      <c r="BE29" s="112">
        <v>5</v>
      </c>
      <c r="BF29" s="424" t="s">
        <v>528</v>
      </c>
    </row>
    <row r="30" spans="1:60" ht="12" hidden="1" customHeight="1">
      <c r="A30" s="686"/>
      <c r="B30" s="542"/>
      <c r="C30" s="543" t="str">
        <f>Y5</f>
        <v xml:space="preserve">       </v>
      </c>
      <c r="D30" s="543"/>
      <c r="E30" s="543"/>
      <c r="F30" s="543"/>
      <c r="G30" s="543"/>
      <c r="H30" s="543"/>
      <c r="I30" s="544"/>
      <c r="J30" s="538"/>
      <c r="K30" s="543" t="str">
        <f>C30</f>
        <v xml:space="preserve">       </v>
      </c>
      <c r="L30" s="543"/>
      <c r="M30" s="543"/>
      <c r="N30" s="543"/>
      <c r="O30" s="543"/>
      <c r="P30" s="543"/>
      <c r="Q30" s="520"/>
      <c r="R30" s="514"/>
      <c r="S30" s="545" t="str">
        <f>K30</f>
        <v xml:space="preserve">       </v>
      </c>
      <c r="T30" s="545"/>
      <c r="U30" s="545"/>
      <c r="V30" s="545"/>
      <c r="W30" s="545"/>
      <c r="X30" s="545"/>
      <c r="Y30" s="519"/>
      <c r="Z30" s="4773" t="s">
        <v>529</v>
      </c>
      <c r="AA30" s="4774"/>
      <c r="AB30" s="4774"/>
      <c r="AC30" s="4775"/>
      <c r="AD30" s="442"/>
      <c r="AE30" s="433">
        <v>7</v>
      </c>
      <c r="AF30" s="86" t="s">
        <v>530</v>
      </c>
      <c r="AG30" s="196"/>
      <c r="AH30" s="433"/>
      <c r="AJ30" s="196"/>
      <c r="AW30" s="112">
        <v>6</v>
      </c>
      <c r="AX30" s="535" t="s">
        <v>531</v>
      </c>
      <c r="AY30" s="434">
        <v>96</v>
      </c>
      <c r="AZ30" s="82" t="s">
        <v>63</v>
      </c>
      <c r="BB30" s="424">
        <v>6</v>
      </c>
      <c r="BC30" s="430" t="s">
        <v>532</v>
      </c>
      <c r="BE30" s="112">
        <v>6</v>
      </c>
      <c r="BF30" s="424" t="s">
        <v>533</v>
      </c>
    </row>
    <row r="31" spans="1:60" ht="12" hidden="1" customHeight="1" thickBot="1">
      <c r="A31" s="686"/>
      <c r="B31" s="546"/>
      <c r="C31" s="4804" t="s">
        <v>534</v>
      </c>
      <c r="D31" s="4804"/>
      <c r="E31" s="4804"/>
      <c r="F31" s="4804"/>
      <c r="G31" s="4804"/>
      <c r="H31" s="4804"/>
      <c r="I31" s="547"/>
      <c r="J31" s="548"/>
      <c r="K31" s="4804" t="s">
        <v>534</v>
      </c>
      <c r="L31" s="4804"/>
      <c r="M31" s="4804"/>
      <c r="N31" s="4804"/>
      <c r="O31" s="4804"/>
      <c r="P31" s="4804"/>
      <c r="Q31" s="549"/>
      <c r="R31" s="550"/>
      <c r="S31" s="4804" t="s">
        <v>534</v>
      </c>
      <c r="T31" s="4804"/>
      <c r="U31" s="4804"/>
      <c r="V31" s="4804"/>
      <c r="W31" s="4804"/>
      <c r="X31" s="4804"/>
      <c r="Y31" s="549"/>
      <c r="Z31" s="446" t="s">
        <v>396</v>
      </c>
      <c r="AA31" s="447" t="str">
        <f>J14</f>
        <v xml:space="preserve">  C.P.-</v>
      </c>
      <c r="AB31" s="448"/>
      <c r="AC31" s="449"/>
      <c r="AD31" s="442"/>
      <c r="AE31" s="433">
        <v>8</v>
      </c>
      <c r="AF31" s="86" t="s">
        <v>535</v>
      </c>
      <c r="AG31" s="196"/>
      <c r="AH31" s="433"/>
      <c r="AJ31" s="196"/>
      <c r="AW31" s="112">
        <v>7</v>
      </c>
      <c r="AX31" s="535" t="s">
        <v>536</v>
      </c>
      <c r="AY31" s="434">
        <v>97</v>
      </c>
      <c r="AZ31" s="82" t="s">
        <v>61</v>
      </c>
      <c r="BB31" s="424">
        <v>7</v>
      </c>
      <c r="BC31" s="430" t="s">
        <v>537</v>
      </c>
      <c r="BE31" s="112">
        <v>7</v>
      </c>
      <c r="BF31" s="112"/>
    </row>
    <row r="32" spans="1:60" ht="12" customHeight="1" thickTop="1" thickBot="1">
      <c r="A32" s="686"/>
      <c r="B32" s="4783" t="s">
        <v>538</v>
      </c>
      <c r="C32" s="4784"/>
      <c r="D32" s="4784"/>
      <c r="E32" s="4784"/>
      <c r="F32" s="552"/>
      <c r="G32" s="551">
        <f>VLOOKUP(F32,BE38:BG72,2,2)</f>
        <v>0</v>
      </c>
      <c r="H32" s="511"/>
      <c r="I32" s="513"/>
      <c r="J32" s="4783" t="s">
        <v>539</v>
      </c>
      <c r="K32" s="4784"/>
      <c r="L32" s="4784"/>
      <c r="M32" s="4784"/>
      <c r="N32" s="552" t="s">
        <v>540</v>
      </c>
      <c r="O32" s="628"/>
      <c r="P32" s="629"/>
      <c r="Q32" s="630"/>
      <c r="R32" s="4783" t="s">
        <v>541</v>
      </c>
      <c r="S32" s="4784"/>
      <c r="T32" s="4784"/>
      <c r="U32" s="4785"/>
      <c r="V32" s="508" t="s">
        <v>396</v>
      </c>
      <c r="W32" s="553">
        <f>O5</f>
        <v>0</v>
      </c>
      <c r="X32" s="554">
        <f>R5</f>
        <v>0</v>
      </c>
      <c r="Y32" s="555">
        <f>U5</f>
        <v>0</v>
      </c>
      <c r="Z32" s="4773" t="s">
        <v>542</v>
      </c>
      <c r="AA32" s="4774"/>
      <c r="AB32" s="4774"/>
      <c r="AC32" s="4775"/>
      <c r="AD32" s="442"/>
      <c r="AE32" s="433">
        <v>9</v>
      </c>
      <c r="AF32" s="86" t="s">
        <v>543</v>
      </c>
      <c r="AG32" s="196"/>
      <c r="AH32" s="433"/>
      <c r="AJ32" s="196"/>
      <c r="AW32" s="112">
        <v>8</v>
      </c>
      <c r="AX32" s="535" t="s">
        <v>544</v>
      </c>
      <c r="AY32" s="434">
        <v>98</v>
      </c>
      <c r="AZ32" s="82">
        <v>99999</v>
      </c>
      <c r="BB32" s="424">
        <v>8</v>
      </c>
      <c r="BC32" s="430" t="s">
        <v>545</v>
      </c>
      <c r="BE32" s="112">
        <v>8</v>
      </c>
      <c r="BF32" s="112"/>
    </row>
    <row r="33" spans="1:59" ht="12" customHeight="1" thickTop="1" thickBot="1">
      <c r="A33" s="686"/>
      <c r="B33" s="556"/>
      <c r="C33" s="557"/>
      <c r="D33" s="557"/>
      <c r="E33" s="557"/>
      <c r="F33" s="557"/>
      <c r="G33" s="557"/>
      <c r="H33" s="557"/>
      <c r="I33" s="557"/>
      <c r="J33" s="557"/>
      <c r="K33" s="557"/>
      <c r="L33" s="557"/>
      <c r="M33" s="557"/>
      <c r="N33" s="557"/>
      <c r="O33" s="557"/>
      <c r="P33" s="557"/>
      <c r="Q33" s="557"/>
      <c r="R33" s="557"/>
      <c r="S33" s="557"/>
      <c r="T33" s="557"/>
      <c r="U33" s="557"/>
      <c r="V33" s="557"/>
      <c r="W33" s="557"/>
      <c r="X33" s="557"/>
      <c r="Y33" s="557"/>
      <c r="Z33" s="558" t="s">
        <v>396</v>
      </c>
      <c r="AA33" s="559">
        <f>W11</f>
        <v>0</v>
      </c>
      <c r="AB33" s="560"/>
      <c r="AC33" s="561"/>
      <c r="AD33" s="442"/>
      <c r="AE33" s="433">
        <v>10</v>
      </c>
      <c r="AF33" s="86" t="s">
        <v>546</v>
      </c>
      <c r="AG33" s="196"/>
      <c r="AH33" s="433"/>
      <c r="AI33" s="427" t="s">
        <v>228</v>
      </c>
      <c r="AJ33" s="428">
        <f>R50</f>
        <v>0</v>
      </c>
      <c r="AK33" s="428">
        <f>S50</f>
        <v>0</v>
      </c>
      <c r="AL33" s="428">
        <f>T50</f>
        <v>0</v>
      </c>
      <c r="AM33" s="428">
        <f>U50</f>
        <v>0</v>
      </c>
      <c r="AN33" s="430">
        <f>COUNTIF(AJ33:AM33,AI33)</f>
        <v>0</v>
      </c>
      <c r="AQ33" s="431">
        <f>G49</f>
        <v>0</v>
      </c>
      <c r="AW33" s="112">
        <v>9</v>
      </c>
      <c r="AX33" s="535" t="s">
        <v>547</v>
      </c>
      <c r="AY33" s="434">
        <v>99</v>
      </c>
      <c r="AZ33" s="82">
        <v>99999</v>
      </c>
      <c r="BB33" s="424">
        <v>9</v>
      </c>
      <c r="BC33" s="430" t="s">
        <v>548</v>
      </c>
      <c r="BE33" s="112">
        <v>9</v>
      </c>
      <c r="BF33" s="112"/>
    </row>
    <row r="34" spans="1:59" ht="12" customHeight="1" thickTop="1">
      <c r="A34" s="686"/>
      <c r="B34" s="4761" t="s">
        <v>386</v>
      </c>
      <c r="C34" s="4762"/>
      <c r="D34" s="4762"/>
      <c r="E34" s="4762"/>
      <c r="F34" s="4762"/>
      <c r="G34" s="4762"/>
      <c r="H34" s="4762"/>
      <c r="I34" s="4763"/>
      <c r="J34" s="562">
        <f>COUNTA(I39:I40)</f>
        <v>1</v>
      </c>
      <c r="K34" s="563" t="s">
        <v>387</v>
      </c>
      <c r="L34" s="564"/>
      <c r="M34" s="564"/>
      <c r="N34" s="564"/>
      <c r="O34" s="564"/>
      <c r="P34" s="564"/>
      <c r="Q34" s="564"/>
      <c r="R34" s="564"/>
      <c r="S34" s="564"/>
      <c r="T34" s="564"/>
      <c r="U34" s="564"/>
      <c r="V34" s="564"/>
      <c r="W34" s="564"/>
      <c r="X34" s="564"/>
      <c r="Y34" s="441"/>
      <c r="Z34" s="4770" t="s">
        <v>388</v>
      </c>
      <c r="AA34" s="4771"/>
      <c r="AB34" s="4771"/>
      <c r="AC34" s="4772"/>
      <c r="AD34" s="442"/>
      <c r="AE34" s="433">
        <v>11</v>
      </c>
      <c r="AF34" s="86" t="s">
        <v>549</v>
      </c>
      <c r="AG34" s="196"/>
      <c r="AH34" s="433"/>
      <c r="AI34" s="427" t="s">
        <v>230</v>
      </c>
      <c r="AJ34" s="428">
        <f>R50</f>
        <v>0</v>
      </c>
      <c r="AK34" s="428">
        <f>S50</f>
        <v>0</v>
      </c>
      <c r="AL34" s="428">
        <f>T50</f>
        <v>0</v>
      </c>
      <c r="AM34" s="428">
        <f>U50</f>
        <v>0</v>
      </c>
      <c r="AN34" s="430">
        <f t="shared" ref="AN34:AN54" si="4">COUNTIF(AJ34:AM34,AI34)</f>
        <v>0</v>
      </c>
      <c r="AP34" s="86" t="s">
        <v>228</v>
      </c>
      <c r="AQ34" s="431">
        <f>G49</f>
        <v>0</v>
      </c>
      <c r="AR34" s="112"/>
      <c r="AS34" s="112"/>
      <c r="AT34" s="112"/>
      <c r="AU34" s="430">
        <f>COUNTIF(AQ34:AT34,AP34)</f>
        <v>0</v>
      </c>
      <c r="AW34" s="112">
        <v>10</v>
      </c>
      <c r="AX34" s="535" t="s">
        <v>550</v>
      </c>
      <c r="AY34" s="434">
        <v>100</v>
      </c>
      <c r="AZ34" s="82" t="s">
        <v>64</v>
      </c>
      <c r="BB34" s="424">
        <v>10</v>
      </c>
      <c r="BC34" s="112" t="s">
        <v>551</v>
      </c>
      <c r="BE34" s="112">
        <v>10</v>
      </c>
      <c r="BF34" s="112"/>
    </row>
    <row r="35" spans="1:59" ht="12" customHeight="1">
      <c r="A35" s="686"/>
      <c r="B35" s="4764"/>
      <c r="C35" s="4765"/>
      <c r="D35" s="4765"/>
      <c r="E35" s="4765"/>
      <c r="F35" s="4765"/>
      <c r="G35" s="4807"/>
      <c r="H35" s="4807"/>
      <c r="I35" s="4808"/>
      <c r="J35" s="565" t="str">
        <f>CONCATENATE(O35,J52,R35,K52,U35,L52)</f>
        <v xml:space="preserve">       </v>
      </c>
      <c r="K35" s="699" t="s">
        <v>395</v>
      </c>
      <c r="L35" s="700"/>
      <c r="M35" s="539"/>
      <c r="N35" s="539"/>
      <c r="O35" s="701"/>
      <c r="P35" s="573"/>
      <c r="R35" s="701"/>
      <c r="S35" s="573"/>
      <c r="U35" s="701"/>
      <c r="V35" s="702"/>
      <c r="W35" s="703"/>
      <c r="X35" s="641"/>
      <c r="Y35" s="445" t="str">
        <f>CONCATENATE(U35,K52,O35,J52,R35,L52)</f>
        <v xml:space="preserve">       </v>
      </c>
      <c r="Z35" s="446" t="s">
        <v>396</v>
      </c>
      <c r="AA35" s="447" t="str">
        <f>J35</f>
        <v xml:space="preserve">       </v>
      </c>
      <c r="AB35" s="448"/>
      <c r="AC35" s="449"/>
      <c r="AD35" s="442"/>
      <c r="AE35" s="433">
        <v>0</v>
      </c>
      <c r="AF35" s="424">
        <v>0</v>
      </c>
      <c r="AG35" s="433" t="s">
        <v>379</v>
      </c>
      <c r="AH35" s="426" t="s">
        <v>552</v>
      </c>
      <c r="AI35" s="427" t="s">
        <v>7</v>
      </c>
      <c r="AJ35" s="428">
        <f>R50</f>
        <v>0</v>
      </c>
      <c r="AK35" s="428">
        <f>S50</f>
        <v>0</v>
      </c>
      <c r="AL35" s="428">
        <f>T50</f>
        <v>0</v>
      </c>
      <c r="AM35" s="428">
        <f>U50</f>
        <v>0</v>
      </c>
      <c r="AN35" s="430">
        <f t="shared" si="4"/>
        <v>0</v>
      </c>
      <c r="AP35" s="86" t="s">
        <v>230</v>
      </c>
      <c r="AQ35" s="431">
        <f>G49</f>
        <v>0</v>
      </c>
      <c r="AR35" s="112"/>
      <c r="AS35" s="112"/>
      <c r="AT35" s="112"/>
      <c r="AU35" s="430">
        <f>COUNTIF(AQ35:AT35,AP35)</f>
        <v>0</v>
      </c>
      <c r="AW35" s="112">
        <v>11</v>
      </c>
      <c r="AX35" s="535" t="s">
        <v>553</v>
      </c>
      <c r="AY35" s="434">
        <v>101</v>
      </c>
      <c r="AZ35" s="82" t="s">
        <v>37</v>
      </c>
    </row>
    <row r="36" spans="1:59" ht="12" customHeight="1" thickBot="1">
      <c r="A36" s="686"/>
      <c r="B36" s="4767"/>
      <c r="C36" s="4768"/>
      <c r="D36" s="4768"/>
      <c r="E36" s="4768"/>
      <c r="F36" s="4768"/>
      <c r="G36" s="4809"/>
      <c r="H36" s="4809"/>
      <c r="I36" s="4810"/>
      <c r="J36" s="565"/>
      <c r="K36" s="539" t="str">
        <f>'VISITA DE INSP.'!D18</f>
        <v>ARANDA ESCALANTE * ARELI GUADALUPE</v>
      </c>
      <c r="L36" s="539"/>
      <c r="M36" s="539"/>
      <c r="N36" s="539"/>
      <c r="P36" s="704"/>
      <c r="Q36" s="705"/>
      <c r="S36" s="704"/>
      <c r="T36" s="705"/>
      <c r="U36" s="706"/>
      <c r="V36" s="706"/>
      <c r="W36" s="706"/>
      <c r="X36" s="706"/>
      <c r="Y36" s="450" t="str">
        <f>CONCATENATE(V37,L52,W37)</f>
        <v>11007831200.0   078312 E028100.0230501</v>
      </c>
      <c r="Z36" s="4773" t="s">
        <v>400</v>
      </c>
      <c r="AA36" s="4774"/>
      <c r="AB36" s="4774"/>
      <c r="AC36" s="4775"/>
      <c r="AD36" s="442"/>
      <c r="AE36" s="433">
        <v>1</v>
      </c>
      <c r="AF36" s="86" t="s">
        <v>554</v>
      </c>
      <c r="AG36" s="196"/>
      <c r="AH36" s="433"/>
      <c r="AI36" s="427" t="s">
        <v>393</v>
      </c>
      <c r="AJ36" s="428">
        <f>R50</f>
        <v>0</v>
      </c>
      <c r="AK36" s="428">
        <f>S50</f>
        <v>0</v>
      </c>
      <c r="AL36" s="428">
        <f>T50</f>
        <v>0</v>
      </c>
      <c r="AM36" s="428">
        <f>U50</f>
        <v>0</v>
      </c>
      <c r="AN36" s="430">
        <f t="shared" si="4"/>
        <v>0</v>
      </c>
      <c r="AP36" s="86" t="s">
        <v>404</v>
      </c>
      <c r="AQ36" s="431">
        <f>G49</f>
        <v>0</v>
      </c>
      <c r="AR36" s="112"/>
      <c r="AS36" s="112"/>
      <c r="AT36" s="112"/>
      <c r="AU36" s="430">
        <f t="shared" ref="AU36:AU51" si="5">COUNTIF(AQ36:AT36,AP36)</f>
        <v>0</v>
      </c>
      <c r="AW36" s="112">
        <v>12</v>
      </c>
      <c r="AX36" s="535" t="s">
        <v>555</v>
      </c>
      <c r="AY36" s="434">
        <v>102</v>
      </c>
      <c r="AZ36" s="82" t="s">
        <v>65</v>
      </c>
    </row>
    <row r="37" spans="1:59" ht="12" customHeight="1" thickTop="1">
      <c r="A37" s="686"/>
      <c r="B37" s="452">
        <v>1</v>
      </c>
      <c r="C37" s="453" t="s">
        <v>406</v>
      </c>
      <c r="D37" s="454" t="s">
        <v>407</v>
      </c>
      <c r="E37" s="455" t="s">
        <v>408</v>
      </c>
      <c r="F37" s="456" t="s">
        <v>409</v>
      </c>
      <c r="G37" s="457" t="e">
        <f>G7</f>
        <v>#REF!</v>
      </c>
      <c r="H37" s="458"/>
      <c r="I37" s="459">
        <f>COUNTA(G40,G160,G280,G400)</f>
        <v>4</v>
      </c>
      <c r="J37" s="565" t="str">
        <f>CONCATENATE(N37,K52,O37)</f>
        <v>AAEA820728  25</v>
      </c>
      <c r="K37" s="699" t="s">
        <v>410</v>
      </c>
      <c r="L37" s="700"/>
      <c r="M37" s="707"/>
      <c r="N37" s="708" t="str">
        <f>MID('VISITA DE INSP.'!AN18,1,10)</f>
        <v>AAEA820728</v>
      </c>
      <c r="O37" s="701" t="str">
        <f>MID('VISITA DE INSP.'!AN18,12,15)</f>
        <v>25</v>
      </c>
      <c r="P37" s="641"/>
      <c r="Q37" s="700"/>
      <c r="R37" s="709"/>
      <c r="T37" s="710" t="s">
        <v>411</v>
      </c>
      <c r="U37" s="641"/>
      <c r="V37" s="711" t="s">
        <v>179</v>
      </c>
      <c r="W37" s="712" t="str">
        <f>'VISITA DE INSP.'!AO18</f>
        <v>078312 E028100.0230501</v>
      </c>
      <c r="X37" s="713"/>
      <c r="Y37" s="460" t="str">
        <f>CONCATENATE(V37,K52,W37)</f>
        <v>11007831200.0  078312 E028100.0230501</v>
      </c>
      <c r="Z37" s="446" t="s">
        <v>396</v>
      </c>
      <c r="AA37" s="447" t="str">
        <f>Y35</f>
        <v xml:space="preserve">       </v>
      </c>
      <c r="AB37" s="448"/>
      <c r="AC37" s="449"/>
      <c r="AD37" s="442"/>
      <c r="AE37" s="433">
        <v>2</v>
      </c>
      <c r="AF37" s="86" t="s">
        <v>556</v>
      </c>
      <c r="AG37" s="196"/>
      <c r="AH37" s="433"/>
      <c r="AI37" s="427" t="s">
        <v>399</v>
      </c>
      <c r="AJ37" s="428">
        <f>R50</f>
        <v>0</v>
      </c>
      <c r="AK37" s="428">
        <f>S50</f>
        <v>0</v>
      </c>
      <c r="AL37" s="428">
        <f>T50</f>
        <v>0</v>
      </c>
      <c r="AM37" s="428">
        <f>U50</f>
        <v>0</v>
      </c>
      <c r="AN37" s="430">
        <f t="shared" si="4"/>
        <v>0</v>
      </c>
      <c r="AP37" s="86" t="s">
        <v>7</v>
      </c>
      <c r="AQ37" s="431">
        <f>G49</f>
        <v>0</v>
      </c>
      <c r="AR37" s="112"/>
      <c r="AS37" s="112"/>
      <c r="AT37" s="112"/>
      <c r="AU37" s="430">
        <f t="shared" si="5"/>
        <v>0</v>
      </c>
      <c r="AW37" s="112">
        <v>13</v>
      </c>
      <c r="AX37" s="535" t="s">
        <v>557</v>
      </c>
      <c r="BC37" s="109" t="s">
        <v>558</v>
      </c>
      <c r="BD37" s="309"/>
      <c r="BE37" s="111" t="s">
        <v>444</v>
      </c>
      <c r="BF37" s="109" t="s">
        <v>217</v>
      </c>
      <c r="BG37" s="309" t="s">
        <v>374</v>
      </c>
    </row>
    <row r="38" spans="1:59" ht="12" customHeight="1">
      <c r="A38" s="686"/>
      <c r="B38" s="462" t="s">
        <v>416</v>
      </c>
      <c r="C38" s="463"/>
      <c r="D38" s="464"/>
      <c r="E38" s="465">
        <f t="shared" ref="E38:E43" si="6">C38+D38</f>
        <v>0</v>
      </c>
      <c r="F38" s="466" t="s">
        <v>417</v>
      </c>
      <c r="G38" s="467" t="e">
        <f>G8</f>
        <v>#REF!</v>
      </c>
      <c r="H38" s="468" t="e">
        <f>H8</f>
        <v>#REF!</v>
      </c>
      <c r="I38" s="469"/>
      <c r="J38" s="565"/>
      <c r="K38" s="714"/>
      <c r="L38" s="715"/>
      <c r="M38" s="716"/>
      <c r="O38" s="716"/>
      <c r="P38" s="716"/>
      <c r="Q38" s="717" t="s">
        <v>418</v>
      </c>
      <c r="R38" s="714"/>
      <c r="S38" s="540"/>
      <c r="T38" s="540"/>
      <c r="U38" s="716"/>
      <c r="V38" s="716"/>
      <c r="W38" s="716"/>
      <c r="X38" s="718"/>
      <c r="Y38" s="450" t="str">
        <f>MID(W37,1,5)</f>
        <v>07831</v>
      </c>
      <c r="Z38" s="4773" t="s">
        <v>419</v>
      </c>
      <c r="AA38" s="4774"/>
      <c r="AB38" s="4774"/>
      <c r="AC38" s="4775"/>
      <c r="AD38" s="442"/>
      <c r="AE38" s="433">
        <v>3</v>
      </c>
      <c r="AF38" s="86" t="s">
        <v>559</v>
      </c>
      <c r="AG38" s="196"/>
      <c r="AH38" s="433"/>
      <c r="AI38" s="427" t="s">
        <v>403</v>
      </c>
      <c r="AJ38" s="428">
        <f>R50</f>
        <v>0</v>
      </c>
      <c r="AK38" s="428">
        <f>S50</f>
        <v>0</v>
      </c>
      <c r="AL38" s="428">
        <f>T50</f>
        <v>0</v>
      </c>
      <c r="AM38" s="428">
        <f>U50</f>
        <v>0</v>
      </c>
      <c r="AN38" s="430">
        <f t="shared" si="4"/>
        <v>0</v>
      </c>
      <c r="AP38" s="86" t="s">
        <v>393</v>
      </c>
      <c r="AQ38" s="431">
        <f>G49</f>
        <v>0</v>
      </c>
      <c r="AR38" s="112"/>
      <c r="AS38" s="112"/>
      <c r="AT38" s="112"/>
      <c r="AU38" s="430">
        <f t="shared" si="5"/>
        <v>0</v>
      </c>
      <c r="AW38" s="112">
        <v>14</v>
      </c>
      <c r="AX38" s="535" t="s">
        <v>560</v>
      </c>
      <c r="BC38" s="566" t="s">
        <v>561</v>
      </c>
      <c r="BD38" s="567" t="s">
        <v>562</v>
      </c>
      <c r="BE38" s="430">
        <v>0</v>
      </c>
      <c r="BF38" s="430">
        <v>0</v>
      </c>
      <c r="BG38" s="430">
        <v>0</v>
      </c>
    </row>
    <row r="39" spans="1:59" ht="12" customHeight="1">
      <c r="A39" s="686"/>
      <c r="B39" s="470" t="s">
        <v>423</v>
      </c>
      <c r="C39" s="463"/>
      <c r="D39" s="464"/>
      <c r="E39" s="465">
        <f t="shared" si="6"/>
        <v>0</v>
      </c>
      <c r="F39" s="692" t="s">
        <v>3</v>
      </c>
      <c r="G39" s="463" t="str">
        <f>'VISITA DE INSP.'!B18</f>
        <v>1º</v>
      </c>
      <c r="H39" s="471" t="s">
        <v>406</v>
      </c>
      <c r="I39" s="480"/>
      <c r="J39" s="568">
        <f>COUNTA(I39,I69,I99,I129,I159,I189,I219,I249,I279,I309)</f>
        <v>1</v>
      </c>
      <c r="K39" s="522" t="s">
        <v>424</v>
      </c>
      <c r="L39" s="539"/>
      <c r="M39" s="539"/>
      <c r="N39" s="539"/>
      <c r="O39" s="712" t="str">
        <f>'VISITA DE INSP.'!AU18</f>
        <v>16-01-2008</v>
      </c>
      <c r="P39" s="719"/>
      <c r="Q39" s="720"/>
      <c r="R39" s="714"/>
      <c r="S39" s="714"/>
      <c r="T39" s="714"/>
      <c r="U39" s="574" t="s">
        <v>425</v>
      </c>
      <c r="V39" s="721">
        <f>'VISITA DE INSP.'!AT18</f>
        <v>10</v>
      </c>
      <c r="W39" s="722" t="str">
        <f>Y39</f>
        <v>BASE</v>
      </c>
      <c r="X39" s="723"/>
      <c r="Y39" s="473" t="str">
        <f>VLOOKUP(V39,AH2:AI14,2)</f>
        <v>BASE</v>
      </c>
      <c r="Z39" s="446" t="s">
        <v>396</v>
      </c>
      <c r="AA39" s="447" t="str">
        <f>J37</f>
        <v>AAEA820728  25</v>
      </c>
      <c r="AB39" s="448"/>
      <c r="AC39" s="449"/>
      <c r="AD39" s="442"/>
      <c r="AE39" s="433">
        <v>4</v>
      </c>
      <c r="AF39" s="86" t="s">
        <v>55</v>
      </c>
      <c r="AG39" s="196"/>
      <c r="AH39" s="433"/>
      <c r="AI39" s="427" t="s">
        <v>414</v>
      </c>
      <c r="AJ39" s="428">
        <f>R50</f>
        <v>0</v>
      </c>
      <c r="AK39" s="428">
        <f>S50</f>
        <v>0</v>
      </c>
      <c r="AL39" s="428">
        <f>T50</f>
        <v>0</v>
      </c>
      <c r="AM39" s="428">
        <f>U50</f>
        <v>0</v>
      </c>
      <c r="AN39" s="430">
        <f>COUNTIF(AJ39:AM39,AI39)</f>
        <v>0</v>
      </c>
      <c r="AP39" s="86" t="s">
        <v>399</v>
      </c>
      <c r="AQ39" s="431">
        <f>G49</f>
        <v>0</v>
      </c>
      <c r="AR39" s="112"/>
      <c r="AS39" s="112"/>
      <c r="AT39" s="112"/>
      <c r="AU39" s="430">
        <f t="shared" si="5"/>
        <v>0</v>
      </c>
      <c r="AW39" s="112">
        <v>15</v>
      </c>
      <c r="AX39" s="535" t="s">
        <v>563</v>
      </c>
      <c r="BC39" s="566" t="s">
        <v>564</v>
      </c>
      <c r="BD39" s="567" t="s">
        <v>565</v>
      </c>
      <c r="BE39" s="111">
        <v>1</v>
      </c>
      <c r="BF39" s="525" t="s">
        <v>566</v>
      </c>
      <c r="BG39" s="309" t="s">
        <v>567</v>
      </c>
    </row>
    <row r="40" spans="1:59" ht="12" customHeight="1">
      <c r="A40" s="686"/>
      <c r="B40" s="470" t="s">
        <v>408</v>
      </c>
      <c r="C40" s="463"/>
      <c r="D40" s="464"/>
      <c r="E40" s="465">
        <f t="shared" si="6"/>
        <v>0</v>
      </c>
      <c r="F40" s="692" t="s">
        <v>4</v>
      </c>
      <c r="G40" s="463" t="str">
        <f>'VISITA DE INSP.'!C18</f>
        <v>A</v>
      </c>
      <c r="H40" s="475" t="s">
        <v>407</v>
      </c>
      <c r="I40" s="623" t="s">
        <v>78</v>
      </c>
      <c r="J40" s="568">
        <f>COUNTA(I40,I70,I100,I130,I160,I190,I220,I250,I280,I310)</f>
        <v>1</v>
      </c>
      <c r="K40" s="717"/>
      <c r="L40" s="717"/>
      <c r="M40" s="539"/>
      <c r="N40" s="714"/>
      <c r="O40" s="716"/>
      <c r="P40" s="716"/>
      <c r="Q40" s="716"/>
      <c r="R40" s="539"/>
      <c r="S40" s="539"/>
      <c r="T40" s="714"/>
      <c r="U40" s="714"/>
      <c r="V40" s="724"/>
      <c r="W40" s="724"/>
      <c r="X40" s="716"/>
      <c r="Y40" s="476"/>
      <c r="Z40" s="4773" t="s">
        <v>429</v>
      </c>
      <c r="AA40" s="4774"/>
      <c r="AB40" s="4774"/>
      <c r="AC40" s="4775"/>
      <c r="AD40" s="442"/>
      <c r="AE40" s="433">
        <v>5</v>
      </c>
      <c r="AF40" s="86" t="s">
        <v>56</v>
      </c>
      <c r="AG40" s="196"/>
      <c r="AH40" s="433"/>
      <c r="AI40" s="427" t="s">
        <v>406</v>
      </c>
      <c r="AJ40" s="428">
        <f>R50</f>
        <v>0</v>
      </c>
      <c r="AK40" s="428">
        <f>S50</f>
        <v>0</v>
      </c>
      <c r="AL40" s="428">
        <f>T50</f>
        <v>0</v>
      </c>
      <c r="AM40" s="428">
        <f>U50</f>
        <v>0</v>
      </c>
      <c r="AN40" s="430">
        <f t="shared" si="4"/>
        <v>0</v>
      </c>
      <c r="AP40" s="86" t="s">
        <v>228</v>
      </c>
      <c r="AQ40" s="431">
        <f>G49</f>
        <v>0</v>
      </c>
      <c r="AR40" s="112"/>
      <c r="AS40" s="112"/>
      <c r="AT40" s="112"/>
      <c r="AU40" s="430">
        <f t="shared" si="5"/>
        <v>0</v>
      </c>
      <c r="AW40" s="433"/>
      <c r="AX40" s="424"/>
      <c r="BC40" s="566" t="s">
        <v>568</v>
      </c>
      <c r="BD40" s="567" t="s">
        <v>569</v>
      </c>
      <c r="BE40" s="111">
        <v>2</v>
      </c>
      <c r="BF40" s="525" t="s">
        <v>570</v>
      </c>
      <c r="BG40" s="309" t="s">
        <v>571</v>
      </c>
    </row>
    <row r="41" spans="1:59" ht="12" customHeight="1">
      <c r="A41" s="686"/>
      <c r="B41" s="470" t="s">
        <v>434</v>
      </c>
      <c r="C41" s="463"/>
      <c r="D41" s="464"/>
      <c r="E41" s="465">
        <f t="shared" si="6"/>
        <v>0</v>
      </c>
      <c r="F41" s="4776" t="s">
        <v>435</v>
      </c>
      <c r="G41" s="4777"/>
      <c r="H41" s="4777" t="s">
        <v>436</v>
      </c>
      <c r="I41" s="4778"/>
      <c r="J41" s="568">
        <f>SUM(J39,J40)</f>
        <v>2</v>
      </c>
      <c r="K41" s="522" t="s">
        <v>437</v>
      </c>
      <c r="L41" s="539"/>
      <c r="M41" s="725"/>
      <c r="N41" s="725"/>
      <c r="O41" s="725"/>
      <c r="P41" s="725"/>
      <c r="Q41" s="725"/>
      <c r="R41" s="726"/>
      <c r="S41" s="725"/>
      <c r="T41" s="727"/>
      <c r="U41" s="725"/>
      <c r="V41" s="574" t="s">
        <v>438</v>
      </c>
      <c r="W41" s="728"/>
      <c r="X41" s="723"/>
      <c r="Y41" s="445" t="str">
        <f>CONCATENATE(O54,S41)</f>
        <v xml:space="preserve">  COL-</v>
      </c>
      <c r="Z41" s="446" t="s">
        <v>396</v>
      </c>
      <c r="AA41" s="447" t="str">
        <f>Y37</f>
        <v>11007831200.0  078312 E028100.0230501</v>
      </c>
      <c r="AB41" s="448"/>
      <c r="AC41" s="449"/>
      <c r="AD41" s="442"/>
      <c r="AE41" s="433">
        <v>9</v>
      </c>
      <c r="AF41" s="86" t="s">
        <v>447</v>
      </c>
      <c r="AG41" s="196"/>
      <c r="AH41" s="433"/>
      <c r="AI41" s="427" t="s">
        <v>8</v>
      </c>
      <c r="AJ41" s="428">
        <f>R50</f>
        <v>0</v>
      </c>
      <c r="AK41" s="428">
        <f>S50</f>
        <v>0</v>
      </c>
      <c r="AL41" s="428">
        <f>T50</f>
        <v>0</v>
      </c>
      <c r="AM41" s="428">
        <f>U50</f>
        <v>0</v>
      </c>
      <c r="AN41" s="430">
        <f t="shared" si="4"/>
        <v>0</v>
      </c>
      <c r="AP41" s="86" t="s">
        <v>230</v>
      </c>
      <c r="AQ41" s="431">
        <f>G49</f>
        <v>0</v>
      </c>
      <c r="AR41" s="112"/>
      <c r="AS41" s="112"/>
      <c r="AT41" s="112"/>
      <c r="AU41" s="430">
        <f t="shared" si="5"/>
        <v>0</v>
      </c>
      <c r="AW41" s="433"/>
      <c r="AX41" s="424"/>
      <c r="BC41" s="566" t="s">
        <v>572</v>
      </c>
      <c r="BD41" s="567" t="s">
        <v>573</v>
      </c>
      <c r="BE41" s="111">
        <v>3</v>
      </c>
      <c r="BF41" s="525" t="s">
        <v>574</v>
      </c>
      <c r="BG41" s="309" t="s">
        <v>404</v>
      </c>
    </row>
    <row r="42" spans="1:59" ht="12" customHeight="1">
      <c r="A42" s="686"/>
      <c r="B42" s="470" t="s">
        <v>443</v>
      </c>
      <c r="C42" s="463"/>
      <c r="D42" s="464"/>
      <c r="E42" s="465">
        <f t="shared" si="6"/>
        <v>0</v>
      </c>
      <c r="F42" s="478" t="s">
        <v>444</v>
      </c>
      <c r="G42" s="624">
        <v>2</v>
      </c>
      <c r="H42" s="479" t="e">
        <f>H12</f>
        <v>#REF!</v>
      </c>
      <c r="I42" s="480" t="e">
        <f>H42+1</f>
        <v>#REF!</v>
      </c>
      <c r="J42" s="569" t="str">
        <f>CONCATENATE(J54,M41,K54,N41,L54,O41,M54,P41,N54,Q41,O54,S41)</f>
        <v>RG-  SM-  MZA-  LTE-  CALLE-  COL-</v>
      </c>
      <c r="K42" s="729"/>
      <c r="L42" s="539"/>
      <c r="M42" s="492"/>
      <c r="N42" s="492"/>
      <c r="O42" s="492"/>
      <c r="P42" s="492"/>
      <c r="Q42" s="492"/>
      <c r="R42" s="730"/>
      <c r="S42" s="731"/>
      <c r="T42" s="731"/>
      <c r="U42" s="731"/>
      <c r="V42" s="533"/>
      <c r="W42" s="732"/>
      <c r="X42" s="733"/>
      <c r="Y42" s="450" t="str">
        <f>CONCATENATE(K52,P54,U41)</f>
        <v xml:space="preserve">    C.P.-</v>
      </c>
      <c r="Z42" s="4779" t="s">
        <v>445</v>
      </c>
      <c r="AA42" s="4780"/>
      <c r="AB42" s="4780"/>
      <c r="AC42" s="4781"/>
      <c r="AD42" s="442"/>
      <c r="AE42" s="433">
        <v>10</v>
      </c>
      <c r="AF42" s="86" t="s">
        <v>575</v>
      </c>
      <c r="AH42" s="433"/>
      <c r="AI42" s="427" t="s">
        <v>432</v>
      </c>
      <c r="AJ42" s="428">
        <f>R50</f>
        <v>0</v>
      </c>
      <c r="AK42" s="428">
        <f>S50</f>
        <v>0</v>
      </c>
      <c r="AL42" s="428">
        <f>T50</f>
        <v>0</v>
      </c>
      <c r="AM42" s="428">
        <f>U50</f>
        <v>0</v>
      </c>
      <c r="AN42" s="430">
        <f t="shared" si="4"/>
        <v>0</v>
      </c>
      <c r="AP42" s="86" t="s">
        <v>404</v>
      </c>
      <c r="AQ42" s="431">
        <f>G49</f>
        <v>0</v>
      </c>
      <c r="AR42" s="112"/>
      <c r="AS42" s="112"/>
      <c r="AT42" s="112"/>
      <c r="AU42" s="430">
        <f t="shared" si="5"/>
        <v>0</v>
      </c>
      <c r="AW42" s="433"/>
      <c r="AX42" s="424"/>
      <c r="BC42" s="566" t="s">
        <v>576</v>
      </c>
      <c r="BD42" s="567" t="s">
        <v>577</v>
      </c>
      <c r="BE42" s="111">
        <v>4</v>
      </c>
      <c r="BF42" s="570" t="s">
        <v>578</v>
      </c>
      <c r="BG42" s="571" t="s">
        <v>579</v>
      </c>
    </row>
    <row r="43" spans="1:59" ht="12" customHeight="1">
      <c r="A43" s="686"/>
      <c r="B43" s="470" t="s">
        <v>450</v>
      </c>
      <c r="C43" s="463"/>
      <c r="D43" s="464"/>
      <c r="E43" s="465">
        <f t="shared" si="6"/>
        <v>0</v>
      </c>
      <c r="F43" s="692" t="s">
        <v>373</v>
      </c>
      <c r="G43" s="4782" t="s">
        <v>451</v>
      </c>
      <c r="H43" s="4777"/>
      <c r="I43" s="4778"/>
      <c r="J43" s="565" t="str">
        <f>CONCATENATE(O54,S41)</f>
        <v xml:space="preserve">  COL-</v>
      </c>
      <c r="K43" s="522" t="s">
        <v>452</v>
      </c>
      <c r="L43" s="539"/>
      <c r="M43" s="539"/>
      <c r="N43" s="572" t="e">
        <f>#REF!</f>
        <v>#REF!</v>
      </c>
      <c r="O43" s="573"/>
      <c r="P43" s="573"/>
      <c r="Q43" s="573"/>
      <c r="R43" s="573"/>
      <c r="S43" s="574" t="s">
        <v>453</v>
      </c>
      <c r="T43" s="572" t="e">
        <f>#REF!</f>
        <v>#REF!</v>
      </c>
      <c r="U43" s="575"/>
      <c r="V43" s="574" t="s">
        <v>454</v>
      </c>
      <c r="W43" s="576" t="e">
        <f>#REF!</f>
        <v>#REF!</v>
      </c>
      <c r="X43" s="575"/>
      <c r="Y43" s="445"/>
      <c r="Z43" s="446" t="s">
        <v>396</v>
      </c>
      <c r="AA43" s="482" t="str">
        <f>O39</f>
        <v>16-01-2008</v>
      </c>
      <c r="AB43" s="448"/>
      <c r="AC43" s="483"/>
      <c r="AD43" s="442"/>
      <c r="AE43" s="433">
        <v>11</v>
      </c>
      <c r="AF43" s="86" t="s">
        <v>580</v>
      </c>
      <c r="AG43" s="196"/>
      <c r="AH43" s="433"/>
      <c r="AI43" s="427" t="s">
        <v>442</v>
      </c>
      <c r="AJ43" s="428">
        <f>R50</f>
        <v>0</v>
      </c>
      <c r="AK43" s="428">
        <f>S50</f>
        <v>0</v>
      </c>
      <c r="AL43" s="428">
        <f>T50</f>
        <v>0</v>
      </c>
      <c r="AM43" s="428">
        <f>U50</f>
        <v>0</v>
      </c>
      <c r="AN43" s="430">
        <f t="shared" si="4"/>
        <v>0</v>
      </c>
      <c r="AP43" s="86" t="s">
        <v>7</v>
      </c>
      <c r="AQ43" s="431">
        <f>G49</f>
        <v>0</v>
      </c>
      <c r="AR43" s="112"/>
      <c r="AS43" s="112"/>
      <c r="AT43" s="112"/>
      <c r="AU43" s="430">
        <f t="shared" si="5"/>
        <v>0</v>
      </c>
      <c r="AW43" s="433"/>
      <c r="AX43" s="424"/>
      <c r="BC43" s="566" t="s">
        <v>581</v>
      </c>
      <c r="BD43" s="567" t="s">
        <v>582</v>
      </c>
      <c r="BE43" s="111">
        <v>5</v>
      </c>
      <c r="BF43" s="570" t="s">
        <v>583</v>
      </c>
      <c r="BG43" s="571" t="s">
        <v>584</v>
      </c>
    </row>
    <row r="44" spans="1:59" ht="12" customHeight="1" thickBot="1">
      <c r="A44" s="686"/>
      <c r="B44" s="484" t="s">
        <v>456</v>
      </c>
      <c r="C44" s="485"/>
      <c r="D44" s="486"/>
      <c r="E44" s="465">
        <f>E42-E43</f>
        <v>0</v>
      </c>
      <c r="F44" s="577">
        <f>F14</f>
        <v>1</v>
      </c>
      <c r="G44" s="578" t="e">
        <f>G14</f>
        <v>#REF!</v>
      </c>
      <c r="H44" s="578" t="e">
        <f>H14</f>
        <v>#REF!</v>
      </c>
      <c r="I44" s="579" t="e">
        <f>I14</f>
        <v>#REF!</v>
      </c>
      <c r="J44" s="580" t="str">
        <f>CONCATENATE(,P54,U41)</f>
        <v xml:space="preserve">  C.P.-</v>
      </c>
      <c r="K44" s="490"/>
      <c r="L44" s="491"/>
      <c r="M44" s="492"/>
      <c r="N44" s="492"/>
      <c r="O44" s="492"/>
      <c r="P44" s="492"/>
      <c r="Q44" s="492"/>
      <c r="R44" s="492"/>
      <c r="S44" s="492"/>
      <c r="T44" s="493"/>
      <c r="V44" s="494"/>
      <c r="W44" s="495"/>
      <c r="X44" s="496"/>
      <c r="Y44" s="497"/>
      <c r="Z44" s="4773" t="s">
        <v>457</v>
      </c>
      <c r="AA44" s="4774"/>
      <c r="AB44" s="4774"/>
      <c r="AC44" s="4775"/>
      <c r="AD44" s="442"/>
      <c r="AE44" s="581">
        <v>0</v>
      </c>
      <c r="AF44" s="525">
        <v>0</v>
      </c>
      <c r="AG44" s="433" t="s">
        <v>379</v>
      </c>
      <c r="AH44" s="426" t="s">
        <v>585</v>
      </c>
      <c r="AI44" s="427" t="s">
        <v>449</v>
      </c>
      <c r="AJ44" s="428">
        <f>R50</f>
        <v>0</v>
      </c>
      <c r="AK44" s="428">
        <f>S50</f>
        <v>0</v>
      </c>
      <c r="AL44" s="428">
        <f>T50</f>
        <v>0</v>
      </c>
      <c r="AM44" s="428">
        <f>U50</f>
        <v>0</v>
      </c>
      <c r="AN44" s="430">
        <f t="shared" si="4"/>
        <v>0</v>
      </c>
      <c r="AP44" s="86" t="s">
        <v>393</v>
      </c>
      <c r="AQ44" s="431">
        <f>G49</f>
        <v>0</v>
      </c>
      <c r="AR44" s="112"/>
      <c r="AS44" s="112"/>
      <c r="AT44" s="112"/>
      <c r="AU44" s="430">
        <f t="shared" si="5"/>
        <v>0</v>
      </c>
      <c r="AW44" s="433"/>
      <c r="AX44" s="424"/>
      <c r="BC44" s="566" t="s">
        <v>586</v>
      </c>
      <c r="BD44" s="567" t="s">
        <v>587</v>
      </c>
      <c r="BE44" s="111">
        <v>6</v>
      </c>
      <c r="BF44" s="570" t="s">
        <v>588</v>
      </c>
      <c r="BG44" s="571" t="s">
        <v>589</v>
      </c>
    </row>
    <row r="45" spans="1:59" ht="12" customHeight="1" thickTop="1" thickBot="1">
      <c r="A45" s="686"/>
      <c r="B45" s="4783" t="s">
        <v>460</v>
      </c>
      <c r="C45" s="4784"/>
      <c r="D45" s="4784"/>
      <c r="E45" s="4785"/>
      <c r="F45" s="498" t="s">
        <v>396</v>
      </c>
      <c r="G45" s="499" t="str">
        <f>G15</f>
        <v>CERVANTES BENITEZ * ANTONIA</v>
      </c>
      <c r="H45" s="500"/>
      <c r="I45" s="500"/>
      <c r="J45" s="501"/>
      <c r="K45" s="501"/>
      <c r="L45" s="501"/>
      <c r="M45" s="504"/>
      <c r="N45" s="4783" t="s">
        <v>461</v>
      </c>
      <c r="O45" s="4786"/>
      <c r="P45" s="4786"/>
      <c r="Q45" s="4787"/>
      <c r="R45" s="625" t="s">
        <v>7</v>
      </c>
      <c r="S45" s="582" t="str">
        <f>VLOOKUP(R45,AE1:AF16,2,1)</f>
        <v>DOCENTE</v>
      </c>
      <c r="T45" s="501"/>
      <c r="U45" s="501"/>
      <c r="V45" s="501"/>
      <c r="W45" s="501"/>
      <c r="X45" s="501"/>
      <c r="Y45" s="504"/>
      <c r="Z45" s="446" t="s">
        <v>396</v>
      </c>
      <c r="AA45" s="461" t="str">
        <f>Y39</f>
        <v>BASE</v>
      </c>
      <c r="AB45" s="448"/>
      <c r="AC45" s="505">
        <f>V39</f>
        <v>10</v>
      </c>
      <c r="AD45" s="442"/>
      <c r="AE45" s="433" t="s">
        <v>228</v>
      </c>
      <c r="AF45" s="86" t="s">
        <v>590</v>
      </c>
      <c r="AG45" s="196"/>
      <c r="AH45" s="433"/>
      <c r="AI45" s="427" t="s">
        <v>407</v>
      </c>
      <c r="AJ45" s="428">
        <f>R50</f>
        <v>0</v>
      </c>
      <c r="AK45" s="428">
        <f>S50</f>
        <v>0</v>
      </c>
      <c r="AL45" s="428">
        <f>T50</f>
        <v>0</v>
      </c>
      <c r="AM45" s="428">
        <f>U50</f>
        <v>0</v>
      </c>
      <c r="AN45" s="430">
        <f t="shared" si="4"/>
        <v>0</v>
      </c>
      <c r="AP45" s="86" t="s">
        <v>399</v>
      </c>
      <c r="AQ45" s="431">
        <f>G49</f>
        <v>0</v>
      </c>
      <c r="AR45" s="112"/>
      <c r="AS45" s="112"/>
      <c r="AT45" s="112"/>
      <c r="AU45" s="430">
        <f t="shared" si="5"/>
        <v>0</v>
      </c>
      <c r="AW45" s="433"/>
      <c r="AX45" s="424"/>
      <c r="BC45" s="566" t="s">
        <v>591</v>
      </c>
      <c r="BD45" s="567" t="s">
        <v>592</v>
      </c>
      <c r="BE45" s="111">
        <v>7</v>
      </c>
      <c r="BF45" s="570" t="s">
        <v>593</v>
      </c>
      <c r="BG45" s="571" t="s">
        <v>594</v>
      </c>
    </row>
    <row r="46" spans="1:59" ht="12" customHeight="1" thickTop="1" thickBot="1">
      <c r="A46" s="686"/>
      <c r="B46" s="4783" t="s">
        <v>465</v>
      </c>
      <c r="C46" s="4786"/>
      <c r="D46" s="4786"/>
      <c r="E46" s="4787"/>
      <c r="F46" s="506" t="s">
        <v>396</v>
      </c>
      <c r="G46" s="499" t="str">
        <f>G16</f>
        <v>JESUS MARTIN RICALDE CASTRO</v>
      </c>
      <c r="H46" s="501"/>
      <c r="I46" s="501"/>
      <c r="J46" s="501"/>
      <c r="K46" s="501"/>
      <c r="L46" s="501"/>
      <c r="M46" s="504"/>
      <c r="N46" s="4783" t="s">
        <v>466</v>
      </c>
      <c r="O46" s="4786"/>
      <c r="P46" s="4786"/>
      <c r="Q46" s="4787"/>
      <c r="R46" s="625">
        <v>1</v>
      </c>
      <c r="S46" s="582" t="str">
        <f>VLOOKUP(R46,AE17:AF22,2,2)</f>
        <v>BASE</v>
      </c>
      <c r="T46" s="501"/>
      <c r="U46" s="501"/>
      <c r="V46" s="501"/>
      <c r="W46" s="501"/>
      <c r="X46" s="501"/>
      <c r="Y46" s="507" t="str">
        <f>CONCATENATE(M42,M41,N42,N41,O42,O41,P42,P41)</f>
        <v/>
      </c>
      <c r="Z46" s="4773" t="s">
        <v>467</v>
      </c>
      <c r="AA46" s="4774"/>
      <c r="AB46" s="4774"/>
      <c r="AC46" s="4775"/>
      <c r="AD46" s="442"/>
      <c r="AE46" s="433" t="s">
        <v>230</v>
      </c>
      <c r="AF46" s="86" t="s">
        <v>595</v>
      </c>
      <c r="AG46" s="196"/>
      <c r="AH46" s="433"/>
      <c r="AI46" s="427" t="s">
        <v>14</v>
      </c>
      <c r="AJ46" s="428">
        <f>R50</f>
        <v>0</v>
      </c>
      <c r="AK46" s="428">
        <f>S50</f>
        <v>0</v>
      </c>
      <c r="AL46" s="428">
        <f>T50</f>
        <v>0</v>
      </c>
      <c r="AM46" s="428">
        <f>U50</f>
        <v>0</v>
      </c>
      <c r="AN46" s="430">
        <f>COUNTIF(AJ46:AM46,AI46)</f>
        <v>0</v>
      </c>
      <c r="AP46" s="86" t="s">
        <v>228</v>
      </c>
      <c r="AQ46" s="431">
        <f>G49</f>
        <v>0</v>
      </c>
      <c r="AR46" s="112"/>
      <c r="AS46" s="112"/>
      <c r="AT46" s="112"/>
      <c r="AU46" s="430">
        <f t="shared" si="5"/>
        <v>0</v>
      </c>
      <c r="AW46" s="433"/>
      <c r="AX46" s="424"/>
      <c r="BC46" s="566" t="s">
        <v>596</v>
      </c>
      <c r="BD46" s="567" t="s">
        <v>597</v>
      </c>
      <c r="BE46" s="111">
        <v>8</v>
      </c>
      <c r="BF46" s="570" t="s">
        <v>598</v>
      </c>
      <c r="BG46" s="571" t="s">
        <v>599</v>
      </c>
    </row>
    <row r="47" spans="1:59" ht="12" customHeight="1" thickTop="1" thickBot="1">
      <c r="A47" s="686"/>
      <c r="B47" s="4788" t="s">
        <v>471</v>
      </c>
      <c r="C47" s="4789"/>
      <c r="D47" s="4789"/>
      <c r="E47" s="4790"/>
      <c r="F47" s="506" t="s">
        <v>396</v>
      </c>
      <c r="G47" s="499" t="e">
        <f>G17</f>
        <v>#REF!</v>
      </c>
      <c r="H47" s="501"/>
      <c r="I47" s="501"/>
      <c r="J47" s="501"/>
      <c r="K47" s="501"/>
      <c r="L47" s="501"/>
      <c r="M47" s="501"/>
      <c r="N47" s="4783" t="s">
        <v>472</v>
      </c>
      <c r="O47" s="4786"/>
      <c r="P47" s="4786"/>
      <c r="Q47" s="4787"/>
      <c r="R47" s="625">
        <v>4</v>
      </c>
      <c r="S47" s="582" t="str">
        <f>VLOOKUP(R47,AE25:AF34,2,2)</f>
        <v>ALTA DEFINITIVA. (Si la persona se da de alta en al escuela)</v>
      </c>
      <c r="T47" s="501"/>
      <c r="U47" s="501"/>
      <c r="V47" s="501"/>
      <c r="W47" s="501"/>
      <c r="X47" s="501"/>
      <c r="Y47" s="504"/>
      <c r="Z47" s="446" t="s">
        <v>396</v>
      </c>
      <c r="AA47" s="447" t="str">
        <f>J42</f>
        <v>RG-  SM-  MZA-  LTE-  CALLE-  COL-</v>
      </c>
      <c r="AB47" s="448"/>
      <c r="AC47" s="449"/>
      <c r="AD47" s="442" t="s">
        <v>389</v>
      </c>
      <c r="AE47" s="433" t="s">
        <v>7</v>
      </c>
      <c r="AF47" s="86" t="s">
        <v>600</v>
      </c>
      <c r="AG47" s="196"/>
      <c r="AH47" s="433"/>
      <c r="AI47" s="427" t="s">
        <v>464</v>
      </c>
      <c r="AJ47" s="428">
        <f>R50</f>
        <v>0</v>
      </c>
      <c r="AK47" s="428">
        <f>S50</f>
        <v>0</v>
      </c>
      <c r="AL47" s="428">
        <f>T50</f>
        <v>0</v>
      </c>
      <c r="AM47" s="428">
        <f>U50</f>
        <v>0</v>
      </c>
      <c r="AN47" s="430">
        <f t="shared" si="4"/>
        <v>0</v>
      </c>
      <c r="AP47" s="86" t="s">
        <v>230</v>
      </c>
      <c r="AQ47" s="431">
        <f>G49</f>
        <v>0</v>
      </c>
      <c r="AR47" s="112"/>
      <c r="AS47" s="112"/>
      <c r="AT47" s="112"/>
      <c r="AU47" s="430">
        <f t="shared" si="5"/>
        <v>0</v>
      </c>
      <c r="AW47" s="433"/>
      <c r="AX47" s="424"/>
      <c r="BC47" s="583"/>
      <c r="BD47" s="309"/>
      <c r="BE47" s="111">
        <v>9</v>
      </c>
      <c r="BF47" s="570" t="s">
        <v>601</v>
      </c>
      <c r="BG47" s="571" t="s">
        <v>602</v>
      </c>
    </row>
    <row r="48" spans="1:59" ht="12" customHeight="1" thickTop="1" thickBot="1">
      <c r="A48" s="686"/>
      <c r="B48" s="4788" t="s">
        <v>475</v>
      </c>
      <c r="C48" s="4789"/>
      <c r="D48" s="4789"/>
      <c r="E48" s="4790"/>
      <c r="F48" s="508"/>
      <c r="G48" s="499"/>
      <c r="H48" s="501"/>
      <c r="I48" s="501"/>
      <c r="J48" s="501"/>
      <c r="K48" s="501"/>
      <c r="L48" s="501"/>
      <c r="M48" s="501"/>
      <c r="N48" s="4783" t="s">
        <v>476</v>
      </c>
      <c r="O48" s="4786"/>
      <c r="P48" s="4786"/>
      <c r="Q48" s="4787"/>
      <c r="R48" s="625">
        <v>2</v>
      </c>
      <c r="S48" s="582" t="str">
        <f>VLOOKUP(R48,AE35:AF43,2,2)</f>
        <v>FEDERAL TRANFERIDA  (18 de mayo de 2005 )</v>
      </c>
      <c r="T48" s="501"/>
      <c r="U48" s="501"/>
      <c r="V48" s="501"/>
      <c r="W48" s="501"/>
      <c r="X48" s="501"/>
      <c r="Y48" s="504"/>
      <c r="Z48" s="4773" t="s">
        <v>477</v>
      </c>
      <c r="AA48" s="4774"/>
      <c r="AB48" s="4774"/>
      <c r="AC48" s="4775"/>
      <c r="AD48" s="442"/>
      <c r="AE48" s="433" t="s">
        <v>393</v>
      </c>
      <c r="AF48" s="86" t="s">
        <v>603</v>
      </c>
      <c r="AG48" s="196"/>
      <c r="AH48" s="433"/>
      <c r="AI48" s="427" t="s">
        <v>470</v>
      </c>
      <c r="AJ48" s="428">
        <f>R50</f>
        <v>0</v>
      </c>
      <c r="AK48" s="428">
        <f>S50</f>
        <v>0</v>
      </c>
      <c r="AL48" s="428">
        <f>T50</f>
        <v>0</v>
      </c>
      <c r="AM48" s="428">
        <f>U50</f>
        <v>0</v>
      </c>
      <c r="AN48" s="430">
        <f t="shared" si="4"/>
        <v>0</v>
      </c>
      <c r="AP48" s="86" t="s">
        <v>404</v>
      </c>
      <c r="AQ48" s="431">
        <f>G49</f>
        <v>0</v>
      </c>
      <c r="AR48" s="112"/>
      <c r="AS48" s="112"/>
      <c r="AT48" s="112"/>
      <c r="AU48" s="430">
        <f t="shared" si="5"/>
        <v>0</v>
      </c>
      <c r="AW48" s="433"/>
      <c r="AX48" s="424"/>
      <c r="BE48" s="111">
        <v>10</v>
      </c>
      <c r="BF48" s="570" t="s">
        <v>604</v>
      </c>
      <c r="BG48" s="571" t="s">
        <v>605</v>
      </c>
    </row>
    <row r="49" spans="1:59" ht="12" customHeight="1" thickTop="1" thickBot="1">
      <c r="A49" s="686"/>
      <c r="B49" s="4791" t="s">
        <v>479</v>
      </c>
      <c r="C49" s="4792"/>
      <c r="D49" s="4792"/>
      <c r="E49" s="4793"/>
      <c r="F49" s="625"/>
      <c r="G49" s="499">
        <f>VLOOKUP(F49,AE69:AF78,2,1)</f>
        <v>0</v>
      </c>
      <c r="H49" s="501"/>
      <c r="I49" s="501"/>
      <c r="J49" s="501"/>
      <c r="K49" s="501"/>
      <c r="L49" s="584"/>
      <c r="M49" s="585">
        <f>COUNTA(F49,F167,F287,F407)</f>
        <v>3</v>
      </c>
      <c r="N49" s="4783" t="s">
        <v>480</v>
      </c>
      <c r="O49" s="4786"/>
      <c r="P49" s="4786"/>
      <c r="Q49" s="4787"/>
      <c r="R49" s="625" t="s">
        <v>474</v>
      </c>
      <c r="S49" s="582" t="str">
        <f>VLOOKUP(R49,AE44:AF68,2,2)</f>
        <v>LICENCIATURA CON TITULO</v>
      </c>
      <c r="T49" s="501"/>
      <c r="U49" s="501"/>
      <c r="V49" s="501"/>
      <c r="W49" s="501"/>
      <c r="X49" s="501"/>
      <c r="Y49" s="504"/>
      <c r="Z49" s="446" t="s">
        <v>481</v>
      </c>
      <c r="AA49" s="447">
        <f>'VISITA DE INSP.'!AQ18</f>
        <v>0</v>
      </c>
      <c r="AB49" s="448"/>
      <c r="AC49" s="449"/>
      <c r="AD49" s="442"/>
      <c r="AE49" s="433" t="s">
        <v>399</v>
      </c>
      <c r="AF49" s="86" t="s">
        <v>606</v>
      </c>
      <c r="AG49" s="196"/>
      <c r="AH49" s="433"/>
      <c r="AI49" s="427" t="s">
        <v>474</v>
      </c>
      <c r="AJ49" s="428">
        <f>R50</f>
        <v>0</v>
      </c>
      <c r="AK49" s="428">
        <f>S50</f>
        <v>0</v>
      </c>
      <c r="AL49" s="428">
        <f>T50</f>
        <v>0</v>
      </c>
      <c r="AM49" s="428">
        <f>U50</f>
        <v>0</v>
      </c>
      <c r="AN49" s="430">
        <f t="shared" si="4"/>
        <v>0</v>
      </c>
      <c r="AP49" s="86" t="s">
        <v>7</v>
      </c>
      <c r="AQ49" s="431">
        <f>G49</f>
        <v>0</v>
      </c>
      <c r="AR49" s="112"/>
      <c r="AS49" s="112"/>
      <c r="AT49" s="112"/>
      <c r="AU49" s="430">
        <f>COUNTIF(AQ49:AT49,AP49)</f>
        <v>0</v>
      </c>
      <c r="AW49" s="433"/>
      <c r="AX49" s="424"/>
      <c r="BE49" s="111">
        <v>11</v>
      </c>
      <c r="BF49" s="570" t="s">
        <v>607</v>
      </c>
      <c r="BG49" s="571" t="s">
        <v>608</v>
      </c>
    </row>
    <row r="50" spans="1:59" ht="12" customHeight="1" thickTop="1" thickBot="1">
      <c r="A50" s="686"/>
      <c r="B50" s="4791" t="s">
        <v>484</v>
      </c>
      <c r="C50" s="4792"/>
      <c r="D50" s="4792"/>
      <c r="E50" s="4793"/>
      <c r="F50" s="625"/>
      <c r="G50" s="499">
        <f>VLOOKUP(F50,AE79:AF85,2,1)</f>
        <v>0</v>
      </c>
      <c r="H50" s="501"/>
      <c r="I50" s="501"/>
      <c r="J50" s="501"/>
      <c r="K50" s="501"/>
      <c r="L50" s="501"/>
      <c r="M50" s="504"/>
      <c r="N50" s="4783" t="s">
        <v>485</v>
      </c>
      <c r="O50" s="4786"/>
      <c r="P50" s="4786"/>
      <c r="Q50" s="4787"/>
      <c r="R50" s="625"/>
      <c r="S50" s="734"/>
      <c r="T50" s="511"/>
      <c r="U50" s="512"/>
      <c r="V50" s="511"/>
      <c r="W50" s="511"/>
      <c r="X50" s="511"/>
      <c r="Y50" s="513"/>
      <c r="Z50" s="4773" t="s">
        <v>486</v>
      </c>
      <c r="AA50" s="4774"/>
      <c r="AB50" s="4774"/>
      <c r="AC50" s="4775"/>
      <c r="AD50" s="442"/>
      <c r="AE50" s="433" t="s">
        <v>403</v>
      </c>
      <c r="AF50" s="86" t="s">
        <v>609</v>
      </c>
      <c r="AG50" s="86" t="s">
        <v>610</v>
      </c>
      <c r="AH50" s="433"/>
      <c r="AI50" s="427" t="s">
        <v>478</v>
      </c>
      <c r="AJ50" s="428">
        <f>R50</f>
        <v>0</v>
      </c>
      <c r="AK50" s="428">
        <f>S50</f>
        <v>0</v>
      </c>
      <c r="AL50" s="428">
        <f>T50</f>
        <v>0</v>
      </c>
      <c r="AM50" s="428">
        <f>U50</f>
        <v>0</v>
      </c>
      <c r="AN50" s="430">
        <f t="shared" si="4"/>
        <v>0</v>
      </c>
      <c r="AP50" s="86" t="s">
        <v>393</v>
      </c>
      <c r="AQ50" s="431">
        <f>G409</f>
        <v>0</v>
      </c>
      <c r="AR50" s="112"/>
      <c r="AS50" s="112"/>
      <c r="AT50" s="112"/>
      <c r="AU50" s="430">
        <f t="shared" si="5"/>
        <v>0</v>
      </c>
      <c r="BE50" s="111">
        <v>12</v>
      </c>
      <c r="BF50" s="570" t="s">
        <v>611</v>
      </c>
      <c r="BG50" s="571" t="s">
        <v>612</v>
      </c>
    </row>
    <row r="51" spans="1:59" ht="12" hidden="1" customHeight="1" thickTop="1" thickBot="1">
      <c r="A51" s="686"/>
      <c r="B51" s="4811" t="s">
        <v>488</v>
      </c>
      <c r="C51" s="4812"/>
      <c r="D51" s="4812"/>
      <c r="E51" s="4812"/>
      <c r="F51" s="4812"/>
      <c r="G51" s="4812"/>
      <c r="H51" s="4812"/>
      <c r="I51" s="4812"/>
      <c r="J51" s="4794" t="s">
        <v>488</v>
      </c>
      <c r="K51" s="4795"/>
      <c r="L51" s="4795"/>
      <c r="M51" s="4795"/>
      <c r="N51" s="4795"/>
      <c r="O51" s="4795"/>
      <c r="P51" s="4795"/>
      <c r="Q51" s="4796"/>
      <c r="R51" s="4811" t="s">
        <v>488</v>
      </c>
      <c r="S51" s="4812"/>
      <c r="T51" s="4812"/>
      <c r="U51" s="4812"/>
      <c r="V51" s="4812"/>
      <c r="W51" s="4812"/>
      <c r="X51" s="4812"/>
      <c r="Y51" s="4812"/>
      <c r="Z51" s="446" t="s">
        <v>489</v>
      </c>
      <c r="AA51" s="447"/>
      <c r="AB51" s="448"/>
      <c r="AC51" s="449"/>
      <c r="AD51" s="442"/>
      <c r="AE51" s="433" t="s">
        <v>414</v>
      </c>
      <c r="AF51" s="86" t="s">
        <v>613</v>
      </c>
      <c r="AG51" s="86" t="s">
        <v>614</v>
      </c>
      <c r="AH51" s="433"/>
      <c r="AI51" s="427" t="s">
        <v>483</v>
      </c>
      <c r="AJ51" s="428">
        <f>R50</f>
        <v>0</v>
      </c>
      <c r="AK51" s="428">
        <f>S50</f>
        <v>0</v>
      </c>
      <c r="AL51" s="428">
        <f>T50</f>
        <v>0</v>
      </c>
      <c r="AM51" s="428">
        <f>U50</f>
        <v>0</v>
      </c>
      <c r="AN51" s="430">
        <f t="shared" si="4"/>
        <v>0</v>
      </c>
      <c r="AP51" s="86" t="s">
        <v>399</v>
      </c>
      <c r="AQ51" s="431">
        <f>G49</f>
        <v>0</v>
      </c>
      <c r="AR51" s="112"/>
      <c r="AS51" s="112"/>
      <c r="AT51" s="112"/>
      <c r="AU51" s="430">
        <f t="shared" si="5"/>
        <v>0</v>
      </c>
      <c r="BE51" s="111">
        <v>13</v>
      </c>
      <c r="BF51" s="570" t="s">
        <v>615</v>
      </c>
      <c r="BG51" s="571" t="s">
        <v>616</v>
      </c>
    </row>
    <row r="52" spans="1:59" ht="12" hidden="1" customHeight="1" thickTop="1" thickBot="1">
      <c r="A52" s="686"/>
      <c r="B52" s="586"/>
      <c r="C52" s="587"/>
      <c r="D52" s="588"/>
      <c r="E52" s="4797"/>
      <c r="F52" s="4797"/>
      <c r="G52" s="589"/>
      <c r="H52" s="590"/>
      <c r="I52" s="591"/>
      <c r="J52" s="592" t="s">
        <v>491</v>
      </c>
      <c r="K52" s="515" t="s">
        <v>491</v>
      </c>
      <c r="L52" s="516" t="s">
        <v>492</v>
      </c>
      <c r="M52" s="4797"/>
      <c r="N52" s="4797"/>
      <c r="O52" s="517" t="s">
        <v>418</v>
      </c>
      <c r="P52" s="518" t="s">
        <v>493</v>
      </c>
      <c r="Q52" s="520"/>
      <c r="R52" s="593"/>
      <c r="S52" s="594"/>
      <c r="T52" s="595"/>
      <c r="U52" s="4797"/>
      <c r="V52" s="4797"/>
      <c r="W52" s="596"/>
      <c r="X52" s="594"/>
      <c r="Y52" s="597"/>
      <c r="Z52" s="4773" t="s">
        <v>494</v>
      </c>
      <c r="AA52" s="4774"/>
      <c r="AB52" s="4774"/>
      <c r="AC52" s="4775"/>
      <c r="AD52" s="442"/>
      <c r="AE52" s="433" t="s">
        <v>406</v>
      </c>
      <c r="AF52" s="86" t="s">
        <v>617</v>
      </c>
      <c r="AG52" s="86" t="s">
        <v>618</v>
      </c>
      <c r="AH52" s="433"/>
      <c r="AI52" s="427" t="s">
        <v>78</v>
      </c>
      <c r="AJ52" s="428">
        <f>R50</f>
        <v>0</v>
      </c>
      <c r="AK52" s="428">
        <f>S50</f>
        <v>0</v>
      </c>
      <c r="AL52" s="428">
        <f>T50</f>
        <v>0</v>
      </c>
      <c r="AM52" s="428">
        <f>U50</f>
        <v>0</v>
      </c>
      <c r="AN52" s="430">
        <f t="shared" si="4"/>
        <v>0</v>
      </c>
      <c r="AQ52" s="431">
        <f>G49</f>
        <v>0</v>
      </c>
      <c r="BE52" s="111">
        <v>14</v>
      </c>
      <c r="BF52" s="570" t="s">
        <v>619</v>
      </c>
      <c r="BG52" s="571" t="s">
        <v>620</v>
      </c>
    </row>
    <row r="53" spans="1:59" ht="12" hidden="1" customHeight="1" thickTop="1">
      <c r="A53" s="686"/>
      <c r="B53" s="586"/>
      <c r="C53" s="587"/>
      <c r="D53" s="588"/>
      <c r="E53" s="4813" t="s">
        <v>621</v>
      </c>
      <c r="F53" s="4814"/>
      <c r="G53" s="590"/>
      <c r="H53" s="590"/>
      <c r="I53" s="591"/>
      <c r="J53" s="523"/>
      <c r="K53" s="522"/>
      <c r="L53" s="4798" t="s">
        <v>496</v>
      </c>
      <c r="M53" s="4799"/>
      <c r="N53" s="4799"/>
      <c r="O53" s="4800"/>
      <c r="P53" s="515"/>
      <c r="Q53" s="520"/>
      <c r="R53" s="593"/>
      <c r="S53" s="594"/>
      <c r="T53" s="598"/>
      <c r="U53" s="4815" t="s">
        <v>622</v>
      </c>
      <c r="V53" s="4816"/>
      <c r="W53" s="596"/>
      <c r="X53" s="594"/>
      <c r="Y53" s="597"/>
      <c r="Z53" s="446"/>
      <c r="AA53" s="524">
        <f>VLOOKUP(Z53,BE24:BF34,2,2)</f>
        <v>0</v>
      </c>
      <c r="AB53" s="448"/>
      <c r="AC53" s="449"/>
      <c r="AD53" s="442"/>
      <c r="AE53" s="433" t="s">
        <v>8</v>
      </c>
      <c r="AF53" s="86" t="s">
        <v>623</v>
      </c>
      <c r="AG53" s="86" t="s">
        <v>624</v>
      </c>
      <c r="AH53" s="433"/>
      <c r="AI53" s="427" t="s">
        <v>458</v>
      </c>
      <c r="AJ53" s="428">
        <f>R50</f>
        <v>0</v>
      </c>
      <c r="AK53" s="428">
        <f>S50</f>
        <v>0</v>
      </c>
      <c r="AL53" s="428">
        <f>T50</f>
        <v>0</v>
      </c>
      <c r="AM53" s="428">
        <f>U50</f>
        <v>0</v>
      </c>
      <c r="AN53" s="430">
        <f t="shared" si="4"/>
        <v>0</v>
      </c>
      <c r="AQ53" s="431">
        <f>G49</f>
        <v>0</v>
      </c>
      <c r="BE53" s="111">
        <v>15</v>
      </c>
      <c r="BF53" s="570" t="s">
        <v>625</v>
      </c>
      <c r="BG53" s="571" t="s">
        <v>626</v>
      </c>
    </row>
    <row r="54" spans="1:59" ht="12" hidden="1" customHeight="1">
      <c r="A54" s="686"/>
      <c r="B54" s="586"/>
      <c r="C54" s="587"/>
      <c r="D54" s="588"/>
      <c r="E54" s="599"/>
      <c r="F54" s="590"/>
      <c r="G54" s="590"/>
      <c r="H54" s="590"/>
      <c r="I54" s="591"/>
      <c r="J54" s="526" t="s">
        <v>498</v>
      </c>
      <c r="K54" s="527" t="s">
        <v>499</v>
      </c>
      <c r="L54" s="527" t="s">
        <v>500</v>
      </c>
      <c r="M54" s="527" t="s">
        <v>501</v>
      </c>
      <c r="N54" s="527" t="s">
        <v>502</v>
      </c>
      <c r="O54" s="527" t="s">
        <v>503</v>
      </c>
      <c r="P54" s="527" t="s">
        <v>504</v>
      </c>
      <c r="Q54" s="600"/>
      <c r="R54" s="4752" t="str">
        <f>'VISITA DE INSP.'!D18</f>
        <v>ARANDA ESCALANTE * ARELI GUADALUPE</v>
      </c>
      <c r="S54" s="4753"/>
      <c r="T54" s="4753"/>
      <c r="U54" s="4753"/>
      <c r="V54" s="4753"/>
      <c r="W54" s="4753"/>
      <c r="X54" s="4753"/>
      <c r="Y54" s="4754"/>
      <c r="Z54" s="4801" t="s">
        <v>506</v>
      </c>
      <c r="AA54" s="4802"/>
      <c r="AB54" s="4802"/>
      <c r="AC54" s="4803"/>
      <c r="AD54" s="442"/>
      <c r="AE54" s="433" t="s">
        <v>432</v>
      </c>
      <c r="AF54" s="86" t="s">
        <v>627</v>
      </c>
      <c r="AG54" s="86" t="s">
        <v>628</v>
      </c>
      <c r="AH54" s="433"/>
      <c r="AI54" s="427" t="s">
        <v>495</v>
      </c>
      <c r="AJ54" s="428">
        <f>R50</f>
        <v>0</v>
      </c>
      <c r="AK54" s="428">
        <f>S50</f>
        <v>0</v>
      </c>
      <c r="AL54" s="428">
        <f>T50</f>
        <v>0</v>
      </c>
      <c r="AM54" s="428">
        <f>U50</f>
        <v>0</v>
      </c>
      <c r="AN54" s="430">
        <f t="shared" si="4"/>
        <v>0</v>
      </c>
      <c r="AQ54" s="431">
        <f>G49</f>
        <v>0</v>
      </c>
      <c r="BE54" s="111">
        <v>16</v>
      </c>
      <c r="BF54" s="570" t="s">
        <v>629</v>
      </c>
      <c r="BG54" s="571" t="s">
        <v>630</v>
      </c>
    </row>
    <row r="55" spans="1:59" ht="12" hidden="1" customHeight="1">
      <c r="A55" s="686"/>
      <c r="B55" s="586"/>
      <c r="C55" s="587"/>
      <c r="D55" s="588"/>
      <c r="E55" s="599"/>
      <c r="F55" s="590"/>
      <c r="G55" s="590"/>
      <c r="H55" s="590"/>
      <c r="I55" s="591"/>
      <c r="J55" s="534"/>
      <c r="K55" s="531" t="s">
        <v>491</v>
      </c>
      <c r="L55" s="532" t="s">
        <v>491</v>
      </c>
      <c r="M55" s="533"/>
      <c r="N55" s="532"/>
      <c r="O55" s="532"/>
      <c r="P55" s="532"/>
      <c r="Q55" s="520"/>
      <c r="R55" s="593"/>
      <c r="S55" s="4823" t="str">
        <f>'VISITA DE INSP.'!AN18</f>
        <v>AAEA820728V25</v>
      </c>
      <c r="T55" s="4824"/>
      <c r="U55" s="4824"/>
      <c r="V55" s="4824"/>
      <c r="W55" s="4824"/>
      <c r="X55" s="4825"/>
      <c r="Y55" s="602"/>
      <c r="Z55" s="446"/>
      <c r="AA55" s="524">
        <f>VLOOKUP(Z55,AW24:AX39,2,2)</f>
        <v>0</v>
      </c>
      <c r="AB55" s="448"/>
      <c r="AC55" s="449"/>
      <c r="AD55" s="442"/>
      <c r="AE55" s="433" t="s">
        <v>442</v>
      </c>
      <c r="AF55" s="86" t="s">
        <v>631</v>
      </c>
      <c r="AG55" s="86" t="s">
        <v>632</v>
      </c>
      <c r="AH55" s="433"/>
      <c r="AI55" s="427" t="s">
        <v>495</v>
      </c>
      <c r="AJ55" s="428">
        <f>R50</f>
        <v>0</v>
      </c>
      <c r="AK55" s="428">
        <f>S50</f>
        <v>0</v>
      </c>
      <c r="AL55" s="428">
        <f>T50</f>
        <v>0</v>
      </c>
      <c r="AM55" s="428">
        <f>U50</f>
        <v>0</v>
      </c>
      <c r="AN55" s="430">
        <f>COUNTIF(AJ55:AM55,AI55)</f>
        <v>0</v>
      </c>
      <c r="AQ55" s="431">
        <f>G49</f>
        <v>0</v>
      </c>
      <c r="BE55" s="111">
        <v>17</v>
      </c>
      <c r="BF55" s="570" t="s">
        <v>633</v>
      </c>
      <c r="BG55" s="571" t="s">
        <v>634</v>
      </c>
    </row>
    <row r="56" spans="1:59" ht="12" hidden="1" customHeight="1">
      <c r="A56" s="686"/>
      <c r="B56" s="586"/>
      <c r="C56" s="587"/>
      <c r="D56" s="588"/>
      <c r="E56" s="599"/>
      <c r="F56" s="590"/>
      <c r="G56" s="590"/>
      <c r="H56" s="590"/>
      <c r="I56" s="591"/>
      <c r="J56" s="538"/>
      <c r="K56" s="537"/>
      <c r="L56" s="527"/>
      <c r="M56" s="527"/>
      <c r="N56" s="527"/>
      <c r="O56" s="527"/>
      <c r="P56" s="527"/>
      <c r="Q56" s="520"/>
      <c r="R56" s="593"/>
      <c r="S56" s="4823" t="str">
        <f>'VISITA DE INSP.'!AO18</f>
        <v>078312 E028100.0230501</v>
      </c>
      <c r="T56" s="4824"/>
      <c r="U56" s="4824"/>
      <c r="V56" s="4824"/>
      <c r="W56" s="4824"/>
      <c r="X56" s="4826"/>
      <c r="Y56" s="597"/>
      <c r="Z56" s="4773" t="s">
        <v>511</v>
      </c>
      <c r="AA56" s="4774"/>
      <c r="AB56" s="4774"/>
      <c r="AC56" s="4775"/>
      <c r="AD56" s="442"/>
      <c r="AE56" s="433" t="s">
        <v>449</v>
      </c>
      <c r="AF56" s="86" t="s">
        <v>635</v>
      </c>
      <c r="AG56" s="86" t="s">
        <v>636</v>
      </c>
      <c r="AH56" s="433"/>
      <c r="AI56" s="427" t="s">
        <v>495</v>
      </c>
      <c r="AJ56" s="428">
        <f>R50</f>
        <v>0</v>
      </c>
      <c r="AK56" s="428">
        <f>S50</f>
        <v>0</v>
      </c>
      <c r="AL56" s="428">
        <f>T50</f>
        <v>0</v>
      </c>
      <c r="AM56" s="428">
        <f>U50</f>
        <v>0</v>
      </c>
      <c r="AN56" s="430">
        <f>COUNTIF(AJ56:AM56,AI56)</f>
        <v>0</v>
      </c>
      <c r="AQ56" s="431">
        <f>G49</f>
        <v>0</v>
      </c>
      <c r="BE56" s="111">
        <v>18</v>
      </c>
      <c r="BF56" s="570" t="s">
        <v>637</v>
      </c>
      <c r="BG56" s="571" t="s">
        <v>638</v>
      </c>
    </row>
    <row r="57" spans="1:59" ht="12" hidden="1" customHeight="1">
      <c r="A57" s="686"/>
      <c r="B57" s="586"/>
      <c r="C57" s="587"/>
      <c r="D57" s="588"/>
      <c r="E57" s="599"/>
      <c r="F57" s="590"/>
      <c r="G57" s="590"/>
      <c r="H57" s="590"/>
      <c r="I57" s="591"/>
      <c r="J57" s="534"/>
      <c r="K57" s="537"/>
      <c r="L57" s="531"/>
      <c r="M57" s="533"/>
      <c r="N57" s="532"/>
      <c r="O57" s="532"/>
      <c r="P57" s="532"/>
      <c r="Q57" s="520"/>
      <c r="R57" s="593"/>
      <c r="S57" s="4855" t="str">
        <f>'VISITA DE INSP.'!AU18</f>
        <v>16-01-2008</v>
      </c>
      <c r="T57" s="4856"/>
      <c r="U57" s="4856"/>
      <c r="V57" s="4856"/>
      <c r="W57" s="4856"/>
      <c r="X57" s="4857"/>
      <c r="Y57" s="597"/>
      <c r="Z57" s="446"/>
      <c r="AA57" s="524">
        <f>VLOOKUP(Z57,BB24:BC34,2,2)</f>
        <v>0</v>
      </c>
      <c r="AB57" s="448"/>
      <c r="AC57" s="449"/>
      <c r="AD57" s="442"/>
      <c r="AE57" s="433" t="s">
        <v>407</v>
      </c>
      <c r="AF57" s="86" t="s">
        <v>639</v>
      </c>
      <c r="AG57" s="86" t="s">
        <v>640</v>
      </c>
      <c r="AH57" s="433"/>
      <c r="AQ57" s="431"/>
      <c r="BE57" s="111">
        <v>19</v>
      </c>
      <c r="BF57" s="570" t="s">
        <v>641</v>
      </c>
      <c r="BG57" s="571" t="s">
        <v>642</v>
      </c>
    </row>
    <row r="58" spans="1:59" ht="12" hidden="1" customHeight="1">
      <c r="A58" s="686"/>
      <c r="B58" s="586"/>
      <c r="C58" s="587"/>
      <c r="D58" s="588"/>
      <c r="E58" s="599"/>
      <c r="F58" s="590"/>
      <c r="G58" s="590"/>
      <c r="H58" s="590"/>
      <c r="I58" s="591"/>
      <c r="J58" s="534"/>
      <c r="K58" s="522"/>
      <c r="L58" s="539"/>
      <c r="M58" s="540"/>
      <c r="N58" s="515"/>
      <c r="O58" s="515"/>
      <c r="P58" s="515"/>
      <c r="Q58" s="520"/>
      <c r="R58" s="593"/>
      <c r="S58" s="4823">
        <f>'VISITA DE INSP.'!AT18</f>
        <v>10</v>
      </c>
      <c r="T58" s="4824"/>
      <c r="U58" s="4824"/>
      <c r="V58" s="4824"/>
      <c r="W58" s="4824"/>
      <c r="X58" s="4825"/>
      <c r="Y58" s="597"/>
      <c r="Z58" s="4773" t="s">
        <v>520</v>
      </c>
      <c r="AA58" s="4774"/>
      <c r="AB58" s="4774"/>
      <c r="AC58" s="4775"/>
      <c r="AD58" s="442"/>
      <c r="AE58" s="433" t="s">
        <v>14</v>
      </c>
      <c r="AF58" s="86" t="s">
        <v>643</v>
      </c>
      <c r="AG58" s="86" t="s">
        <v>644</v>
      </c>
      <c r="AH58" s="433"/>
      <c r="BE58" s="111">
        <v>20</v>
      </c>
      <c r="BF58" s="570" t="s">
        <v>645</v>
      </c>
      <c r="BG58" s="571" t="s">
        <v>646</v>
      </c>
    </row>
    <row r="59" spans="1:59" ht="12" hidden="1" customHeight="1">
      <c r="A59" s="686"/>
      <c r="B59" s="586"/>
      <c r="C59" s="587"/>
      <c r="D59" s="588"/>
      <c r="E59" s="599"/>
      <c r="F59" s="590"/>
      <c r="G59" s="590"/>
      <c r="H59" s="590"/>
      <c r="I59" s="591"/>
      <c r="J59" s="534"/>
      <c r="K59" s="541"/>
      <c r="L59" s="541"/>
      <c r="M59" s="541"/>
      <c r="N59" s="541"/>
      <c r="O59" s="541"/>
      <c r="P59" s="541"/>
      <c r="Q59" s="520"/>
      <c r="R59" s="593"/>
      <c r="S59" s="4755">
        <f>'VISITA DE INSP.'!AS18</f>
        <v>0</v>
      </c>
      <c r="T59" s="4756"/>
      <c r="U59" s="4756"/>
      <c r="V59" s="4756"/>
      <c r="W59" s="4756"/>
      <c r="X59" s="4757"/>
      <c r="Y59" s="597"/>
      <c r="Z59" s="446" t="s">
        <v>396</v>
      </c>
      <c r="AA59" s="447" t="str">
        <f>J43</f>
        <v xml:space="preserve">  COL-</v>
      </c>
      <c r="AB59" s="448"/>
      <c r="AC59" s="449"/>
      <c r="AD59" s="442"/>
      <c r="AE59" s="433" t="s">
        <v>464</v>
      </c>
      <c r="AF59" s="86" t="s">
        <v>647</v>
      </c>
      <c r="AG59" s="86" t="s">
        <v>648</v>
      </c>
      <c r="AH59" s="433"/>
      <c r="AJ59" s="196"/>
      <c r="BE59" s="111">
        <v>21</v>
      </c>
      <c r="BF59" s="570" t="s">
        <v>649</v>
      </c>
      <c r="BG59" s="571" t="s">
        <v>650</v>
      </c>
    </row>
    <row r="60" spans="1:59" ht="12" hidden="1" customHeight="1">
      <c r="A60" s="686"/>
      <c r="B60" s="586"/>
      <c r="C60" s="603" t="str">
        <f>Y35</f>
        <v xml:space="preserve">       </v>
      </c>
      <c r="D60" s="604"/>
      <c r="E60" s="604"/>
      <c r="F60" s="604"/>
      <c r="G60" s="604"/>
      <c r="H60" s="605"/>
      <c r="I60" s="591"/>
      <c r="J60" s="606" t="str">
        <f>J44</f>
        <v xml:space="preserve">  C.P.-</v>
      </c>
      <c r="K60" s="603" t="str">
        <f>C60</f>
        <v xml:space="preserve">       </v>
      </c>
      <c r="L60" s="604"/>
      <c r="M60" s="604"/>
      <c r="N60" s="604"/>
      <c r="O60" s="604"/>
      <c r="P60" s="605"/>
      <c r="Q60" s="597"/>
      <c r="R60" s="593"/>
      <c r="S60" s="607" t="str">
        <f>K60</f>
        <v xml:space="preserve">       </v>
      </c>
      <c r="T60" s="608"/>
      <c r="U60" s="608"/>
      <c r="V60" s="608"/>
      <c r="W60" s="608"/>
      <c r="X60" s="609"/>
      <c r="Y60" s="597"/>
      <c r="Z60" s="4773" t="s">
        <v>529</v>
      </c>
      <c r="AA60" s="4774"/>
      <c r="AB60" s="4774"/>
      <c r="AC60" s="4775"/>
      <c r="AD60" s="442"/>
      <c r="AE60" s="433" t="s">
        <v>470</v>
      </c>
      <c r="AF60" s="86" t="s">
        <v>651</v>
      </c>
      <c r="AG60" s="86" t="s">
        <v>652</v>
      </c>
      <c r="AH60" s="433"/>
      <c r="AJ60" s="196"/>
      <c r="BE60" s="111">
        <v>22</v>
      </c>
      <c r="BF60" s="570" t="s">
        <v>653</v>
      </c>
      <c r="BG60" s="571" t="s">
        <v>654</v>
      </c>
    </row>
    <row r="61" spans="1:59" ht="12" hidden="1" customHeight="1" thickBot="1">
      <c r="A61" s="686"/>
      <c r="B61" s="610"/>
      <c r="C61" s="4817" t="s">
        <v>534</v>
      </c>
      <c r="D61" s="4818"/>
      <c r="E61" s="4818"/>
      <c r="F61" s="4818"/>
      <c r="G61" s="4818"/>
      <c r="H61" s="4819"/>
      <c r="I61" s="611"/>
      <c r="J61" s="612"/>
      <c r="K61" s="4820" t="s">
        <v>534</v>
      </c>
      <c r="L61" s="4821"/>
      <c r="M61" s="4821"/>
      <c r="N61" s="4821"/>
      <c r="O61" s="4821"/>
      <c r="P61" s="4822"/>
      <c r="Q61" s="613"/>
      <c r="R61" s="614"/>
      <c r="S61" s="4817" t="s">
        <v>534</v>
      </c>
      <c r="T61" s="4818"/>
      <c r="U61" s="4818"/>
      <c r="V61" s="4818"/>
      <c r="W61" s="4818"/>
      <c r="X61" s="4819"/>
      <c r="Y61" s="615"/>
      <c r="Z61" s="446" t="s">
        <v>396</v>
      </c>
      <c r="AA61" s="447" t="str">
        <f>J44</f>
        <v xml:space="preserve">  C.P.-</v>
      </c>
      <c r="AB61" s="448"/>
      <c r="AC61" s="449"/>
      <c r="AD61" s="442"/>
      <c r="AE61" s="433" t="s">
        <v>474</v>
      </c>
      <c r="AF61" s="86" t="s">
        <v>655</v>
      </c>
      <c r="AG61" s="86" t="s">
        <v>656</v>
      </c>
      <c r="AH61" s="433"/>
      <c r="AJ61" s="196"/>
      <c r="BE61" s="111">
        <v>23</v>
      </c>
      <c r="BF61" s="525" t="s">
        <v>246</v>
      </c>
      <c r="BG61" s="571" t="s">
        <v>657</v>
      </c>
    </row>
    <row r="62" spans="1:59" ht="12" customHeight="1" thickTop="1" thickBot="1">
      <c r="A62" s="686"/>
      <c r="B62" s="4783" t="s">
        <v>538</v>
      </c>
      <c r="C62" s="4784"/>
      <c r="D62" s="4784"/>
      <c r="E62" s="4784"/>
      <c r="F62" s="552"/>
      <c r="G62" s="551">
        <f>VLOOKUP(F62,BE38:BG72,2,2)</f>
        <v>0</v>
      </c>
      <c r="H62" s="511"/>
      <c r="I62" s="513"/>
      <c r="J62" s="4783" t="s">
        <v>539</v>
      </c>
      <c r="K62" s="4784"/>
      <c r="L62" s="4784"/>
      <c r="M62" s="4784"/>
      <c r="N62" s="552" t="s">
        <v>540</v>
      </c>
      <c r="O62" s="628"/>
      <c r="P62" s="629"/>
      <c r="Q62" s="630"/>
      <c r="R62" s="4783" t="s">
        <v>541</v>
      </c>
      <c r="S62" s="4784"/>
      <c r="T62" s="4784"/>
      <c r="U62" s="4785"/>
      <c r="V62" s="508" t="s">
        <v>396</v>
      </c>
      <c r="W62" s="553">
        <f>O35</f>
        <v>0</v>
      </c>
      <c r="X62" s="554">
        <f>R35</f>
        <v>0</v>
      </c>
      <c r="Y62" s="555">
        <f>U35</f>
        <v>0</v>
      </c>
      <c r="Z62" s="4773" t="s">
        <v>542</v>
      </c>
      <c r="AA62" s="4774"/>
      <c r="AB62" s="4774"/>
      <c r="AC62" s="4775"/>
      <c r="AD62" s="442"/>
      <c r="AE62" s="433" t="s">
        <v>478</v>
      </c>
      <c r="AF62" s="86" t="s">
        <v>658</v>
      </c>
      <c r="AG62" s="86" t="s">
        <v>448</v>
      </c>
      <c r="AH62" s="433"/>
      <c r="AJ62" s="196"/>
      <c r="BE62" s="111">
        <v>24</v>
      </c>
      <c r="BF62" s="525" t="s">
        <v>659</v>
      </c>
      <c r="BG62" s="571" t="s">
        <v>660</v>
      </c>
    </row>
    <row r="63" spans="1:59" ht="12" customHeight="1" thickTop="1" thickBot="1">
      <c r="A63" s="686"/>
      <c r="B63" s="616"/>
      <c r="C63" s="617"/>
      <c r="D63" s="617"/>
      <c r="E63" s="617"/>
      <c r="F63" s="617"/>
      <c r="G63" s="617"/>
      <c r="H63" s="617"/>
      <c r="I63" s="617"/>
      <c r="J63" s="617"/>
      <c r="K63" s="617"/>
      <c r="L63" s="617"/>
      <c r="M63" s="617"/>
      <c r="N63" s="617"/>
      <c r="O63" s="617"/>
      <c r="P63" s="617"/>
      <c r="Q63" s="617"/>
      <c r="R63" s="617"/>
      <c r="S63" s="617"/>
      <c r="T63" s="617"/>
      <c r="U63" s="617"/>
      <c r="V63" s="617"/>
      <c r="W63" s="617"/>
      <c r="X63" s="617"/>
      <c r="Y63" s="617"/>
      <c r="Z63" s="558" t="s">
        <v>396</v>
      </c>
      <c r="AA63" s="559">
        <f>W41</f>
        <v>0</v>
      </c>
      <c r="AB63" s="560"/>
      <c r="AC63" s="561"/>
      <c r="AD63" s="442"/>
      <c r="AE63" s="433" t="s">
        <v>483</v>
      </c>
      <c r="AF63" s="86" t="s">
        <v>661</v>
      </c>
      <c r="AH63" s="433"/>
      <c r="AJ63" s="427" t="s">
        <v>228</v>
      </c>
      <c r="AK63" s="428">
        <f>R80</f>
        <v>0</v>
      </c>
      <c r="AL63" s="428">
        <f>R110</f>
        <v>0</v>
      </c>
      <c r="AM63" s="429"/>
      <c r="AN63" s="429"/>
      <c r="AO63" s="430">
        <f>COUNTIF(AK63:AN63,AJ63)</f>
        <v>0</v>
      </c>
      <c r="BE63" s="309">
        <v>25</v>
      </c>
      <c r="BF63" s="525" t="s">
        <v>662</v>
      </c>
      <c r="BG63" s="571" t="s">
        <v>663</v>
      </c>
    </row>
    <row r="64" spans="1:59" ht="12" customHeight="1" thickTop="1">
      <c r="A64" s="686"/>
      <c r="B64" s="4761" t="s">
        <v>386</v>
      </c>
      <c r="C64" s="4762"/>
      <c r="D64" s="4762"/>
      <c r="E64" s="4762"/>
      <c r="F64" s="4762"/>
      <c r="G64" s="4762"/>
      <c r="H64" s="4762"/>
      <c r="I64" s="4763"/>
      <c r="J64" s="562">
        <f>COUNTA(I69:I70)</f>
        <v>1</v>
      </c>
      <c r="K64" s="563" t="s">
        <v>387</v>
      </c>
      <c r="L64" s="564"/>
      <c r="M64" s="564"/>
      <c r="N64" s="564"/>
      <c r="O64" s="564"/>
      <c r="P64" s="564"/>
      <c r="Q64" s="564"/>
      <c r="R64" s="564"/>
      <c r="S64" s="564"/>
      <c r="T64" s="564"/>
      <c r="U64" s="564"/>
      <c r="V64" s="564"/>
      <c r="W64" s="564"/>
      <c r="X64" s="564"/>
      <c r="Y64" s="441"/>
      <c r="Z64" s="4770" t="s">
        <v>388</v>
      </c>
      <c r="AA64" s="4771"/>
      <c r="AB64" s="4771"/>
      <c r="AC64" s="4772"/>
      <c r="AD64" s="442"/>
      <c r="AE64" s="433" t="s">
        <v>495</v>
      </c>
      <c r="AF64" s="86" t="s">
        <v>447</v>
      </c>
      <c r="AH64" s="433"/>
      <c r="AJ64" s="427" t="s">
        <v>230</v>
      </c>
      <c r="AK64" s="428">
        <f>R80</f>
        <v>0</v>
      </c>
      <c r="AL64" s="428">
        <f>R110</f>
        <v>0</v>
      </c>
      <c r="AM64" s="429"/>
      <c r="AN64" s="429"/>
      <c r="AO64" s="430">
        <f t="shared" ref="AO64:AO83" si="7">COUNTIF(AK64:AN64,AJ64)</f>
        <v>0</v>
      </c>
      <c r="AP64" s="86" t="s">
        <v>228</v>
      </c>
      <c r="AQ64" s="431" t="e">
        <f>G77</f>
        <v>#REF!</v>
      </c>
      <c r="AR64" s="112"/>
      <c r="AS64" s="112"/>
      <c r="AT64" s="112"/>
      <c r="AU64" s="430">
        <f>COUNTIF(AQ64:AT64,AP64)</f>
        <v>0</v>
      </c>
      <c r="BE64" s="309">
        <v>26</v>
      </c>
      <c r="BF64" s="525" t="s">
        <v>664</v>
      </c>
      <c r="BG64" s="571" t="s">
        <v>665</v>
      </c>
    </row>
    <row r="65" spans="1:59" ht="12" customHeight="1">
      <c r="A65" s="686"/>
      <c r="B65" s="4764"/>
      <c r="C65" s="4765"/>
      <c r="D65" s="4765"/>
      <c r="E65" s="4765"/>
      <c r="F65" s="4765"/>
      <c r="G65" s="4765"/>
      <c r="H65" s="4765"/>
      <c r="I65" s="4766"/>
      <c r="J65" s="565" t="str">
        <f>CONCATENATE(O65,J82,R65,K82,U65,L82)</f>
        <v xml:space="preserve">       </v>
      </c>
      <c r="K65" s="699" t="s">
        <v>395</v>
      </c>
      <c r="L65" s="700"/>
      <c r="M65" s="539"/>
      <c r="N65" s="539"/>
      <c r="O65" s="701"/>
      <c r="P65" s="573"/>
      <c r="R65" s="701"/>
      <c r="S65" s="573"/>
      <c r="U65" s="701"/>
      <c r="V65" s="702"/>
      <c r="W65" s="703"/>
      <c r="X65" s="641"/>
      <c r="Y65" s="445" t="str">
        <f>CONCATENATE(U65,K82,O65,J82,R65,L82)</f>
        <v xml:space="preserve">       </v>
      </c>
      <c r="Z65" s="446" t="s">
        <v>396</v>
      </c>
      <c r="AA65" s="447" t="str">
        <f>J65</f>
        <v xml:space="preserve">       </v>
      </c>
      <c r="AB65" s="448"/>
      <c r="AC65" s="449"/>
      <c r="AD65" s="442" t="s">
        <v>389</v>
      </c>
      <c r="AE65" s="433" t="s">
        <v>78</v>
      </c>
      <c r="AF65" s="86" t="s">
        <v>666</v>
      </c>
      <c r="AH65" s="433"/>
      <c r="AJ65" s="427" t="s">
        <v>7</v>
      </c>
      <c r="AK65" s="428">
        <f>R80</f>
        <v>0</v>
      </c>
      <c r="AL65" s="428">
        <f>R110</f>
        <v>0</v>
      </c>
      <c r="AM65" s="429"/>
      <c r="AN65" s="429"/>
      <c r="AO65" s="430">
        <f>COUNTIF(AK65:AN65,AJ65)</f>
        <v>0</v>
      </c>
      <c r="AP65" s="86" t="s">
        <v>230</v>
      </c>
      <c r="AQ65" s="431" t="e">
        <f>G77</f>
        <v>#REF!</v>
      </c>
      <c r="AR65" s="112"/>
      <c r="AS65" s="112"/>
      <c r="AT65" s="112"/>
      <c r="AU65" s="430">
        <f t="shared" ref="AU65:AU81" si="8">COUNTIF(AQ65:AT65,AP65)</f>
        <v>0</v>
      </c>
      <c r="BE65" s="309">
        <v>27</v>
      </c>
      <c r="BF65" s="525" t="s">
        <v>667</v>
      </c>
      <c r="BG65" s="571" t="s">
        <v>668</v>
      </c>
    </row>
    <row r="66" spans="1:59" ht="12" customHeight="1" thickBot="1">
      <c r="A66" s="686"/>
      <c r="B66" s="4767"/>
      <c r="C66" s="4768"/>
      <c r="D66" s="4768"/>
      <c r="E66" s="4768"/>
      <c r="F66" s="4768"/>
      <c r="G66" s="4768"/>
      <c r="H66" s="4768"/>
      <c r="I66" s="4769"/>
      <c r="J66" s="565"/>
      <c r="K66" s="539" t="str">
        <f>'VISITA DE INSP.'!D19</f>
        <v>AKE QUEB * MARIANA DEL CONSUELO</v>
      </c>
      <c r="L66" s="539"/>
      <c r="M66" s="539"/>
      <c r="N66" s="539"/>
      <c r="P66" s="704"/>
      <c r="Q66" s="705"/>
      <c r="S66" s="704"/>
      <c r="T66" s="705"/>
      <c r="U66" s="706"/>
      <c r="V66" s="706"/>
      <c r="W66" s="706"/>
      <c r="X66" s="706"/>
      <c r="Y66" s="450" t="str">
        <f>CONCATENATE(V67,L82,W67)</f>
        <v>11007831200.0   078312 E028100.0233023</v>
      </c>
      <c r="Z66" s="4773" t="s">
        <v>400</v>
      </c>
      <c r="AA66" s="4774"/>
      <c r="AB66" s="4774"/>
      <c r="AC66" s="4775"/>
      <c r="AD66" s="442" t="s">
        <v>389</v>
      </c>
      <c r="AE66" s="433" t="s">
        <v>458</v>
      </c>
      <c r="AF66" s="86" t="s">
        <v>669</v>
      </c>
      <c r="AH66" s="433"/>
      <c r="AJ66" s="427" t="s">
        <v>393</v>
      </c>
      <c r="AK66" s="428">
        <f>R80</f>
        <v>0</v>
      </c>
      <c r="AL66" s="428">
        <f>R110</f>
        <v>0</v>
      </c>
      <c r="AM66" s="429"/>
      <c r="AN66" s="429"/>
      <c r="AO66" s="430">
        <f>COUNTIF(AK66:AN66,AJ66)</f>
        <v>0</v>
      </c>
      <c r="AP66" s="86" t="s">
        <v>404</v>
      </c>
      <c r="AQ66" s="431" t="e">
        <f>G77</f>
        <v>#REF!</v>
      </c>
      <c r="AR66" s="112"/>
      <c r="AS66" s="112"/>
      <c r="AT66" s="112"/>
      <c r="AU66" s="430">
        <f t="shared" si="8"/>
        <v>0</v>
      </c>
      <c r="BE66" s="309">
        <v>28</v>
      </c>
      <c r="BF66" s="525" t="s">
        <v>670</v>
      </c>
      <c r="BG66" s="571" t="s">
        <v>671</v>
      </c>
    </row>
    <row r="67" spans="1:59" ht="12" customHeight="1" thickTop="1">
      <c r="A67" s="686"/>
      <c r="B67" s="452">
        <v>1</v>
      </c>
      <c r="C67" s="453" t="s">
        <v>406</v>
      </c>
      <c r="D67" s="454" t="s">
        <v>407</v>
      </c>
      <c r="E67" s="455" t="s">
        <v>408</v>
      </c>
      <c r="F67" s="456" t="s">
        <v>409</v>
      </c>
      <c r="G67" s="457" t="e">
        <f>G37</f>
        <v>#REF!</v>
      </c>
      <c r="H67" s="458"/>
      <c r="I67" s="459">
        <f>COUNTA(G70,G190,G310,G430)</f>
        <v>4</v>
      </c>
      <c r="J67" s="565" t="str">
        <f>CONCATENATE(N67,K82,O67)</f>
        <v>AEQM701008  L2</v>
      </c>
      <c r="K67" s="699" t="s">
        <v>410</v>
      </c>
      <c r="L67" s="700"/>
      <c r="M67" s="707"/>
      <c r="N67" s="708" t="str">
        <f>MID('VISITA DE INSP.'!AN19,1,10)</f>
        <v>AEQM701008</v>
      </c>
      <c r="O67" s="701" t="str">
        <f>MID('VISITA DE INSP.'!AN19,12,15)</f>
        <v>L2</v>
      </c>
      <c r="P67" s="641"/>
      <c r="Q67" s="700"/>
      <c r="R67" s="709"/>
      <c r="T67" s="710" t="s">
        <v>411</v>
      </c>
      <c r="U67" s="641"/>
      <c r="V67" s="711" t="s">
        <v>179</v>
      </c>
      <c r="W67" s="712" t="str">
        <f>'VISITA DE INSP.'!AO19</f>
        <v>078312 E028100.0233023</v>
      </c>
      <c r="X67" s="713"/>
      <c r="Y67" s="460" t="str">
        <f>CONCATENATE(V67,K82,W67)</f>
        <v>11007831200.0  078312 E028100.0233023</v>
      </c>
      <c r="Z67" s="446" t="s">
        <v>396</v>
      </c>
      <c r="AA67" s="447" t="str">
        <f>Y65</f>
        <v xml:space="preserve">       </v>
      </c>
      <c r="AB67" s="448"/>
      <c r="AC67" s="449"/>
      <c r="AD67" s="442" t="s">
        <v>389</v>
      </c>
      <c r="AE67" s="433" t="s">
        <v>462</v>
      </c>
      <c r="AF67" s="86" t="s">
        <v>672</v>
      </c>
      <c r="AH67" s="433"/>
      <c r="AJ67" s="427" t="s">
        <v>399</v>
      </c>
      <c r="AK67" s="428">
        <f>R80</f>
        <v>0</v>
      </c>
      <c r="AL67" s="428">
        <f>R110</f>
        <v>0</v>
      </c>
      <c r="AM67" s="429"/>
      <c r="AN67" s="429"/>
      <c r="AO67" s="430">
        <f t="shared" si="7"/>
        <v>0</v>
      </c>
      <c r="AP67" s="86" t="s">
        <v>7</v>
      </c>
      <c r="AQ67" s="431" t="e">
        <f>G77</f>
        <v>#REF!</v>
      </c>
      <c r="AR67" s="112"/>
      <c r="AS67" s="112"/>
      <c r="AT67" s="112"/>
      <c r="AU67" s="430">
        <f t="shared" si="8"/>
        <v>0</v>
      </c>
      <c r="BE67" s="309">
        <v>29</v>
      </c>
      <c r="BF67" s="525" t="s">
        <v>673</v>
      </c>
      <c r="BG67" s="571" t="s">
        <v>674</v>
      </c>
    </row>
    <row r="68" spans="1:59" ht="12" customHeight="1">
      <c r="A68" s="686"/>
      <c r="B68" s="462" t="s">
        <v>416</v>
      </c>
      <c r="C68" s="463"/>
      <c r="D68" s="464"/>
      <c r="E68" s="465">
        <f t="shared" ref="E68:E73" si="9">C68+D68</f>
        <v>0</v>
      </c>
      <c r="F68" s="466" t="s">
        <v>417</v>
      </c>
      <c r="G68" s="467" t="e">
        <f>G38</f>
        <v>#REF!</v>
      </c>
      <c r="H68" s="468" t="e">
        <f>H38</f>
        <v>#REF!</v>
      </c>
      <c r="I68" s="469"/>
      <c r="J68" s="565"/>
      <c r="K68" s="714"/>
      <c r="L68" s="715"/>
      <c r="M68" s="716"/>
      <c r="O68" s="716"/>
      <c r="P68" s="716"/>
      <c r="Q68" s="717" t="s">
        <v>418</v>
      </c>
      <c r="R68" s="714"/>
      <c r="S68" s="540"/>
      <c r="T68" s="540"/>
      <c r="U68" s="716"/>
      <c r="V68" s="716"/>
      <c r="W68" s="716"/>
      <c r="X68" s="718"/>
      <c r="Y68" s="450" t="str">
        <f>MID(W67,1,5)</f>
        <v>07831</v>
      </c>
      <c r="Z68" s="4773" t="s">
        <v>419</v>
      </c>
      <c r="AA68" s="4774"/>
      <c r="AB68" s="4774"/>
      <c r="AC68" s="4775"/>
      <c r="AD68" s="442"/>
      <c r="AE68" s="433" t="s">
        <v>462</v>
      </c>
      <c r="AF68" s="86" t="s">
        <v>672</v>
      </c>
      <c r="AH68" s="423"/>
      <c r="AJ68" s="427" t="s">
        <v>403</v>
      </c>
      <c r="AK68" s="428">
        <f>R80</f>
        <v>0</v>
      </c>
      <c r="AL68" s="428">
        <f>R110</f>
        <v>0</v>
      </c>
      <c r="AM68" s="429"/>
      <c r="AN68" s="429"/>
      <c r="AO68" s="430">
        <f t="shared" si="7"/>
        <v>0</v>
      </c>
      <c r="AP68" s="86" t="s">
        <v>393</v>
      </c>
      <c r="AQ68" s="431" t="e">
        <f>G77</f>
        <v>#REF!</v>
      </c>
      <c r="AR68" s="112"/>
      <c r="AS68" s="112"/>
      <c r="AT68" s="112"/>
      <c r="AU68" s="430">
        <f t="shared" si="8"/>
        <v>0</v>
      </c>
      <c r="BE68" s="309">
        <v>30</v>
      </c>
      <c r="BF68" s="525" t="s">
        <v>675</v>
      </c>
      <c r="BG68" s="571" t="s">
        <v>676</v>
      </c>
    </row>
    <row r="69" spans="1:59" ht="12" customHeight="1">
      <c r="A69" s="686"/>
      <c r="B69" s="470" t="s">
        <v>423</v>
      </c>
      <c r="C69" s="463"/>
      <c r="D69" s="464"/>
      <c r="E69" s="465">
        <f t="shared" si="9"/>
        <v>0</v>
      </c>
      <c r="F69" s="692" t="s">
        <v>3</v>
      </c>
      <c r="G69" s="463" t="str">
        <f>'VISITA DE INSP.'!B19</f>
        <v>1º</v>
      </c>
      <c r="H69" s="471" t="s">
        <v>406</v>
      </c>
      <c r="I69" s="480" t="s">
        <v>78</v>
      </c>
      <c r="J69" s="568">
        <f>COUNTA(I69,I99,I129,I159,I189,I219,I249,I279,I309,I339)</f>
        <v>1</v>
      </c>
      <c r="K69" s="522" t="s">
        <v>424</v>
      </c>
      <c r="L69" s="539"/>
      <c r="M69" s="539"/>
      <c r="N69" s="539"/>
      <c r="O69" s="712" t="str">
        <f>'VISITA DE INSP.'!AU19</f>
        <v>01-09-1995</v>
      </c>
      <c r="P69" s="719"/>
      <c r="Q69" s="720"/>
      <c r="R69" s="714"/>
      <c r="S69" s="714"/>
      <c r="T69" s="714"/>
      <c r="U69" s="574" t="s">
        <v>425</v>
      </c>
      <c r="V69" s="721">
        <f>'VISITA DE INSP.'!AT19</f>
        <v>10</v>
      </c>
      <c r="W69" s="722" t="str">
        <f>Y69</f>
        <v>BASE</v>
      </c>
      <c r="X69" s="723"/>
      <c r="Y69" s="473" t="str">
        <f>VLOOKUP(V69,AH2:AI14,2)</f>
        <v>BASE</v>
      </c>
      <c r="Z69" s="446" t="s">
        <v>396</v>
      </c>
      <c r="AA69" s="447" t="str">
        <f>J67</f>
        <v>AEQM701008  L2</v>
      </c>
      <c r="AB69" s="448"/>
      <c r="AC69" s="449"/>
      <c r="AD69" s="442"/>
      <c r="AE69" s="433">
        <v>0</v>
      </c>
      <c r="AF69" s="424">
        <v>0</v>
      </c>
      <c r="AG69" s="423" t="s">
        <v>379</v>
      </c>
      <c r="AH69" s="423" t="s">
        <v>677</v>
      </c>
      <c r="AJ69" s="427" t="s">
        <v>414</v>
      </c>
      <c r="AK69" s="428">
        <f>R80</f>
        <v>0</v>
      </c>
      <c r="AL69" s="428">
        <f>R110</f>
        <v>0</v>
      </c>
      <c r="AM69" s="429"/>
      <c r="AN69" s="429"/>
      <c r="AO69" s="430">
        <f t="shared" si="7"/>
        <v>0</v>
      </c>
      <c r="AP69" s="86" t="s">
        <v>399</v>
      </c>
      <c r="AQ69" s="431" t="e">
        <f>G77</f>
        <v>#REF!</v>
      </c>
      <c r="AR69" s="112"/>
      <c r="AS69" s="112"/>
      <c r="AT69" s="112"/>
      <c r="AU69" s="430">
        <f t="shared" si="8"/>
        <v>0</v>
      </c>
      <c r="BE69" s="309">
        <v>31</v>
      </c>
      <c r="BF69" s="525" t="s">
        <v>678</v>
      </c>
      <c r="BG69" s="571" t="s">
        <v>679</v>
      </c>
    </row>
    <row r="70" spans="1:59" ht="12" customHeight="1">
      <c r="A70" s="686"/>
      <c r="B70" s="470" t="s">
        <v>408</v>
      </c>
      <c r="C70" s="463"/>
      <c r="D70" s="464"/>
      <c r="E70" s="465">
        <f t="shared" si="9"/>
        <v>0</v>
      </c>
      <c r="F70" s="692" t="s">
        <v>4</v>
      </c>
      <c r="G70" s="463" t="str">
        <f>'VISITA DE INSP.'!C19</f>
        <v>B</v>
      </c>
      <c r="H70" s="475" t="s">
        <v>407</v>
      </c>
      <c r="I70" s="623"/>
      <c r="J70" s="568">
        <f>COUNTA(I70,I100,I130,I160,I190,I220,I250,I280,I310,I340)</f>
        <v>0</v>
      </c>
      <c r="K70" s="717"/>
      <c r="L70" s="717"/>
      <c r="M70" s="539"/>
      <c r="N70" s="714"/>
      <c r="O70" s="716"/>
      <c r="P70" s="716"/>
      <c r="Q70" s="716"/>
      <c r="R70" s="539"/>
      <c r="S70" s="539"/>
      <c r="T70" s="714"/>
      <c r="U70" s="714"/>
      <c r="V70" s="724"/>
      <c r="W70" s="724"/>
      <c r="X70" s="716"/>
      <c r="Y70" s="476"/>
      <c r="Z70" s="4773" t="s">
        <v>429</v>
      </c>
      <c r="AA70" s="4774"/>
      <c r="AB70" s="4774"/>
      <c r="AC70" s="4775"/>
      <c r="AD70" s="442"/>
      <c r="AE70" s="433">
        <v>1</v>
      </c>
      <c r="AF70" s="424" t="s">
        <v>680</v>
      </c>
      <c r="AH70" s="433"/>
      <c r="AJ70" s="427" t="s">
        <v>406</v>
      </c>
      <c r="AK70" s="428">
        <f>R80</f>
        <v>0</v>
      </c>
      <c r="AL70" s="428">
        <f>R110</f>
        <v>0</v>
      </c>
      <c r="AM70" s="429"/>
      <c r="AN70" s="429"/>
      <c r="AO70" s="430">
        <f t="shared" si="7"/>
        <v>0</v>
      </c>
      <c r="AP70" s="86" t="s">
        <v>228</v>
      </c>
      <c r="AQ70" s="431" t="e">
        <f>G77</f>
        <v>#REF!</v>
      </c>
      <c r="AR70" s="112"/>
      <c r="AS70" s="112"/>
      <c r="AT70" s="112"/>
      <c r="AU70" s="430">
        <f t="shared" si="8"/>
        <v>0</v>
      </c>
      <c r="BE70" s="309">
        <v>32</v>
      </c>
      <c r="BF70" s="525" t="s">
        <v>681</v>
      </c>
      <c r="BG70" s="571" t="s">
        <v>682</v>
      </c>
    </row>
    <row r="71" spans="1:59" ht="12" customHeight="1">
      <c r="A71" s="686"/>
      <c r="B71" s="470" t="s">
        <v>434</v>
      </c>
      <c r="C71" s="463"/>
      <c r="D71" s="464"/>
      <c r="E71" s="465">
        <f t="shared" si="9"/>
        <v>0</v>
      </c>
      <c r="F71" s="4776" t="s">
        <v>435</v>
      </c>
      <c r="G71" s="4777"/>
      <c r="H71" s="4777" t="s">
        <v>436</v>
      </c>
      <c r="I71" s="4778"/>
      <c r="J71" s="568">
        <f>SUM(J69,J70)</f>
        <v>1</v>
      </c>
      <c r="K71" s="522" t="s">
        <v>437</v>
      </c>
      <c r="L71" s="539"/>
      <c r="M71" s="725"/>
      <c r="N71" s="725"/>
      <c r="O71" s="725"/>
      <c r="P71" s="725"/>
      <c r="Q71" s="725"/>
      <c r="R71" s="726"/>
      <c r="S71" s="725"/>
      <c r="T71" s="727"/>
      <c r="U71" s="725"/>
      <c r="V71" s="574" t="s">
        <v>438</v>
      </c>
      <c r="W71" s="728"/>
      <c r="X71" s="723"/>
      <c r="Y71" s="445" t="str">
        <f>CONCATENATE(O84,S71)</f>
        <v xml:space="preserve">  COL-</v>
      </c>
      <c r="Z71" s="446" t="s">
        <v>396</v>
      </c>
      <c r="AA71" s="447" t="str">
        <f>Y67</f>
        <v>11007831200.0  078312 E028100.0233023</v>
      </c>
      <c r="AB71" s="448"/>
      <c r="AC71" s="449"/>
      <c r="AD71" s="442" t="s">
        <v>79</v>
      </c>
      <c r="AE71" s="433">
        <v>2</v>
      </c>
      <c r="AF71" s="424" t="s">
        <v>683</v>
      </c>
      <c r="AH71" s="433"/>
      <c r="AJ71" s="427" t="s">
        <v>8</v>
      </c>
      <c r="AK71" s="428">
        <f>R80</f>
        <v>0</v>
      </c>
      <c r="AL71" s="428">
        <f>R110</f>
        <v>0</v>
      </c>
      <c r="AM71" s="429"/>
      <c r="AN71" s="429"/>
      <c r="AO71" s="430">
        <f t="shared" si="7"/>
        <v>0</v>
      </c>
      <c r="AP71" s="86" t="s">
        <v>230</v>
      </c>
      <c r="AQ71" s="431" t="e">
        <f>G77</f>
        <v>#REF!</v>
      </c>
      <c r="AR71" s="112"/>
      <c r="AS71" s="112"/>
      <c r="AT71" s="112"/>
      <c r="AU71" s="430">
        <f t="shared" si="8"/>
        <v>0</v>
      </c>
      <c r="BE71" s="309">
        <v>33</v>
      </c>
      <c r="BF71" s="618" t="s">
        <v>684</v>
      </c>
      <c r="BG71" s="571" t="s">
        <v>685</v>
      </c>
    </row>
    <row r="72" spans="1:59" ht="12" customHeight="1">
      <c r="A72" s="686"/>
      <c r="B72" s="470" t="s">
        <v>443</v>
      </c>
      <c r="C72" s="463"/>
      <c r="D72" s="464"/>
      <c r="E72" s="465">
        <f t="shared" si="9"/>
        <v>0</v>
      </c>
      <c r="F72" s="478" t="s">
        <v>444</v>
      </c>
      <c r="G72" s="624">
        <v>3</v>
      </c>
      <c r="H72" s="479" t="e">
        <f>H42</f>
        <v>#REF!</v>
      </c>
      <c r="I72" s="480" t="e">
        <f>H72+1</f>
        <v>#REF!</v>
      </c>
      <c r="J72" s="569" t="str">
        <f>CONCATENATE(J84,M71,K84,N71,L84,O71,M84,P71,N84,Q71,O84,S71)</f>
        <v>RG-  SM-  MZA-  LTE-  CALLE-  COL-</v>
      </c>
      <c r="K72" s="729"/>
      <c r="L72" s="539"/>
      <c r="M72" s="492"/>
      <c r="N72" s="492"/>
      <c r="O72" s="492"/>
      <c r="P72" s="492"/>
      <c r="Q72" s="492"/>
      <c r="R72" s="730"/>
      <c r="S72" s="731" t="s">
        <v>503</v>
      </c>
      <c r="T72" s="731"/>
      <c r="U72" s="731" t="s">
        <v>504</v>
      </c>
      <c r="V72" s="533"/>
      <c r="W72" s="732"/>
      <c r="X72" s="733"/>
      <c r="Y72" s="450" t="str">
        <f>CONCATENATE(K82,P84,U71)</f>
        <v xml:space="preserve">    C.P.-</v>
      </c>
      <c r="Z72" s="4779" t="s">
        <v>445</v>
      </c>
      <c r="AA72" s="4780"/>
      <c r="AB72" s="4780"/>
      <c r="AC72" s="4781"/>
      <c r="AD72" s="442"/>
      <c r="AE72" s="433">
        <v>3</v>
      </c>
      <c r="AF72" s="424" t="s">
        <v>686</v>
      </c>
      <c r="AH72" s="433"/>
      <c r="AJ72" s="427" t="s">
        <v>432</v>
      </c>
      <c r="AK72" s="428">
        <f>R80</f>
        <v>0</v>
      </c>
      <c r="AL72" s="428">
        <f>R110</f>
        <v>0</v>
      </c>
      <c r="AM72" s="429"/>
      <c r="AN72" s="429"/>
      <c r="AO72" s="430">
        <f t="shared" si="7"/>
        <v>0</v>
      </c>
      <c r="AP72" s="86" t="s">
        <v>404</v>
      </c>
      <c r="AQ72" s="431" t="e">
        <f>G77</f>
        <v>#REF!</v>
      </c>
      <c r="AR72" s="112"/>
      <c r="AS72" s="112"/>
      <c r="AT72" s="112"/>
      <c r="AU72" s="430">
        <f t="shared" si="8"/>
        <v>0</v>
      </c>
      <c r="BE72" s="309">
        <v>34</v>
      </c>
      <c r="BF72" s="430" t="s">
        <v>551</v>
      </c>
      <c r="BG72" s="112" t="s">
        <v>687</v>
      </c>
    </row>
    <row r="73" spans="1:59" ht="12" customHeight="1">
      <c r="A73" s="686"/>
      <c r="B73" s="470" t="s">
        <v>450</v>
      </c>
      <c r="C73" s="463"/>
      <c r="D73" s="464"/>
      <c r="E73" s="465">
        <f t="shared" si="9"/>
        <v>0</v>
      </c>
      <c r="F73" s="692" t="s">
        <v>373</v>
      </c>
      <c r="G73" s="4782" t="s">
        <v>451</v>
      </c>
      <c r="H73" s="4777"/>
      <c r="I73" s="4778"/>
      <c r="J73" s="565" t="str">
        <f>CONCATENATE(O84,S71)</f>
        <v xml:space="preserve">  COL-</v>
      </c>
      <c r="K73" s="522" t="s">
        <v>452</v>
      </c>
      <c r="L73" s="539"/>
      <c r="M73" s="539"/>
      <c r="N73" s="572" t="e">
        <f>#REF!</f>
        <v>#REF!</v>
      </c>
      <c r="O73" s="573"/>
      <c r="P73" s="573"/>
      <c r="Q73" s="573"/>
      <c r="R73" s="573"/>
      <c r="S73" s="574" t="s">
        <v>453</v>
      </c>
      <c r="T73" s="572" t="e">
        <f>#REF!</f>
        <v>#REF!</v>
      </c>
      <c r="U73" s="575"/>
      <c r="V73" s="574" t="s">
        <v>454</v>
      </c>
      <c r="W73" s="576" t="e">
        <f>#REF!</f>
        <v>#REF!</v>
      </c>
      <c r="X73" s="575"/>
      <c r="Y73" s="445"/>
      <c r="Z73" s="446" t="s">
        <v>396</v>
      </c>
      <c r="AA73" s="482" t="str">
        <f>O69</f>
        <v>01-09-1995</v>
      </c>
      <c r="AB73" s="448"/>
      <c r="AC73" s="483"/>
      <c r="AD73" s="442"/>
      <c r="AE73" s="433">
        <v>4</v>
      </c>
      <c r="AF73" s="424" t="s">
        <v>688</v>
      </c>
      <c r="AH73" s="433"/>
      <c r="AJ73" s="427" t="s">
        <v>442</v>
      </c>
      <c r="AK73" s="428">
        <f>R80</f>
        <v>0</v>
      </c>
      <c r="AL73" s="428">
        <f>R110</f>
        <v>0</v>
      </c>
      <c r="AM73" s="429"/>
      <c r="AN73" s="429"/>
      <c r="AO73" s="430">
        <f t="shared" si="7"/>
        <v>0</v>
      </c>
      <c r="AP73" s="86" t="s">
        <v>7</v>
      </c>
      <c r="AQ73" s="431" t="e">
        <f>G77</f>
        <v>#REF!</v>
      </c>
      <c r="AR73" s="112"/>
      <c r="AS73" s="112"/>
      <c r="AT73" s="112"/>
      <c r="AU73" s="430">
        <f t="shared" si="8"/>
        <v>0</v>
      </c>
    </row>
    <row r="74" spans="1:59" ht="12" customHeight="1" thickBot="1">
      <c r="A74" s="686"/>
      <c r="B74" s="484" t="s">
        <v>456</v>
      </c>
      <c r="C74" s="485"/>
      <c r="D74" s="486"/>
      <c r="E74" s="465">
        <f>E72-E73</f>
        <v>0</v>
      </c>
      <c r="F74" s="577">
        <f>F44</f>
        <v>1</v>
      </c>
      <c r="G74" s="488" t="e">
        <f>G44</f>
        <v>#REF!</v>
      </c>
      <c r="H74" s="488" t="e">
        <f>H44</f>
        <v>#REF!</v>
      </c>
      <c r="I74" s="579" t="e">
        <f>I44</f>
        <v>#REF!</v>
      </c>
      <c r="J74" s="580" t="str">
        <f>CONCATENATE(,P84,U71)</f>
        <v xml:space="preserve">  C.P.-</v>
      </c>
      <c r="K74" s="490"/>
      <c r="L74" s="491"/>
      <c r="M74" s="492"/>
      <c r="N74" s="492"/>
      <c r="O74" s="492"/>
      <c r="P74" s="492"/>
      <c r="Q74" s="492"/>
      <c r="R74" s="492"/>
      <c r="S74" s="492"/>
      <c r="T74" s="493"/>
      <c r="V74" s="494"/>
      <c r="W74" s="495"/>
      <c r="X74" s="496"/>
      <c r="Y74" s="497"/>
      <c r="Z74" s="4773" t="s">
        <v>457</v>
      </c>
      <c r="AA74" s="4774"/>
      <c r="AB74" s="4774"/>
      <c r="AC74" s="4775"/>
      <c r="AD74" s="442"/>
      <c r="AE74" s="433">
        <v>5</v>
      </c>
      <c r="AF74" s="424" t="s">
        <v>689</v>
      </c>
      <c r="AG74" s="86"/>
      <c r="AH74" s="433"/>
      <c r="AJ74" s="427" t="s">
        <v>449</v>
      </c>
      <c r="AK74" s="428">
        <f>R80</f>
        <v>0</v>
      </c>
      <c r="AL74" s="428">
        <f>R110</f>
        <v>0</v>
      </c>
      <c r="AM74" s="429"/>
      <c r="AN74" s="429"/>
      <c r="AO74" s="430">
        <f t="shared" si="7"/>
        <v>0</v>
      </c>
      <c r="AP74" s="86" t="s">
        <v>393</v>
      </c>
      <c r="AQ74" s="431" t="e">
        <f>G77</f>
        <v>#REF!</v>
      </c>
      <c r="AR74" s="112"/>
      <c r="AS74" s="112"/>
      <c r="AT74" s="112"/>
      <c r="AU74" s="430">
        <f t="shared" si="8"/>
        <v>0</v>
      </c>
    </row>
    <row r="75" spans="1:59" ht="12" customHeight="1" thickTop="1" thickBot="1">
      <c r="A75" s="686"/>
      <c r="B75" s="4783" t="s">
        <v>460</v>
      </c>
      <c r="C75" s="4784"/>
      <c r="D75" s="4784"/>
      <c r="E75" s="4785"/>
      <c r="F75" s="498" t="s">
        <v>396</v>
      </c>
      <c r="G75" s="499" t="str">
        <f>G45</f>
        <v>CERVANTES BENITEZ * ANTONIA</v>
      </c>
      <c r="H75" s="500"/>
      <c r="I75" s="500"/>
      <c r="J75" s="501"/>
      <c r="K75" s="501"/>
      <c r="L75" s="501"/>
      <c r="M75" s="504"/>
      <c r="N75" s="4783" t="s">
        <v>461</v>
      </c>
      <c r="O75" s="4786"/>
      <c r="P75" s="4786"/>
      <c r="Q75" s="4787"/>
      <c r="R75" s="625" t="s">
        <v>7</v>
      </c>
      <c r="S75" s="582" t="str">
        <f>VLOOKUP(R75,AE1:AF16,2,1)</f>
        <v>DOCENTE</v>
      </c>
      <c r="T75" s="501"/>
      <c r="U75" s="501"/>
      <c r="V75" s="501"/>
      <c r="W75" s="501"/>
      <c r="X75" s="501"/>
      <c r="Y75" s="504"/>
      <c r="Z75" s="446" t="s">
        <v>396</v>
      </c>
      <c r="AA75" s="461" t="str">
        <f>Y69</f>
        <v>BASE</v>
      </c>
      <c r="AB75" s="448"/>
      <c r="AC75" s="505">
        <f>V69</f>
        <v>10</v>
      </c>
      <c r="AD75" s="442"/>
      <c r="AE75" s="433">
        <v>6</v>
      </c>
      <c r="AF75" s="424" t="s">
        <v>690</v>
      </c>
      <c r="AG75" s="86"/>
      <c r="AH75" s="433"/>
      <c r="AJ75" s="427" t="s">
        <v>407</v>
      </c>
      <c r="AK75" s="428">
        <f>R80</f>
        <v>0</v>
      </c>
      <c r="AL75" s="428">
        <f>R110</f>
        <v>0</v>
      </c>
      <c r="AM75" s="429"/>
      <c r="AN75" s="429"/>
      <c r="AO75" s="430">
        <f t="shared" si="7"/>
        <v>0</v>
      </c>
      <c r="AP75" s="86" t="s">
        <v>399</v>
      </c>
      <c r="AQ75" s="431" t="e">
        <f>G77</f>
        <v>#REF!</v>
      </c>
      <c r="AR75" s="112"/>
      <c r="AS75" s="112"/>
      <c r="AT75" s="112"/>
      <c r="AU75" s="430">
        <f t="shared" si="8"/>
        <v>0</v>
      </c>
    </row>
    <row r="76" spans="1:59" ht="12" customHeight="1" thickTop="1" thickBot="1">
      <c r="A76" s="686"/>
      <c r="B76" s="4783" t="s">
        <v>465</v>
      </c>
      <c r="C76" s="4786"/>
      <c r="D76" s="4786"/>
      <c r="E76" s="4787"/>
      <c r="F76" s="506" t="s">
        <v>396</v>
      </c>
      <c r="G76" s="499" t="str">
        <f>G46</f>
        <v>JESUS MARTIN RICALDE CASTRO</v>
      </c>
      <c r="H76" s="501"/>
      <c r="I76" s="501"/>
      <c r="J76" s="501"/>
      <c r="K76" s="501"/>
      <c r="L76" s="501"/>
      <c r="M76" s="504"/>
      <c r="N76" s="4783" t="s">
        <v>466</v>
      </c>
      <c r="O76" s="4786"/>
      <c r="P76" s="4786"/>
      <c r="Q76" s="4787"/>
      <c r="R76" s="625">
        <v>1</v>
      </c>
      <c r="S76" s="582" t="str">
        <f>VLOOKUP(R76,AE17:AF22,2,2)</f>
        <v>BASE</v>
      </c>
      <c r="T76" s="501"/>
      <c r="U76" s="501"/>
      <c r="V76" s="501"/>
      <c r="W76" s="501"/>
      <c r="X76" s="501"/>
      <c r="Y76" s="507" t="str">
        <f>CONCATENATE(M72,M71,N72,N71,O72,O71,P72,P71)</f>
        <v/>
      </c>
      <c r="Z76" s="4773" t="s">
        <v>467</v>
      </c>
      <c r="AA76" s="4774"/>
      <c r="AB76" s="4774"/>
      <c r="AC76" s="4775"/>
      <c r="AD76" s="442"/>
      <c r="AE76" s="433">
        <v>7</v>
      </c>
      <c r="AF76" s="424" t="s">
        <v>691</v>
      </c>
      <c r="AG76" s="86"/>
      <c r="AH76" s="433"/>
      <c r="AJ76" s="427" t="s">
        <v>14</v>
      </c>
      <c r="AK76" s="428">
        <f>R80</f>
        <v>0</v>
      </c>
      <c r="AL76" s="428">
        <f>R110</f>
        <v>0</v>
      </c>
      <c r="AM76" s="429"/>
      <c r="AN76" s="429"/>
      <c r="AO76" s="430">
        <f t="shared" si="7"/>
        <v>0</v>
      </c>
      <c r="AP76" s="86" t="s">
        <v>228</v>
      </c>
      <c r="AQ76" s="431" t="e">
        <f>G77</f>
        <v>#REF!</v>
      </c>
      <c r="AR76" s="112"/>
      <c r="AS76" s="112"/>
      <c r="AT76" s="112"/>
      <c r="AU76" s="430">
        <f t="shared" si="8"/>
        <v>0</v>
      </c>
    </row>
    <row r="77" spans="1:59" ht="12" customHeight="1" thickTop="1" thickBot="1">
      <c r="A77" s="686"/>
      <c r="B77" s="4788" t="s">
        <v>471</v>
      </c>
      <c r="C77" s="4789"/>
      <c r="D77" s="4789"/>
      <c r="E77" s="4790"/>
      <c r="F77" s="506" t="s">
        <v>396</v>
      </c>
      <c r="G77" s="499" t="e">
        <f>G47</f>
        <v>#REF!</v>
      </c>
      <c r="H77" s="501"/>
      <c r="I77" s="501"/>
      <c r="J77" s="501"/>
      <c r="K77" s="501"/>
      <c r="L77" s="501"/>
      <c r="M77" s="501"/>
      <c r="N77" s="4783" t="s">
        <v>472</v>
      </c>
      <c r="O77" s="4786"/>
      <c r="P77" s="4786"/>
      <c r="Q77" s="4787"/>
      <c r="R77" s="625">
        <v>4</v>
      </c>
      <c r="S77" s="582" t="str">
        <f>VLOOKUP(R77,AE25:AF34,2,2)</f>
        <v>ALTA DEFINITIVA. (Si la persona se da de alta en al escuela)</v>
      </c>
      <c r="T77" s="501"/>
      <c r="U77" s="501"/>
      <c r="V77" s="501"/>
      <c r="W77" s="501"/>
      <c r="X77" s="501"/>
      <c r="Y77" s="504"/>
      <c r="Z77" s="446" t="s">
        <v>396</v>
      </c>
      <c r="AA77" s="447" t="str">
        <f>J72</f>
        <v>RG-  SM-  MZA-  LTE-  CALLE-  COL-</v>
      </c>
      <c r="AB77" s="448"/>
      <c r="AC77" s="449"/>
      <c r="AD77" s="442" t="s">
        <v>389</v>
      </c>
      <c r="AE77" s="433">
        <v>8</v>
      </c>
      <c r="AF77" s="424" t="s">
        <v>692</v>
      </c>
      <c r="AH77" s="433"/>
      <c r="AJ77" s="427" t="s">
        <v>464</v>
      </c>
      <c r="AK77" s="428">
        <f>R80</f>
        <v>0</v>
      </c>
      <c r="AL77" s="428">
        <f>R110</f>
        <v>0</v>
      </c>
      <c r="AM77" s="429"/>
      <c r="AN77" s="429"/>
      <c r="AO77" s="430">
        <f t="shared" si="7"/>
        <v>0</v>
      </c>
      <c r="AP77" s="86" t="s">
        <v>230</v>
      </c>
      <c r="AQ77" s="431" t="e">
        <f>G77</f>
        <v>#REF!</v>
      </c>
      <c r="AR77" s="112"/>
      <c r="AS77" s="112"/>
      <c r="AT77" s="112"/>
      <c r="AU77" s="430">
        <f t="shared" si="8"/>
        <v>0</v>
      </c>
    </row>
    <row r="78" spans="1:59" ht="12" customHeight="1" thickTop="1" thickBot="1">
      <c r="A78" s="686"/>
      <c r="B78" s="4788" t="s">
        <v>475</v>
      </c>
      <c r="C78" s="4789"/>
      <c r="D78" s="4789"/>
      <c r="E78" s="4790"/>
      <c r="F78" s="508"/>
      <c r="G78" s="499" t="s">
        <v>693</v>
      </c>
      <c r="H78" s="501"/>
      <c r="I78" s="501"/>
      <c r="J78" s="501"/>
      <c r="K78" s="501"/>
      <c r="L78" s="501"/>
      <c r="M78" s="501"/>
      <c r="N78" s="4783" t="s">
        <v>476</v>
      </c>
      <c r="O78" s="4786"/>
      <c r="P78" s="4786"/>
      <c r="Q78" s="4787"/>
      <c r="R78" s="625">
        <v>2</v>
      </c>
      <c r="S78" s="582" t="str">
        <f>VLOOKUP(R78,AE35:AF43,2,2)</f>
        <v>FEDERAL TRANFERIDA  (18 de mayo de 2005 )</v>
      </c>
      <c r="T78" s="501"/>
      <c r="U78" s="501"/>
      <c r="V78" s="501"/>
      <c r="W78" s="501"/>
      <c r="X78" s="501"/>
      <c r="Y78" s="504"/>
      <c r="Z78" s="4773" t="s">
        <v>477</v>
      </c>
      <c r="AA78" s="4774"/>
      <c r="AB78" s="4774"/>
      <c r="AC78" s="4775"/>
      <c r="AD78" s="442"/>
      <c r="AE78" s="433">
        <v>8</v>
      </c>
      <c r="AF78" s="424" t="s">
        <v>692</v>
      </c>
      <c r="AH78" s="433"/>
      <c r="AJ78" s="427" t="s">
        <v>470</v>
      </c>
      <c r="AK78" s="428">
        <f>R80</f>
        <v>0</v>
      </c>
      <c r="AL78" s="428">
        <f>R110</f>
        <v>0</v>
      </c>
      <c r="AM78" s="429"/>
      <c r="AN78" s="429"/>
      <c r="AO78" s="430">
        <f t="shared" si="7"/>
        <v>0</v>
      </c>
      <c r="AP78" s="86" t="s">
        <v>404</v>
      </c>
      <c r="AQ78" s="431" t="e">
        <f>G77</f>
        <v>#REF!</v>
      </c>
      <c r="AR78" s="112"/>
      <c r="AS78" s="112"/>
      <c r="AT78" s="112"/>
      <c r="AU78" s="430">
        <f t="shared" si="8"/>
        <v>0</v>
      </c>
    </row>
    <row r="79" spans="1:59" ht="12" customHeight="1" thickTop="1" thickBot="1">
      <c r="A79" s="686"/>
      <c r="B79" s="4791" t="s">
        <v>479</v>
      </c>
      <c r="C79" s="4792"/>
      <c r="D79" s="4792"/>
      <c r="E79" s="4793"/>
      <c r="F79" s="625"/>
      <c r="G79" s="499">
        <f>VLOOKUP(F79,AE69:AF78,2,1)</f>
        <v>0</v>
      </c>
      <c r="H79" s="501"/>
      <c r="I79" s="501"/>
      <c r="J79" s="501"/>
      <c r="K79" s="501"/>
      <c r="L79" s="584"/>
      <c r="M79" s="619">
        <f>COUNTA(F79,F197,F317,F437)</f>
        <v>3</v>
      </c>
      <c r="N79" s="4783" t="s">
        <v>480</v>
      </c>
      <c r="O79" s="4786"/>
      <c r="P79" s="4786"/>
      <c r="Q79" s="4787"/>
      <c r="R79" s="625" t="s">
        <v>446</v>
      </c>
      <c r="S79" s="582" t="str">
        <f>VLOOKUP(R79,AE44:AF68,2,2)</f>
        <v>OTROS</v>
      </c>
      <c r="T79" s="501"/>
      <c r="U79" s="501"/>
      <c r="V79" s="501"/>
      <c r="W79" s="501"/>
      <c r="X79" s="501"/>
      <c r="Y79" s="504"/>
      <c r="Z79" s="446" t="s">
        <v>481</v>
      </c>
      <c r="AA79" s="447">
        <f>'VISITA DE INSP.'!AQ19</f>
        <v>0</v>
      </c>
      <c r="AB79" s="448"/>
      <c r="AC79" s="449"/>
      <c r="AD79" s="442"/>
      <c r="AE79" s="433">
        <v>0</v>
      </c>
      <c r="AF79" s="424">
        <v>0</v>
      </c>
      <c r="AG79" s="433" t="s">
        <v>379</v>
      </c>
      <c r="AH79" s="426" t="s">
        <v>694</v>
      </c>
      <c r="AJ79" s="427" t="s">
        <v>474</v>
      </c>
      <c r="AK79" s="428">
        <f>R80</f>
        <v>0</v>
      </c>
      <c r="AL79" s="428">
        <f>R110</f>
        <v>0</v>
      </c>
      <c r="AM79" s="429"/>
      <c r="AN79" s="429"/>
      <c r="AO79" s="430">
        <f t="shared" si="7"/>
        <v>0</v>
      </c>
      <c r="AP79" s="86" t="s">
        <v>7</v>
      </c>
      <c r="AQ79" s="431" t="e">
        <f>G77</f>
        <v>#REF!</v>
      </c>
      <c r="AR79" s="112"/>
      <c r="AS79" s="112"/>
      <c r="AT79" s="112"/>
      <c r="AU79" s="430">
        <f t="shared" si="8"/>
        <v>0</v>
      </c>
    </row>
    <row r="80" spans="1:59" ht="12" customHeight="1" thickTop="1" thickBot="1">
      <c r="A80" s="686"/>
      <c r="B80" s="4791" t="s">
        <v>484</v>
      </c>
      <c r="C80" s="4792"/>
      <c r="D80" s="4792"/>
      <c r="E80" s="4793"/>
      <c r="F80" s="625"/>
      <c r="G80" s="499">
        <f>VLOOKUP(F80,AE79:AF85,2,1)</f>
        <v>0</v>
      </c>
      <c r="H80" s="501"/>
      <c r="I80" s="501"/>
      <c r="J80" s="501"/>
      <c r="K80" s="501"/>
      <c r="L80" s="501"/>
      <c r="M80" s="504"/>
      <c r="N80" s="4783" t="s">
        <v>485</v>
      </c>
      <c r="O80" s="4786"/>
      <c r="P80" s="4786"/>
      <c r="Q80" s="4787"/>
      <c r="R80" s="625"/>
      <c r="S80" s="734"/>
      <c r="T80" s="511"/>
      <c r="U80" s="512"/>
      <c r="V80" s="511"/>
      <c r="W80" s="511"/>
      <c r="X80" s="511"/>
      <c r="Y80" s="513"/>
      <c r="Z80" s="4773" t="s">
        <v>486</v>
      </c>
      <c r="AA80" s="4774"/>
      <c r="AB80" s="4774"/>
      <c r="AC80" s="4775"/>
      <c r="AD80" s="442"/>
      <c r="AE80" s="433">
        <v>1</v>
      </c>
      <c r="AF80" s="86" t="s">
        <v>695</v>
      </c>
      <c r="AJ80" s="427" t="s">
        <v>478</v>
      </c>
      <c r="AK80" s="428">
        <f>R80</f>
        <v>0</v>
      </c>
      <c r="AL80" s="428">
        <f>R110</f>
        <v>0</v>
      </c>
      <c r="AM80" s="429"/>
      <c r="AN80" s="429"/>
      <c r="AO80" s="430">
        <f t="shared" si="7"/>
        <v>0</v>
      </c>
      <c r="AP80" s="86" t="s">
        <v>393</v>
      </c>
      <c r="AQ80" s="431" t="e">
        <f>G77</f>
        <v>#REF!</v>
      </c>
      <c r="AR80" s="112"/>
      <c r="AS80" s="112"/>
      <c r="AT80" s="112"/>
      <c r="AU80" s="430">
        <f t="shared" si="8"/>
        <v>0</v>
      </c>
    </row>
    <row r="81" spans="1:61" ht="12" hidden="1" customHeight="1" thickTop="1" thickBot="1">
      <c r="A81" s="686"/>
      <c r="B81" s="4811" t="s">
        <v>488</v>
      </c>
      <c r="C81" s="4812"/>
      <c r="D81" s="4812"/>
      <c r="E81" s="4812"/>
      <c r="F81" s="4812"/>
      <c r="G81" s="4812"/>
      <c r="H81" s="4812"/>
      <c r="I81" s="4812"/>
      <c r="J81" s="4794" t="s">
        <v>488</v>
      </c>
      <c r="K81" s="4795"/>
      <c r="L81" s="4795"/>
      <c r="M81" s="4795"/>
      <c r="N81" s="4795"/>
      <c r="O81" s="4795"/>
      <c r="P81" s="4795"/>
      <c r="Q81" s="4796"/>
      <c r="R81" s="4811" t="s">
        <v>488</v>
      </c>
      <c r="S81" s="4812"/>
      <c r="T81" s="4812"/>
      <c r="U81" s="4812"/>
      <c r="V81" s="4812"/>
      <c r="W81" s="4812"/>
      <c r="X81" s="4812"/>
      <c r="Y81" s="4812"/>
      <c r="Z81" s="446" t="s">
        <v>489</v>
      </c>
      <c r="AA81" s="447"/>
      <c r="AB81" s="448"/>
      <c r="AC81" s="449"/>
      <c r="AD81" s="442"/>
      <c r="AE81" s="433">
        <v>2</v>
      </c>
      <c r="AF81" s="86" t="s">
        <v>696</v>
      </c>
      <c r="AJ81" s="427" t="s">
        <v>483</v>
      </c>
      <c r="AK81" s="428">
        <f>R80</f>
        <v>0</v>
      </c>
      <c r="AL81" s="428">
        <f>R110</f>
        <v>0</v>
      </c>
      <c r="AM81" s="429"/>
      <c r="AN81" s="429"/>
      <c r="AO81" s="430">
        <f t="shared" si="7"/>
        <v>0</v>
      </c>
      <c r="AP81" s="86" t="s">
        <v>399</v>
      </c>
      <c r="AQ81" s="431" t="e">
        <f>G77</f>
        <v>#REF!</v>
      </c>
      <c r="AR81" s="112"/>
      <c r="AS81" s="112"/>
      <c r="AT81" s="112"/>
      <c r="AU81" s="430">
        <f t="shared" si="8"/>
        <v>0</v>
      </c>
    </row>
    <row r="82" spans="1:61" ht="12" hidden="1" customHeight="1" thickTop="1" thickBot="1">
      <c r="A82" s="686"/>
      <c r="B82" s="586"/>
      <c r="C82" s="587"/>
      <c r="D82" s="588"/>
      <c r="E82" s="4797"/>
      <c r="F82" s="4797"/>
      <c r="G82" s="589"/>
      <c r="H82" s="590"/>
      <c r="I82" s="591"/>
      <c r="J82" s="675" t="s">
        <v>491</v>
      </c>
      <c r="K82" s="676" t="s">
        <v>491</v>
      </c>
      <c r="L82" s="677" t="s">
        <v>492</v>
      </c>
      <c r="M82" s="4797"/>
      <c r="N82" s="4797"/>
      <c r="O82" s="517" t="s">
        <v>418</v>
      </c>
      <c r="P82" s="518" t="s">
        <v>493</v>
      </c>
      <c r="Q82" s="520"/>
      <c r="R82" s="593"/>
      <c r="S82" s="594"/>
      <c r="T82" s="595"/>
      <c r="U82" s="4797"/>
      <c r="V82" s="4797"/>
      <c r="W82" s="596"/>
      <c r="X82" s="594"/>
      <c r="Y82" s="597"/>
      <c r="Z82" s="4773" t="s">
        <v>494</v>
      </c>
      <c r="AA82" s="4774"/>
      <c r="AB82" s="4774"/>
      <c r="AC82" s="4775"/>
      <c r="AD82" s="442"/>
      <c r="AE82" s="433">
        <v>3</v>
      </c>
      <c r="AF82" s="86" t="s">
        <v>697</v>
      </c>
      <c r="AH82" s="433"/>
      <c r="AJ82" s="427" t="s">
        <v>78</v>
      </c>
      <c r="AK82" s="428">
        <f>R80</f>
        <v>0</v>
      </c>
      <c r="AL82" s="428">
        <f>R110</f>
        <v>0</v>
      </c>
      <c r="AM82" s="429"/>
      <c r="AN82" s="429"/>
      <c r="AO82" s="430">
        <f t="shared" si="7"/>
        <v>0</v>
      </c>
    </row>
    <row r="83" spans="1:61" ht="12" hidden="1" customHeight="1" thickTop="1">
      <c r="A83" s="686"/>
      <c r="B83" s="586"/>
      <c r="C83" s="587"/>
      <c r="D83" s="588"/>
      <c r="E83" s="4813" t="s">
        <v>621</v>
      </c>
      <c r="F83" s="4814"/>
      <c r="G83" s="590"/>
      <c r="H83" s="590"/>
      <c r="I83" s="591"/>
      <c r="J83" s="523"/>
      <c r="K83" s="522"/>
      <c r="L83" s="4798" t="s">
        <v>496</v>
      </c>
      <c r="M83" s="4799"/>
      <c r="N83" s="4799"/>
      <c r="O83" s="4800"/>
      <c r="P83" s="515"/>
      <c r="Q83" s="520"/>
      <c r="R83" s="593"/>
      <c r="S83" s="594"/>
      <c r="T83" s="598"/>
      <c r="U83" s="4815" t="s">
        <v>622</v>
      </c>
      <c r="V83" s="4816"/>
      <c r="W83" s="596"/>
      <c r="X83" s="594"/>
      <c r="Y83" s="597"/>
      <c r="Z83" s="446"/>
      <c r="AA83" s="524">
        <f>VLOOKUP(Z83,BE24:BF34,2,2)</f>
        <v>0</v>
      </c>
      <c r="AB83" s="448"/>
      <c r="AC83" s="449"/>
      <c r="AD83" s="442"/>
      <c r="AE83" s="433">
        <v>4</v>
      </c>
      <c r="AF83" s="86" t="s">
        <v>698</v>
      </c>
      <c r="AH83" s="433"/>
      <c r="AJ83" s="427" t="s">
        <v>458</v>
      </c>
      <c r="AK83" s="428">
        <f>R80</f>
        <v>0</v>
      </c>
      <c r="AL83" s="428">
        <f>R110</f>
        <v>0</v>
      </c>
      <c r="AM83" s="429"/>
      <c r="AN83" s="429"/>
      <c r="AO83" s="430">
        <f t="shared" si="7"/>
        <v>0</v>
      </c>
      <c r="BI83" s="620"/>
    </row>
    <row r="84" spans="1:61" ht="12" hidden="1" customHeight="1">
      <c r="A84" s="686"/>
      <c r="B84" s="586"/>
      <c r="C84" s="587"/>
      <c r="D84" s="588"/>
      <c r="E84" s="599"/>
      <c r="F84" s="590"/>
      <c r="G84" s="590"/>
      <c r="H84" s="590"/>
      <c r="I84" s="591"/>
      <c r="J84" s="526" t="s">
        <v>498</v>
      </c>
      <c r="K84" s="527" t="s">
        <v>499</v>
      </c>
      <c r="L84" s="527" t="s">
        <v>500</v>
      </c>
      <c r="M84" s="527" t="s">
        <v>501</v>
      </c>
      <c r="N84" s="527" t="s">
        <v>502</v>
      </c>
      <c r="O84" s="527" t="s">
        <v>503</v>
      </c>
      <c r="P84" s="527" t="s">
        <v>504</v>
      </c>
      <c r="Q84" s="600"/>
      <c r="R84" s="4752" t="str">
        <f>'VISITA DE INSP.'!D19</f>
        <v>AKE QUEB * MARIANA DEL CONSUELO</v>
      </c>
      <c r="S84" s="4753"/>
      <c r="T84" s="4753"/>
      <c r="U84" s="4753"/>
      <c r="V84" s="4753"/>
      <c r="W84" s="4753"/>
      <c r="X84" s="4753"/>
      <c r="Y84" s="4754"/>
      <c r="Z84" s="4801" t="s">
        <v>506</v>
      </c>
      <c r="AA84" s="4802"/>
      <c r="AB84" s="4802"/>
      <c r="AC84" s="4803"/>
      <c r="AD84" s="442"/>
      <c r="AE84" s="433">
        <v>5</v>
      </c>
      <c r="AF84" s="86" t="s">
        <v>699</v>
      </c>
      <c r="AH84" s="433"/>
      <c r="AJ84" s="427" t="s">
        <v>495</v>
      </c>
      <c r="AK84" s="428">
        <f>R80</f>
        <v>0</v>
      </c>
      <c r="AL84" s="428">
        <f>R110</f>
        <v>0</v>
      </c>
      <c r="AM84" s="429"/>
      <c r="AN84" s="429"/>
      <c r="AO84" s="430">
        <f>COUNTIF(AK84:AN84,AJ84)</f>
        <v>0</v>
      </c>
      <c r="BI84" s="195"/>
    </row>
    <row r="85" spans="1:61" ht="12" hidden="1" customHeight="1">
      <c r="A85" s="686"/>
      <c r="B85" s="586"/>
      <c r="C85" s="587"/>
      <c r="D85" s="588"/>
      <c r="E85" s="599"/>
      <c r="F85" s="590"/>
      <c r="G85" s="590"/>
      <c r="H85" s="590"/>
      <c r="I85" s="591"/>
      <c r="J85" s="534"/>
      <c r="K85" s="531" t="s">
        <v>491</v>
      </c>
      <c r="L85" s="532" t="s">
        <v>491</v>
      </c>
      <c r="M85" s="533"/>
      <c r="N85" s="532"/>
      <c r="O85" s="532"/>
      <c r="P85" s="532"/>
      <c r="Q85" s="520"/>
      <c r="R85" s="593"/>
      <c r="S85" s="4758" t="str">
        <f>'VISITA DE INSP.'!AN19</f>
        <v>AEQM701008HL2</v>
      </c>
      <c r="T85" s="4759"/>
      <c r="U85" s="4759"/>
      <c r="V85" s="4759"/>
      <c r="W85" s="4759"/>
      <c r="X85" s="4760"/>
      <c r="Y85" s="602"/>
      <c r="Z85" s="446"/>
      <c r="AA85" s="524">
        <f>VLOOKUP(Z85,AW24:AX39,2,2)</f>
        <v>0</v>
      </c>
      <c r="AB85" s="448"/>
      <c r="AC85" s="449"/>
      <c r="AD85" s="442"/>
      <c r="AE85" s="433">
        <v>5</v>
      </c>
      <c r="AF85" s="86" t="s">
        <v>699</v>
      </c>
      <c r="AJ85" s="427" t="s">
        <v>495</v>
      </c>
      <c r="AK85" s="428">
        <f>R80</f>
        <v>0</v>
      </c>
      <c r="AL85" s="428">
        <f>R110</f>
        <v>0</v>
      </c>
      <c r="AM85" s="429"/>
      <c r="AN85" s="429"/>
      <c r="AO85" s="430">
        <f>COUNTIF(AK85:AN85,AJ85)</f>
        <v>0</v>
      </c>
    </row>
    <row r="86" spans="1:61" ht="12" hidden="1" customHeight="1">
      <c r="A86" s="686"/>
      <c r="B86" s="586"/>
      <c r="C86" s="587"/>
      <c r="D86" s="588"/>
      <c r="E86" s="599"/>
      <c r="F86" s="590"/>
      <c r="G86" s="590"/>
      <c r="H86" s="590"/>
      <c r="I86" s="591"/>
      <c r="J86" s="538"/>
      <c r="K86" s="537"/>
      <c r="L86" s="527"/>
      <c r="M86" s="527"/>
      <c r="N86" s="527"/>
      <c r="O86" s="527"/>
      <c r="P86" s="527"/>
      <c r="Q86" s="520"/>
      <c r="R86" s="593"/>
      <c r="S86" s="4758" t="str">
        <f>'VISITA DE INSP.'!AO19</f>
        <v>078312 E028100.0233023</v>
      </c>
      <c r="T86" s="4759"/>
      <c r="U86" s="4759"/>
      <c r="V86" s="4759"/>
      <c r="W86" s="4759"/>
      <c r="X86" s="4760"/>
      <c r="Y86" s="602"/>
      <c r="Z86" s="4773" t="s">
        <v>511</v>
      </c>
      <c r="AA86" s="4774"/>
      <c r="AB86" s="4774"/>
      <c r="AC86" s="4775"/>
      <c r="AD86" s="442"/>
      <c r="AE86" s="112">
        <v>0</v>
      </c>
      <c r="AF86" s="433">
        <v>0</v>
      </c>
      <c r="AG86" s="433" t="s">
        <v>700</v>
      </c>
      <c r="AH86" s="426" t="s">
        <v>379</v>
      </c>
      <c r="AJ86" s="427" t="s">
        <v>495</v>
      </c>
      <c r="AK86" s="428">
        <f>R80</f>
        <v>0</v>
      </c>
      <c r="AL86" s="428">
        <f>R110</f>
        <v>0</v>
      </c>
      <c r="AM86" s="429"/>
      <c r="AN86" s="429"/>
      <c r="AO86" s="430">
        <f>COUNTIF(AK86:AN86,AJ86)</f>
        <v>0</v>
      </c>
    </row>
    <row r="87" spans="1:61" ht="12" hidden="1" customHeight="1">
      <c r="A87" s="686"/>
      <c r="B87" s="586"/>
      <c r="C87" s="587"/>
      <c r="D87" s="588"/>
      <c r="E87" s="599"/>
      <c r="F87" s="590"/>
      <c r="G87" s="590"/>
      <c r="H87" s="590"/>
      <c r="I87" s="591"/>
      <c r="J87" s="534"/>
      <c r="K87" s="537"/>
      <c r="L87" s="531"/>
      <c r="M87" s="533"/>
      <c r="N87" s="532"/>
      <c r="O87" s="532"/>
      <c r="P87" s="532"/>
      <c r="Q87" s="520"/>
      <c r="R87" s="593"/>
      <c r="S87" s="4827" t="str">
        <f>'VISITA DE INSP.'!AU19</f>
        <v>01-09-1995</v>
      </c>
      <c r="T87" s="4828"/>
      <c r="U87" s="4828"/>
      <c r="V87" s="4828"/>
      <c r="W87" s="4828"/>
      <c r="X87" s="4829"/>
      <c r="Y87" s="597"/>
      <c r="Z87" s="446">
        <v>2</v>
      </c>
      <c r="AA87" s="524" t="str">
        <f>VLOOKUP(Z87,BB24:BC34,2,2)</f>
        <v>PRIMARIA</v>
      </c>
      <c r="AB87" s="448"/>
      <c r="AC87" s="449"/>
      <c r="AD87" s="442"/>
      <c r="AE87" s="424" t="s">
        <v>701</v>
      </c>
      <c r="AF87" s="433">
        <v>3</v>
      </c>
    </row>
    <row r="88" spans="1:61" ht="12" hidden="1" customHeight="1">
      <c r="A88" s="686"/>
      <c r="B88" s="586"/>
      <c r="C88" s="587"/>
      <c r="D88" s="588"/>
      <c r="E88" s="599"/>
      <c r="F88" s="590"/>
      <c r="G88" s="590"/>
      <c r="H88" s="590"/>
      <c r="I88" s="591"/>
      <c r="J88" s="534"/>
      <c r="K88" s="522"/>
      <c r="L88" s="539"/>
      <c r="M88" s="540"/>
      <c r="N88" s="515"/>
      <c r="O88" s="515"/>
      <c r="P88" s="515"/>
      <c r="Q88" s="520"/>
      <c r="R88" s="593"/>
      <c r="S88" s="4758">
        <f>'VISITA DE INSP.'!AT19</f>
        <v>10</v>
      </c>
      <c r="T88" s="4759"/>
      <c r="U88" s="4759"/>
      <c r="V88" s="4759"/>
      <c r="W88" s="4759"/>
      <c r="X88" s="4760"/>
      <c r="Y88" s="597"/>
      <c r="Z88" s="4773" t="s">
        <v>520</v>
      </c>
      <c r="AA88" s="4774"/>
      <c r="AB88" s="4774"/>
      <c r="AC88" s="4775"/>
      <c r="AD88" s="442"/>
      <c r="AE88" s="424" t="s">
        <v>69</v>
      </c>
      <c r="AF88" s="433">
        <v>1</v>
      </c>
    </row>
    <row r="89" spans="1:61" ht="12" hidden="1" customHeight="1">
      <c r="A89" s="686"/>
      <c r="B89" s="586"/>
      <c r="C89" s="587"/>
      <c r="D89" s="588"/>
      <c r="E89" s="599"/>
      <c r="F89" s="590"/>
      <c r="G89" s="590"/>
      <c r="H89" s="590"/>
      <c r="I89" s="591"/>
      <c r="J89" s="534"/>
      <c r="K89" s="541"/>
      <c r="L89" s="541"/>
      <c r="M89" s="541"/>
      <c r="N89" s="541"/>
      <c r="O89" s="541"/>
      <c r="P89" s="541"/>
      <c r="Q89" s="520"/>
      <c r="R89" s="593"/>
      <c r="S89" s="4830">
        <f>'VISITA DE INSP.'!AT77</f>
        <v>0</v>
      </c>
      <c r="T89" s="4831"/>
      <c r="U89" s="4831"/>
      <c r="V89" s="4831"/>
      <c r="W89" s="4831"/>
      <c r="X89" s="4832"/>
      <c r="Y89" s="597"/>
      <c r="Z89" s="446" t="s">
        <v>396</v>
      </c>
      <c r="AA89" s="447" t="str">
        <f>J73</f>
        <v xml:space="preserve">  COL-</v>
      </c>
      <c r="AB89" s="448"/>
      <c r="AC89" s="449"/>
      <c r="AD89" s="442"/>
      <c r="AE89" s="424" t="s">
        <v>702</v>
      </c>
      <c r="AF89" s="433">
        <v>5</v>
      </c>
    </row>
    <row r="90" spans="1:61" ht="12" hidden="1" customHeight="1">
      <c r="A90" s="686"/>
      <c r="B90" s="586"/>
      <c r="C90" s="603" t="str">
        <f>Y65</f>
        <v xml:space="preserve">       </v>
      </c>
      <c r="D90" s="604"/>
      <c r="E90" s="604"/>
      <c r="F90" s="604"/>
      <c r="G90" s="604"/>
      <c r="H90" s="605"/>
      <c r="I90" s="591"/>
      <c r="J90" s="606" t="str">
        <f>J74</f>
        <v xml:space="preserve">  C.P.-</v>
      </c>
      <c r="K90" s="603" t="str">
        <f>C90</f>
        <v xml:space="preserve">       </v>
      </c>
      <c r="L90" s="604"/>
      <c r="M90" s="604"/>
      <c r="N90" s="604"/>
      <c r="O90" s="604"/>
      <c r="P90" s="605"/>
      <c r="Q90" s="597"/>
      <c r="R90" s="593"/>
      <c r="S90" s="607" t="str">
        <f>K90</f>
        <v xml:space="preserve">       </v>
      </c>
      <c r="T90" s="608"/>
      <c r="U90" s="608"/>
      <c r="V90" s="608"/>
      <c r="W90" s="608"/>
      <c r="X90" s="609"/>
      <c r="Y90" s="597"/>
      <c r="Z90" s="4773" t="s">
        <v>529</v>
      </c>
      <c r="AA90" s="4774"/>
      <c r="AB90" s="4774"/>
      <c r="AC90" s="4775"/>
      <c r="AD90" s="442"/>
      <c r="AE90" s="424" t="s">
        <v>703</v>
      </c>
      <c r="AF90" s="433">
        <v>4</v>
      </c>
    </row>
    <row r="91" spans="1:61" ht="12" hidden="1" customHeight="1" thickBot="1">
      <c r="A91" s="686"/>
      <c r="B91" s="610"/>
      <c r="C91" s="4817" t="s">
        <v>534</v>
      </c>
      <c r="D91" s="4818"/>
      <c r="E91" s="4818"/>
      <c r="F91" s="4818"/>
      <c r="G91" s="4818"/>
      <c r="H91" s="4819"/>
      <c r="I91" s="611"/>
      <c r="J91" s="612"/>
      <c r="K91" s="4820" t="s">
        <v>534</v>
      </c>
      <c r="L91" s="4821"/>
      <c r="M91" s="4821"/>
      <c r="N91" s="4821"/>
      <c r="O91" s="4821"/>
      <c r="P91" s="4822"/>
      <c r="Q91" s="613"/>
      <c r="R91" s="614"/>
      <c r="S91" s="4817" t="s">
        <v>534</v>
      </c>
      <c r="T91" s="4818"/>
      <c r="U91" s="4818"/>
      <c r="V91" s="4818"/>
      <c r="W91" s="4818"/>
      <c r="X91" s="4819"/>
      <c r="Y91" s="615"/>
      <c r="Z91" s="446" t="s">
        <v>396</v>
      </c>
      <c r="AA91" s="447" t="str">
        <f>J74</f>
        <v xml:space="preserve">  C.P.-</v>
      </c>
      <c r="AB91" s="448"/>
      <c r="AC91" s="449"/>
      <c r="AD91" s="442"/>
      <c r="AE91" s="424" t="s">
        <v>447</v>
      </c>
      <c r="AF91" s="433">
        <v>6</v>
      </c>
    </row>
    <row r="92" spans="1:61" ht="12" hidden="1" customHeight="1" thickTop="1" thickBot="1">
      <c r="A92" s="686"/>
      <c r="B92" s="4783" t="s">
        <v>538</v>
      </c>
      <c r="C92" s="4784"/>
      <c r="D92" s="4784"/>
      <c r="E92" s="4784"/>
      <c r="F92" s="552"/>
      <c r="G92" s="551">
        <f>VLOOKUP(F92,BE38:BG72,2,2)</f>
        <v>0</v>
      </c>
      <c r="H92" s="511"/>
      <c r="I92" s="513"/>
      <c r="J92" s="4783" t="s">
        <v>539</v>
      </c>
      <c r="K92" s="4784"/>
      <c r="L92" s="4784"/>
      <c r="M92" s="4784"/>
      <c r="N92" s="552" t="s">
        <v>540</v>
      </c>
      <c r="O92" s="628"/>
      <c r="P92" s="629"/>
      <c r="Q92" s="630"/>
      <c r="R92" s="4783" t="s">
        <v>541</v>
      </c>
      <c r="S92" s="4784"/>
      <c r="T92" s="4784"/>
      <c r="U92" s="4785"/>
      <c r="V92" s="508" t="s">
        <v>396</v>
      </c>
      <c r="W92" s="553">
        <f>O65</f>
        <v>0</v>
      </c>
      <c r="X92" s="554">
        <f>R65</f>
        <v>0</v>
      </c>
      <c r="Y92" s="555">
        <f>U65</f>
        <v>0</v>
      </c>
      <c r="Z92" s="4773" t="s">
        <v>542</v>
      </c>
      <c r="AA92" s="4774"/>
      <c r="AB92" s="4774"/>
      <c r="AC92" s="4775"/>
      <c r="AD92" s="442"/>
      <c r="AE92" s="424" t="s">
        <v>77</v>
      </c>
      <c r="AF92" s="433">
        <v>2</v>
      </c>
    </row>
    <row r="93" spans="1:61" ht="12" customHeight="1" thickTop="1" thickBot="1">
      <c r="A93" s="686"/>
      <c r="B93" s="621"/>
      <c r="C93" s="622"/>
      <c r="D93" s="622"/>
      <c r="E93" s="622"/>
      <c r="F93" s="622"/>
      <c r="G93" s="622"/>
      <c r="H93" s="622"/>
      <c r="I93" s="622"/>
      <c r="J93" s="622"/>
      <c r="K93" s="622"/>
      <c r="L93" s="622"/>
      <c r="M93" s="622"/>
      <c r="N93" s="622"/>
      <c r="O93" s="622"/>
      <c r="P93" s="622"/>
      <c r="Q93" s="622"/>
      <c r="R93" s="622"/>
      <c r="S93" s="622"/>
      <c r="T93" s="622"/>
      <c r="U93" s="622"/>
      <c r="V93" s="622"/>
      <c r="W93" s="622"/>
      <c r="X93" s="622"/>
      <c r="Y93" s="622"/>
      <c r="Z93" s="558" t="s">
        <v>396</v>
      </c>
      <c r="AA93" s="559" t="e">
        <f>W73</f>
        <v>#REF!</v>
      </c>
      <c r="AB93" s="560"/>
      <c r="AC93" s="561"/>
      <c r="AD93" s="442"/>
    </row>
    <row r="94" spans="1:61" ht="12" customHeight="1" thickTop="1">
      <c r="A94" s="686"/>
      <c r="B94" s="4761" t="s">
        <v>386</v>
      </c>
      <c r="C94" s="4762"/>
      <c r="D94" s="4762"/>
      <c r="E94" s="4762"/>
      <c r="F94" s="4762"/>
      <c r="G94" s="4762"/>
      <c r="H94" s="4762"/>
      <c r="I94" s="4763"/>
      <c r="J94" s="562">
        <f>COUNTA(I99:I100)</f>
        <v>0</v>
      </c>
      <c r="K94" s="563" t="s">
        <v>387</v>
      </c>
      <c r="L94" s="564"/>
      <c r="M94" s="564"/>
      <c r="N94" s="564"/>
      <c r="O94" s="564"/>
      <c r="P94" s="564"/>
      <c r="Q94" s="564"/>
      <c r="R94" s="564"/>
      <c r="S94" s="564"/>
      <c r="T94" s="564"/>
      <c r="U94" s="564"/>
      <c r="V94" s="564"/>
      <c r="W94" s="564"/>
      <c r="X94" s="564"/>
      <c r="Y94" s="441"/>
      <c r="Z94" s="4770" t="s">
        <v>388</v>
      </c>
      <c r="AA94" s="4771"/>
      <c r="AB94" s="4771"/>
      <c r="AC94" s="4772"/>
      <c r="AD94" s="442"/>
      <c r="AP94" s="86" t="s">
        <v>228</v>
      </c>
      <c r="AQ94" s="431" t="e">
        <f>G107</f>
        <v>#REF!</v>
      </c>
      <c r="AR94" s="112"/>
      <c r="AS94" s="112"/>
      <c r="AT94" s="112"/>
      <c r="AU94" s="430">
        <f>COUNTIF(AQ94:AT94,AP94)</f>
        <v>0</v>
      </c>
    </row>
    <row r="95" spans="1:61" ht="12" customHeight="1">
      <c r="A95" s="686"/>
      <c r="B95" s="4764"/>
      <c r="C95" s="4765"/>
      <c r="D95" s="4765"/>
      <c r="E95" s="4765"/>
      <c r="F95" s="4765"/>
      <c r="G95" s="4765"/>
      <c r="H95" s="4765"/>
      <c r="I95" s="4766"/>
      <c r="J95" s="565" t="str">
        <f>CONCATENATE(O95,J112,R95,K112,U95,L112)</f>
        <v xml:space="preserve">       </v>
      </c>
      <c r="K95" s="699" t="s">
        <v>395</v>
      </c>
      <c r="L95" s="700"/>
      <c r="M95" s="539"/>
      <c r="N95" s="539"/>
      <c r="O95" s="701"/>
      <c r="P95" s="573"/>
      <c r="R95" s="701"/>
      <c r="S95" s="573"/>
      <c r="U95" s="701"/>
      <c r="V95" s="702"/>
      <c r="W95" s="703"/>
      <c r="X95" s="641"/>
      <c r="Y95" s="445" t="str">
        <f>CONCATENATE(U95,K112,O95,J112,R95,L112)</f>
        <v xml:space="preserve">       </v>
      </c>
      <c r="Z95" s="446" t="s">
        <v>396</v>
      </c>
      <c r="AA95" s="447" t="str">
        <f>J95</f>
        <v xml:space="preserve">       </v>
      </c>
      <c r="AB95" s="448"/>
      <c r="AC95" s="449"/>
      <c r="AD95" s="442"/>
      <c r="AP95" s="86" t="s">
        <v>230</v>
      </c>
      <c r="AQ95" s="431" t="e">
        <f>G107</f>
        <v>#REF!</v>
      </c>
      <c r="AR95" s="112"/>
      <c r="AS95" s="112"/>
      <c r="AT95" s="112"/>
      <c r="AU95" s="430">
        <f t="shared" ref="AU95:AU111" si="10">COUNTIF(AQ95:AT95,AP95)</f>
        <v>0</v>
      </c>
    </row>
    <row r="96" spans="1:61" ht="12" customHeight="1" thickBot="1">
      <c r="A96" s="686"/>
      <c r="B96" s="4767"/>
      <c r="C96" s="4768"/>
      <c r="D96" s="4768"/>
      <c r="E96" s="4768"/>
      <c r="F96" s="4768"/>
      <c r="G96" s="4768"/>
      <c r="H96" s="4768"/>
      <c r="I96" s="4769"/>
      <c r="J96" s="565"/>
      <c r="K96" s="539" t="str">
        <f>'VISITA DE INSP.'!D20</f>
        <v>MORENO CARDENAS * IGNACIA</v>
      </c>
      <c r="L96" s="539"/>
      <c r="M96" s="539"/>
      <c r="N96" s="539"/>
      <c r="P96" s="704"/>
      <c r="Q96" s="705"/>
      <c r="S96" s="704"/>
      <c r="T96" s="705"/>
      <c r="U96" s="706"/>
      <c r="V96" s="706"/>
      <c r="W96" s="706"/>
      <c r="X96" s="706"/>
      <c r="Y96" s="450" t="str">
        <f>CONCATENATE(V97,L112,W97)</f>
        <v>11007831200.0   078312 E028100.0232722</v>
      </c>
      <c r="Z96" s="4773" t="s">
        <v>400</v>
      </c>
      <c r="AA96" s="4774"/>
      <c r="AB96" s="4774"/>
      <c r="AC96" s="4775"/>
      <c r="AD96" s="442"/>
      <c r="AP96" s="86" t="s">
        <v>404</v>
      </c>
      <c r="AQ96" s="431" t="e">
        <f>G107</f>
        <v>#REF!</v>
      </c>
      <c r="AR96" s="112"/>
      <c r="AS96" s="112"/>
      <c r="AT96" s="112"/>
      <c r="AU96" s="430">
        <f t="shared" si="10"/>
        <v>0</v>
      </c>
    </row>
    <row r="97" spans="1:47" ht="12" customHeight="1" thickTop="1">
      <c r="A97" s="686"/>
      <c r="B97" s="452">
        <v>1</v>
      </c>
      <c r="C97" s="453" t="s">
        <v>406</v>
      </c>
      <c r="D97" s="454" t="s">
        <v>407</v>
      </c>
      <c r="E97" s="455" t="s">
        <v>408</v>
      </c>
      <c r="F97" s="456" t="s">
        <v>409</v>
      </c>
      <c r="G97" s="457" t="e">
        <f>G67</f>
        <v>#REF!</v>
      </c>
      <c r="H97" s="458"/>
      <c r="I97" s="459">
        <f>COUNTA(G100,G220,G340,G460)</f>
        <v>4</v>
      </c>
      <c r="J97" s="565" t="str">
        <f>CONCATENATE(N97,K112,O97)</f>
        <v>MOCI710325  VA</v>
      </c>
      <c r="K97" s="699" t="s">
        <v>410</v>
      </c>
      <c r="L97" s="700"/>
      <c r="M97" s="707"/>
      <c r="N97" s="708" t="str">
        <f>MID('VISITA DE INSP.'!AN20,1,10)</f>
        <v>MOCI710325</v>
      </c>
      <c r="O97" s="701" t="str">
        <f>MID('VISITA DE INSP.'!AN20,12,15)</f>
        <v>VA</v>
      </c>
      <c r="P97" s="641"/>
      <c r="Q97" s="700"/>
      <c r="R97" s="709"/>
      <c r="T97" s="710" t="s">
        <v>411</v>
      </c>
      <c r="U97" s="641"/>
      <c r="V97" s="711" t="s">
        <v>179</v>
      </c>
      <c r="W97" s="712" t="str">
        <f>'VISITA DE INSP.'!AO20</f>
        <v>078312 E028100.0232722</v>
      </c>
      <c r="X97" s="713"/>
      <c r="Y97" s="460" t="str">
        <f>CONCATENATE(V97,K112,W97)</f>
        <v>11007831200.0  078312 E028100.0232722</v>
      </c>
      <c r="Z97" s="446" t="s">
        <v>396</v>
      </c>
      <c r="AA97" s="447" t="str">
        <f>Y95</f>
        <v xml:space="preserve">       </v>
      </c>
      <c r="AB97" s="448"/>
      <c r="AC97" s="449"/>
      <c r="AD97" s="442"/>
      <c r="AP97" s="86" t="s">
        <v>7</v>
      </c>
      <c r="AQ97" s="431" t="e">
        <f>G107</f>
        <v>#REF!</v>
      </c>
      <c r="AR97" s="112"/>
      <c r="AS97" s="112"/>
      <c r="AT97" s="112"/>
      <c r="AU97" s="430">
        <f t="shared" si="10"/>
        <v>0</v>
      </c>
    </row>
    <row r="98" spans="1:47" ht="12" customHeight="1">
      <c r="A98" s="686"/>
      <c r="B98" s="462" t="s">
        <v>416</v>
      </c>
      <c r="C98" s="463"/>
      <c r="D98" s="464"/>
      <c r="E98" s="465">
        <f t="shared" ref="E98:E103" si="11">C98+D98</f>
        <v>0</v>
      </c>
      <c r="F98" s="466" t="s">
        <v>417</v>
      </c>
      <c r="G98" s="467" t="e">
        <f>G68</f>
        <v>#REF!</v>
      </c>
      <c r="H98" s="468" t="e">
        <f>H68</f>
        <v>#REF!</v>
      </c>
      <c r="I98" s="469"/>
      <c r="J98" s="565"/>
      <c r="K98" s="714"/>
      <c r="L98" s="715"/>
      <c r="M98" s="716"/>
      <c r="O98" s="716"/>
      <c r="P98" s="716"/>
      <c r="Q98" s="717" t="s">
        <v>418</v>
      </c>
      <c r="R98" s="714"/>
      <c r="S98" s="540"/>
      <c r="T98" s="540"/>
      <c r="U98" s="716"/>
      <c r="V98" s="716"/>
      <c r="W98" s="716"/>
      <c r="X98" s="718"/>
      <c r="Y98" s="450" t="str">
        <f>MID(W97,1,5)</f>
        <v>07831</v>
      </c>
      <c r="Z98" s="4773" t="s">
        <v>419</v>
      </c>
      <c r="AA98" s="4774"/>
      <c r="AB98" s="4774"/>
      <c r="AC98" s="4775"/>
      <c r="AD98" s="442"/>
      <c r="AP98" s="86" t="s">
        <v>393</v>
      </c>
      <c r="AQ98" s="431" t="e">
        <f>G107</f>
        <v>#REF!</v>
      </c>
      <c r="AR98" s="112"/>
      <c r="AS98" s="112"/>
      <c r="AT98" s="112"/>
      <c r="AU98" s="430">
        <f t="shared" si="10"/>
        <v>0</v>
      </c>
    </row>
    <row r="99" spans="1:47" ht="12" customHeight="1">
      <c r="A99" s="686"/>
      <c r="B99" s="470" t="s">
        <v>423</v>
      </c>
      <c r="C99" s="463"/>
      <c r="D99" s="464"/>
      <c r="E99" s="465">
        <f t="shared" si="11"/>
        <v>0</v>
      </c>
      <c r="F99" s="692" t="s">
        <v>3</v>
      </c>
      <c r="G99" s="463" t="str">
        <f>'VISITA DE INSP.'!B20</f>
        <v>2º</v>
      </c>
      <c r="H99" s="471" t="s">
        <v>406</v>
      </c>
      <c r="I99" s="480"/>
      <c r="J99" s="568">
        <f>COUNTA(I99,I129,I159,I189,I219,I249,I279,I309,I339,I369)</f>
        <v>0</v>
      </c>
      <c r="K99" s="522" t="s">
        <v>424</v>
      </c>
      <c r="L99" s="539"/>
      <c r="M99" s="539"/>
      <c r="N99" s="539"/>
      <c r="O99" s="712" t="str">
        <f>'VISITA DE INSP.'!AU20</f>
        <v>01-09-1994</v>
      </c>
      <c r="P99" s="719"/>
      <c r="Q99" s="720"/>
      <c r="R99" s="714"/>
      <c r="S99" s="714"/>
      <c r="T99" s="714"/>
      <c r="U99" s="574" t="s">
        <v>425</v>
      </c>
      <c r="V99" s="721">
        <f>'VISITA DE INSP.'!AT20</f>
        <v>10</v>
      </c>
      <c r="W99" s="722" t="str">
        <f>Y99</f>
        <v>BASE</v>
      </c>
      <c r="X99" s="723"/>
      <c r="Y99" s="473" t="str">
        <f>VLOOKUP(V99,AH2:AI14,2)</f>
        <v>BASE</v>
      </c>
      <c r="Z99" s="446" t="s">
        <v>396</v>
      </c>
      <c r="AA99" s="447" t="str">
        <f>J97</f>
        <v>MOCI710325  VA</v>
      </c>
      <c r="AB99" s="448"/>
      <c r="AC99" s="449"/>
      <c r="AD99" s="442"/>
      <c r="AP99" s="86" t="s">
        <v>399</v>
      </c>
      <c r="AQ99" s="431" t="e">
        <f>G107</f>
        <v>#REF!</v>
      </c>
      <c r="AR99" s="112"/>
      <c r="AS99" s="112"/>
      <c r="AT99" s="112"/>
      <c r="AU99" s="430">
        <f t="shared" si="10"/>
        <v>0</v>
      </c>
    </row>
    <row r="100" spans="1:47" ht="12" customHeight="1">
      <c r="A100" s="686"/>
      <c r="B100" s="470" t="s">
        <v>408</v>
      </c>
      <c r="C100" s="463"/>
      <c r="D100" s="464"/>
      <c r="E100" s="465">
        <f t="shared" si="11"/>
        <v>0</v>
      </c>
      <c r="F100" s="692" t="s">
        <v>4</v>
      </c>
      <c r="G100" s="463" t="str">
        <f>'VISITA DE INSP.'!C20</f>
        <v>A</v>
      </c>
      <c r="H100" s="475" t="s">
        <v>407</v>
      </c>
      <c r="I100" s="623"/>
      <c r="J100" s="568">
        <f>COUNTA(I100,I130,I160,I190,I220,I250,I280,I310,I340,I370)</f>
        <v>0</v>
      </c>
      <c r="K100" s="717"/>
      <c r="L100" s="717"/>
      <c r="M100" s="539"/>
      <c r="N100" s="714"/>
      <c r="O100" s="716"/>
      <c r="P100" s="716"/>
      <c r="Q100" s="716"/>
      <c r="R100" s="539"/>
      <c r="S100" s="539"/>
      <c r="T100" s="714"/>
      <c r="U100" s="714"/>
      <c r="V100" s="724"/>
      <c r="W100" s="724"/>
      <c r="X100" s="716"/>
      <c r="Y100" s="476"/>
      <c r="Z100" s="4773" t="s">
        <v>429</v>
      </c>
      <c r="AA100" s="4774"/>
      <c r="AB100" s="4774"/>
      <c r="AC100" s="4775"/>
      <c r="AD100" s="442"/>
      <c r="AP100" s="86" t="s">
        <v>228</v>
      </c>
      <c r="AQ100" s="431" t="e">
        <f>G107</f>
        <v>#REF!</v>
      </c>
      <c r="AR100" s="112"/>
      <c r="AS100" s="112"/>
      <c r="AT100" s="112"/>
      <c r="AU100" s="430">
        <f t="shared" si="10"/>
        <v>0</v>
      </c>
    </row>
    <row r="101" spans="1:47" ht="12" customHeight="1">
      <c r="A101" s="686"/>
      <c r="B101" s="470" t="s">
        <v>434</v>
      </c>
      <c r="C101" s="463"/>
      <c r="D101" s="464"/>
      <c r="E101" s="465">
        <f t="shared" si="11"/>
        <v>0</v>
      </c>
      <c r="F101" s="4776" t="s">
        <v>435</v>
      </c>
      <c r="G101" s="4777"/>
      <c r="H101" s="4777" t="s">
        <v>436</v>
      </c>
      <c r="I101" s="4778"/>
      <c r="J101" s="568">
        <f>SUM(J99,J100)</f>
        <v>0</v>
      </c>
      <c r="K101" s="522" t="s">
        <v>437</v>
      </c>
      <c r="L101" s="539"/>
      <c r="M101" s="725"/>
      <c r="N101" s="725"/>
      <c r="O101" s="725"/>
      <c r="P101" s="725"/>
      <c r="Q101" s="725"/>
      <c r="R101" s="726"/>
      <c r="S101" s="725"/>
      <c r="T101" s="727"/>
      <c r="U101" s="725"/>
      <c r="V101" s="574" t="s">
        <v>438</v>
      </c>
      <c r="W101" s="728"/>
      <c r="X101" s="723"/>
      <c r="Y101" s="445" t="str">
        <f>CONCATENATE(O114,S101)</f>
        <v xml:space="preserve">  COL-</v>
      </c>
      <c r="Z101" s="446" t="s">
        <v>396</v>
      </c>
      <c r="AA101" s="447" t="str">
        <f>Y97</f>
        <v>11007831200.0  078312 E028100.0232722</v>
      </c>
      <c r="AB101" s="448"/>
      <c r="AC101" s="449"/>
      <c r="AD101" s="442" t="s">
        <v>79</v>
      </c>
      <c r="AP101" s="86" t="s">
        <v>230</v>
      </c>
      <c r="AQ101" s="431" t="e">
        <f>G107</f>
        <v>#REF!</v>
      </c>
      <c r="AR101" s="112"/>
      <c r="AS101" s="112"/>
      <c r="AT101" s="112"/>
      <c r="AU101" s="430">
        <f t="shared" si="10"/>
        <v>0</v>
      </c>
    </row>
    <row r="102" spans="1:47" ht="12" customHeight="1">
      <c r="A102" s="686"/>
      <c r="B102" s="470" t="s">
        <v>443</v>
      </c>
      <c r="C102" s="463"/>
      <c r="D102" s="464"/>
      <c r="E102" s="465">
        <f t="shared" si="11"/>
        <v>0</v>
      </c>
      <c r="F102" s="478" t="s">
        <v>444</v>
      </c>
      <c r="G102" s="624">
        <v>4</v>
      </c>
      <c r="H102" s="479" t="e">
        <f>H72</f>
        <v>#REF!</v>
      </c>
      <c r="I102" s="480" t="e">
        <f>H102+1</f>
        <v>#REF!</v>
      </c>
      <c r="J102" s="569" t="str">
        <f>CONCATENATE(J114,M101,K114,N101,L114,O101,M114,P101,N114,Q101,O114,S101)</f>
        <v>RG-  SM-  MZA-  LTE-  CALLE-  COL-</v>
      </c>
      <c r="K102" s="729"/>
      <c r="L102" s="539"/>
      <c r="M102" s="492"/>
      <c r="N102" s="492"/>
      <c r="O102" s="492"/>
      <c r="P102" s="492"/>
      <c r="Q102" s="492"/>
      <c r="R102" s="730"/>
      <c r="S102" s="731" t="s">
        <v>503</v>
      </c>
      <c r="T102" s="731"/>
      <c r="U102" s="731" t="s">
        <v>504</v>
      </c>
      <c r="V102" s="533"/>
      <c r="W102" s="732"/>
      <c r="X102" s="733"/>
      <c r="Y102" s="450" t="str">
        <f>CONCATENATE(K112,P114,U101)</f>
        <v xml:space="preserve">    C.P.-</v>
      </c>
      <c r="Z102" s="4779" t="s">
        <v>445</v>
      </c>
      <c r="AA102" s="4780"/>
      <c r="AB102" s="4780"/>
      <c r="AC102" s="4781"/>
      <c r="AD102" s="442"/>
      <c r="AP102" s="86" t="s">
        <v>404</v>
      </c>
      <c r="AQ102" s="431" t="e">
        <f>G107</f>
        <v>#REF!</v>
      </c>
      <c r="AR102" s="112"/>
      <c r="AS102" s="112"/>
      <c r="AT102" s="112"/>
      <c r="AU102" s="430">
        <f t="shared" si="10"/>
        <v>0</v>
      </c>
    </row>
    <row r="103" spans="1:47" ht="12" customHeight="1">
      <c r="A103" s="686"/>
      <c r="B103" s="470" t="s">
        <v>450</v>
      </c>
      <c r="C103" s="463"/>
      <c r="D103" s="464"/>
      <c r="E103" s="465">
        <f t="shared" si="11"/>
        <v>0</v>
      </c>
      <c r="F103" s="692" t="s">
        <v>373</v>
      </c>
      <c r="G103" s="4782" t="s">
        <v>451</v>
      </c>
      <c r="H103" s="4777"/>
      <c r="I103" s="4778"/>
      <c r="J103" s="565" t="str">
        <f>CONCATENATE(O114,S101)</f>
        <v xml:space="preserve">  COL-</v>
      </c>
      <c r="K103" s="522" t="s">
        <v>452</v>
      </c>
      <c r="L103" s="539"/>
      <c r="M103" s="539"/>
      <c r="N103" s="572" t="e">
        <f>#REF!</f>
        <v>#REF!</v>
      </c>
      <c r="O103" s="573"/>
      <c r="P103" s="573"/>
      <c r="Q103" s="573"/>
      <c r="R103" s="573"/>
      <c r="S103" s="574" t="s">
        <v>453</v>
      </c>
      <c r="T103" s="572" t="e">
        <f>#REF!</f>
        <v>#REF!</v>
      </c>
      <c r="U103" s="575"/>
      <c r="V103" s="574" t="s">
        <v>454</v>
      </c>
      <c r="W103" s="576" t="e">
        <f>#REF!</f>
        <v>#REF!</v>
      </c>
      <c r="X103" s="575"/>
      <c r="Y103" s="445"/>
      <c r="Z103" s="446" t="s">
        <v>396</v>
      </c>
      <c r="AA103" s="482" t="str">
        <f>O99</f>
        <v>01-09-1994</v>
      </c>
      <c r="AB103" s="448"/>
      <c r="AC103" s="483"/>
      <c r="AD103" s="442"/>
      <c r="AP103" s="86" t="s">
        <v>7</v>
      </c>
      <c r="AQ103" s="431" t="e">
        <f>G107</f>
        <v>#REF!</v>
      </c>
      <c r="AR103" s="112"/>
      <c r="AS103" s="112"/>
      <c r="AT103" s="112"/>
      <c r="AU103" s="430">
        <f t="shared" si="10"/>
        <v>0</v>
      </c>
    </row>
    <row r="104" spans="1:47" ht="12" customHeight="1" thickBot="1">
      <c r="A104" s="686"/>
      <c r="B104" s="484" t="s">
        <v>456</v>
      </c>
      <c r="C104" s="485"/>
      <c r="D104" s="486"/>
      <c r="E104" s="465">
        <f>E102-E103</f>
        <v>0</v>
      </c>
      <c r="F104" s="577">
        <f>F74</f>
        <v>1</v>
      </c>
      <c r="G104" s="578" t="e">
        <f>G74</f>
        <v>#REF!</v>
      </c>
      <c r="H104" s="578" t="e">
        <f>H74</f>
        <v>#REF!</v>
      </c>
      <c r="I104" s="579" t="e">
        <f>I74</f>
        <v>#REF!</v>
      </c>
      <c r="J104" s="580" t="str">
        <f>CONCATENATE(,P114,U101)</f>
        <v xml:space="preserve">  C.P.-</v>
      </c>
      <c r="K104" s="490"/>
      <c r="L104" s="491"/>
      <c r="M104" s="492"/>
      <c r="N104" s="492"/>
      <c r="O104" s="492"/>
      <c r="P104" s="492"/>
      <c r="Q104" s="492"/>
      <c r="R104" s="492"/>
      <c r="S104" s="492"/>
      <c r="T104" s="493"/>
      <c r="V104" s="494"/>
      <c r="W104" s="495"/>
      <c r="X104" s="496"/>
      <c r="Y104" s="497"/>
      <c r="Z104" s="4773" t="s">
        <v>457</v>
      </c>
      <c r="AA104" s="4774"/>
      <c r="AB104" s="4774"/>
      <c r="AC104" s="4775"/>
      <c r="AD104" s="442"/>
      <c r="AP104" s="86" t="s">
        <v>393</v>
      </c>
      <c r="AQ104" s="431" t="e">
        <f>G107</f>
        <v>#REF!</v>
      </c>
      <c r="AR104" s="112"/>
      <c r="AS104" s="112"/>
      <c r="AT104" s="112"/>
      <c r="AU104" s="430">
        <f t="shared" si="10"/>
        <v>0</v>
      </c>
    </row>
    <row r="105" spans="1:47" ht="12" customHeight="1" thickTop="1" thickBot="1">
      <c r="A105" s="686"/>
      <c r="B105" s="4783" t="s">
        <v>460</v>
      </c>
      <c r="C105" s="4784"/>
      <c r="D105" s="4784"/>
      <c r="E105" s="4785"/>
      <c r="F105" s="498" t="s">
        <v>396</v>
      </c>
      <c r="G105" s="499" t="str">
        <f>G75</f>
        <v>CERVANTES BENITEZ * ANTONIA</v>
      </c>
      <c r="H105" s="500"/>
      <c r="I105" s="500"/>
      <c r="J105" s="501"/>
      <c r="K105" s="501"/>
      <c r="L105" s="501"/>
      <c r="M105" s="504"/>
      <c r="N105" s="4783" t="s">
        <v>461</v>
      </c>
      <c r="O105" s="4786"/>
      <c r="P105" s="4786"/>
      <c r="Q105" s="4787"/>
      <c r="R105" s="625" t="s">
        <v>7</v>
      </c>
      <c r="S105" s="582" t="str">
        <f>VLOOKUP(R105,AE1:AF16,2,1)</f>
        <v>DOCENTE</v>
      </c>
      <c r="T105" s="501"/>
      <c r="U105" s="501"/>
      <c r="V105" s="501"/>
      <c r="W105" s="501"/>
      <c r="X105" s="501"/>
      <c r="Y105" s="504"/>
      <c r="Z105" s="446" t="s">
        <v>396</v>
      </c>
      <c r="AA105" s="461" t="str">
        <f>Y99</f>
        <v>BASE</v>
      </c>
      <c r="AB105" s="448"/>
      <c r="AC105" s="505">
        <f>V99</f>
        <v>10</v>
      </c>
      <c r="AD105" s="442"/>
      <c r="AP105" s="86" t="s">
        <v>399</v>
      </c>
      <c r="AQ105" s="431" t="e">
        <f>G107</f>
        <v>#REF!</v>
      </c>
      <c r="AR105" s="112"/>
      <c r="AS105" s="112"/>
      <c r="AT105" s="112"/>
      <c r="AU105" s="430">
        <f t="shared" si="10"/>
        <v>0</v>
      </c>
    </row>
    <row r="106" spans="1:47" ht="12" customHeight="1" thickTop="1" thickBot="1">
      <c r="A106" s="686"/>
      <c r="B106" s="4783" t="s">
        <v>465</v>
      </c>
      <c r="C106" s="4786"/>
      <c r="D106" s="4786"/>
      <c r="E106" s="4787"/>
      <c r="F106" s="506" t="s">
        <v>396</v>
      </c>
      <c r="G106" s="499" t="str">
        <f>G76</f>
        <v>JESUS MARTIN RICALDE CASTRO</v>
      </c>
      <c r="H106" s="501"/>
      <c r="I106" s="501"/>
      <c r="J106" s="501"/>
      <c r="K106" s="501"/>
      <c r="L106" s="501"/>
      <c r="M106" s="504"/>
      <c r="N106" s="4783" t="s">
        <v>466</v>
      </c>
      <c r="O106" s="4786"/>
      <c r="P106" s="4786"/>
      <c r="Q106" s="4787"/>
      <c r="R106" s="625">
        <v>1</v>
      </c>
      <c r="S106" s="582" t="str">
        <f>VLOOKUP(R106,AE17:AF22,2,2)</f>
        <v>BASE</v>
      </c>
      <c r="T106" s="501"/>
      <c r="U106" s="501"/>
      <c r="V106" s="501"/>
      <c r="W106" s="501"/>
      <c r="X106" s="501"/>
      <c r="Y106" s="507" t="str">
        <f>CONCATENATE(M102,M101,N102,N101,O102,O101,P102,P101)</f>
        <v/>
      </c>
      <c r="Z106" s="4773" t="s">
        <v>467</v>
      </c>
      <c r="AA106" s="4774"/>
      <c r="AB106" s="4774"/>
      <c r="AC106" s="4775"/>
      <c r="AD106" s="442"/>
      <c r="AP106" s="86" t="s">
        <v>228</v>
      </c>
      <c r="AQ106" s="431" t="e">
        <f>G107</f>
        <v>#REF!</v>
      </c>
      <c r="AR106" s="112"/>
      <c r="AS106" s="112"/>
      <c r="AT106" s="112"/>
      <c r="AU106" s="430">
        <f t="shared" si="10"/>
        <v>0</v>
      </c>
    </row>
    <row r="107" spans="1:47" ht="12" customHeight="1" thickTop="1" thickBot="1">
      <c r="A107" s="686"/>
      <c r="B107" s="4788" t="s">
        <v>471</v>
      </c>
      <c r="C107" s="4789"/>
      <c r="D107" s="4789"/>
      <c r="E107" s="4790"/>
      <c r="F107" s="506" t="s">
        <v>396</v>
      </c>
      <c r="G107" s="499" t="e">
        <f>G77</f>
        <v>#REF!</v>
      </c>
      <c r="H107" s="501"/>
      <c r="I107" s="501"/>
      <c r="J107" s="501"/>
      <c r="K107" s="501"/>
      <c r="L107" s="501"/>
      <c r="M107" s="501"/>
      <c r="N107" s="4783" t="s">
        <v>472</v>
      </c>
      <c r="O107" s="4786"/>
      <c r="P107" s="4786"/>
      <c r="Q107" s="4787"/>
      <c r="R107" s="625">
        <v>4</v>
      </c>
      <c r="S107" s="582" t="str">
        <f>VLOOKUP(R107,AE25:AF34,2,2)</f>
        <v>ALTA DEFINITIVA. (Si la persona se da de alta en al escuela)</v>
      </c>
      <c r="T107" s="501"/>
      <c r="U107" s="501"/>
      <c r="V107" s="501"/>
      <c r="W107" s="501"/>
      <c r="X107" s="501"/>
      <c r="Y107" s="504"/>
      <c r="Z107" s="446" t="s">
        <v>396</v>
      </c>
      <c r="AA107" s="447" t="str">
        <f>J102</f>
        <v>RG-  SM-  MZA-  LTE-  CALLE-  COL-</v>
      </c>
      <c r="AB107" s="448"/>
      <c r="AC107" s="449"/>
      <c r="AD107" s="442" t="s">
        <v>389</v>
      </c>
      <c r="AP107" s="86" t="s">
        <v>230</v>
      </c>
      <c r="AQ107" s="431" t="e">
        <f>G107</f>
        <v>#REF!</v>
      </c>
      <c r="AR107" s="112"/>
      <c r="AS107" s="112"/>
      <c r="AT107" s="112"/>
      <c r="AU107" s="430">
        <f t="shared" si="10"/>
        <v>0</v>
      </c>
    </row>
    <row r="108" spans="1:47" ht="12" customHeight="1" thickTop="1" thickBot="1">
      <c r="A108" s="686"/>
      <c r="B108" s="4788" t="s">
        <v>475</v>
      </c>
      <c r="C108" s="4789"/>
      <c r="D108" s="4789"/>
      <c r="E108" s="4790"/>
      <c r="F108" s="508"/>
      <c r="G108" s="499"/>
      <c r="H108" s="501"/>
      <c r="I108" s="501"/>
      <c r="J108" s="501"/>
      <c r="K108" s="501"/>
      <c r="L108" s="501"/>
      <c r="M108" s="501"/>
      <c r="N108" s="4783" t="s">
        <v>476</v>
      </c>
      <c r="O108" s="4786"/>
      <c r="P108" s="4786"/>
      <c r="Q108" s="4787"/>
      <c r="R108" s="625">
        <v>2</v>
      </c>
      <c r="S108" s="582" t="str">
        <f>VLOOKUP(R108,AE35:AF43,2,2)</f>
        <v>FEDERAL TRANFERIDA  (18 de mayo de 2005 )</v>
      </c>
      <c r="T108" s="501"/>
      <c r="U108" s="501"/>
      <c r="V108" s="501"/>
      <c r="W108" s="501"/>
      <c r="X108" s="501"/>
      <c r="Y108" s="504"/>
      <c r="Z108" s="4773" t="s">
        <v>477</v>
      </c>
      <c r="AA108" s="4774"/>
      <c r="AB108" s="4774"/>
      <c r="AC108" s="4775"/>
      <c r="AD108" s="442"/>
      <c r="AP108" s="86" t="s">
        <v>404</v>
      </c>
      <c r="AQ108" s="431" t="e">
        <f>G107</f>
        <v>#REF!</v>
      </c>
      <c r="AR108" s="112"/>
      <c r="AS108" s="112"/>
      <c r="AT108" s="112"/>
      <c r="AU108" s="430">
        <f t="shared" si="10"/>
        <v>0</v>
      </c>
    </row>
    <row r="109" spans="1:47" ht="12" customHeight="1" thickTop="1" thickBot="1">
      <c r="A109" s="686"/>
      <c r="B109" s="4791" t="s">
        <v>479</v>
      </c>
      <c r="C109" s="4792"/>
      <c r="D109" s="4792"/>
      <c r="E109" s="4793"/>
      <c r="F109" s="625"/>
      <c r="G109" s="499">
        <f>VLOOKUP(F109,AE69:AF78,2,1)</f>
        <v>0</v>
      </c>
      <c r="H109" s="501"/>
      <c r="I109" s="501"/>
      <c r="J109" s="501"/>
      <c r="K109" s="501"/>
      <c r="L109" s="626"/>
      <c r="M109" s="585">
        <f>COUNTA(F109,F227,F347,F467)</f>
        <v>3</v>
      </c>
      <c r="N109" s="4783" t="s">
        <v>480</v>
      </c>
      <c r="O109" s="4786"/>
      <c r="P109" s="4786"/>
      <c r="Q109" s="4787"/>
      <c r="R109" s="625"/>
      <c r="S109" s="582">
        <f>VLOOKUP(R109,AE44:AF68,2,2)</f>
        <v>0</v>
      </c>
      <c r="T109" s="501"/>
      <c r="U109" s="501"/>
      <c r="V109" s="501"/>
      <c r="W109" s="501"/>
      <c r="X109" s="501"/>
      <c r="Y109" s="504"/>
      <c r="Z109" s="446" t="s">
        <v>481</v>
      </c>
      <c r="AA109" s="447">
        <f>'VISITA DE INSP.'!AQ20</f>
        <v>0</v>
      </c>
      <c r="AB109" s="448"/>
      <c r="AC109" s="449"/>
      <c r="AD109" s="442"/>
      <c r="AP109" s="86" t="s">
        <v>7</v>
      </c>
      <c r="AQ109" s="431" t="e">
        <f>G107</f>
        <v>#REF!</v>
      </c>
      <c r="AR109" s="112"/>
      <c r="AS109" s="112"/>
      <c r="AT109" s="112"/>
      <c r="AU109" s="430">
        <f t="shared" si="10"/>
        <v>0</v>
      </c>
    </row>
    <row r="110" spans="1:47" ht="12" customHeight="1" thickTop="1" thickBot="1">
      <c r="A110" s="686"/>
      <c r="B110" s="4791" t="s">
        <v>484</v>
      </c>
      <c r="C110" s="4792"/>
      <c r="D110" s="4792"/>
      <c r="E110" s="4793"/>
      <c r="F110" s="625"/>
      <c r="G110" s="499">
        <f>VLOOKUP(F110,AE79:AF85,2,1)</f>
        <v>0</v>
      </c>
      <c r="H110" s="501"/>
      <c r="I110" s="501"/>
      <c r="J110" s="501"/>
      <c r="K110" s="501"/>
      <c r="L110" s="501"/>
      <c r="M110" s="504"/>
      <c r="N110" s="4783" t="s">
        <v>485</v>
      </c>
      <c r="O110" s="4786"/>
      <c r="P110" s="4786"/>
      <c r="Q110" s="4787"/>
      <c r="R110" s="625"/>
      <c r="S110" s="734"/>
      <c r="T110" s="511"/>
      <c r="U110" s="512"/>
      <c r="V110" s="511"/>
      <c r="W110" s="511"/>
      <c r="X110" s="511"/>
      <c r="Y110" s="513"/>
      <c r="Z110" s="4773" t="s">
        <v>486</v>
      </c>
      <c r="AA110" s="4774"/>
      <c r="AB110" s="4774"/>
      <c r="AC110" s="4775"/>
      <c r="AD110" s="442"/>
      <c r="AP110" s="86" t="s">
        <v>393</v>
      </c>
      <c r="AQ110" s="431" t="e">
        <f>G107</f>
        <v>#REF!</v>
      </c>
      <c r="AR110" s="112"/>
      <c r="AS110" s="112"/>
      <c r="AT110" s="112"/>
      <c r="AU110" s="430">
        <f t="shared" si="10"/>
        <v>0</v>
      </c>
    </row>
    <row r="111" spans="1:47" ht="12" hidden="1" customHeight="1" thickTop="1" thickBot="1">
      <c r="A111" s="686"/>
      <c r="B111" s="4811" t="s">
        <v>488</v>
      </c>
      <c r="C111" s="4812"/>
      <c r="D111" s="4812"/>
      <c r="E111" s="4812"/>
      <c r="F111" s="4812"/>
      <c r="G111" s="4812"/>
      <c r="H111" s="4812"/>
      <c r="I111" s="4812"/>
      <c r="J111" s="4811" t="s">
        <v>488</v>
      </c>
      <c r="K111" s="4812"/>
      <c r="L111" s="4812"/>
      <c r="M111" s="4812"/>
      <c r="N111" s="4812"/>
      <c r="O111" s="4812"/>
      <c r="P111" s="4812"/>
      <c r="Q111" s="4833"/>
      <c r="R111" s="4811" t="s">
        <v>488</v>
      </c>
      <c r="S111" s="4812"/>
      <c r="T111" s="4812"/>
      <c r="U111" s="4812"/>
      <c r="V111" s="4812"/>
      <c r="W111" s="4812"/>
      <c r="X111" s="4812"/>
      <c r="Y111" s="4812"/>
      <c r="Z111" s="446" t="s">
        <v>489</v>
      </c>
      <c r="AA111" s="447"/>
      <c r="AB111" s="448"/>
      <c r="AC111" s="449"/>
      <c r="AD111" s="442"/>
      <c r="AP111" s="86" t="s">
        <v>399</v>
      </c>
      <c r="AQ111" s="431" t="e">
        <f>G107</f>
        <v>#REF!</v>
      </c>
      <c r="AR111" s="112"/>
      <c r="AS111" s="112"/>
      <c r="AT111" s="112"/>
      <c r="AU111" s="430">
        <f t="shared" si="10"/>
        <v>0</v>
      </c>
    </row>
    <row r="112" spans="1:47" ht="12" hidden="1" customHeight="1" thickTop="1" thickBot="1">
      <c r="A112" s="686"/>
      <c r="B112" s="586"/>
      <c r="C112" s="587"/>
      <c r="D112" s="588"/>
      <c r="E112" s="4834"/>
      <c r="F112" s="4835"/>
      <c r="G112" s="589"/>
      <c r="H112" s="590"/>
      <c r="I112" s="591"/>
      <c r="J112" s="514" t="s">
        <v>491</v>
      </c>
      <c r="K112" s="515" t="s">
        <v>491</v>
      </c>
      <c r="L112" s="516" t="s">
        <v>492</v>
      </c>
      <c r="M112" s="4797"/>
      <c r="N112" s="4797"/>
      <c r="O112" s="517" t="s">
        <v>418</v>
      </c>
      <c r="P112" s="518" t="s">
        <v>493</v>
      </c>
      <c r="Q112" s="519"/>
      <c r="R112" s="593"/>
      <c r="S112" s="594"/>
      <c r="T112" s="595"/>
      <c r="U112" s="4834"/>
      <c r="V112" s="4835"/>
      <c r="W112" s="596"/>
      <c r="X112" s="594"/>
      <c r="Y112" s="597"/>
      <c r="Z112" s="4773" t="s">
        <v>494</v>
      </c>
      <c r="AA112" s="4774"/>
      <c r="AB112" s="4774"/>
      <c r="AC112" s="4775"/>
      <c r="AD112" s="442"/>
    </row>
    <row r="113" spans="1:30" ht="12" hidden="1" customHeight="1" thickTop="1">
      <c r="A113" s="686"/>
      <c r="B113" s="586"/>
      <c r="C113" s="587"/>
      <c r="D113" s="588"/>
      <c r="E113" s="4813" t="s">
        <v>621</v>
      </c>
      <c r="F113" s="4814"/>
      <c r="G113" s="590"/>
      <c r="H113" s="590"/>
      <c r="I113" s="591"/>
      <c r="J113" s="521"/>
      <c r="K113" s="522"/>
      <c r="L113" s="4798" t="s">
        <v>496</v>
      </c>
      <c r="M113" s="4799"/>
      <c r="N113" s="4799"/>
      <c r="O113" s="4800"/>
      <c r="P113" s="515"/>
      <c r="Q113" s="519"/>
      <c r="R113" s="593"/>
      <c r="S113" s="594"/>
      <c r="T113" s="598"/>
      <c r="U113" s="4815" t="s">
        <v>622</v>
      </c>
      <c r="V113" s="4816"/>
      <c r="W113" s="596"/>
      <c r="X113" s="594"/>
      <c r="Y113" s="597"/>
      <c r="Z113" s="446"/>
      <c r="AA113" s="524">
        <f>VLOOKUP(Z113,BE24:BF34,2,2)</f>
        <v>0</v>
      </c>
      <c r="AB113" s="448"/>
      <c r="AC113" s="449"/>
      <c r="AD113" s="442"/>
    </row>
    <row r="114" spans="1:30" ht="12" hidden="1" customHeight="1">
      <c r="A114" s="686"/>
      <c r="B114" s="586"/>
      <c r="C114" s="587"/>
      <c r="D114" s="588"/>
      <c r="E114" s="599"/>
      <c r="F114" s="590"/>
      <c r="G114" s="590"/>
      <c r="H114" s="590"/>
      <c r="I114" s="591"/>
      <c r="J114" s="526" t="s">
        <v>498</v>
      </c>
      <c r="K114" s="527" t="s">
        <v>499</v>
      </c>
      <c r="L114" s="527" t="s">
        <v>500</v>
      </c>
      <c r="M114" s="527" t="s">
        <v>501</v>
      </c>
      <c r="N114" s="527" t="s">
        <v>502</v>
      </c>
      <c r="O114" s="527" t="s">
        <v>503</v>
      </c>
      <c r="P114" s="527" t="s">
        <v>504</v>
      </c>
      <c r="Q114" s="528"/>
      <c r="R114" s="4752" t="str">
        <f>'VISITA DE INSP.'!D20</f>
        <v>MORENO CARDENAS * IGNACIA</v>
      </c>
      <c r="S114" s="4753"/>
      <c r="T114" s="4753"/>
      <c r="U114" s="4753"/>
      <c r="V114" s="4753"/>
      <c r="W114" s="4753"/>
      <c r="X114" s="4753"/>
      <c r="Y114" s="4754"/>
      <c r="Z114" s="4801" t="s">
        <v>506</v>
      </c>
      <c r="AA114" s="4802"/>
      <c r="AB114" s="4802"/>
      <c r="AC114" s="4803"/>
      <c r="AD114" s="442"/>
    </row>
    <row r="115" spans="1:30" ht="12" hidden="1" customHeight="1">
      <c r="A115" s="686"/>
      <c r="B115" s="586"/>
      <c r="C115" s="587"/>
      <c r="D115" s="588"/>
      <c r="E115" s="599"/>
      <c r="F115" s="590"/>
      <c r="G115" s="590"/>
      <c r="H115" s="590"/>
      <c r="I115" s="591"/>
      <c r="J115" s="530">
        <f>J96</f>
        <v>0</v>
      </c>
      <c r="K115" s="627"/>
      <c r="L115" s="598"/>
      <c r="M115" s="601"/>
      <c r="N115" s="594"/>
      <c r="O115" s="594"/>
      <c r="P115" s="594"/>
      <c r="Q115" s="597"/>
      <c r="R115" s="593"/>
      <c r="S115" s="4758" t="str">
        <f>'VISITA DE INSP.'!AN20</f>
        <v>MOCI710325EVA</v>
      </c>
      <c r="T115" s="4759"/>
      <c r="U115" s="4759"/>
      <c r="V115" s="4759"/>
      <c r="W115" s="4759"/>
      <c r="X115" s="4760"/>
      <c r="Y115" s="602"/>
      <c r="Z115" s="446"/>
      <c r="AA115" s="524">
        <f>VLOOKUP(Z115,AW24:AX39,2,2)</f>
        <v>0</v>
      </c>
      <c r="AB115" s="448"/>
      <c r="AC115" s="449"/>
      <c r="AD115" s="422"/>
    </row>
    <row r="116" spans="1:30" ht="12" hidden="1" customHeight="1">
      <c r="A116" s="686"/>
      <c r="B116" s="586"/>
      <c r="C116" s="587"/>
      <c r="D116" s="588"/>
      <c r="E116" s="599"/>
      <c r="F116" s="590"/>
      <c r="G116" s="590"/>
      <c r="H116" s="590"/>
      <c r="I116" s="591"/>
      <c r="J116" s="536" t="str">
        <f>J97</f>
        <v>MOCI710325  VA</v>
      </c>
      <c r="K116" s="627"/>
      <c r="L116" s="598"/>
      <c r="M116" s="601"/>
      <c r="N116" s="594"/>
      <c r="O116" s="594"/>
      <c r="P116" s="594"/>
      <c r="Q116" s="597"/>
      <c r="R116" s="593"/>
      <c r="S116" s="4758" t="str">
        <f>'VISITA DE INSP.'!AO20</f>
        <v>078312 E028100.0232722</v>
      </c>
      <c r="T116" s="4759"/>
      <c r="U116" s="4759"/>
      <c r="V116" s="4759"/>
      <c r="W116" s="4759"/>
      <c r="X116" s="4760"/>
      <c r="Y116" s="602"/>
      <c r="Z116" s="4773" t="s">
        <v>511</v>
      </c>
      <c r="AA116" s="4774"/>
      <c r="AB116" s="4774"/>
      <c r="AC116" s="4775"/>
      <c r="AD116" s="442"/>
    </row>
    <row r="117" spans="1:30" ht="12" hidden="1" customHeight="1">
      <c r="A117" s="686"/>
      <c r="B117" s="586"/>
      <c r="C117" s="587"/>
      <c r="D117" s="588"/>
      <c r="E117" s="599"/>
      <c r="F117" s="590"/>
      <c r="G117" s="590"/>
      <c r="H117" s="590"/>
      <c r="I117" s="591"/>
      <c r="J117" s="530">
        <f>J98</f>
        <v>0</v>
      </c>
      <c r="K117" s="627"/>
      <c r="L117" s="598"/>
      <c r="M117" s="601"/>
      <c r="N117" s="594"/>
      <c r="O117" s="594"/>
      <c r="P117" s="594"/>
      <c r="Q117" s="597"/>
      <c r="R117" s="593"/>
      <c r="S117" s="4827" t="str">
        <f>'VISITA DE INSP.'!AU20</f>
        <v>01-09-1994</v>
      </c>
      <c r="T117" s="4828"/>
      <c r="U117" s="4828"/>
      <c r="V117" s="4828"/>
      <c r="W117" s="4828"/>
      <c r="X117" s="4829"/>
      <c r="Y117" s="597"/>
      <c r="Z117" s="446"/>
      <c r="AA117" s="524">
        <f>VLOOKUP(Z117,BB24:BC34,2,2)</f>
        <v>0</v>
      </c>
      <c r="AB117" s="448"/>
      <c r="AC117" s="449"/>
      <c r="AD117" s="442"/>
    </row>
    <row r="118" spans="1:30" ht="12" hidden="1" customHeight="1">
      <c r="A118" s="686"/>
      <c r="B118" s="586"/>
      <c r="C118" s="587"/>
      <c r="D118" s="588"/>
      <c r="E118" s="599"/>
      <c r="F118" s="590"/>
      <c r="G118" s="590"/>
      <c r="H118" s="590"/>
      <c r="I118" s="591"/>
      <c r="J118" s="530" t="str">
        <f>J102</f>
        <v>RG-  SM-  MZA-  LTE-  CALLE-  COL-</v>
      </c>
      <c r="K118" s="627"/>
      <c r="L118" s="598"/>
      <c r="M118" s="601"/>
      <c r="N118" s="594"/>
      <c r="O118" s="594"/>
      <c r="P118" s="594"/>
      <c r="Q118" s="597"/>
      <c r="R118" s="593"/>
      <c r="S118" s="4758">
        <f>'VISITA DE INSP.'!AT20</f>
        <v>10</v>
      </c>
      <c r="T118" s="4759"/>
      <c r="U118" s="4759"/>
      <c r="V118" s="4759"/>
      <c r="W118" s="4759"/>
      <c r="X118" s="4760"/>
      <c r="Y118" s="597"/>
      <c r="Z118" s="4773" t="s">
        <v>520</v>
      </c>
      <c r="AA118" s="4774"/>
      <c r="AB118" s="4774"/>
      <c r="AC118" s="4775"/>
      <c r="AD118" s="442"/>
    </row>
    <row r="119" spans="1:30" ht="12" hidden="1" customHeight="1">
      <c r="A119" s="686"/>
      <c r="B119" s="586"/>
      <c r="C119" s="587"/>
      <c r="D119" s="588"/>
      <c r="E119" s="599"/>
      <c r="F119" s="590"/>
      <c r="G119" s="590"/>
      <c r="H119" s="590"/>
      <c r="I119" s="591"/>
      <c r="J119" s="530" t="str">
        <f>J103</f>
        <v xml:space="preserve">  COL-</v>
      </c>
      <c r="K119" s="627"/>
      <c r="L119" s="598"/>
      <c r="M119" s="601"/>
      <c r="N119" s="594"/>
      <c r="O119" s="594"/>
      <c r="P119" s="594"/>
      <c r="Q119" s="597"/>
      <c r="R119" s="593"/>
      <c r="S119" s="4830" t="str">
        <f>'VISITA DE INSP.'!AS20</f>
        <v>7A</v>
      </c>
      <c r="T119" s="4831"/>
      <c r="U119" s="4831"/>
      <c r="V119" s="4831"/>
      <c r="W119" s="4831"/>
      <c r="X119" s="4832"/>
      <c r="Y119" s="597"/>
      <c r="Z119" s="446" t="s">
        <v>396</v>
      </c>
      <c r="AA119" s="447" t="str">
        <f>J103</f>
        <v xml:space="preserve">  COL-</v>
      </c>
      <c r="AB119" s="448"/>
      <c r="AC119" s="449"/>
      <c r="AD119" s="442"/>
    </row>
    <row r="120" spans="1:30" ht="12" hidden="1" customHeight="1">
      <c r="A120" s="686"/>
      <c r="B120" s="586"/>
      <c r="C120" s="603" t="str">
        <f>Y95</f>
        <v xml:space="preserve">       </v>
      </c>
      <c r="D120" s="604"/>
      <c r="E120" s="604"/>
      <c r="F120" s="604"/>
      <c r="G120" s="604"/>
      <c r="H120" s="605"/>
      <c r="I120" s="591"/>
      <c r="J120" s="606" t="str">
        <f>J104</f>
        <v xml:space="preserve">  C.P.-</v>
      </c>
      <c r="K120" s="603" t="str">
        <f>C120</f>
        <v xml:space="preserve">       </v>
      </c>
      <c r="L120" s="604"/>
      <c r="M120" s="604"/>
      <c r="N120" s="604"/>
      <c r="O120" s="604"/>
      <c r="P120" s="605"/>
      <c r="Q120" s="597"/>
      <c r="R120" s="593"/>
      <c r="S120" s="607" t="str">
        <f>K120</f>
        <v xml:space="preserve">       </v>
      </c>
      <c r="T120" s="608"/>
      <c r="U120" s="608"/>
      <c r="V120" s="608"/>
      <c r="W120" s="608"/>
      <c r="X120" s="609"/>
      <c r="Y120" s="597"/>
      <c r="Z120" s="4773" t="s">
        <v>529</v>
      </c>
      <c r="AA120" s="4774"/>
      <c r="AB120" s="4774"/>
      <c r="AC120" s="4775"/>
      <c r="AD120" s="442"/>
    </row>
    <row r="121" spans="1:30" ht="12" hidden="1" customHeight="1" thickBot="1">
      <c r="A121" s="686"/>
      <c r="B121" s="610"/>
      <c r="C121" s="4817" t="s">
        <v>534</v>
      </c>
      <c r="D121" s="4818"/>
      <c r="E121" s="4818"/>
      <c r="F121" s="4818"/>
      <c r="G121" s="4818"/>
      <c r="H121" s="4819"/>
      <c r="I121" s="611"/>
      <c r="J121" s="612"/>
      <c r="K121" s="4820" t="s">
        <v>534</v>
      </c>
      <c r="L121" s="4821"/>
      <c r="M121" s="4821"/>
      <c r="N121" s="4821"/>
      <c r="O121" s="4821"/>
      <c r="P121" s="4822"/>
      <c r="Q121" s="613"/>
      <c r="R121" s="614"/>
      <c r="S121" s="4817" t="s">
        <v>534</v>
      </c>
      <c r="T121" s="4818"/>
      <c r="U121" s="4818"/>
      <c r="V121" s="4818"/>
      <c r="W121" s="4818"/>
      <c r="X121" s="4819"/>
      <c r="Y121" s="615"/>
      <c r="Z121" s="446" t="s">
        <v>396</v>
      </c>
      <c r="AA121" s="447" t="str">
        <f>J104</f>
        <v xml:space="preserve">  C.P.-</v>
      </c>
      <c r="AB121" s="448"/>
      <c r="AC121" s="449"/>
      <c r="AD121" s="442"/>
    </row>
    <row r="122" spans="1:30" ht="12" hidden="1" customHeight="1" thickTop="1" thickBot="1">
      <c r="A122" s="686"/>
      <c r="B122" s="4783" t="s">
        <v>538</v>
      </c>
      <c r="C122" s="4784"/>
      <c r="D122" s="4784"/>
      <c r="E122" s="4784"/>
      <c r="F122" s="552"/>
      <c r="G122" s="551">
        <f>VLOOKUP(F122,BE38:BG72,2,2)</f>
        <v>0</v>
      </c>
      <c r="H122" s="511"/>
      <c r="I122" s="513"/>
      <c r="J122" s="4783" t="s">
        <v>539</v>
      </c>
      <c r="K122" s="4784"/>
      <c r="L122" s="4784"/>
      <c r="M122" s="4784"/>
      <c r="N122" s="552" t="s">
        <v>540</v>
      </c>
      <c r="O122" s="628"/>
      <c r="P122" s="629"/>
      <c r="Q122" s="630"/>
      <c r="R122" s="4783" t="s">
        <v>541</v>
      </c>
      <c r="S122" s="4784"/>
      <c r="T122" s="4784"/>
      <c r="U122" s="4785"/>
      <c r="V122" s="508" t="s">
        <v>396</v>
      </c>
      <c r="W122" s="553">
        <f>O95</f>
        <v>0</v>
      </c>
      <c r="X122" s="554">
        <f>R95</f>
        <v>0</v>
      </c>
      <c r="Y122" s="555">
        <f>U95</f>
        <v>0</v>
      </c>
      <c r="Z122" s="4773" t="s">
        <v>542</v>
      </c>
      <c r="AA122" s="4774"/>
      <c r="AB122" s="4774"/>
      <c r="AC122" s="4775"/>
      <c r="AD122" s="442"/>
    </row>
    <row r="123" spans="1:30" ht="12" customHeight="1" thickTop="1" thickBot="1">
      <c r="A123" s="686"/>
      <c r="B123" s="631"/>
      <c r="C123" s="632"/>
      <c r="D123" s="632"/>
      <c r="E123" s="632"/>
      <c r="F123" s="632"/>
      <c r="G123" s="632"/>
      <c r="H123" s="632"/>
      <c r="I123" s="632"/>
      <c r="J123" s="632"/>
      <c r="K123" s="632"/>
      <c r="L123" s="632"/>
      <c r="M123" s="632"/>
      <c r="N123" s="632"/>
      <c r="O123" s="632"/>
      <c r="P123" s="632"/>
      <c r="Q123" s="632"/>
      <c r="R123" s="632"/>
      <c r="S123" s="632"/>
      <c r="T123" s="632"/>
      <c r="U123" s="632"/>
      <c r="V123" s="632"/>
      <c r="W123" s="632"/>
      <c r="X123" s="632"/>
      <c r="Y123" s="632"/>
      <c r="Z123" s="558" t="s">
        <v>396</v>
      </c>
      <c r="AA123" s="559">
        <f>W101</f>
        <v>0</v>
      </c>
      <c r="AB123" s="560"/>
      <c r="AC123" s="561"/>
      <c r="AD123" s="442"/>
    </row>
    <row r="124" spans="1:30" ht="12" customHeight="1" thickTop="1">
      <c r="A124" s="686"/>
      <c r="B124" s="4761" t="s">
        <v>386</v>
      </c>
      <c r="C124" s="4762"/>
      <c r="D124" s="4762"/>
      <c r="E124" s="4762"/>
      <c r="F124" s="4762"/>
      <c r="G124" s="4762"/>
      <c r="H124" s="4762"/>
      <c r="I124" s="4763"/>
      <c r="J124" s="562">
        <f>COUNTA(I129:I130)</f>
        <v>0</v>
      </c>
      <c r="K124" s="563" t="s">
        <v>387</v>
      </c>
      <c r="L124" s="564"/>
      <c r="M124" s="564"/>
      <c r="N124" s="564"/>
      <c r="O124" s="564"/>
      <c r="P124" s="564"/>
      <c r="Q124" s="564"/>
      <c r="R124" s="564"/>
      <c r="S124" s="564"/>
      <c r="T124" s="564"/>
      <c r="U124" s="564"/>
      <c r="V124" s="564"/>
      <c r="W124" s="564"/>
      <c r="X124" s="564"/>
      <c r="Y124" s="441"/>
      <c r="Z124" s="4770" t="s">
        <v>388</v>
      </c>
      <c r="AA124" s="4771"/>
      <c r="AB124" s="4771"/>
      <c r="AC124" s="4772"/>
      <c r="AD124" s="442"/>
    </row>
    <row r="125" spans="1:30" ht="12" customHeight="1">
      <c r="A125" s="686"/>
      <c r="B125" s="4764"/>
      <c r="C125" s="4765"/>
      <c r="D125" s="4765"/>
      <c r="E125" s="4765"/>
      <c r="F125" s="4765"/>
      <c r="G125" s="4765"/>
      <c r="H125" s="4765"/>
      <c r="I125" s="4766"/>
      <c r="J125" s="565" t="str">
        <f>CONCATENATE(O125,O126,R125,R126,U125,U126)</f>
        <v xml:space="preserve">       </v>
      </c>
      <c r="K125" s="699" t="s">
        <v>395</v>
      </c>
      <c r="L125" s="700"/>
      <c r="M125" s="539"/>
      <c r="N125" s="539"/>
      <c r="O125" s="701"/>
      <c r="P125" s="573"/>
      <c r="R125" s="701"/>
      <c r="S125" s="573"/>
      <c r="U125" s="701"/>
      <c r="V125" s="702"/>
      <c r="W125" s="703"/>
      <c r="X125" s="641"/>
      <c r="Y125" s="445" t="str">
        <f>CONCATENATE(U125,R126,O125,O126,R125,U126)</f>
        <v xml:space="preserve">       </v>
      </c>
      <c r="Z125" s="446" t="s">
        <v>396</v>
      </c>
      <c r="AA125" s="447" t="str">
        <f>J125</f>
        <v xml:space="preserve">       </v>
      </c>
      <c r="AB125" s="448"/>
      <c r="AC125" s="449"/>
      <c r="AD125" s="442"/>
    </row>
    <row r="126" spans="1:30" ht="12" customHeight="1" thickBot="1">
      <c r="A126" s="686"/>
      <c r="B126" s="4767"/>
      <c r="C126" s="4768"/>
      <c r="D126" s="4768"/>
      <c r="E126" s="4768"/>
      <c r="F126" s="4768"/>
      <c r="G126" s="4768"/>
      <c r="H126" s="4768"/>
      <c r="I126" s="4769"/>
      <c r="J126" s="565" t="str">
        <f>CONCATENATE(U126,U125,W126,O125,X126,R125,V126)</f>
        <v xml:space="preserve">         </v>
      </c>
      <c r="K126" s="539" t="str">
        <f>'VISITA DE INSP.'!D21</f>
        <v>GONGORA SANTOS * GRACIELA</v>
      </c>
      <c r="L126" s="539"/>
      <c r="M126" s="539"/>
      <c r="N126" s="539"/>
      <c r="O126" s="515" t="s">
        <v>491</v>
      </c>
      <c r="P126" s="704"/>
      <c r="Q126" s="705"/>
      <c r="R126" s="515" t="s">
        <v>491</v>
      </c>
      <c r="S126" s="704"/>
      <c r="T126" s="705"/>
      <c r="U126" s="516" t="s">
        <v>492</v>
      </c>
      <c r="V126" s="718" t="s">
        <v>491</v>
      </c>
      <c r="W126" s="735" t="s">
        <v>491</v>
      </c>
      <c r="X126" s="732" t="s">
        <v>491</v>
      </c>
      <c r="Y126" s="450" t="s">
        <v>493</v>
      </c>
      <c r="Z126" s="4773" t="s">
        <v>400</v>
      </c>
      <c r="AA126" s="4774"/>
      <c r="AB126" s="4774"/>
      <c r="AC126" s="4775"/>
      <c r="AD126" s="442"/>
    </row>
    <row r="127" spans="1:30" ht="12" customHeight="1" thickTop="1">
      <c r="A127" s="686"/>
      <c r="B127" s="452">
        <v>1</v>
      </c>
      <c r="C127" s="453" t="s">
        <v>406</v>
      </c>
      <c r="D127" s="454" t="s">
        <v>407</v>
      </c>
      <c r="E127" s="455" t="s">
        <v>408</v>
      </c>
      <c r="F127" s="456" t="s">
        <v>409</v>
      </c>
      <c r="G127" s="457" t="e">
        <f>G97</f>
        <v>#REF!</v>
      </c>
      <c r="H127" s="458"/>
      <c r="I127" s="459"/>
      <c r="J127" s="565" t="str">
        <f>CONCATENATE(N127,N128,O127)</f>
        <v>GOSG720804-M7</v>
      </c>
      <c r="K127" s="699" t="s">
        <v>410</v>
      </c>
      <c r="L127" s="700"/>
      <c r="M127" s="736"/>
      <c r="N127" s="708" t="str">
        <f>MID('VISITA DE INSP.'!AN21,1,10)</f>
        <v>GOSG720804</v>
      </c>
      <c r="O127" s="701" t="str">
        <f>MID('VISITA DE INSP.'!AN21,12,15)</f>
        <v>M7</v>
      </c>
      <c r="P127" s="737"/>
      <c r="Q127" s="700"/>
      <c r="R127" s="700"/>
      <c r="T127" s="574" t="s">
        <v>411</v>
      </c>
      <c r="U127" s="738"/>
      <c r="V127" s="711" t="s">
        <v>179</v>
      </c>
      <c r="W127" s="712" t="str">
        <f>'VISITA DE INSP.'!AO21</f>
        <v>078312 E028100.0233382</v>
      </c>
      <c r="X127" s="739"/>
      <c r="Y127" s="633" t="str">
        <f>CONCATENATE(V127,P127,W127)</f>
        <v>11007831200.0078312 E028100.0233382</v>
      </c>
      <c r="Z127" s="446" t="s">
        <v>396</v>
      </c>
      <c r="AA127" s="447" t="str">
        <f>Y125</f>
        <v xml:space="preserve">       </v>
      </c>
      <c r="AB127" s="448"/>
      <c r="AC127" s="449"/>
      <c r="AD127" s="442"/>
    </row>
    <row r="128" spans="1:30" ht="12" customHeight="1">
      <c r="A128" s="686"/>
      <c r="B128" s="462" t="s">
        <v>416</v>
      </c>
      <c r="C128" s="463"/>
      <c r="D128" s="464"/>
      <c r="E128" s="465">
        <f t="shared" ref="E128:E133" si="12">C128+D128</f>
        <v>0</v>
      </c>
      <c r="F128" s="466" t="s">
        <v>417</v>
      </c>
      <c r="G128" s="467" t="e">
        <f>G98</f>
        <v>#REF!</v>
      </c>
      <c r="H128" s="468" t="e">
        <f>H98</f>
        <v>#REF!</v>
      </c>
      <c r="I128" s="469"/>
      <c r="J128" s="565" t="str">
        <f>CONCATENATE(V127,X126,W127)</f>
        <v>11007831200.0  078312 E028100.0233382</v>
      </c>
      <c r="K128" s="714"/>
      <c r="L128" s="740"/>
      <c r="M128" s="741"/>
      <c r="N128" s="732" t="s">
        <v>418</v>
      </c>
      <c r="O128" s="741"/>
      <c r="P128" s="741"/>
      <c r="Q128" s="740"/>
      <c r="R128" s="740"/>
      <c r="S128" s="740"/>
      <c r="T128" s="740"/>
      <c r="U128" s="741"/>
      <c r="V128" s="742"/>
      <c r="W128" s="742"/>
      <c r="X128" s="743"/>
      <c r="Y128" s="633"/>
      <c r="Z128" s="4773" t="s">
        <v>419</v>
      </c>
      <c r="AA128" s="4774"/>
      <c r="AB128" s="4774"/>
      <c r="AC128" s="4775"/>
      <c r="AD128" s="442"/>
    </row>
    <row r="129" spans="1:30" ht="12" customHeight="1">
      <c r="A129" s="686"/>
      <c r="B129" s="470" t="s">
        <v>423</v>
      </c>
      <c r="C129" s="463"/>
      <c r="D129" s="464"/>
      <c r="E129" s="465">
        <f t="shared" si="12"/>
        <v>0</v>
      </c>
      <c r="F129" s="692" t="s">
        <v>3</v>
      </c>
      <c r="G129" s="463" t="str">
        <f>'VISITA DE INSP.'!B21</f>
        <v>2º</v>
      </c>
      <c r="H129" s="471" t="s">
        <v>406</v>
      </c>
      <c r="I129" s="480"/>
      <c r="J129" s="634"/>
      <c r="K129" s="522" t="s">
        <v>424</v>
      </c>
      <c r="L129" s="539"/>
      <c r="M129" s="539"/>
      <c r="N129" s="539"/>
      <c r="O129" s="712" t="str">
        <f>'VISITA DE INSP.'!AU21</f>
        <v>16-09-1995</v>
      </c>
      <c r="P129" s="719"/>
      <c r="Q129" s="720"/>
      <c r="R129" s="541"/>
      <c r="S129" s="714"/>
      <c r="T129" s="714"/>
      <c r="U129" s="574" t="s">
        <v>704</v>
      </c>
      <c r="V129" s="721">
        <f>'VISITA DE INSP.'!AT21</f>
        <v>10</v>
      </c>
      <c r="W129" s="722" t="str">
        <f>Y129</f>
        <v>BASE</v>
      </c>
      <c r="X129" s="744"/>
      <c r="Y129" s="635" t="str">
        <f>VLOOKUP(V129,AH2:AI14,2)</f>
        <v>BASE</v>
      </c>
      <c r="Z129" s="446" t="s">
        <v>396</v>
      </c>
      <c r="AA129" s="447" t="str">
        <f>J127</f>
        <v>GOSG720804-M7</v>
      </c>
      <c r="AB129" s="448"/>
      <c r="AC129" s="449"/>
      <c r="AD129" s="442"/>
    </row>
    <row r="130" spans="1:30" ht="12" customHeight="1">
      <c r="A130" s="686"/>
      <c r="B130" s="470" t="s">
        <v>408</v>
      </c>
      <c r="C130" s="463"/>
      <c r="D130" s="464"/>
      <c r="E130" s="465">
        <f t="shared" si="12"/>
        <v>0</v>
      </c>
      <c r="F130" s="692" t="s">
        <v>4</v>
      </c>
      <c r="G130" s="463" t="str">
        <f>'VISITA DE INSP.'!C21</f>
        <v>B</v>
      </c>
      <c r="H130" s="475" t="s">
        <v>407</v>
      </c>
      <c r="I130" s="623"/>
      <c r="J130" s="636"/>
      <c r="K130" s="717"/>
      <c r="L130" s="745"/>
      <c r="M130" s="539"/>
      <c r="N130" s="539"/>
      <c r="O130" s="746"/>
      <c r="P130" s="746"/>
      <c r="Q130" s="746"/>
      <c r="R130" s="539"/>
      <c r="S130" s="539"/>
      <c r="T130" s="539"/>
      <c r="U130" s="539"/>
      <c r="V130" s="539"/>
      <c r="W130" s="747"/>
      <c r="X130" s="746"/>
      <c r="Y130" s="637"/>
      <c r="Z130" s="4773" t="s">
        <v>429</v>
      </c>
      <c r="AA130" s="4774"/>
      <c r="AB130" s="4774"/>
      <c r="AC130" s="4775"/>
      <c r="AD130" s="442"/>
    </row>
    <row r="131" spans="1:30" ht="12" customHeight="1">
      <c r="A131" s="686"/>
      <c r="B131" s="470" t="s">
        <v>434</v>
      </c>
      <c r="C131" s="463"/>
      <c r="D131" s="464"/>
      <c r="E131" s="465">
        <f t="shared" si="12"/>
        <v>0</v>
      </c>
      <c r="F131" s="4776" t="s">
        <v>435</v>
      </c>
      <c r="G131" s="4777"/>
      <c r="H131" s="4777" t="s">
        <v>436</v>
      </c>
      <c r="I131" s="4778"/>
      <c r="J131" s="638"/>
      <c r="K131" s="522" t="s">
        <v>437</v>
      </c>
      <c r="L131" s="539"/>
      <c r="M131" s="748"/>
      <c r="N131" s="748"/>
      <c r="O131" s="748"/>
      <c r="P131" s="748"/>
      <c r="Q131" s="748"/>
      <c r="R131" s="723"/>
      <c r="S131" s="748"/>
      <c r="T131" s="641"/>
      <c r="U131" s="748"/>
      <c r="V131" s="574" t="s">
        <v>438</v>
      </c>
      <c r="W131" s="749"/>
      <c r="X131" s="641"/>
      <c r="Y131" s="639"/>
      <c r="Z131" s="446" t="s">
        <v>396</v>
      </c>
      <c r="AA131" s="447" t="str">
        <f>Y127</f>
        <v>11007831200.0078312 E028100.0233382</v>
      </c>
      <c r="AB131" s="448"/>
      <c r="AC131" s="449"/>
      <c r="AD131" s="442" t="s">
        <v>491</v>
      </c>
    </row>
    <row r="132" spans="1:30" ht="12" customHeight="1">
      <c r="A132" s="686"/>
      <c r="B132" s="470" t="s">
        <v>443</v>
      </c>
      <c r="C132" s="463"/>
      <c r="D132" s="464"/>
      <c r="E132" s="465">
        <f t="shared" si="12"/>
        <v>0</v>
      </c>
      <c r="F132" s="478" t="s">
        <v>444</v>
      </c>
      <c r="G132" s="624">
        <v>5</v>
      </c>
      <c r="H132" s="479" t="e">
        <f>H102</f>
        <v>#REF!</v>
      </c>
      <c r="I132" s="480" t="e">
        <f>H132+1</f>
        <v>#REF!</v>
      </c>
      <c r="J132" s="569" t="e">
        <f>CONCATENATE(M134,M133,N134,N133,O134,O133,P134,P133,Q134,Q133,S134,S133)</f>
        <v>#REF!</v>
      </c>
      <c r="K132" s="729"/>
      <c r="L132" s="750" t="s">
        <v>705</v>
      </c>
      <c r="M132" s="731" t="s">
        <v>498</v>
      </c>
      <c r="N132" s="731" t="s">
        <v>499</v>
      </c>
      <c r="O132" s="731" t="s">
        <v>500</v>
      </c>
      <c r="P132" s="731" t="s">
        <v>501</v>
      </c>
      <c r="Q132" s="731" t="s">
        <v>502</v>
      </c>
      <c r="R132" s="730"/>
      <c r="S132" s="731" t="s">
        <v>503</v>
      </c>
      <c r="T132" s="731"/>
      <c r="U132" s="731" t="s">
        <v>504</v>
      </c>
      <c r="V132" s="751"/>
      <c r="W132" s="732" t="s">
        <v>706</v>
      </c>
      <c r="X132" s="706"/>
      <c r="Y132" s="639"/>
      <c r="Z132" s="4779" t="s">
        <v>445</v>
      </c>
      <c r="AA132" s="4780"/>
      <c r="AB132" s="4780"/>
      <c r="AC132" s="4781"/>
      <c r="AD132" s="442"/>
    </row>
    <row r="133" spans="1:30" ht="12" customHeight="1">
      <c r="A133" s="686"/>
      <c r="B133" s="470" t="s">
        <v>450</v>
      </c>
      <c r="C133" s="463"/>
      <c r="D133" s="464"/>
      <c r="E133" s="465">
        <f t="shared" si="12"/>
        <v>0</v>
      </c>
      <c r="F133" s="692" t="s">
        <v>373</v>
      </c>
      <c r="G133" s="4782" t="s">
        <v>451</v>
      </c>
      <c r="H133" s="4777"/>
      <c r="I133" s="4778"/>
      <c r="J133" s="565" t="str">
        <f>CONCATENATE(S134,S133)</f>
        <v xml:space="preserve">  COL-C.C.T.</v>
      </c>
      <c r="K133" s="522" t="s">
        <v>452</v>
      </c>
      <c r="L133" s="539"/>
      <c r="M133" s="539"/>
      <c r="N133" s="572" t="e">
        <f>N103</f>
        <v>#REF!</v>
      </c>
      <c r="O133" s="573"/>
      <c r="P133" s="573"/>
      <c r="Q133" s="573"/>
      <c r="R133" s="573"/>
      <c r="S133" s="574" t="s">
        <v>453</v>
      </c>
      <c r="T133" s="572" t="e">
        <f>T103</f>
        <v>#REF!</v>
      </c>
      <c r="U133" s="573"/>
      <c r="V133" s="574" t="s">
        <v>454</v>
      </c>
      <c r="W133" s="640" t="e">
        <f>W103</f>
        <v>#REF!</v>
      </c>
      <c r="X133" s="641"/>
      <c r="Y133" s="639"/>
      <c r="Z133" s="446" t="s">
        <v>396</v>
      </c>
      <c r="AA133" s="482" t="str">
        <f>O129</f>
        <v>16-09-1995</v>
      </c>
      <c r="AB133" s="448"/>
      <c r="AC133" s="483"/>
      <c r="AD133" s="442"/>
    </row>
    <row r="134" spans="1:30" ht="12" customHeight="1" thickBot="1">
      <c r="A134" s="686"/>
      <c r="B134" s="484" t="s">
        <v>456</v>
      </c>
      <c r="C134" s="485"/>
      <c r="D134" s="486"/>
      <c r="E134" s="465">
        <f>E132-E133</f>
        <v>0</v>
      </c>
      <c r="F134" s="577">
        <f>F104</f>
        <v>1</v>
      </c>
      <c r="G134" s="488" t="e">
        <f>G104</f>
        <v>#REF!</v>
      </c>
      <c r="H134" s="488" t="e">
        <f>H104</f>
        <v>#REF!</v>
      </c>
      <c r="I134" s="579" t="e">
        <f>I104</f>
        <v>#REF!</v>
      </c>
      <c r="J134" s="580" t="str">
        <f>CONCATENATE(,U134,U133)</f>
        <v xml:space="preserve">  C.P.-</v>
      </c>
      <c r="K134" s="642" t="e">
        <f>CONCATENATE(G134,H134,I134)</f>
        <v>#REF!</v>
      </c>
      <c r="L134" s="491"/>
      <c r="M134" s="643" t="s">
        <v>707</v>
      </c>
      <c r="N134" s="643" t="s">
        <v>499</v>
      </c>
      <c r="O134" s="643" t="s">
        <v>500</v>
      </c>
      <c r="P134" s="643" t="s">
        <v>501</v>
      </c>
      <c r="Q134" s="643" t="s">
        <v>502</v>
      </c>
      <c r="R134" s="643"/>
      <c r="S134" s="493" t="s">
        <v>503</v>
      </c>
      <c r="T134" s="644"/>
      <c r="U134" s="495" t="s">
        <v>504</v>
      </c>
      <c r="V134" s="494"/>
      <c r="W134" s="495" t="s">
        <v>708</v>
      </c>
      <c r="X134" s="645"/>
      <c r="Y134" s="646"/>
      <c r="Z134" s="4773" t="s">
        <v>457</v>
      </c>
      <c r="AA134" s="4774"/>
      <c r="AB134" s="4774"/>
      <c r="AC134" s="4775"/>
      <c r="AD134" s="442"/>
    </row>
    <row r="135" spans="1:30" ht="12" customHeight="1" thickTop="1" thickBot="1">
      <c r="A135" s="686"/>
      <c r="B135" s="4783" t="s">
        <v>460</v>
      </c>
      <c r="C135" s="4784"/>
      <c r="D135" s="4784"/>
      <c r="E135" s="4785"/>
      <c r="F135" s="498" t="s">
        <v>396</v>
      </c>
      <c r="G135" s="647" t="str">
        <f>G105</f>
        <v>CERVANTES BENITEZ * ANTONIA</v>
      </c>
      <c r="H135" s="500"/>
      <c r="I135" s="500"/>
      <c r="J135" s="501"/>
      <c r="K135" s="501"/>
      <c r="L135" s="501"/>
      <c r="M135" s="504"/>
      <c r="N135" s="4783" t="s">
        <v>461</v>
      </c>
      <c r="O135" s="4786"/>
      <c r="P135" s="4786"/>
      <c r="Q135" s="4787"/>
      <c r="R135" s="625" t="s">
        <v>7</v>
      </c>
      <c r="S135" s="582" t="str">
        <f>VLOOKUP(R135,AE1:AF16,2,1)</f>
        <v>DOCENTE</v>
      </c>
      <c r="T135" s="501"/>
      <c r="U135" s="501"/>
      <c r="V135" s="501"/>
      <c r="W135" s="501"/>
      <c r="X135" s="501"/>
      <c r="Y135" s="504"/>
      <c r="Z135" s="446" t="s">
        <v>396</v>
      </c>
      <c r="AA135" s="461" t="str">
        <f>Y129</f>
        <v>BASE</v>
      </c>
      <c r="AB135" s="448"/>
      <c r="AC135" s="505">
        <f>V129</f>
        <v>10</v>
      </c>
      <c r="AD135" s="442"/>
    </row>
    <row r="136" spans="1:30" ht="12" customHeight="1" thickTop="1" thickBot="1">
      <c r="A136" s="686"/>
      <c r="B136" s="4783" t="s">
        <v>465</v>
      </c>
      <c r="C136" s="4786"/>
      <c r="D136" s="4786"/>
      <c r="E136" s="4787"/>
      <c r="F136" s="506" t="s">
        <v>396</v>
      </c>
      <c r="G136" s="648" t="str">
        <f>G106</f>
        <v>JESUS MARTIN RICALDE CASTRO</v>
      </c>
      <c r="H136" s="501"/>
      <c r="I136" s="501"/>
      <c r="J136" s="501"/>
      <c r="K136" s="501"/>
      <c r="L136" s="501"/>
      <c r="M136" s="504"/>
      <c r="N136" s="4783" t="s">
        <v>466</v>
      </c>
      <c r="O136" s="4786"/>
      <c r="P136" s="4786"/>
      <c r="Q136" s="4787"/>
      <c r="R136" s="625">
        <v>1</v>
      </c>
      <c r="S136" s="582" t="str">
        <f>VLOOKUP(R136,AE17:AF22,2,2)</f>
        <v>BASE</v>
      </c>
      <c r="T136" s="501"/>
      <c r="U136" s="501"/>
      <c r="V136" s="501"/>
      <c r="W136" s="501"/>
      <c r="X136" s="501"/>
      <c r="Y136" s="507" t="str">
        <f>CONCATENATE(M132,M131,N132,N131,O132,O131,P132,P131)</f>
        <v>RG-  SM-  MZA-  LTE-</v>
      </c>
      <c r="Z136" s="4773" t="s">
        <v>467</v>
      </c>
      <c r="AA136" s="4774"/>
      <c r="AB136" s="4774"/>
      <c r="AC136" s="4775"/>
      <c r="AD136" s="442"/>
    </row>
    <row r="137" spans="1:30" ht="12" customHeight="1" thickTop="1" thickBot="1">
      <c r="A137" s="686"/>
      <c r="B137" s="4788" t="s">
        <v>471</v>
      </c>
      <c r="C137" s="4789"/>
      <c r="D137" s="4789"/>
      <c r="E137" s="4790"/>
      <c r="F137" s="506" t="s">
        <v>396</v>
      </c>
      <c r="G137" s="648" t="e">
        <f>G107</f>
        <v>#REF!</v>
      </c>
      <c r="H137" s="501"/>
      <c r="I137" s="501"/>
      <c r="J137" s="501"/>
      <c r="K137" s="501"/>
      <c r="L137" s="501"/>
      <c r="M137" s="501"/>
      <c r="N137" s="4783" t="s">
        <v>472</v>
      </c>
      <c r="O137" s="4786"/>
      <c r="P137" s="4786"/>
      <c r="Q137" s="4787"/>
      <c r="R137" s="625">
        <v>4</v>
      </c>
      <c r="S137" s="582" t="str">
        <f>VLOOKUP(R137,AE25:AF34,2,2)</f>
        <v>ALTA DEFINITIVA. (Si la persona se da de alta en al escuela)</v>
      </c>
      <c r="T137" s="501"/>
      <c r="U137" s="501"/>
      <c r="V137" s="501"/>
      <c r="W137" s="501"/>
      <c r="X137" s="501"/>
      <c r="Y137" s="504"/>
      <c r="Z137" s="446" t="s">
        <v>396</v>
      </c>
      <c r="AA137" s="447" t="e">
        <f>J132</f>
        <v>#REF!</v>
      </c>
      <c r="AB137" s="448"/>
      <c r="AC137" s="449"/>
      <c r="AD137" s="442" t="s">
        <v>389</v>
      </c>
    </row>
    <row r="138" spans="1:30" ht="12" customHeight="1" thickTop="1" thickBot="1">
      <c r="A138" s="686"/>
      <c r="B138" s="4788" t="s">
        <v>475</v>
      </c>
      <c r="C138" s="4789"/>
      <c r="D138" s="4789"/>
      <c r="E138" s="4790"/>
      <c r="F138" s="508"/>
      <c r="G138" s="648"/>
      <c r="H138" s="501"/>
      <c r="I138" s="501"/>
      <c r="J138" s="501"/>
      <c r="K138" s="501"/>
      <c r="L138" s="501"/>
      <c r="M138" s="501"/>
      <c r="N138" s="4783" t="s">
        <v>476</v>
      </c>
      <c r="O138" s="4786"/>
      <c r="P138" s="4786"/>
      <c r="Q138" s="4787"/>
      <c r="R138" s="625">
        <v>2</v>
      </c>
      <c r="S138" s="582" t="str">
        <f>VLOOKUP(R138,AE35:AF43,2,2)</f>
        <v>FEDERAL TRANFERIDA  (18 de mayo de 2005 )</v>
      </c>
      <c r="T138" s="501"/>
      <c r="U138" s="501"/>
      <c r="V138" s="501"/>
      <c r="W138" s="501"/>
      <c r="X138" s="501"/>
      <c r="Y138" s="504"/>
      <c r="Z138" s="4773" t="s">
        <v>477</v>
      </c>
      <c r="AA138" s="4774"/>
      <c r="AB138" s="4774"/>
      <c r="AC138" s="4775"/>
      <c r="AD138" s="442"/>
    </row>
    <row r="139" spans="1:30" ht="12" customHeight="1" thickTop="1" thickBot="1">
      <c r="A139" s="686"/>
      <c r="B139" s="4791" t="s">
        <v>479</v>
      </c>
      <c r="C139" s="4792"/>
      <c r="D139" s="4792"/>
      <c r="E139" s="4793"/>
      <c r="F139" s="625"/>
      <c r="G139" s="582">
        <f>VLOOKUP(F139,AE69:AF78,2,1)</f>
        <v>0</v>
      </c>
      <c r="H139" s="501"/>
      <c r="I139" s="501"/>
      <c r="J139" s="501"/>
      <c r="K139" s="501"/>
      <c r="L139" s="584"/>
      <c r="M139" s="619">
        <f>COUNTA(F139,F257,F377,F497)</f>
        <v>3</v>
      </c>
      <c r="N139" s="4783" t="s">
        <v>480</v>
      </c>
      <c r="O139" s="4786"/>
      <c r="P139" s="4786"/>
      <c r="Q139" s="4787"/>
      <c r="R139" s="625"/>
      <c r="S139" s="582">
        <f>VLOOKUP(R139,AE44:AF68,2,2)</f>
        <v>0</v>
      </c>
      <c r="T139" s="501"/>
      <c r="U139" s="501"/>
      <c r="V139" s="501"/>
      <c r="W139" s="501"/>
      <c r="X139" s="501"/>
      <c r="Y139" s="504"/>
      <c r="Z139" s="446" t="s">
        <v>481</v>
      </c>
      <c r="AA139" s="447">
        <f>'VISITA DE INSP.'!AQ21</f>
        <v>0</v>
      </c>
      <c r="AB139" s="448"/>
      <c r="AC139" s="449"/>
      <c r="AD139" s="442"/>
    </row>
    <row r="140" spans="1:30" ht="12" customHeight="1" thickTop="1" thickBot="1">
      <c r="A140" s="686"/>
      <c r="B140" s="4791" t="s">
        <v>484</v>
      </c>
      <c r="C140" s="4792"/>
      <c r="D140" s="4792"/>
      <c r="E140" s="4793"/>
      <c r="F140" s="625"/>
      <c r="G140" s="582">
        <f>VLOOKUP(F140,AE79:AF85,2,1)</f>
        <v>0</v>
      </c>
      <c r="H140" s="501"/>
      <c r="I140" s="501"/>
      <c r="J140" s="501"/>
      <c r="K140" s="501"/>
      <c r="L140" s="501"/>
      <c r="M140" s="504"/>
      <c r="N140" s="4783" t="s">
        <v>485</v>
      </c>
      <c r="O140" s="4786"/>
      <c r="P140" s="4786"/>
      <c r="Q140" s="4787"/>
      <c r="R140" s="625"/>
      <c r="S140" s="734"/>
      <c r="T140" s="511"/>
      <c r="U140" s="512"/>
      <c r="V140" s="511"/>
      <c r="W140" s="511"/>
      <c r="X140" s="511"/>
      <c r="Y140" s="513"/>
      <c r="Z140" s="4773" t="s">
        <v>486</v>
      </c>
      <c r="AA140" s="4774"/>
      <c r="AB140" s="4774"/>
      <c r="AC140" s="4775"/>
      <c r="AD140" s="442"/>
    </row>
    <row r="141" spans="1:30" ht="12" hidden="1" customHeight="1" thickTop="1" thickBot="1">
      <c r="A141" s="686"/>
      <c r="B141" s="4811" t="s">
        <v>488</v>
      </c>
      <c r="C141" s="4812"/>
      <c r="D141" s="4812"/>
      <c r="E141" s="4812"/>
      <c r="F141" s="4812"/>
      <c r="G141" s="4812"/>
      <c r="H141" s="4812"/>
      <c r="I141" s="4812"/>
      <c r="J141" s="4794" t="s">
        <v>488</v>
      </c>
      <c r="K141" s="4795"/>
      <c r="L141" s="4795"/>
      <c r="M141" s="4795"/>
      <c r="N141" s="4795"/>
      <c r="O141" s="4795"/>
      <c r="P141" s="4795"/>
      <c r="Q141" s="4796"/>
      <c r="R141" s="4811" t="s">
        <v>488</v>
      </c>
      <c r="S141" s="4812"/>
      <c r="T141" s="4812"/>
      <c r="U141" s="4812"/>
      <c r="V141" s="4812"/>
      <c r="W141" s="4812"/>
      <c r="X141" s="4812"/>
      <c r="Y141" s="4812"/>
      <c r="Z141" s="446" t="s">
        <v>489</v>
      </c>
      <c r="AA141" s="447"/>
      <c r="AB141" s="448"/>
      <c r="AC141" s="449"/>
      <c r="AD141" s="442"/>
    </row>
    <row r="142" spans="1:30" ht="12" hidden="1" customHeight="1" thickTop="1" thickBot="1">
      <c r="A142" s="686"/>
      <c r="B142" s="586"/>
      <c r="C142" s="587"/>
      <c r="D142" s="588"/>
      <c r="E142" s="4797"/>
      <c r="F142" s="4797"/>
      <c r="G142" s="589"/>
      <c r="H142" s="590"/>
      <c r="I142" s="591"/>
      <c r="J142" s="592" t="s">
        <v>491</v>
      </c>
      <c r="K142" s="515" t="s">
        <v>491</v>
      </c>
      <c r="L142" s="516" t="s">
        <v>492</v>
      </c>
      <c r="M142" s="4797"/>
      <c r="N142" s="4797"/>
      <c r="O142" s="517" t="s">
        <v>418</v>
      </c>
      <c r="P142" s="518" t="s">
        <v>493</v>
      </c>
      <c r="Q142" s="520"/>
      <c r="R142" s="593"/>
      <c r="S142" s="594"/>
      <c r="T142" s="595"/>
      <c r="U142" s="4797"/>
      <c r="V142" s="4797"/>
      <c r="W142" s="596"/>
      <c r="X142" s="594"/>
      <c r="Y142" s="597"/>
      <c r="Z142" s="4773" t="s">
        <v>494</v>
      </c>
      <c r="AA142" s="4774"/>
      <c r="AB142" s="4774"/>
      <c r="AC142" s="4775"/>
      <c r="AD142" s="442"/>
    </row>
    <row r="143" spans="1:30" ht="12" hidden="1" customHeight="1" thickTop="1">
      <c r="A143" s="686"/>
      <c r="B143" s="586"/>
      <c r="C143" s="587"/>
      <c r="D143" s="588"/>
      <c r="E143" s="4813" t="s">
        <v>621</v>
      </c>
      <c r="F143" s="4814"/>
      <c r="G143" s="590"/>
      <c r="H143" s="590"/>
      <c r="I143" s="591"/>
      <c r="J143" s="523"/>
      <c r="K143" s="522"/>
      <c r="L143" s="4798" t="s">
        <v>496</v>
      </c>
      <c r="M143" s="4799"/>
      <c r="N143" s="4799"/>
      <c r="O143" s="4800"/>
      <c r="P143" s="515"/>
      <c r="Q143" s="520"/>
      <c r="R143" s="593"/>
      <c r="S143" s="594"/>
      <c r="T143" s="598"/>
      <c r="U143" s="4815" t="s">
        <v>622</v>
      </c>
      <c r="V143" s="4816"/>
      <c r="W143" s="596"/>
      <c r="X143" s="594"/>
      <c r="Y143" s="597"/>
      <c r="Z143" s="446"/>
      <c r="AA143" s="524">
        <f>VLOOKUP(Z143,BE24:BF34,2,2)</f>
        <v>0</v>
      </c>
      <c r="AB143" s="448"/>
      <c r="AC143" s="449"/>
      <c r="AD143" s="442"/>
    </row>
    <row r="144" spans="1:30" ht="12" hidden="1" customHeight="1">
      <c r="A144" s="686"/>
      <c r="B144" s="586"/>
      <c r="C144" s="587"/>
      <c r="D144" s="588"/>
      <c r="E144" s="649"/>
      <c r="F144" s="650"/>
      <c r="G144" s="590"/>
      <c r="H144" s="590"/>
      <c r="I144" s="591"/>
      <c r="J144" s="526" t="s">
        <v>498</v>
      </c>
      <c r="K144" s="527" t="s">
        <v>499</v>
      </c>
      <c r="L144" s="527" t="s">
        <v>500</v>
      </c>
      <c r="M144" s="527" t="s">
        <v>501</v>
      </c>
      <c r="N144" s="527" t="s">
        <v>502</v>
      </c>
      <c r="O144" s="527" t="s">
        <v>503</v>
      </c>
      <c r="P144" s="527" t="s">
        <v>504</v>
      </c>
      <c r="Q144" s="600"/>
      <c r="R144" s="4752" t="str">
        <f>'VISITA DE INSP.'!D21</f>
        <v>GONGORA SANTOS * GRACIELA</v>
      </c>
      <c r="S144" s="4753"/>
      <c r="T144" s="4753"/>
      <c r="U144" s="4753"/>
      <c r="V144" s="4753"/>
      <c r="W144" s="4753"/>
      <c r="X144" s="4753"/>
      <c r="Y144" s="4754"/>
      <c r="Z144" s="4801" t="s">
        <v>506</v>
      </c>
      <c r="AA144" s="4802"/>
      <c r="AB144" s="4802"/>
      <c r="AC144" s="4803"/>
      <c r="AD144" s="442"/>
    </row>
    <row r="145" spans="1:30" ht="12" hidden="1" customHeight="1">
      <c r="A145" s="686"/>
      <c r="B145" s="586"/>
      <c r="C145" s="587"/>
      <c r="D145" s="588"/>
      <c r="E145" s="649"/>
      <c r="F145" s="650"/>
      <c r="G145" s="590"/>
      <c r="H145" s="590"/>
      <c r="I145" s="591"/>
      <c r="J145" s="534"/>
      <c r="K145" s="531" t="s">
        <v>491</v>
      </c>
      <c r="L145" s="532" t="s">
        <v>491</v>
      </c>
      <c r="M145" s="533"/>
      <c r="N145" s="532"/>
      <c r="O145" s="532"/>
      <c r="P145" s="532"/>
      <c r="Q145" s="520"/>
      <c r="R145" s="682"/>
      <c r="S145" s="4839" t="str">
        <f>'VISITA DE INSP.'!AN21</f>
        <v>GOSG720804RM7</v>
      </c>
      <c r="T145" s="4840"/>
      <c r="U145" s="4840"/>
      <c r="V145" s="4840"/>
      <c r="W145" s="4840"/>
      <c r="X145" s="4841"/>
      <c r="Y145" s="683"/>
      <c r="Z145" s="446"/>
      <c r="AA145" s="524">
        <f>VLOOKUP(Z145,AW24:AX39,2,2)</f>
        <v>0</v>
      </c>
      <c r="AB145" s="448"/>
      <c r="AC145" s="449"/>
      <c r="AD145" s="442"/>
    </row>
    <row r="146" spans="1:30" ht="12" hidden="1" customHeight="1">
      <c r="A146" s="686"/>
      <c r="B146" s="586"/>
      <c r="C146" s="587"/>
      <c r="D146" s="588"/>
      <c r="E146" s="599"/>
      <c r="F146" s="590"/>
      <c r="G146" s="590"/>
      <c r="H146" s="590"/>
      <c r="I146" s="591"/>
      <c r="J146" s="538"/>
      <c r="K146" s="537"/>
      <c r="L146" s="527"/>
      <c r="M146" s="527"/>
      <c r="N146" s="527"/>
      <c r="O146" s="527"/>
      <c r="P146" s="527"/>
      <c r="Q146" s="520"/>
      <c r="R146" s="682"/>
      <c r="S146" s="4839" t="str">
        <f>'VISITA DE INSP.'!AO21</f>
        <v>078312 E028100.0233382</v>
      </c>
      <c r="T146" s="4840"/>
      <c r="U146" s="4840"/>
      <c r="V146" s="4840"/>
      <c r="W146" s="4840"/>
      <c r="X146" s="4841"/>
      <c r="Y146" s="683"/>
      <c r="Z146" s="4773" t="s">
        <v>511</v>
      </c>
      <c r="AA146" s="4774"/>
      <c r="AB146" s="4774"/>
      <c r="AC146" s="4775"/>
      <c r="AD146" s="442"/>
    </row>
    <row r="147" spans="1:30" ht="12" hidden="1" customHeight="1">
      <c r="A147" s="686"/>
      <c r="B147" s="586"/>
      <c r="C147" s="587"/>
      <c r="D147" s="588"/>
      <c r="E147" s="599"/>
      <c r="F147" s="590"/>
      <c r="G147" s="590"/>
      <c r="H147" s="590"/>
      <c r="I147" s="591"/>
      <c r="J147" s="534"/>
      <c r="K147" s="537"/>
      <c r="L147" s="531"/>
      <c r="M147" s="533"/>
      <c r="N147" s="532"/>
      <c r="O147" s="532"/>
      <c r="P147" s="532"/>
      <c r="Q147" s="520"/>
      <c r="R147" s="682"/>
      <c r="S147" s="4836" t="str">
        <f>'VISITA DE INSP.'!AU21</f>
        <v>16-09-1995</v>
      </c>
      <c r="T147" s="4837"/>
      <c r="U147" s="4837"/>
      <c r="V147" s="4837"/>
      <c r="W147" s="4837"/>
      <c r="X147" s="4838"/>
      <c r="Y147" s="684"/>
      <c r="Z147" s="446"/>
      <c r="AA147" s="524">
        <f>VLOOKUP(Z147,BB24:BC34,2,2)</f>
        <v>0</v>
      </c>
      <c r="AB147" s="448"/>
      <c r="AC147" s="449"/>
      <c r="AD147" s="442"/>
    </row>
    <row r="148" spans="1:30" ht="12" hidden="1" customHeight="1">
      <c r="A148" s="686"/>
      <c r="B148" s="586"/>
      <c r="C148" s="587"/>
      <c r="D148" s="588"/>
      <c r="E148" s="599"/>
      <c r="F148" s="590"/>
      <c r="G148" s="590"/>
      <c r="H148" s="590"/>
      <c r="I148" s="591"/>
      <c r="J148" s="534"/>
      <c r="K148" s="522"/>
      <c r="L148" s="539"/>
      <c r="M148" s="540"/>
      <c r="N148" s="515"/>
      <c r="O148" s="515"/>
      <c r="P148" s="515"/>
      <c r="Q148" s="520"/>
      <c r="R148" s="682"/>
      <c r="S148" s="4839">
        <f>'VISITA DE INSP.'!AT21</f>
        <v>10</v>
      </c>
      <c r="T148" s="4840"/>
      <c r="U148" s="4840"/>
      <c r="V148" s="4840"/>
      <c r="W148" s="4840"/>
      <c r="X148" s="4841"/>
      <c r="Y148" s="684"/>
      <c r="Z148" s="4773" t="s">
        <v>520</v>
      </c>
      <c r="AA148" s="4774"/>
      <c r="AB148" s="4774"/>
      <c r="AC148" s="4775"/>
      <c r="AD148" s="442"/>
    </row>
    <row r="149" spans="1:30" ht="12" hidden="1" customHeight="1">
      <c r="A149" s="686"/>
      <c r="B149" s="586"/>
      <c r="C149" s="587"/>
      <c r="D149" s="588"/>
      <c r="E149" s="599"/>
      <c r="F149" s="590"/>
      <c r="G149" s="590"/>
      <c r="H149" s="590"/>
      <c r="I149" s="591"/>
      <c r="J149" s="534"/>
      <c r="K149" s="541"/>
      <c r="L149" s="541"/>
      <c r="M149" s="541"/>
      <c r="N149" s="541"/>
      <c r="O149" s="541"/>
      <c r="P149" s="541"/>
      <c r="Q149" s="520"/>
      <c r="R149" s="682"/>
      <c r="S149" s="4842">
        <f>'VISITA DE INSP.'!AS21</f>
        <v>0</v>
      </c>
      <c r="T149" s="4843"/>
      <c r="U149" s="4843"/>
      <c r="V149" s="4843"/>
      <c r="W149" s="4843"/>
      <c r="X149" s="4844"/>
      <c r="Y149" s="684"/>
      <c r="Z149" s="446" t="s">
        <v>396</v>
      </c>
      <c r="AA149" s="447" t="str">
        <f>J133</f>
        <v xml:space="preserve">  COL-C.C.T.</v>
      </c>
      <c r="AB149" s="448"/>
      <c r="AC149" s="449"/>
      <c r="AD149" s="442"/>
    </row>
    <row r="150" spans="1:30" ht="12" hidden="1" customHeight="1">
      <c r="A150" s="686"/>
      <c r="B150" s="586"/>
      <c r="C150" s="603" t="str">
        <f>Y125</f>
        <v xml:space="preserve">       </v>
      </c>
      <c r="D150" s="604"/>
      <c r="E150" s="604"/>
      <c r="F150" s="604"/>
      <c r="G150" s="604"/>
      <c r="H150" s="605"/>
      <c r="I150" s="591"/>
      <c r="J150" s="606" t="str">
        <f>J134</f>
        <v xml:space="preserve">  C.P.-</v>
      </c>
      <c r="K150" s="603" t="str">
        <f>C150</f>
        <v xml:space="preserve">       </v>
      </c>
      <c r="L150" s="604"/>
      <c r="M150" s="604"/>
      <c r="N150" s="604"/>
      <c r="O150" s="604"/>
      <c r="P150" s="605"/>
      <c r="Q150" s="597"/>
      <c r="R150" s="593"/>
      <c r="S150" s="607" t="str">
        <f>K150</f>
        <v xml:space="preserve">       </v>
      </c>
      <c r="T150" s="608"/>
      <c r="U150" s="608"/>
      <c r="V150" s="608"/>
      <c r="W150" s="608"/>
      <c r="X150" s="609"/>
      <c r="Y150" s="597"/>
      <c r="Z150" s="4773" t="s">
        <v>529</v>
      </c>
      <c r="AA150" s="4774"/>
      <c r="AB150" s="4774"/>
      <c r="AC150" s="4775"/>
      <c r="AD150" s="442"/>
    </row>
    <row r="151" spans="1:30" ht="12" hidden="1" customHeight="1" thickBot="1">
      <c r="A151" s="686"/>
      <c r="B151" s="610"/>
      <c r="C151" s="4817" t="s">
        <v>534</v>
      </c>
      <c r="D151" s="4818"/>
      <c r="E151" s="4818"/>
      <c r="F151" s="4818"/>
      <c r="G151" s="4818"/>
      <c r="H151" s="4819"/>
      <c r="I151" s="611"/>
      <c r="J151" s="612"/>
      <c r="K151" s="4820" t="s">
        <v>534</v>
      </c>
      <c r="L151" s="4821"/>
      <c r="M151" s="4821"/>
      <c r="N151" s="4821"/>
      <c r="O151" s="4821"/>
      <c r="P151" s="4822"/>
      <c r="Q151" s="613"/>
      <c r="R151" s="614"/>
      <c r="S151" s="4817" t="s">
        <v>534</v>
      </c>
      <c r="T151" s="4818"/>
      <c r="U151" s="4818"/>
      <c r="V151" s="4818"/>
      <c r="W151" s="4818"/>
      <c r="X151" s="4819"/>
      <c r="Y151" s="615"/>
      <c r="Z151" s="446" t="s">
        <v>396</v>
      </c>
      <c r="AA151" s="447" t="str">
        <f>J134</f>
        <v xml:space="preserve">  C.P.-</v>
      </c>
      <c r="AB151" s="448"/>
      <c r="AC151" s="449"/>
      <c r="AD151" s="442"/>
    </row>
    <row r="152" spans="1:30" ht="12" hidden="1" customHeight="1" thickTop="1" thickBot="1">
      <c r="A152" s="686"/>
      <c r="B152" s="4783" t="s">
        <v>538</v>
      </c>
      <c r="C152" s="4784"/>
      <c r="D152" s="4784"/>
      <c r="E152" s="4784"/>
      <c r="F152" s="552"/>
      <c r="G152" s="551">
        <f>VLOOKUP(F152,BE38:BG72,2,2)</f>
        <v>0</v>
      </c>
      <c r="H152" s="511"/>
      <c r="I152" s="513"/>
      <c r="J152" s="4783" t="s">
        <v>539</v>
      </c>
      <c r="K152" s="4784"/>
      <c r="L152" s="4784"/>
      <c r="M152" s="4784"/>
      <c r="N152" s="552" t="s">
        <v>540</v>
      </c>
      <c r="O152" s="628" t="s">
        <v>709</v>
      </c>
      <c r="P152" s="629" t="s">
        <v>710</v>
      </c>
      <c r="Q152" s="630" t="s">
        <v>711</v>
      </c>
      <c r="R152" s="4783" t="s">
        <v>541</v>
      </c>
      <c r="S152" s="4784"/>
      <c r="T152" s="4784"/>
      <c r="U152" s="4785"/>
      <c r="V152" s="508" t="s">
        <v>396</v>
      </c>
      <c r="W152" s="553">
        <f>O125</f>
        <v>0</v>
      </c>
      <c r="X152" s="554">
        <f>R125</f>
        <v>0</v>
      </c>
      <c r="Y152" s="555">
        <f>U125</f>
        <v>0</v>
      </c>
      <c r="Z152" s="4773" t="s">
        <v>542</v>
      </c>
      <c r="AA152" s="4774"/>
      <c r="AB152" s="4774"/>
      <c r="AC152" s="4775"/>
      <c r="AD152" s="442"/>
    </row>
    <row r="153" spans="1:30" ht="12" customHeight="1" thickTop="1" thickBot="1">
      <c r="A153" s="686"/>
      <c r="B153" s="651"/>
      <c r="C153" s="652"/>
      <c r="D153" s="652"/>
      <c r="E153" s="652"/>
      <c r="F153" s="652"/>
      <c r="G153" s="652"/>
      <c r="H153" s="652"/>
      <c r="I153" s="652"/>
      <c r="J153" s="652"/>
      <c r="K153" s="652"/>
      <c r="L153" s="652"/>
      <c r="M153" s="652"/>
      <c r="N153" s="652"/>
      <c r="O153" s="652"/>
      <c r="P153" s="652"/>
      <c r="Q153" s="652"/>
      <c r="R153" s="652"/>
      <c r="S153" s="652"/>
      <c r="T153" s="652"/>
      <c r="U153" s="652"/>
      <c r="V153" s="652"/>
      <c r="W153" s="652"/>
      <c r="X153" s="652"/>
      <c r="Y153" s="652"/>
      <c r="Z153" s="558" t="s">
        <v>396</v>
      </c>
      <c r="AA153" s="559" t="e">
        <f>W133</f>
        <v>#REF!</v>
      </c>
      <c r="AB153" s="560"/>
      <c r="AC153" s="561"/>
      <c r="AD153" s="442"/>
    </row>
    <row r="154" spans="1:30" ht="12" customHeight="1" thickTop="1">
      <c r="A154" s="686"/>
      <c r="B154" s="4761" t="s">
        <v>386</v>
      </c>
      <c r="C154" s="4762"/>
      <c r="D154" s="4762"/>
      <c r="E154" s="4762"/>
      <c r="F154" s="4762"/>
      <c r="G154" s="4845"/>
      <c r="H154" s="4845"/>
      <c r="I154" s="4846"/>
      <c r="J154" s="562">
        <f>COUNTA(I159:I160)</f>
        <v>0</v>
      </c>
      <c r="K154" s="563" t="s">
        <v>387</v>
      </c>
      <c r="L154" s="564"/>
      <c r="M154" s="564"/>
      <c r="N154" s="564"/>
      <c r="O154" s="564"/>
      <c r="P154" s="564"/>
      <c r="Q154" s="564"/>
      <c r="R154" s="564"/>
      <c r="S154" s="564"/>
      <c r="T154" s="564"/>
      <c r="U154" s="564"/>
      <c r="V154" s="564"/>
      <c r="W154" s="564"/>
      <c r="X154" s="564"/>
      <c r="Y154" s="441"/>
      <c r="Z154" s="4770" t="s">
        <v>388</v>
      </c>
      <c r="AA154" s="4771"/>
      <c r="AB154" s="4771"/>
      <c r="AC154" s="4772"/>
      <c r="AD154" s="442"/>
    </row>
    <row r="155" spans="1:30" ht="12" customHeight="1">
      <c r="A155" s="686"/>
      <c r="B155" s="4764"/>
      <c r="C155" s="4765"/>
      <c r="D155" s="4765"/>
      <c r="E155" s="4765"/>
      <c r="F155" s="4765"/>
      <c r="G155" s="4847"/>
      <c r="H155" s="4847"/>
      <c r="I155" s="4848"/>
      <c r="J155" s="565" t="str">
        <f>CONCATENATE(O155,J172,R155,K172,U155,L172)</f>
        <v xml:space="preserve">       </v>
      </c>
      <c r="K155" s="699" t="s">
        <v>395</v>
      </c>
      <c r="L155" s="700"/>
      <c r="M155" s="539"/>
      <c r="N155" s="539"/>
      <c r="O155" s="701"/>
      <c r="P155" s="573"/>
      <c r="R155" s="701"/>
      <c r="S155" s="573"/>
      <c r="U155" s="701"/>
      <c r="V155" s="702"/>
      <c r="W155" s="703"/>
      <c r="X155" s="641"/>
      <c r="Y155" s="445" t="str">
        <f>CONCATENATE(U155,K172,O155,J172,R155,L172)</f>
        <v xml:space="preserve">       </v>
      </c>
      <c r="Z155" s="446" t="s">
        <v>396</v>
      </c>
      <c r="AA155" s="447" t="str">
        <f>J155</f>
        <v xml:space="preserve">       </v>
      </c>
      <c r="AB155" s="448"/>
      <c r="AC155" s="449"/>
      <c r="AD155" s="442"/>
    </row>
    <row r="156" spans="1:30" ht="12" customHeight="1" thickBot="1">
      <c r="A156" s="686"/>
      <c r="B156" s="4767"/>
      <c r="C156" s="4768"/>
      <c r="D156" s="4768"/>
      <c r="E156" s="4768"/>
      <c r="F156" s="4768"/>
      <c r="G156" s="4768"/>
      <c r="H156" s="4768"/>
      <c r="I156" s="4769"/>
      <c r="J156" s="565"/>
      <c r="K156" s="539" t="str">
        <f>'VISITA DE INSP.'!D22</f>
        <v>VARGAS GARCIA * DEBRA DORIS DEL SAGRARIO</v>
      </c>
      <c r="L156" s="539"/>
      <c r="M156" s="539"/>
      <c r="N156" s="539"/>
      <c r="P156" s="704"/>
      <c r="Q156" s="705"/>
      <c r="S156" s="704"/>
      <c r="T156" s="705"/>
      <c r="U156" s="706"/>
      <c r="V156" s="706"/>
      <c r="W156" s="706"/>
      <c r="X156" s="706"/>
      <c r="Z156" s="4773" t="s">
        <v>400</v>
      </c>
      <c r="AA156" s="4774"/>
      <c r="AB156" s="4774"/>
      <c r="AC156" s="4775"/>
      <c r="AD156" s="442"/>
    </row>
    <row r="157" spans="1:30" ht="12" customHeight="1" thickTop="1">
      <c r="A157" s="686"/>
      <c r="B157" s="452">
        <v>1</v>
      </c>
      <c r="C157" s="453" t="s">
        <v>406</v>
      </c>
      <c r="D157" s="454" t="s">
        <v>407</v>
      </c>
      <c r="E157" s="455" t="s">
        <v>408</v>
      </c>
      <c r="F157" s="456" t="s">
        <v>409</v>
      </c>
      <c r="G157" s="457" t="e">
        <f>G127</f>
        <v>#REF!</v>
      </c>
      <c r="H157" s="653"/>
      <c r="I157" s="654">
        <f>COUNTA(G160,G280,G400,G520)</f>
        <v>4</v>
      </c>
      <c r="J157" s="565" t="str">
        <f>CONCATENATE(N157,K172,O157)</f>
        <v>VAGD571220  B2</v>
      </c>
      <c r="K157" s="699" t="s">
        <v>410</v>
      </c>
      <c r="L157" s="700"/>
      <c r="M157" s="707"/>
      <c r="N157" s="708" t="str">
        <f>MID('VISITA DE INSP.'!AN22,1,10)</f>
        <v>VAGD571220</v>
      </c>
      <c r="O157" s="701" t="str">
        <f>MID('VISITA DE INSP.'!AN22,12,15)</f>
        <v>B2</v>
      </c>
      <c r="P157" s="641"/>
      <c r="Q157" s="700"/>
      <c r="R157" s="709"/>
      <c r="T157" s="710" t="s">
        <v>411</v>
      </c>
      <c r="U157" s="641"/>
      <c r="V157" s="711" t="s">
        <v>179</v>
      </c>
      <c r="W157" s="712" t="str">
        <f>'VISITA DE INSP.'!AO22</f>
        <v>078312 E028100.0232821</v>
      </c>
      <c r="X157" s="713"/>
      <c r="Y157" s="460" t="str">
        <f>CONCATENATE(V157,K172,W157)</f>
        <v>11007831200.0  078312 E028100.0232821</v>
      </c>
      <c r="Z157" s="446" t="s">
        <v>396</v>
      </c>
      <c r="AA157" s="447" t="str">
        <f>Y155</f>
        <v xml:space="preserve">       </v>
      </c>
      <c r="AB157" s="448"/>
      <c r="AC157" s="449"/>
      <c r="AD157" s="442"/>
    </row>
    <row r="158" spans="1:30" ht="12" customHeight="1">
      <c r="A158" s="686"/>
      <c r="B158" s="462" t="s">
        <v>416</v>
      </c>
      <c r="C158" s="463"/>
      <c r="D158" s="464"/>
      <c r="E158" s="465">
        <f t="shared" ref="E158:E163" si="13">C158+D158</f>
        <v>0</v>
      </c>
      <c r="F158" s="466" t="s">
        <v>417</v>
      </c>
      <c r="G158" s="467" t="e">
        <f>G128</f>
        <v>#REF!</v>
      </c>
      <c r="H158" s="468" t="e">
        <f>H128</f>
        <v>#REF!</v>
      </c>
      <c r="I158" s="469"/>
      <c r="J158" s="565"/>
      <c r="K158" s="714"/>
      <c r="L158" s="715"/>
      <c r="M158" s="716"/>
      <c r="O158" s="716"/>
      <c r="P158" s="716"/>
      <c r="Q158" s="717" t="s">
        <v>418</v>
      </c>
      <c r="R158" s="714"/>
      <c r="S158" s="540"/>
      <c r="T158" s="540"/>
      <c r="U158" s="716"/>
      <c r="V158" s="752" t="str">
        <f>CONCATENATE(V157,L172,W157)</f>
        <v>11007831200.0   078312 E028100.0232821</v>
      </c>
      <c r="W158" s="752" t="str">
        <f>MID(W157,1,5)</f>
        <v>07831</v>
      </c>
      <c r="X158" s="718"/>
      <c r="Y158" s="655"/>
      <c r="Z158" s="4773" t="s">
        <v>419</v>
      </c>
      <c r="AA158" s="4774"/>
      <c r="AB158" s="4774"/>
      <c r="AC158" s="4775"/>
      <c r="AD158" s="442"/>
    </row>
    <row r="159" spans="1:30" ht="12" customHeight="1">
      <c r="A159" s="686"/>
      <c r="B159" s="470" t="s">
        <v>423</v>
      </c>
      <c r="C159" s="463"/>
      <c r="D159" s="464"/>
      <c r="E159" s="465">
        <f t="shared" si="13"/>
        <v>0</v>
      </c>
      <c r="F159" s="692" t="s">
        <v>3</v>
      </c>
      <c r="G159" s="463" t="str">
        <f>'VISITA DE INSP.'!B22</f>
        <v>3º</v>
      </c>
      <c r="H159" s="471" t="s">
        <v>406</v>
      </c>
      <c r="I159" s="480"/>
      <c r="J159" s="568">
        <f>COUNTA(I159,I189,I219,I249,I279,I309,I339,I369,I399,I429)</f>
        <v>0</v>
      </c>
      <c r="K159" s="522" t="s">
        <v>424</v>
      </c>
      <c r="L159" s="539"/>
      <c r="M159" s="539"/>
      <c r="N159" s="539"/>
      <c r="O159" s="712" t="str">
        <f>'VISITA DE INSP.'!AU22</f>
        <v>16-10-1994</v>
      </c>
      <c r="P159" s="719"/>
      <c r="Q159" s="720"/>
      <c r="R159" s="714"/>
      <c r="S159" s="714"/>
      <c r="T159" s="714"/>
      <c r="U159" s="574" t="s">
        <v>425</v>
      </c>
      <c r="V159" s="721">
        <f>'VISITA DE INSP.'!AT22</f>
        <v>10</v>
      </c>
      <c r="W159" s="722" t="str">
        <f>Y159</f>
        <v>BASE</v>
      </c>
      <c r="X159" s="723"/>
      <c r="Y159" s="473" t="str">
        <f>VLOOKUP(V159,AH2:AI14,2)</f>
        <v>BASE</v>
      </c>
      <c r="Z159" s="446" t="s">
        <v>396</v>
      </c>
      <c r="AA159" s="447" t="str">
        <f>J157</f>
        <v>VAGD571220  B2</v>
      </c>
      <c r="AB159" s="448"/>
      <c r="AC159" s="449"/>
      <c r="AD159" s="442"/>
    </row>
    <row r="160" spans="1:30" ht="12" customHeight="1">
      <c r="A160" s="686"/>
      <c r="B160" s="470" t="s">
        <v>408</v>
      </c>
      <c r="C160" s="463"/>
      <c r="D160" s="464"/>
      <c r="E160" s="465">
        <f t="shared" si="13"/>
        <v>0</v>
      </c>
      <c r="F160" s="692" t="s">
        <v>4</v>
      </c>
      <c r="G160" s="463" t="str">
        <f>'VISITA DE INSP.'!C22</f>
        <v>A</v>
      </c>
      <c r="H160" s="475" t="s">
        <v>407</v>
      </c>
      <c r="I160" s="623"/>
      <c r="J160" s="568">
        <f>COUNTA(I160,I190,I220,I250,I280,I310,I340,I370,I400,I430)</f>
        <v>0</v>
      </c>
      <c r="K160" s="717"/>
      <c r="L160" s="717"/>
      <c r="M160" s="539"/>
      <c r="N160" s="714"/>
      <c r="O160" s="716"/>
      <c r="P160" s="716"/>
      <c r="Q160" s="716"/>
      <c r="R160" s="539"/>
      <c r="S160" s="539"/>
      <c r="T160" s="714"/>
      <c r="U160" s="714"/>
      <c r="V160" s="724"/>
      <c r="W160" s="724"/>
      <c r="X160" s="716"/>
      <c r="Y160" s="476"/>
      <c r="Z160" s="4773" t="s">
        <v>429</v>
      </c>
      <c r="AA160" s="4774"/>
      <c r="AB160" s="4774"/>
      <c r="AC160" s="4775"/>
      <c r="AD160" s="442"/>
    </row>
    <row r="161" spans="1:30" ht="12" customHeight="1">
      <c r="A161" s="686"/>
      <c r="B161" s="470" t="s">
        <v>434</v>
      </c>
      <c r="C161" s="463"/>
      <c r="D161" s="464"/>
      <c r="E161" s="465">
        <f t="shared" si="13"/>
        <v>0</v>
      </c>
      <c r="F161" s="4776" t="s">
        <v>435</v>
      </c>
      <c r="G161" s="4777"/>
      <c r="H161" s="4777" t="s">
        <v>436</v>
      </c>
      <c r="I161" s="4778"/>
      <c r="J161" s="568">
        <f>SUM(J159,J160)</f>
        <v>0</v>
      </c>
      <c r="K161" s="522" t="s">
        <v>437</v>
      </c>
      <c r="L161" s="539"/>
      <c r="M161" s="725"/>
      <c r="N161" s="725"/>
      <c r="O161" s="725"/>
      <c r="P161" s="725"/>
      <c r="Q161" s="725"/>
      <c r="R161" s="726"/>
      <c r="S161" s="725"/>
      <c r="T161" s="727"/>
      <c r="U161" s="725"/>
      <c r="V161" s="574" t="s">
        <v>438</v>
      </c>
      <c r="W161" s="728"/>
      <c r="X161" s="723"/>
      <c r="Y161" s="445" t="str">
        <f>CONCATENATE(O174,S161)</f>
        <v xml:space="preserve">  COL-</v>
      </c>
      <c r="Z161" s="446" t="s">
        <v>396</v>
      </c>
      <c r="AA161" s="447" t="str">
        <f>Y157</f>
        <v>11007831200.0  078312 E028100.0232821</v>
      </c>
      <c r="AB161" s="448"/>
      <c r="AC161" s="449"/>
      <c r="AD161" s="442" t="s">
        <v>491</v>
      </c>
    </row>
    <row r="162" spans="1:30" ht="12" customHeight="1">
      <c r="A162" s="686"/>
      <c r="B162" s="470" t="s">
        <v>443</v>
      </c>
      <c r="C162" s="463"/>
      <c r="D162" s="464"/>
      <c r="E162" s="465">
        <f t="shared" si="13"/>
        <v>0</v>
      </c>
      <c r="F162" s="478" t="s">
        <v>444</v>
      </c>
      <c r="G162" s="624">
        <v>6</v>
      </c>
      <c r="H162" s="479" t="e">
        <f>H132</f>
        <v>#REF!</v>
      </c>
      <c r="I162" s="480" t="e">
        <f>H162+1</f>
        <v>#REF!</v>
      </c>
      <c r="J162" s="569" t="str">
        <f>CONCATENATE(J174,M161,K174,N161,L174,O161,M174,P161,N174,Q161,O174,S161)</f>
        <v>RG-  SM-  MZA-  LTE-  CALLE-  COL-</v>
      </c>
      <c r="K162" s="729"/>
      <c r="L162" s="539"/>
      <c r="M162" s="492"/>
      <c r="N162" s="492"/>
      <c r="O162" s="492"/>
      <c r="P162" s="492"/>
      <c r="Q162" s="492"/>
      <c r="R162" s="730"/>
      <c r="S162" s="731" t="s">
        <v>503</v>
      </c>
      <c r="T162" s="731"/>
      <c r="U162" s="731" t="s">
        <v>504</v>
      </c>
      <c r="V162" s="533"/>
      <c r="W162" s="732"/>
      <c r="X162" s="733"/>
      <c r="Y162" s="450" t="str">
        <f>CONCATENATE(K172,P174,U161)</f>
        <v xml:space="preserve">    C.P.-</v>
      </c>
      <c r="Z162" s="4779" t="s">
        <v>445</v>
      </c>
      <c r="AA162" s="4780"/>
      <c r="AB162" s="4780"/>
      <c r="AC162" s="4781"/>
      <c r="AD162" s="442"/>
    </row>
    <row r="163" spans="1:30" ht="12" customHeight="1">
      <c r="A163" s="686"/>
      <c r="B163" s="470" t="s">
        <v>450</v>
      </c>
      <c r="C163" s="463"/>
      <c r="D163" s="464"/>
      <c r="E163" s="465">
        <f t="shared" si="13"/>
        <v>0</v>
      </c>
      <c r="F163" s="692" t="s">
        <v>373</v>
      </c>
      <c r="G163" s="4782" t="s">
        <v>451</v>
      </c>
      <c r="H163" s="4777"/>
      <c r="I163" s="4778"/>
      <c r="J163" s="565" t="str">
        <f>CONCATENATE(O174,S161)</f>
        <v xml:space="preserve">  COL-</v>
      </c>
      <c r="K163" s="522" t="s">
        <v>452</v>
      </c>
      <c r="L163" s="539"/>
      <c r="M163" s="539"/>
      <c r="N163" s="572" t="e">
        <f>#REF!</f>
        <v>#REF!</v>
      </c>
      <c r="O163" s="573"/>
      <c r="P163" s="573"/>
      <c r="Q163" s="573"/>
      <c r="R163" s="573"/>
      <c r="S163" s="574" t="s">
        <v>453</v>
      </c>
      <c r="T163" s="572" t="e">
        <f>#REF!</f>
        <v>#REF!</v>
      </c>
      <c r="U163" s="575"/>
      <c r="V163" s="574" t="s">
        <v>454</v>
      </c>
      <c r="W163" s="576" t="e">
        <f>#REF!</f>
        <v>#REF!</v>
      </c>
      <c r="X163" s="575"/>
      <c r="Y163" s="445"/>
      <c r="Z163" s="446" t="s">
        <v>396</v>
      </c>
      <c r="AA163" s="482" t="str">
        <f>O159</f>
        <v>16-10-1994</v>
      </c>
      <c r="AB163" s="448"/>
      <c r="AC163" s="483"/>
      <c r="AD163" s="442"/>
    </row>
    <row r="164" spans="1:30" ht="12" customHeight="1" thickBot="1">
      <c r="A164" s="686"/>
      <c r="B164" s="484" t="s">
        <v>456</v>
      </c>
      <c r="C164" s="485"/>
      <c r="D164" s="486"/>
      <c r="E164" s="465">
        <f>E162-E163</f>
        <v>0</v>
      </c>
      <c r="F164" s="577">
        <f>F134</f>
        <v>1</v>
      </c>
      <c r="G164" s="578" t="e">
        <f>G134</f>
        <v>#REF!</v>
      </c>
      <c r="H164" s="578" t="e">
        <f>H134</f>
        <v>#REF!</v>
      </c>
      <c r="I164" s="579" t="e">
        <f>I134</f>
        <v>#REF!</v>
      </c>
      <c r="J164" s="580" t="str">
        <f>CONCATENATE(,P174,U161)</f>
        <v xml:space="preserve">  C.P.-</v>
      </c>
      <c r="K164" s="490"/>
      <c r="L164" s="491"/>
      <c r="M164" s="492"/>
      <c r="N164" s="492"/>
      <c r="O164" s="492"/>
      <c r="P164" s="492"/>
      <c r="Q164" s="492"/>
      <c r="R164" s="492"/>
      <c r="S164" s="492"/>
      <c r="T164" s="493"/>
      <c r="V164" s="494"/>
      <c r="W164" s="495"/>
      <c r="X164" s="496"/>
      <c r="Y164" s="497"/>
      <c r="Z164" s="4773" t="s">
        <v>457</v>
      </c>
      <c r="AA164" s="4774"/>
      <c r="AB164" s="4774"/>
      <c r="AC164" s="4775"/>
      <c r="AD164" s="442"/>
    </row>
    <row r="165" spans="1:30" ht="12" customHeight="1" thickTop="1" thickBot="1">
      <c r="A165" s="686"/>
      <c r="B165" s="4783" t="s">
        <v>460</v>
      </c>
      <c r="C165" s="4784"/>
      <c r="D165" s="4784"/>
      <c r="E165" s="4785"/>
      <c r="F165" s="498" t="s">
        <v>396</v>
      </c>
      <c r="G165" s="647" t="str">
        <f>G135</f>
        <v>CERVANTES BENITEZ * ANTONIA</v>
      </c>
      <c r="H165" s="500"/>
      <c r="I165" s="500"/>
      <c r="J165" s="501"/>
      <c r="K165" s="501"/>
      <c r="L165" s="501"/>
      <c r="M165" s="504"/>
      <c r="N165" s="4783" t="s">
        <v>461</v>
      </c>
      <c r="O165" s="4786"/>
      <c r="P165" s="4786"/>
      <c r="Q165" s="4787"/>
      <c r="R165" s="625" t="s">
        <v>7</v>
      </c>
      <c r="S165" s="582" t="str">
        <f>VLOOKUP(R165,AE1:AF16,2,1)</f>
        <v>DOCENTE</v>
      </c>
      <c r="T165" s="501"/>
      <c r="U165" s="501"/>
      <c r="V165" s="501"/>
      <c r="W165" s="501"/>
      <c r="X165" s="501"/>
      <c r="Y165" s="504"/>
      <c r="Z165" s="446" t="s">
        <v>396</v>
      </c>
      <c r="AA165" s="461" t="str">
        <f>Y159</f>
        <v>BASE</v>
      </c>
      <c r="AB165" s="448"/>
      <c r="AC165" s="505">
        <f>V159</f>
        <v>10</v>
      </c>
      <c r="AD165" s="442"/>
    </row>
    <row r="166" spans="1:30" ht="12" customHeight="1" thickTop="1" thickBot="1">
      <c r="A166" s="686"/>
      <c r="B166" s="4783" t="s">
        <v>465</v>
      </c>
      <c r="C166" s="4786"/>
      <c r="D166" s="4786"/>
      <c r="E166" s="4787"/>
      <c r="F166" s="506" t="s">
        <v>396</v>
      </c>
      <c r="G166" s="648" t="str">
        <f>G136</f>
        <v>JESUS MARTIN RICALDE CASTRO</v>
      </c>
      <c r="H166" s="501"/>
      <c r="I166" s="501"/>
      <c r="J166" s="501"/>
      <c r="K166" s="501"/>
      <c r="L166" s="501"/>
      <c r="M166" s="504"/>
      <c r="N166" s="4783" t="s">
        <v>466</v>
      </c>
      <c r="O166" s="4786"/>
      <c r="P166" s="4786"/>
      <c r="Q166" s="4787"/>
      <c r="R166" s="625">
        <v>1</v>
      </c>
      <c r="S166" s="582" t="str">
        <f>VLOOKUP(R166,AE17:AF22,2,2)</f>
        <v>BASE</v>
      </c>
      <c r="T166" s="501"/>
      <c r="U166" s="501"/>
      <c r="V166" s="501"/>
      <c r="W166" s="501"/>
      <c r="X166" s="501"/>
      <c r="Y166" s="507" t="str">
        <f>CONCATENATE(M162,M161,N162,N161,O162,O161,P162,P161)</f>
        <v/>
      </c>
      <c r="Z166" s="4773" t="s">
        <v>467</v>
      </c>
      <c r="AA166" s="4774"/>
      <c r="AB166" s="4774"/>
      <c r="AC166" s="4775"/>
      <c r="AD166" s="442"/>
    </row>
    <row r="167" spans="1:30" ht="12" customHeight="1" thickTop="1" thickBot="1">
      <c r="A167" s="686"/>
      <c r="B167" s="4788" t="s">
        <v>471</v>
      </c>
      <c r="C167" s="4789"/>
      <c r="D167" s="4789"/>
      <c r="E167" s="4790"/>
      <c r="F167" s="506" t="s">
        <v>396</v>
      </c>
      <c r="G167" s="648" t="e">
        <f>G137</f>
        <v>#REF!</v>
      </c>
      <c r="H167" s="501"/>
      <c r="I167" s="501"/>
      <c r="J167" s="501"/>
      <c r="K167" s="501"/>
      <c r="L167" s="501"/>
      <c r="M167" s="501"/>
      <c r="N167" s="4783" t="s">
        <v>472</v>
      </c>
      <c r="O167" s="4786"/>
      <c r="P167" s="4786"/>
      <c r="Q167" s="4787"/>
      <c r="R167" s="625">
        <v>4</v>
      </c>
      <c r="S167" s="582" t="str">
        <f>VLOOKUP(R167,AE25:AF34,2,2)</f>
        <v>ALTA DEFINITIVA. (Si la persona se da de alta en al escuela)</v>
      </c>
      <c r="T167" s="501"/>
      <c r="U167" s="501"/>
      <c r="V167" s="501"/>
      <c r="W167" s="501"/>
      <c r="X167" s="501"/>
      <c r="Y167" s="504"/>
      <c r="Z167" s="446" t="s">
        <v>396</v>
      </c>
      <c r="AA167" s="447" t="str">
        <f>J162</f>
        <v>RG-  SM-  MZA-  LTE-  CALLE-  COL-</v>
      </c>
      <c r="AB167" s="448"/>
      <c r="AC167" s="449"/>
      <c r="AD167" s="442" t="s">
        <v>389</v>
      </c>
    </row>
    <row r="168" spans="1:30" ht="12" customHeight="1" thickTop="1" thickBot="1">
      <c r="A168" s="686"/>
      <c r="B168" s="4788" t="s">
        <v>475</v>
      </c>
      <c r="C168" s="4789"/>
      <c r="D168" s="4789"/>
      <c r="E168" s="4790"/>
      <c r="F168" s="508"/>
      <c r="G168" s="648"/>
      <c r="H168" s="501"/>
      <c r="I168" s="501"/>
      <c r="J168" s="501"/>
      <c r="K168" s="501"/>
      <c r="L168" s="501"/>
      <c r="M168" s="501"/>
      <c r="N168" s="4783" t="s">
        <v>476</v>
      </c>
      <c r="O168" s="4786"/>
      <c r="P168" s="4786"/>
      <c r="Q168" s="4787"/>
      <c r="R168" s="625">
        <v>2</v>
      </c>
      <c r="S168" s="582" t="str">
        <f>VLOOKUP(R168,AE35:AF43,2,2)</f>
        <v>FEDERAL TRANFERIDA  (18 de mayo de 2005 )</v>
      </c>
      <c r="T168" s="501"/>
      <c r="U168" s="501"/>
      <c r="V168" s="501"/>
      <c r="W168" s="501"/>
      <c r="X168" s="501"/>
      <c r="Y168" s="504"/>
      <c r="Z168" s="4773" t="s">
        <v>477</v>
      </c>
      <c r="AA168" s="4774"/>
      <c r="AB168" s="4774"/>
      <c r="AC168" s="4775"/>
      <c r="AD168" s="442"/>
    </row>
    <row r="169" spans="1:30" ht="12" customHeight="1" thickTop="1" thickBot="1">
      <c r="A169" s="686"/>
      <c r="B169" s="4791" t="s">
        <v>479</v>
      </c>
      <c r="C169" s="4792"/>
      <c r="D169" s="4792"/>
      <c r="E169" s="4793"/>
      <c r="F169" s="625"/>
      <c r="G169" s="582">
        <f>VLOOKUP(F169,AE69:AF78,2,1)</f>
        <v>0</v>
      </c>
      <c r="H169" s="501"/>
      <c r="I169" s="501"/>
      <c r="J169" s="501"/>
      <c r="K169" s="501"/>
      <c r="L169" s="584"/>
      <c r="M169" s="619"/>
      <c r="N169" s="4783" t="s">
        <v>480</v>
      </c>
      <c r="O169" s="4786"/>
      <c r="P169" s="4786"/>
      <c r="Q169" s="4787"/>
      <c r="R169" s="625"/>
      <c r="S169" s="582">
        <f>VLOOKUP(R169,AE44:AF68,2,2)</f>
        <v>0</v>
      </c>
      <c r="T169" s="501"/>
      <c r="U169" s="501"/>
      <c r="V169" s="501"/>
      <c r="W169" s="501"/>
      <c r="X169" s="501"/>
      <c r="Y169" s="504"/>
      <c r="Z169" s="446" t="s">
        <v>481</v>
      </c>
      <c r="AA169" s="447">
        <f>'VISITA DE INSP.'!AQ22</f>
        <v>0</v>
      </c>
      <c r="AB169" s="448"/>
      <c r="AC169" s="449"/>
      <c r="AD169" s="442"/>
    </row>
    <row r="170" spans="1:30" ht="12" customHeight="1" thickTop="1" thickBot="1">
      <c r="A170" s="686"/>
      <c r="B170" s="4791" t="s">
        <v>484</v>
      </c>
      <c r="C170" s="4792"/>
      <c r="D170" s="4792"/>
      <c r="E170" s="4793"/>
      <c r="F170" s="625"/>
      <c r="G170" s="582">
        <f>VLOOKUP(F170,AE79:AF85,2,1)</f>
        <v>0</v>
      </c>
      <c r="H170" s="501"/>
      <c r="I170" s="501"/>
      <c r="J170" s="501"/>
      <c r="K170" s="501"/>
      <c r="L170" s="501"/>
      <c r="M170" s="504"/>
      <c r="N170" s="4783" t="s">
        <v>485</v>
      </c>
      <c r="O170" s="4786"/>
      <c r="P170" s="4786"/>
      <c r="Q170" s="4787"/>
      <c r="R170" s="625"/>
      <c r="S170" s="734"/>
      <c r="T170" s="511"/>
      <c r="U170" s="512"/>
      <c r="V170" s="511"/>
      <c r="W170" s="511"/>
      <c r="X170" s="511"/>
      <c r="Y170" s="513"/>
      <c r="Z170" s="4773" t="s">
        <v>486</v>
      </c>
      <c r="AA170" s="4774"/>
      <c r="AB170" s="4774"/>
      <c r="AC170" s="4775"/>
      <c r="AD170" s="442"/>
    </row>
    <row r="171" spans="1:30" ht="12" hidden="1" customHeight="1" thickTop="1" thickBot="1">
      <c r="A171" s="686"/>
      <c r="B171" s="4811" t="s">
        <v>488</v>
      </c>
      <c r="C171" s="4812"/>
      <c r="D171" s="4812"/>
      <c r="E171" s="4812"/>
      <c r="F171" s="4812"/>
      <c r="G171" s="4812"/>
      <c r="H171" s="4812"/>
      <c r="I171" s="4812"/>
      <c r="J171" s="4794" t="s">
        <v>488</v>
      </c>
      <c r="K171" s="4795"/>
      <c r="L171" s="4795"/>
      <c r="M171" s="4795"/>
      <c r="N171" s="4795"/>
      <c r="O171" s="4795"/>
      <c r="P171" s="4795"/>
      <c r="Q171" s="4796"/>
      <c r="R171" s="4811" t="s">
        <v>488</v>
      </c>
      <c r="S171" s="4812"/>
      <c r="T171" s="4812"/>
      <c r="U171" s="4812"/>
      <c r="V171" s="4812"/>
      <c r="W171" s="4812"/>
      <c r="X171" s="4812"/>
      <c r="Y171" s="4812"/>
      <c r="Z171" s="446" t="s">
        <v>489</v>
      </c>
      <c r="AA171" s="447" t="s">
        <v>712</v>
      </c>
      <c r="AB171" s="448"/>
      <c r="AC171" s="449"/>
      <c r="AD171" s="422"/>
    </row>
    <row r="172" spans="1:30" ht="12" hidden="1" customHeight="1" thickTop="1" thickBot="1">
      <c r="A172" s="686"/>
      <c r="B172" s="586"/>
      <c r="C172" s="587"/>
      <c r="D172" s="588"/>
      <c r="E172" s="4797"/>
      <c r="F172" s="4797"/>
      <c r="G172" s="589"/>
      <c r="H172" s="590"/>
      <c r="I172" s="591"/>
      <c r="J172" s="592" t="s">
        <v>491</v>
      </c>
      <c r="K172" s="515" t="s">
        <v>491</v>
      </c>
      <c r="L172" s="516" t="s">
        <v>492</v>
      </c>
      <c r="M172" s="4797"/>
      <c r="N172" s="4797"/>
      <c r="O172" s="517" t="s">
        <v>418</v>
      </c>
      <c r="P172" s="518" t="s">
        <v>493</v>
      </c>
      <c r="Q172" s="520"/>
      <c r="R172" s="593"/>
      <c r="S172" s="594"/>
      <c r="T172" s="595"/>
      <c r="U172" s="4797"/>
      <c r="V172" s="4797"/>
      <c r="W172" s="596"/>
      <c r="X172" s="594"/>
      <c r="Y172" s="597"/>
      <c r="Z172" s="4773" t="s">
        <v>494</v>
      </c>
      <c r="AA172" s="4774"/>
      <c r="AB172" s="4774"/>
      <c r="AC172" s="4775"/>
      <c r="AD172" s="4849"/>
    </row>
    <row r="173" spans="1:30" ht="12" hidden="1" customHeight="1" thickTop="1">
      <c r="A173" s="686"/>
      <c r="B173" s="586"/>
      <c r="C173" s="587"/>
      <c r="D173" s="588"/>
      <c r="E173" s="4813" t="s">
        <v>621</v>
      </c>
      <c r="F173" s="4814"/>
      <c r="G173" s="590"/>
      <c r="H173" s="590"/>
      <c r="I173" s="591"/>
      <c r="J173" s="523"/>
      <c r="K173" s="522"/>
      <c r="L173" s="4798" t="s">
        <v>496</v>
      </c>
      <c r="M173" s="4799"/>
      <c r="N173" s="4799"/>
      <c r="O173" s="4800"/>
      <c r="P173" s="515"/>
      <c r="Q173" s="520"/>
      <c r="R173" s="593"/>
      <c r="S173" s="594"/>
      <c r="T173" s="598"/>
      <c r="U173" s="4815" t="s">
        <v>622</v>
      </c>
      <c r="V173" s="4816"/>
      <c r="W173" s="596"/>
      <c r="X173" s="594"/>
      <c r="Y173" s="597"/>
      <c r="Z173" s="446"/>
      <c r="AA173" s="524">
        <f>VLOOKUP(Z173,BE24:BF34,2,2)</f>
        <v>0</v>
      </c>
      <c r="AB173" s="448"/>
      <c r="AC173" s="449"/>
      <c r="AD173" s="4850"/>
    </row>
    <row r="174" spans="1:30" ht="12" hidden="1" customHeight="1">
      <c r="A174" s="686"/>
      <c r="B174" s="586"/>
      <c r="C174" s="587"/>
      <c r="D174" s="588"/>
      <c r="E174" s="599"/>
      <c r="F174" s="590"/>
      <c r="G174" s="590"/>
      <c r="H174" s="590"/>
      <c r="I174" s="591"/>
      <c r="J174" s="526" t="s">
        <v>498</v>
      </c>
      <c r="K174" s="527" t="s">
        <v>499</v>
      </c>
      <c r="L174" s="527" t="s">
        <v>500</v>
      </c>
      <c r="M174" s="527" t="s">
        <v>501</v>
      </c>
      <c r="N174" s="527" t="s">
        <v>502</v>
      </c>
      <c r="O174" s="527" t="s">
        <v>503</v>
      </c>
      <c r="P174" s="527" t="s">
        <v>504</v>
      </c>
      <c r="Q174" s="600"/>
      <c r="R174" s="4752" t="str">
        <f>'VISITA DE INSP.'!D22</f>
        <v>VARGAS GARCIA * DEBRA DORIS DEL SAGRARIO</v>
      </c>
      <c r="S174" s="4753"/>
      <c r="T174" s="4753"/>
      <c r="U174" s="4753"/>
      <c r="V174" s="4753"/>
      <c r="W174" s="4753"/>
      <c r="X174" s="4753"/>
      <c r="Y174" s="4754"/>
      <c r="Z174" s="4801" t="s">
        <v>506</v>
      </c>
      <c r="AA174" s="4802"/>
      <c r="AB174" s="4802"/>
      <c r="AC174" s="4803"/>
      <c r="AD174" s="4850"/>
    </row>
    <row r="175" spans="1:30" ht="12" hidden="1" customHeight="1">
      <c r="A175" s="686"/>
      <c r="B175" s="586"/>
      <c r="C175" s="587"/>
      <c r="D175" s="588"/>
      <c r="E175" s="599"/>
      <c r="F175" s="590"/>
      <c r="G175" s="590"/>
      <c r="H175" s="590"/>
      <c r="I175" s="591"/>
      <c r="J175" s="534"/>
      <c r="K175" s="531" t="s">
        <v>491</v>
      </c>
      <c r="L175" s="532" t="s">
        <v>491</v>
      </c>
      <c r="M175" s="533"/>
      <c r="N175" s="532"/>
      <c r="O175" s="532"/>
      <c r="P175" s="532"/>
      <c r="Q175" s="520"/>
      <c r="R175" s="682"/>
      <c r="S175" s="4758" t="str">
        <f>'VISITA DE INSP.'!AN22</f>
        <v>VAGD571220UB2</v>
      </c>
      <c r="T175" s="4759"/>
      <c r="U175" s="4759"/>
      <c r="V175" s="4759"/>
      <c r="W175" s="4759"/>
      <c r="X175" s="4760"/>
      <c r="Y175" s="683"/>
      <c r="Z175" s="446"/>
      <c r="AA175" s="524">
        <f>VLOOKUP(Z175,AW24:AX39,2,2)</f>
        <v>0</v>
      </c>
      <c r="AB175" s="448"/>
      <c r="AC175" s="449"/>
      <c r="AD175" s="4850"/>
    </row>
    <row r="176" spans="1:30" ht="12" hidden="1" customHeight="1">
      <c r="A176" s="686"/>
      <c r="B176" s="586"/>
      <c r="C176" s="587"/>
      <c r="D176" s="588"/>
      <c r="E176" s="599"/>
      <c r="F176" s="590"/>
      <c r="G176" s="590"/>
      <c r="H176" s="590"/>
      <c r="I176" s="591"/>
      <c r="J176" s="538"/>
      <c r="K176" s="537"/>
      <c r="L176" s="527"/>
      <c r="M176" s="527"/>
      <c r="N176" s="527"/>
      <c r="O176" s="527"/>
      <c r="P176" s="527"/>
      <c r="Q176" s="520"/>
      <c r="R176" s="682"/>
      <c r="S176" s="4758" t="str">
        <f>'VISITA DE INSP.'!AO22</f>
        <v>078312 E028100.0232821</v>
      </c>
      <c r="T176" s="4759"/>
      <c r="U176" s="4759"/>
      <c r="V176" s="4759"/>
      <c r="W176" s="4759"/>
      <c r="X176" s="4760"/>
      <c r="Y176" s="683"/>
      <c r="Z176" s="4773" t="s">
        <v>511</v>
      </c>
      <c r="AA176" s="4774"/>
      <c r="AB176" s="4774"/>
      <c r="AC176" s="4775"/>
      <c r="AD176" s="4850"/>
    </row>
    <row r="177" spans="1:30" ht="12" hidden="1" customHeight="1">
      <c r="A177" s="686"/>
      <c r="B177" s="586"/>
      <c r="C177" s="587"/>
      <c r="D177" s="588"/>
      <c r="E177" s="599"/>
      <c r="F177" s="590"/>
      <c r="G177" s="590"/>
      <c r="H177" s="590"/>
      <c r="I177" s="591"/>
      <c r="J177" s="534"/>
      <c r="K177" s="537"/>
      <c r="L177" s="531"/>
      <c r="M177" s="533"/>
      <c r="N177" s="532"/>
      <c r="O177" s="532"/>
      <c r="P177" s="532"/>
      <c r="Q177" s="520"/>
      <c r="R177" s="682"/>
      <c r="S177" s="4827" t="str">
        <f>'VISITA DE INSP.'!AU22</f>
        <v>16-10-1994</v>
      </c>
      <c r="T177" s="4828"/>
      <c r="U177" s="4828"/>
      <c r="V177" s="4828"/>
      <c r="W177" s="4828"/>
      <c r="X177" s="4829"/>
      <c r="Y177" s="684"/>
      <c r="Z177" s="446"/>
      <c r="AA177" s="524">
        <f>VLOOKUP(Z177,BB24:BC34,2,2)</f>
        <v>0</v>
      </c>
      <c r="AB177" s="448"/>
      <c r="AC177" s="449"/>
      <c r="AD177" s="4850"/>
    </row>
    <row r="178" spans="1:30" ht="12" hidden="1" customHeight="1">
      <c r="A178" s="686"/>
      <c r="B178" s="586"/>
      <c r="C178" s="587"/>
      <c r="D178" s="588"/>
      <c r="E178" s="599"/>
      <c r="F178" s="590"/>
      <c r="G178" s="590"/>
      <c r="H178" s="590"/>
      <c r="I178" s="591"/>
      <c r="J178" s="534"/>
      <c r="K178" s="522"/>
      <c r="L178" s="539"/>
      <c r="M178" s="540"/>
      <c r="N178" s="515"/>
      <c r="O178" s="515"/>
      <c r="P178" s="515"/>
      <c r="Q178" s="520"/>
      <c r="R178" s="682"/>
      <c r="S178" s="4758">
        <f>'VISITA DE INSP.'!AT22</f>
        <v>10</v>
      </c>
      <c r="T178" s="4759"/>
      <c r="U178" s="4759"/>
      <c r="V178" s="4759"/>
      <c r="W178" s="4759"/>
      <c r="X178" s="4760"/>
      <c r="Y178" s="684"/>
      <c r="Z178" s="4773" t="s">
        <v>520</v>
      </c>
      <c r="AA178" s="4774"/>
      <c r="AB178" s="4774"/>
      <c r="AC178" s="4775"/>
      <c r="AD178" s="4850"/>
    </row>
    <row r="179" spans="1:30" ht="12" hidden="1" customHeight="1">
      <c r="A179" s="686"/>
      <c r="B179" s="586"/>
      <c r="C179" s="587"/>
      <c r="D179" s="588"/>
      <c r="E179" s="599"/>
      <c r="F179" s="590"/>
      <c r="G179" s="590"/>
      <c r="H179" s="590"/>
      <c r="I179" s="591"/>
      <c r="J179" s="534"/>
      <c r="K179" s="541"/>
      <c r="L179" s="541"/>
      <c r="M179" s="541"/>
      <c r="N179" s="541"/>
      <c r="O179" s="541"/>
      <c r="P179" s="541"/>
      <c r="Q179" s="520"/>
      <c r="R179" s="682"/>
      <c r="S179" s="4830" t="str">
        <f>'VISITA DE INSP.'!AS22</f>
        <v>7A</v>
      </c>
      <c r="T179" s="4831"/>
      <c r="U179" s="4831"/>
      <c r="V179" s="4831"/>
      <c r="W179" s="4831"/>
      <c r="X179" s="4832"/>
      <c r="Y179" s="684"/>
      <c r="Z179" s="446" t="s">
        <v>396</v>
      </c>
      <c r="AA179" s="447" t="str">
        <f>J163</f>
        <v xml:space="preserve">  COL-</v>
      </c>
      <c r="AB179" s="448"/>
      <c r="AC179" s="449"/>
      <c r="AD179" s="4850"/>
    </row>
    <row r="180" spans="1:30" ht="12" hidden="1" customHeight="1">
      <c r="A180" s="686"/>
      <c r="B180" s="586"/>
      <c r="C180" s="603" t="str">
        <f>Y155</f>
        <v xml:space="preserve">       </v>
      </c>
      <c r="D180" s="604"/>
      <c r="E180" s="604"/>
      <c r="F180" s="604"/>
      <c r="G180" s="604"/>
      <c r="H180" s="605"/>
      <c r="I180" s="591"/>
      <c r="J180" s="606" t="str">
        <f>J164</f>
        <v xml:space="preserve">  C.P.-</v>
      </c>
      <c r="K180" s="603" t="str">
        <f>C180</f>
        <v xml:space="preserve">       </v>
      </c>
      <c r="L180" s="604"/>
      <c r="M180" s="604"/>
      <c r="N180" s="604"/>
      <c r="O180" s="604"/>
      <c r="P180" s="605"/>
      <c r="Q180" s="597"/>
      <c r="R180" s="593"/>
      <c r="S180" s="607" t="str">
        <f>K180</f>
        <v xml:space="preserve">       </v>
      </c>
      <c r="T180" s="608"/>
      <c r="U180" s="608"/>
      <c r="V180" s="608"/>
      <c r="W180" s="608"/>
      <c r="X180" s="609"/>
      <c r="Y180" s="597"/>
      <c r="Z180" s="4773" t="s">
        <v>529</v>
      </c>
      <c r="AA180" s="4774"/>
      <c r="AB180" s="4774"/>
      <c r="AC180" s="4775"/>
      <c r="AD180" s="4850"/>
    </row>
    <row r="181" spans="1:30" ht="12" hidden="1" customHeight="1" thickBot="1">
      <c r="A181" s="686"/>
      <c r="B181" s="610"/>
      <c r="C181" s="4817" t="s">
        <v>534</v>
      </c>
      <c r="D181" s="4818"/>
      <c r="E181" s="4818"/>
      <c r="F181" s="4818"/>
      <c r="G181" s="4818"/>
      <c r="H181" s="4819"/>
      <c r="I181" s="611"/>
      <c r="J181" s="656"/>
      <c r="K181" s="4817" t="s">
        <v>534</v>
      </c>
      <c r="L181" s="4818"/>
      <c r="M181" s="4818"/>
      <c r="N181" s="4818"/>
      <c r="O181" s="4818"/>
      <c r="P181" s="4819"/>
      <c r="Q181" s="615"/>
      <c r="R181" s="614"/>
      <c r="S181" s="4817" t="s">
        <v>534</v>
      </c>
      <c r="T181" s="4818"/>
      <c r="U181" s="4818"/>
      <c r="V181" s="4818"/>
      <c r="W181" s="4818"/>
      <c r="X181" s="4819"/>
      <c r="Y181" s="615"/>
      <c r="Z181" s="446" t="s">
        <v>396</v>
      </c>
      <c r="AA181" s="447" t="str">
        <f>J164</f>
        <v xml:space="preserve">  C.P.-</v>
      </c>
      <c r="AB181" s="448"/>
      <c r="AC181" s="449"/>
      <c r="AD181" s="4850"/>
    </row>
    <row r="182" spans="1:30" ht="12" hidden="1" customHeight="1" thickTop="1" thickBot="1">
      <c r="A182" s="686"/>
      <c r="B182" s="4783" t="s">
        <v>538</v>
      </c>
      <c r="C182" s="4784"/>
      <c r="D182" s="4784"/>
      <c r="E182" s="4784"/>
      <c r="F182" s="552"/>
      <c r="G182" s="551">
        <f>VLOOKUP(F182,BE38:BG72,2,2)</f>
        <v>0</v>
      </c>
      <c r="H182" s="511"/>
      <c r="I182" s="513"/>
      <c r="J182" s="4783" t="s">
        <v>539</v>
      </c>
      <c r="K182" s="4784"/>
      <c r="L182" s="4784"/>
      <c r="M182" s="4784"/>
      <c r="N182" s="552" t="s">
        <v>540</v>
      </c>
      <c r="O182" s="628"/>
      <c r="P182" s="629"/>
      <c r="Q182" s="630"/>
      <c r="R182" s="4783" t="s">
        <v>541</v>
      </c>
      <c r="S182" s="4784"/>
      <c r="T182" s="4784"/>
      <c r="U182" s="4785"/>
      <c r="V182" s="508" t="s">
        <v>396</v>
      </c>
      <c r="W182" s="553">
        <f>O155</f>
        <v>0</v>
      </c>
      <c r="X182" s="554">
        <f>R155</f>
        <v>0</v>
      </c>
      <c r="Y182" s="555">
        <f>U155</f>
        <v>0</v>
      </c>
      <c r="Z182" s="4773" t="s">
        <v>542</v>
      </c>
      <c r="AA182" s="4774"/>
      <c r="AB182" s="4774"/>
      <c r="AC182" s="4775"/>
      <c r="AD182" s="4850"/>
    </row>
    <row r="183" spans="1:30" ht="12" customHeight="1" thickTop="1" thickBot="1">
      <c r="A183" s="686"/>
      <c r="B183" s="657"/>
      <c r="C183" s="658"/>
      <c r="D183" s="658"/>
      <c r="E183" s="658"/>
      <c r="F183" s="658"/>
      <c r="G183" s="658"/>
      <c r="H183" s="658"/>
      <c r="I183" s="658"/>
      <c r="J183" s="658"/>
      <c r="K183" s="658"/>
      <c r="L183" s="658"/>
      <c r="M183" s="658"/>
      <c r="N183" s="658"/>
      <c r="O183" s="658"/>
      <c r="P183" s="658"/>
      <c r="Q183" s="658"/>
      <c r="R183" s="658"/>
      <c r="S183" s="658"/>
      <c r="T183" s="658"/>
      <c r="U183" s="658"/>
      <c r="V183" s="658"/>
      <c r="W183" s="658"/>
      <c r="X183" s="658"/>
      <c r="Y183" s="659"/>
      <c r="Z183" s="558" t="s">
        <v>396</v>
      </c>
      <c r="AA183" s="559" t="e">
        <f>W163</f>
        <v>#REF!</v>
      </c>
      <c r="AB183" s="560"/>
      <c r="AC183" s="561"/>
      <c r="AD183" s="4850"/>
    </row>
    <row r="184" spans="1:30" ht="12" customHeight="1" thickTop="1">
      <c r="A184" s="686"/>
      <c r="B184" s="4761" t="s">
        <v>386</v>
      </c>
      <c r="C184" s="4762"/>
      <c r="D184" s="4762"/>
      <c r="E184" s="4762"/>
      <c r="F184" s="4762"/>
      <c r="G184" s="4762"/>
      <c r="H184" s="4762"/>
      <c r="I184" s="4763"/>
      <c r="J184" s="562">
        <f>COUNTA(I189:I190)</f>
        <v>0</v>
      </c>
      <c r="K184" s="563" t="s">
        <v>387</v>
      </c>
      <c r="L184" s="564"/>
      <c r="M184" s="564"/>
      <c r="N184" s="564"/>
      <c r="O184" s="564"/>
      <c r="P184" s="564"/>
      <c r="Q184" s="564"/>
      <c r="R184" s="564"/>
      <c r="S184" s="564"/>
      <c r="T184" s="564"/>
      <c r="U184" s="564"/>
      <c r="V184" s="564"/>
      <c r="W184" s="564"/>
      <c r="X184" s="564"/>
      <c r="Y184" s="441"/>
      <c r="Z184" s="4770" t="s">
        <v>388</v>
      </c>
      <c r="AA184" s="4771"/>
      <c r="AB184" s="4771"/>
      <c r="AC184" s="4772"/>
      <c r="AD184" s="4850"/>
    </row>
    <row r="185" spans="1:30" ht="12" customHeight="1">
      <c r="A185" s="686"/>
      <c r="B185" s="4764"/>
      <c r="C185" s="4765"/>
      <c r="D185" s="4765"/>
      <c r="E185" s="4765"/>
      <c r="F185" s="4765"/>
      <c r="G185" s="4765"/>
      <c r="H185" s="4765"/>
      <c r="I185" s="4766"/>
      <c r="J185" s="565" t="str">
        <f>CONCATENATE(O185,J202,R185,K202,U185,L202)</f>
        <v xml:space="preserve">       </v>
      </c>
      <c r="K185" s="699" t="s">
        <v>395</v>
      </c>
      <c r="L185" s="700"/>
      <c r="M185" s="539"/>
      <c r="N185" s="539"/>
      <c r="O185" s="701"/>
      <c r="P185" s="573"/>
      <c r="R185" s="701"/>
      <c r="S185" s="573"/>
      <c r="U185" s="701"/>
      <c r="V185" s="702"/>
      <c r="W185" s="703"/>
      <c r="X185" s="641"/>
      <c r="Y185" s="445" t="str">
        <f>CONCATENATE(U185,K202,O185,J202,R185,L202)</f>
        <v xml:space="preserve">       </v>
      </c>
      <c r="Z185" s="446" t="s">
        <v>396</v>
      </c>
      <c r="AA185" s="447" t="str">
        <f>J185</f>
        <v xml:space="preserve">       </v>
      </c>
      <c r="AB185" s="448"/>
      <c r="AC185" s="449"/>
      <c r="AD185" s="4850"/>
    </row>
    <row r="186" spans="1:30" ht="12" customHeight="1" thickBot="1">
      <c r="A186" s="686"/>
      <c r="B186" s="4767"/>
      <c r="C186" s="4768"/>
      <c r="D186" s="4768"/>
      <c r="E186" s="4768"/>
      <c r="F186" s="4768"/>
      <c r="G186" s="4768"/>
      <c r="H186" s="4768"/>
      <c r="I186" s="4769"/>
      <c r="J186" s="565"/>
      <c r="K186" s="539" t="str">
        <f>'VISITA DE INSP.'!D23</f>
        <v>CASTRO LOPEZ * SOSIMA PETRA</v>
      </c>
      <c r="L186" s="539"/>
      <c r="M186" s="539"/>
      <c r="N186" s="539"/>
      <c r="P186" s="704"/>
      <c r="Q186" s="705"/>
      <c r="S186" s="704"/>
      <c r="T186" s="705"/>
      <c r="U186" s="706"/>
      <c r="V186" s="706"/>
      <c r="W186" s="706"/>
      <c r="X186" s="706"/>
      <c r="Y186" s="450" t="str">
        <f>CONCATENATE(V187,L202,W187)</f>
        <v>11007831200.0   078312 E028100.0232759</v>
      </c>
      <c r="Z186" s="4773" t="s">
        <v>400</v>
      </c>
      <c r="AA186" s="4774"/>
      <c r="AB186" s="4774"/>
      <c r="AC186" s="4775"/>
      <c r="AD186" s="4850"/>
    </row>
    <row r="187" spans="1:30" ht="12" customHeight="1" thickTop="1">
      <c r="A187" s="686"/>
      <c r="B187" s="452">
        <v>1</v>
      </c>
      <c r="C187" s="453" t="s">
        <v>406</v>
      </c>
      <c r="D187" s="454" t="s">
        <v>407</v>
      </c>
      <c r="E187" s="455" t="s">
        <v>408</v>
      </c>
      <c r="F187" s="456" t="s">
        <v>409</v>
      </c>
      <c r="G187" s="457" t="e">
        <f>G157</f>
        <v>#REF!</v>
      </c>
      <c r="H187" s="458"/>
      <c r="I187" s="459">
        <f>COUNTA(G190,G310,G430,G550)</f>
        <v>4</v>
      </c>
      <c r="J187" s="565" t="str">
        <f>CONCATENATE(N187,K202,O187)</f>
        <v>CALS720517  FA</v>
      </c>
      <c r="K187" s="699" t="s">
        <v>410</v>
      </c>
      <c r="L187" s="700"/>
      <c r="M187" s="707"/>
      <c r="N187" s="708" t="str">
        <f>MID('VISITA DE INSP.'!AN23,1,10)</f>
        <v>CALS720517</v>
      </c>
      <c r="O187" s="701" t="str">
        <f>MID('VISITA DE INSP.'!AN23,12,15)</f>
        <v>FA</v>
      </c>
      <c r="P187" s="641"/>
      <c r="Q187" s="700"/>
      <c r="R187" s="709"/>
      <c r="T187" s="710" t="s">
        <v>411</v>
      </c>
      <c r="U187" s="641"/>
      <c r="V187" s="711" t="s">
        <v>179</v>
      </c>
      <c r="W187" s="712" t="str">
        <f>'VISITA DE INSP.'!AO23</f>
        <v>078312 E028100.0232759</v>
      </c>
      <c r="X187" s="713"/>
      <c r="Y187" s="460" t="str">
        <f>CONCATENATE(V187,K202,W187)</f>
        <v>11007831200.0  078312 E028100.0232759</v>
      </c>
      <c r="Z187" s="446" t="s">
        <v>396</v>
      </c>
      <c r="AA187" s="447" t="str">
        <f>Y185</f>
        <v xml:space="preserve">       </v>
      </c>
      <c r="AB187" s="448"/>
      <c r="AC187" s="449"/>
      <c r="AD187" s="4850"/>
    </row>
    <row r="188" spans="1:30" ht="12" customHeight="1">
      <c r="A188" s="686"/>
      <c r="B188" s="462" t="s">
        <v>416</v>
      </c>
      <c r="C188" s="463"/>
      <c r="D188" s="464"/>
      <c r="E188" s="465">
        <f t="shared" ref="E188:E193" si="14">C188+D188</f>
        <v>0</v>
      </c>
      <c r="F188" s="466" t="s">
        <v>417</v>
      </c>
      <c r="G188" s="467" t="e">
        <f>G158</f>
        <v>#REF!</v>
      </c>
      <c r="H188" s="468" t="e">
        <f>H158</f>
        <v>#REF!</v>
      </c>
      <c r="I188" s="469"/>
      <c r="J188" s="565"/>
      <c r="K188" s="714"/>
      <c r="L188" s="715"/>
      <c r="M188" s="716"/>
      <c r="O188" s="716"/>
      <c r="P188" s="716"/>
      <c r="Q188" s="717" t="s">
        <v>418</v>
      </c>
      <c r="R188" s="714"/>
      <c r="S188" s="540"/>
      <c r="T188" s="540"/>
      <c r="U188" s="716"/>
      <c r="V188" s="716"/>
      <c r="W188" s="716"/>
      <c r="X188" s="716"/>
      <c r="Y188" s="450" t="str">
        <f>MID(W187,1,5)</f>
        <v>07831</v>
      </c>
      <c r="Z188" s="4773" t="s">
        <v>419</v>
      </c>
      <c r="AA188" s="4774"/>
      <c r="AB188" s="4774"/>
      <c r="AC188" s="4775"/>
      <c r="AD188" s="4850"/>
    </row>
    <row r="189" spans="1:30" ht="12" customHeight="1">
      <c r="A189" s="686"/>
      <c r="B189" s="470" t="s">
        <v>423</v>
      </c>
      <c r="C189" s="463"/>
      <c r="D189" s="464"/>
      <c r="E189" s="465">
        <f t="shared" si="14"/>
        <v>0</v>
      </c>
      <c r="F189" s="692" t="s">
        <v>3</v>
      </c>
      <c r="G189" s="463" t="str">
        <f>'VISITA DE INSP.'!B23</f>
        <v>3º</v>
      </c>
      <c r="H189" s="471" t="s">
        <v>406</v>
      </c>
      <c r="I189" s="480"/>
      <c r="J189" s="568">
        <f>COUNTA(I189,I219,I249,I279,I309,I339,I369,I399,I429,I459)</f>
        <v>1</v>
      </c>
      <c r="K189" s="522" t="s">
        <v>424</v>
      </c>
      <c r="L189" s="539"/>
      <c r="M189" s="539"/>
      <c r="N189" s="539"/>
      <c r="O189" s="712" t="str">
        <f>'VISITA DE INSP.'!AU23</f>
        <v>19-09-1994</v>
      </c>
      <c r="P189" s="719"/>
      <c r="Q189" s="720"/>
      <c r="R189" s="714"/>
      <c r="S189" s="714"/>
      <c r="T189" s="714"/>
      <c r="U189" s="574" t="s">
        <v>425</v>
      </c>
      <c r="V189" s="721">
        <f>'VISITA DE INSP.'!AT23</f>
        <v>10</v>
      </c>
      <c r="W189" s="722" t="str">
        <f>Y189</f>
        <v>BASE</v>
      </c>
      <c r="X189" s="723"/>
      <c r="Y189" s="473" t="str">
        <f>VLOOKUP(V189,AH2:AI14,2)</f>
        <v>BASE</v>
      </c>
      <c r="Z189" s="446" t="s">
        <v>396</v>
      </c>
      <c r="AA189" s="447" t="str">
        <f>J187</f>
        <v>CALS720517  FA</v>
      </c>
      <c r="AB189" s="448"/>
      <c r="AC189" s="449"/>
      <c r="AD189" s="4850"/>
    </row>
    <row r="190" spans="1:30" ht="12" customHeight="1">
      <c r="A190" s="686"/>
      <c r="B190" s="470" t="s">
        <v>408</v>
      </c>
      <c r="C190" s="463"/>
      <c r="D190" s="464"/>
      <c r="E190" s="465">
        <f t="shared" si="14"/>
        <v>0</v>
      </c>
      <c r="F190" s="692" t="s">
        <v>4</v>
      </c>
      <c r="G190" s="463" t="str">
        <f>'VISITA DE INSP.'!C23</f>
        <v>B</v>
      </c>
      <c r="H190" s="475" t="s">
        <v>407</v>
      </c>
      <c r="I190" s="623"/>
      <c r="J190" s="568">
        <f>COUNTA(I190,I220,I250,I280,I310,I340,I370,I400,I430,I460)</f>
        <v>0</v>
      </c>
      <c r="K190" s="717"/>
      <c r="L190" s="717"/>
      <c r="M190" s="539"/>
      <c r="N190" s="714"/>
      <c r="O190" s="716"/>
      <c r="P190" s="716"/>
      <c r="Q190" s="716"/>
      <c r="R190" s="539"/>
      <c r="S190" s="539"/>
      <c r="T190" s="714"/>
      <c r="U190" s="714"/>
      <c r="V190" s="724"/>
      <c r="W190" s="724"/>
      <c r="X190" s="716"/>
      <c r="Y190" s="476"/>
      <c r="Z190" s="4773" t="s">
        <v>429</v>
      </c>
      <c r="AA190" s="4774"/>
      <c r="AB190" s="4774"/>
      <c r="AC190" s="4775"/>
      <c r="AD190" s="4850"/>
    </row>
    <row r="191" spans="1:30" ht="12" customHeight="1">
      <c r="A191" s="686"/>
      <c r="B191" s="470" t="s">
        <v>434</v>
      </c>
      <c r="C191" s="463"/>
      <c r="D191" s="464"/>
      <c r="E191" s="465">
        <f t="shared" si="14"/>
        <v>0</v>
      </c>
      <c r="F191" s="4776" t="s">
        <v>435</v>
      </c>
      <c r="G191" s="4777"/>
      <c r="H191" s="4777" t="s">
        <v>436</v>
      </c>
      <c r="I191" s="4778"/>
      <c r="J191" s="568">
        <f>SUM(J189,J190)</f>
        <v>1</v>
      </c>
      <c r="K191" s="522" t="s">
        <v>437</v>
      </c>
      <c r="L191" s="539"/>
      <c r="M191" s="725"/>
      <c r="N191" s="725"/>
      <c r="O191" s="725"/>
      <c r="P191" s="725"/>
      <c r="Q191" s="725"/>
      <c r="R191" s="726"/>
      <c r="S191" s="725"/>
      <c r="T191" s="727"/>
      <c r="U191" s="725"/>
      <c r="V191" s="574" t="s">
        <v>438</v>
      </c>
      <c r="W191" s="728"/>
      <c r="X191" s="723"/>
      <c r="Y191" s="445" t="str">
        <f>CONCATENATE(O204,S191)</f>
        <v xml:space="preserve">  COL-</v>
      </c>
      <c r="Z191" s="446" t="s">
        <v>396</v>
      </c>
      <c r="AA191" s="447" t="str">
        <f>Y187</f>
        <v>11007831200.0  078312 E028100.0232759</v>
      </c>
      <c r="AB191" s="448"/>
      <c r="AC191" s="449"/>
      <c r="AD191" s="4850"/>
    </row>
    <row r="192" spans="1:30" ht="12" customHeight="1">
      <c r="A192" s="686"/>
      <c r="B192" s="470" t="s">
        <v>443</v>
      </c>
      <c r="C192" s="463"/>
      <c r="D192" s="464"/>
      <c r="E192" s="465">
        <f t="shared" si="14"/>
        <v>0</v>
      </c>
      <c r="F192" s="478" t="s">
        <v>444</v>
      </c>
      <c r="G192" s="624">
        <v>7</v>
      </c>
      <c r="H192" s="479" t="e">
        <f>H162</f>
        <v>#REF!</v>
      </c>
      <c r="I192" s="480" t="e">
        <f>H192+1</f>
        <v>#REF!</v>
      </c>
      <c r="J192" s="569" t="str">
        <f>CONCATENATE(J204,M191,K204,N191,L204,O191,M204,P191,N204,Q191,O204,S191)</f>
        <v>RG-  SM-  MZA-  LTE-  CALLE-  COL-</v>
      </c>
      <c r="K192" s="729"/>
      <c r="L192" s="539"/>
      <c r="M192" s="492"/>
      <c r="N192" s="492"/>
      <c r="O192" s="492"/>
      <c r="P192" s="492"/>
      <c r="Q192" s="492"/>
      <c r="R192" s="730"/>
      <c r="S192" s="731" t="s">
        <v>503</v>
      </c>
      <c r="T192" s="731"/>
      <c r="U192" s="731" t="s">
        <v>504</v>
      </c>
      <c r="V192" s="533"/>
      <c r="W192" s="732"/>
      <c r="X192" s="733"/>
      <c r="Y192" s="450" t="str">
        <f>CONCATENATE(K202,P204,U191)</f>
        <v xml:space="preserve">    C.P.-</v>
      </c>
      <c r="Z192" s="4779" t="s">
        <v>445</v>
      </c>
      <c r="AA192" s="4780"/>
      <c r="AB192" s="4780"/>
      <c r="AC192" s="4781"/>
      <c r="AD192" s="4850"/>
    </row>
    <row r="193" spans="1:33" ht="12" customHeight="1">
      <c r="A193" s="686"/>
      <c r="B193" s="470" t="s">
        <v>450</v>
      </c>
      <c r="C193" s="463"/>
      <c r="D193" s="464"/>
      <c r="E193" s="465">
        <f t="shared" si="14"/>
        <v>0</v>
      </c>
      <c r="F193" s="692" t="s">
        <v>373</v>
      </c>
      <c r="G193" s="4782" t="s">
        <v>451</v>
      </c>
      <c r="H193" s="4777"/>
      <c r="I193" s="4778"/>
      <c r="J193" s="565" t="str">
        <f>CONCATENATE(O204,S191)</f>
        <v xml:space="preserve">  COL-</v>
      </c>
      <c r="K193" s="522" t="s">
        <v>452</v>
      </c>
      <c r="L193" s="539"/>
      <c r="M193" s="539"/>
      <c r="N193" s="572" t="e">
        <f>#REF!</f>
        <v>#REF!</v>
      </c>
      <c r="O193" s="573"/>
      <c r="P193" s="573"/>
      <c r="Q193" s="573"/>
      <c r="R193" s="573"/>
      <c r="S193" s="574" t="s">
        <v>453</v>
      </c>
      <c r="T193" s="572" t="e">
        <f>#REF!</f>
        <v>#REF!</v>
      </c>
      <c r="U193" s="575"/>
      <c r="V193" s="574" t="s">
        <v>454</v>
      </c>
      <c r="W193" s="576" t="e">
        <f>#REF!</f>
        <v>#REF!</v>
      </c>
      <c r="X193" s="575"/>
      <c r="Y193" s="445"/>
      <c r="Z193" s="446" t="s">
        <v>396</v>
      </c>
      <c r="AA193" s="482" t="str">
        <f>O189</f>
        <v>19-09-1994</v>
      </c>
      <c r="AB193" s="448"/>
      <c r="AC193" s="483"/>
      <c r="AD193" s="4850"/>
    </row>
    <row r="194" spans="1:33" ht="12" customHeight="1" thickBot="1">
      <c r="A194" s="686"/>
      <c r="B194" s="484" t="s">
        <v>456</v>
      </c>
      <c r="C194" s="485"/>
      <c r="D194" s="486"/>
      <c r="E194" s="465">
        <f>E192-E193</f>
        <v>0</v>
      </c>
      <c r="F194" s="577">
        <f>F164</f>
        <v>1</v>
      </c>
      <c r="G194" s="578" t="e">
        <f>G164</f>
        <v>#REF!</v>
      </c>
      <c r="H194" s="578" t="e">
        <f>H164</f>
        <v>#REF!</v>
      </c>
      <c r="I194" s="579" t="e">
        <f>I164</f>
        <v>#REF!</v>
      </c>
      <c r="J194" s="580" t="str">
        <f>CONCATENATE(,P204,U191)</f>
        <v xml:space="preserve">  C.P.-</v>
      </c>
      <c r="K194" s="490"/>
      <c r="L194" s="491"/>
      <c r="M194" s="492"/>
      <c r="N194" s="492"/>
      <c r="O194" s="492"/>
      <c r="P194" s="492"/>
      <c r="Q194" s="492"/>
      <c r="R194" s="492"/>
      <c r="S194" s="492"/>
      <c r="T194" s="493"/>
      <c r="V194" s="494"/>
      <c r="W194" s="495"/>
      <c r="X194" s="496"/>
      <c r="Y194" s="497"/>
      <c r="Z194" s="4773" t="s">
        <v>457</v>
      </c>
      <c r="AA194" s="4774"/>
      <c r="AB194" s="4774"/>
      <c r="AC194" s="4775"/>
      <c r="AD194" s="4850"/>
    </row>
    <row r="195" spans="1:33" ht="12" customHeight="1" thickTop="1" thickBot="1">
      <c r="A195" s="686"/>
      <c r="B195" s="4783" t="s">
        <v>460</v>
      </c>
      <c r="C195" s="4784"/>
      <c r="D195" s="4784"/>
      <c r="E195" s="4785"/>
      <c r="F195" s="498" t="s">
        <v>396</v>
      </c>
      <c r="G195" s="499" t="str">
        <f>G165</f>
        <v>CERVANTES BENITEZ * ANTONIA</v>
      </c>
      <c r="H195" s="500"/>
      <c r="I195" s="500"/>
      <c r="J195" s="501"/>
      <c r="K195" s="501"/>
      <c r="L195" s="501"/>
      <c r="M195" s="504"/>
      <c r="N195" s="4783" t="s">
        <v>461</v>
      </c>
      <c r="O195" s="4786"/>
      <c r="P195" s="4786"/>
      <c r="Q195" s="4787"/>
      <c r="R195" s="625"/>
      <c r="S195" s="582">
        <f>VLOOKUP(R195,AE1:AF16,2,1)</f>
        <v>0</v>
      </c>
      <c r="T195" s="501"/>
      <c r="U195" s="501"/>
      <c r="V195" s="501"/>
      <c r="W195" s="501"/>
      <c r="X195" s="501"/>
      <c r="Y195" s="504"/>
      <c r="Z195" s="446" t="s">
        <v>396</v>
      </c>
      <c r="AA195" s="461" t="str">
        <f>Y189</f>
        <v>BASE</v>
      </c>
      <c r="AB195" s="448"/>
      <c r="AC195" s="505">
        <f>V189</f>
        <v>10</v>
      </c>
      <c r="AD195" s="4850"/>
    </row>
    <row r="196" spans="1:33" ht="12" customHeight="1" thickTop="1" thickBot="1">
      <c r="A196" s="686"/>
      <c r="B196" s="4783" t="s">
        <v>465</v>
      </c>
      <c r="C196" s="4786"/>
      <c r="D196" s="4786"/>
      <c r="E196" s="4787"/>
      <c r="F196" s="506" t="s">
        <v>396</v>
      </c>
      <c r="G196" s="499" t="str">
        <f>G166</f>
        <v>JESUS MARTIN RICALDE CASTRO</v>
      </c>
      <c r="H196" s="501"/>
      <c r="I196" s="501"/>
      <c r="J196" s="501"/>
      <c r="K196" s="501"/>
      <c r="L196" s="501"/>
      <c r="M196" s="504"/>
      <c r="N196" s="4783" t="s">
        <v>466</v>
      </c>
      <c r="O196" s="4786"/>
      <c r="P196" s="4786"/>
      <c r="Q196" s="4787"/>
      <c r="R196" s="625"/>
      <c r="S196" s="582">
        <f>VLOOKUP(R196,AE17:AF22,2,2)</f>
        <v>0</v>
      </c>
      <c r="T196" s="501"/>
      <c r="U196" s="501"/>
      <c r="V196" s="501"/>
      <c r="W196" s="501"/>
      <c r="X196" s="501"/>
      <c r="Y196" s="507" t="str">
        <f>CONCATENATE(M192,M191,N192,N191,O192,O191,P192,P191)</f>
        <v/>
      </c>
      <c r="Z196" s="4773" t="s">
        <v>467</v>
      </c>
      <c r="AA196" s="4774"/>
      <c r="AB196" s="4774"/>
      <c r="AC196" s="4775"/>
      <c r="AD196" s="4850"/>
    </row>
    <row r="197" spans="1:33" ht="12" customHeight="1" thickTop="1" thickBot="1">
      <c r="A197" s="686"/>
      <c r="B197" s="4788" t="s">
        <v>471</v>
      </c>
      <c r="C197" s="4789"/>
      <c r="D197" s="4789"/>
      <c r="E197" s="4790"/>
      <c r="F197" s="506" t="s">
        <v>396</v>
      </c>
      <c r="G197" s="499" t="e">
        <f>G167</f>
        <v>#REF!</v>
      </c>
      <c r="H197" s="501"/>
      <c r="I197" s="501"/>
      <c r="J197" s="501"/>
      <c r="K197" s="501"/>
      <c r="L197" s="501"/>
      <c r="M197" s="501"/>
      <c r="N197" s="4783" t="s">
        <v>472</v>
      </c>
      <c r="O197" s="4786"/>
      <c r="P197" s="4786"/>
      <c r="Q197" s="4787"/>
      <c r="R197" s="625"/>
      <c r="S197" s="582">
        <f>VLOOKUP(R197,AE25:AF34,2,2)</f>
        <v>0</v>
      </c>
      <c r="T197" s="501"/>
      <c r="U197" s="501"/>
      <c r="V197" s="501"/>
      <c r="W197" s="501"/>
      <c r="X197" s="501"/>
      <c r="Y197" s="504"/>
      <c r="Z197" s="446" t="s">
        <v>396</v>
      </c>
      <c r="AA197" s="447" t="str">
        <f>J192</f>
        <v>RG-  SM-  MZA-  LTE-  CALLE-  COL-</v>
      </c>
      <c r="AB197" s="448"/>
      <c r="AC197" s="449"/>
      <c r="AD197" s="4850"/>
    </row>
    <row r="198" spans="1:33" ht="12" customHeight="1" thickTop="1" thickBot="1">
      <c r="A198" s="686"/>
      <c r="B198" s="4788" t="s">
        <v>475</v>
      </c>
      <c r="C198" s="4789"/>
      <c r="D198" s="4789"/>
      <c r="E198" s="4790"/>
      <c r="F198" s="508"/>
      <c r="G198" s="499"/>
      <c r="H198" s="501"/>
      <c r="I198" s="501"/>
      <c r="J198" s="501"/>
      <c r="K198" s="501"/>
      <c r="L198" s="501"/>
      <c r="M198" s="501"/>
      <c r="N198" s="4783" t="s">
        <v>476</v>
      </c>
      <c r="O198" s="4786"/>
      <c r="P198" s="4786"/>
      <c r="Q198" s="4787"/>
      <c r="R198" s="625"/>
      <c r="S198" s="582">
        <f>VLOOKUP(R198,AE35:AF43,2,2)</f>
        <v>0</v>
      </c>
      <c r="T198" s="501"/>
      <c r="U198" s="501"/>
      <c r="V198" s="501"/>
      <c r="W198" s="501"/>
      <c r="X198" s="501"/>
      <c r="Y198" s="504"/>
      <c r="Z198" s="4773" t="s">
        <v>477</v>
      </c>
      <c r="AA198" s="4774"/>
      <c r="AB198" s="4774"/>
      <c r="AC198" s="4775"/>
      <c r="AD198" s="4850"/>
      <c r="AE198" s="660"/>
      <c r="AF198" s="661"/>
      <c r="AG198" s="196"/>
    </row>
    <row r="199" spans="1:33" ht="12" customHeight="1" thickTop="1" thickBot="1">
      <c r="A199" s="687"/>
      <c r="B199" s="4791" t="s">
        <v>479</v>
      </c>
      <c r="C199" s="4792"/>
      <c r="D199" s="4792"/>
      <c r="E199" s="4793"/>
      <c r="F199" s="625"/>
      <c r="G199" s="499">
        <f>VLOOKUP(F199,AE69:AF78,2,1)</f>
        <v>0</v>
      </c>
      <c r="H199" s="501"/>
      <c r="I199" s="501"/>
      <c r="J199" s="501"/>
      <c r="K199" s="501"/>
      <c r="L199" s="584"/>
      <c r="M199" s="585">
        <f>COUNTA(F199,F317,F437,F557)</f>
        <v>3</v>
      </c>
      <c r="N199" s="4783" t="s">
        <v>480</v>
      </c>
      <c r="O199" s="4786"/>
      <c r="P199" s="4786"/>
      <c r="Q199" s="4787"/>
      <c r="R199" s="625"/>
      <c r="S199" s="582">
        <f>VLOOKUP(R199,AE44:AF68,2,2)</f>
        <v>0</v>
      </c>
      <c r="T199" s="501"/>
      <c r="U199" s="501"/>
      <c r="V199" s="501"/>
      <c r="W199" s="501"/>
      <c r="X199" s="501"/>
      <c r="Y199" s="504"/>
      <c r="Z199" s="446" t="s">
        <v>481</v>
      </c>
      <c r="AA199" s="447">
        <f>'VISITA DE INSP.'!AQ23</f>
        <v>0</v>
      </c>
      <c r="AB199" s="448"/>
      <c r="AC199" s="449"/>
      <c r="AD199" s="4851"/>
      <c r="AE199" s="423"/>
      <c r="AF199" s="424"/>
      <c r="AG199" s="424"/>
    </row>
    <row r="200" spans="1:33" ht="12" customHeight="1" thickTop="1" thickBot="1">
      <c r="A200" s="688"/>
      <c r="B200" s="4791" t="s">
        <v>484</v>
      </c>
      <c r="C200" s="4792"/>
      <c r="D200" s="4792"/>
      <c r="E200" s="4793"/>
      <c r="F200" s="625"/>
      <c r="G200" s="499">
        <f>VLOOKUP(F200,AE79:AF85,2,1)</f>
        <v>0</v>
      </c>
      <c r="H200" s="501"/>
      <c r="I200" s="501"/>
      <c r="J200" s="501"/>
      <c r="K200" s="501"/>
      <c r="L200" s="501"/>
      <c r="M200" s="504"/>
      <c r="N200" s="4783" t="s">
        <v>485</v>
      </c>
      <c r="O200" s="4786"/>
      <c r="P200" s="4786"/>
      <c r="Q200" s="4787"/>
      <c r="R200" s="625"/>
      <c r="S200" s="734"/>
      <c r="T200" s="511"/>
      <c r="U200" s="512"/>
      <c r="V200" s="511"/>
      <c r="W200" s="511"/>
      <c r="X200" s="511"/>
      <c r="Y200" s="513"/>
      <c r="Z200" s="4773" t="s">
        <v>486</v>
      </c>
      <c r="AA200" s="4774"/>
      <c r="AB200" s="4774"/>
      <c r="AC200" s="4775"/>
      <c r="AE200" s="433"/>
      <c r="AF200" s="86"/>
      <c r="AG200" s="177"/>
    </row>
    <row r="201" spans="1:33" ht="12" hidden="1" customHeight="1" thickTop="1" thickBot="1">
      <c r="A201" s="688"/>
      <c r="B201" s="4811" t="s">
        <v>488</v>
      </c>
      <c r="C201" s="4812"/>
      <c r="D201" s="4812"/>
      <c r="E201" s="4812"/>
      <c r="F201" s="4812"/>
      <c r="G201" s="4812"/>
      <c r="H201" s="4812"/>
      <c r="I201" s="4812"/>
      <c r="J201" s="4794" t="s">
        <v>488</v>
      </c>
      <c r="K201" s="4795"/>
      <c r="L201" s="4795"/>
      <c r="M201" s="4795"/>
      <c r="N201" s="4795"/>
      <c r="O201" s="4795"/>
      <c r="P201" s="4795"/>
      <c r="Q201" s="4796"/>
      <c r="R201" s="4811" t="s">
        <v>488</v>
      </c>
      <c r="S201" s="4812"/>
      <c r="T201" s="4812"/>
      <c r="U201" s="4812"/>
      <c r="V201" s="4812"/>
      <c r="W201" s="4812"/>
      <c r="X201" s="4812"/>
      <c r="Y201" s="4812"/>
      <c r="Z201" s="446" t="s">
        <v>489</v>
      </c>
      <c r="AA201" s="447"/>
      <c r="AB201" s="448"/>
      <c r="AC201" s="449"/>
    </row>
    <row r="202" spans="1:33" ht="12" hidden="1" customHeight="1" thickTop="1" thickBot="1">
      <c r="A202" s="688"/>
      <c r="B202" s="586"/>
      <c r="C202" s="587"/>
      <c r="D202" s="588"/>
      <c r="E202" s="4797"/>
      <c r="F202" s="4797"/>
      <c r="G202" s="589"/>
      <c r="H202" s="590"/>
      <c r="I202" s="591"/>
      <c r="J202" s="592" t="s">
        <v>491</v>
      </c>
      <c r="K202" s="515" t="s">
        <v>491</v>
      </c>
      <c r="L202" s="516" t="s">
        <v>492</v>
      </c>
      <c r="M202" s="4797"/>
      <c r="N202" s="4797"/>
      <c r="O202" s="517" t="s">
        <v>418</v>
      </c>
      <c r="P202" s="518" t="s">
        <v>493</v>
      </c>
      <c r="Q202" s="520"/>
      <c r="R202" s="593"/>
      <c r="S202" s="594"/>
      <c r="T202" s="595"/>
      <c r="U202" s="4797"/>
      <c r="V202" s="4797"/>
      <c r="W202" s="596"/>
      <c r="X202" s="594"/>
      <c r="Y202" s="597"/>
      <c r="Z202" s="4773" t="s">
        <v>494</v>
      </c>
      <c r="AA202" s="4774"/>
      <c r="AB202" s="4774"/>
      <c r="AC202" s="4775"/>
    </row>
    <row r="203" spans="1:33" ht="12" hidden="1" customHeight="1" thickTop="1">
      <c r="A203" s="688"/>
      <c r="B203" s="586"/>
      <c r="C203" s="587"/>
      <c r="D203" s="588"/>
      <c r="E203" s="4813" t="s">
        <v>621</v>
      </c>
      <c r="F203" s="4814"/>
      <c r="G203" s="590"/>
      <c r="H203" s="590"/>
      <c r="I203" s="591"/>
      <c r="J203" s="523"/>
      <c r="K203" s="522"/>
      <c r="L203" s="4798" t="s">
        <v>496</v>
      </c>
      <c r="M203" s="4799"/>
      <c r="N203" s="4799"/>
      <c r="O203" s="4800"/>
      <c r="P203" s="515"/>
      <c r="Q203" s="520"/>
      <c r="R203" s="593"/>
      <c r="S203" s="594"/>
      <c r="T203" s="598"/>
      <c r="U203" s="4815" t="s">
        <v>622</v>
      </c>
      <c r="V203" s="4816"/>
      <c r="W203" s="596"/>
      <c r="X203" s="594"/>
      <c r="Y203" s="597"/>
      <c r="Z203" s="446"/>
      <c r="AA203" s="524">
        <f>VLOOKUP(Z203,BE24:BF34,2,2)</f>
        <v>0</v>
      </c>
      <c r="AB203" s="448"/>
      <c r="AC203" s="449"/>
    </row>
    <row r="204" spans="1:33" ht="12" hidden="1" customHeight="1">
      <c r="A204" s="688"/>
      <c r="B204" s="586"/>
      <c r="C204" s="587"/>
      <c r="D204" s="588"/>
      <c r="E204" s="599"/>
      <c r="F204" s="590"/>
      <c r="G204" s="590"/>
      <c r="H204" s="590"/>
      <c r="I204" s="591"/>
      <c r="J204" s="526" t="s">
        <v>498</v>
      </c>
      <c r="K204" s="527" t="s">
        <v>499</v>
      </c>
      <c r="L204" s="527" t="s">
        <v>500</v>
      </c>
      <c r="M204" s="527" t="s">
        <v>501</v>
      </c>
      <c r="N204" s="527" t="s">
        <v>502</v>
      </c>
      <c r="O204" s="527" t="s">
        <v>503</v>
      </c>
      <c r="P204" s="527" t="s">
        <v>504</v>
      </c>
      <c r="Q204" s="600"/>
      <c r="R204" s="4752" t="str">
        <f>'VISITA DE INSP.'!D23</f>
        <v>CASTRO LOPEZ * SOSIMA PETRA</v>
      </c>
      <c r="S204" s="4753"/>
      <c r="T204" s="4753"/>
      <c r="U204" s="4753"/>
      <c r="V204" s="4753"/>
      <c r="W204" s="4753"/>
      <c r="X204" s="4753"/>
      <c r="Y204" s="4754"/>
      <c r="Z204" s="4801" t="s">
        <v>506</v>
      </c>
      <c r="AA204" s="4802"/>
      <c r="AB204" s="4802"/>
      <c r="AC204" s="4803"/>
    </row>
    <row r="205" spans="1:33" ht="12" hidden="1" customHeight="1">
      <c r="A205" s="688"/>
      <c r="B205" s="586"/>
      <c r="C205" s="587"/>
      <c r="D205" s="588"/>
      <c r="E205" s="599"/>
      <c r="F205" s="590"/>
      <c r="G205" s="590"/>
      <c r="H205" s="590"/>
      <c r="I205" s="591"/>
      <c r="J205" s="534"/>
      <c r="K205" s="531" t="s">
        <v>491</v>
      </c>
      <c r="L205" s="532" t="s">
        <v>491</v>
      </c>
      <c r="M205" s="533"/>
      <c r="N205" s="532"/>
      <c r="O205" s="532"/>
      <c r="P205" s="532"/>
      <c r="Q205" s="520"/>
      <c r="R205" s="593"/>
      <c r="S205" s="4823" t="str">
        <f>'VISITA DE INSP.'!AN23</f>
        <v>CALS720517BFA</v>
      </c>
      <c r="T205" s="4824"/>
      <c r="U205" s="4824"/>
      <c r="V205" s="4824"/>
      <c r="W205" s="4824"/>
      <c r="X205" s="4825"/>
      <c r="Y205" s="602"/>
      <c r="Z205" s="446"/>
      <c r="AA205" s="524">
        <f>VLOOKUP(Z205,AW24:AX39,2,2)</f>
        <v>0</v>
      </c>
      <c r="AB205" s="448"/>
      <c r="AC205" s="449"/>
    </row>
    <row r="206" spans="1:33" ht="12" hidden="1" customHeight="1">
      <c r="A206" s="688"/>
      <c r="B206" s="586"/>
      <c r="C206" s="587"/>
      <c r="D206" s="588"/>
      <c r="E206" s="599"/>
      <c r="F206" s="590"/>
      <c r="G206" s="590"/>
      <c r="H206" s="590"/>
      <c r="I206" s="591"/>
      <c r="J206" s="538"/>
      <c r="K206" s="537"/>
      <c r="L206" s="527"/>
      <c r="M206" s="527"/>
      <c r="N206" s="527"/>
      <c r="O206" s="527"/>
      <c r="P206" s="527"/>
      <c r="Q206" s="520"/>
      <c r="R206" s="593"/>
      <c r="S206" s="4823" t="str">
        <f>'VISITA DE INSP.'!AO23</f>
        <v>078312 E028100.0232759</v>
      </c>
      <c r="T206" s="4824"/>
      <c r="U206" s="4824"/>
      <c r="V206" s="4824"/>
      <c r="W206" s="4824"/>
      <c r="X206" s="4825"/>
      <c r="Y206" s="602"/>
      <c r="Z206" s="4773" t="s">
        <v>511</v>
      </c>
      <c r="AA206" s="4774"/>
      <c r="AB206" s="4774"/>
      <c r="AC206" s="4775"/>
    </row>
    <row r="207" spans="1:33" ht="12" hidden="1" customHeight="1">
      <c r="A207" s="688"/>
      <c r="B207" s="586"/>
      <c r="C207" s="587"/>
      <c r="D207" s="588"/>
      <c r="E207" s="599"/>
      <c r="F207" s="590"/>
      <c r="G207" s="590"/>
      <c r="H207" s="590"/>
      <c r="I207" s="591"/>
      <c r="J207" s="534"/>
      <c r="K207" s="537"/>
      <c r="L207" s="531"/>
      <c r="M207" s="533"/>
      <c r="N207" s="532"/>
      <c r="O207" s="532"/>
      <c r="P207" s="532"/>
      <c r="Q207" s="520"/>
      <c r="R207" s="593"/>
      <c r="S207" s="4855" t="str">
        <f>'VISITA DE INSP.'!AU23</f>
        <v>19-09-1994</v>
      </c>
      <c r="T207" s="4856"/>
      <c r="U207" s="4856"/>
      <c r="V207" s="4856"/>
      <c r="W207" s="4856"/>
      <c r="X207" s="4857"/>
      <c r="Y207" s="597"/>
      <c r="Z207" s="446"/>
      <c r="AA207" s="524">
        <f>VLOOKUP(Z207,BB24:BC34,2,2)</f>
        <v>0</v>
      </c>
      <c r="AB207" s="448"/>
      <c r="AC207" s="449"/>
    </row>
    <row r="208" spans="1:33" ht="12" hidden="1" customHeight="1">
      <c r="A208" s="688"/>
      <c r="B208" s="586"/>
      <c r="C208" s="587"/>
      <c r="D208" s="588"/>
      <c r="E208" s="599"/>
      <c r="F208" s="590"/>
      <c r="G208" s="590"/>
      <c r="H208" s="590"/>
      <c r="I208" s="591"/>
      <c r="J208" s="534"/>
      <c r="K208" s="522"/>
      <c r="L208" s="539"/>
      <c r="M208" s="540"/>
      <c r="N208" s="515"/>
      <c r="O208" s="515"/>
      <c r="P208" s="515"/>
      <c r="Q208" s="520"/>
      <c r="R208" s="593"/>
      <c r="S208" s="4823">
        <f>'VISITA DE INSP.'!AT23</f>
        <v>10</v>
      </c>
      <c r="T208" s="4824"/>
      <c r="U208" s="4824"/>
      <c r="V208" s="4824"/>
      <c r="W208" s="4824"/>
      <c r="X208" s="4825"/>
      <c r="Y208" s="597"/>
      <c r="Z208" s="4773" t="s">
        <v>520</v>
      </c>
      <c r="AA208" s="4774"/>
      <c r="AB208" s="4774"/>
      <c r="AC208" s="4775"/>
    </row>
    <row r="209" spans="1:29" ht="12" hidden="1" customHeight="1">
      <c r="A209" s="688"/>
      <c r="B209" s="586"/>
      <c r="C209" s="587"/>
      <c r="D209" s="588"/>
      <c r="E209" s="599"/>
      <c r="F209" s="590"/>
      <c r="G209" s="590"/>
      <c r="H209" s="590"/>
      <c r="I209" s="591"/>
      <c r="J209" s="534"/>
      <c r="K209" s="541"/>
      <c r="L209" s="541"/>
      <c r="M209" s="541"/>
      <c r="N209" s="541"/>
      <c r="O209" s="541"/>
      <c r="P209" s="541"/>
      <c r="Q209" s="520"/>
      <c r="R209" s="593"/>
      <c r="S209" s="4755" t="str">
        <f>'VISITA DE INSP.'!AS23</f>
        <v>7A</v>
      </c>
      <c r="T209" s="4756"/>
      <c r="U209" s="4756"/>
      <c r="V209" s="4756"/>
      <c r="W209" s="4756"/>
      <c r="X209" s="4757"/>
      <c r="Y209" s="597"/>
      <c r="Z209" s="446" t="s">
        <v>396</v>
      </c>
      <c r="AA209" s="447" t="str">
        <f>J193</f>
        <v xml:space="preserve">  COL-</v>
      </c>
      <c r="AB209" s="448"/>
      <c r="AC209" s="449"/>
    </row>
    <row r="210" spans="1:29" ht="12" hidden="1" customHeight="1">
      <c r="A210" s="688"/>
      <c r="B210" s="586"/>
      <c r="C210" s="603" t="str">
        <f>Y185</f>
        <v xml:space="preserve">       </v>
      </c>
      <c r="D210" s="604"/>
      <c r="E210" s="604"/>
      <c r="F210" s="604"/>
      <c r="G210" s="604"/>
      <c r="H210" s="605"/>
      <c r="I210" s="591"/>
      <c r="J210" s="606" t="str">
        <f>J194</f>
        <v xml:space="preserve">  C.P.-</v>
      </c>
      <c r="K210" s="603" t="str">
        <f>C210</f>
        <v xml:space="preserve">       </v>
      </c>
      <c r="L210" s="604"/>
      <c r="M210" s="604"/>
      <c r="N210" s="604"/>
      <c r="O210" s="604"/>
      <c r="P210" s="605"/>
      <c r="Q210" s="597"/>
      <c r="R210" s="593"/>
      <c r="S210" s="607" t="str">
        <f>K210</f>
        <v xml:space="preserve">       </v>
      </c>
      <c r="T210" s="608"/>
      <c r="U210" s="608"/>
      <c r="V210" s="608"/>
      <c r="W210" s="608"/>
      <c r="X210" s="609"/>
      <c r="Y210" s="597"/>
      <c r="Z210" s="4773" t="s">
        <v>529</v>
      </c>
      <c r="AA210" s="4774"/>
      <c r="AB210" s="4774"/>
      <c r="AC210" s="4775"/>
    </row>
    <row r="211" spans="1:29" ht="12" hidden="1" customHeight="1" thickBot="1">
      <c r="A211" s="688"/>
      <c r="B211" s="610"/>
      <c r="C211" s="4817" t="s">
        <v>534</v>
      </c>
      <c r="D211" s="4818"/>
      <c r="E211" s="4818"/>
      <c r="F211" s="4818"/>
      <c r="G211" s="4818"/>
      <c r="H211" s="4819"/>
      <c r="I211" s="611"/>
      <c r="J211" s="656"/>
      <c r="K211" s="4817" t="s">
        <v>534</v>
      </c>
      <c r="L211" s="4818"/>
      <c r="M211" s="4818"/>
      <c r="N211" s="4818"/>
      <c r="O211" s="4818"/>
      <c r="P211" s="4819"/>
      <c r="Q211" s="615"/>
      <c r="R211" s="614"/>
      <c r="S211" s="4817" t="s">
        <v>534</v>
      </c>
      <c r="T211" s="4818"/>
      <c r="U211" s="4818"/>
      <c r="V211" s="4818"/>
      <c r="W211" s="4818"/>
      <c r="X211" s="4819"/>
      <c r="Y211" s="615"/>
      <c r="Z211" s="446" t="s">
        <v>396</v>
      </c>
      <c r="AA211" s="447" t="str">
        <f>J194</f>
        <v xml:space="preserve">  C.P.-</v>
      </c>
      <c r="AB211" s="448"/>
      <c r="AC211" s="449"/>
    </row>
    <row r="212" spans="1:29" ht="12" customHeight="1" thickTop="1" thickBot="1">
      <c r="A212" s="688"/>
      <c r="B212" s="4783" t="s">
        <v>538</v>
      </c>
      <c r="C212" s="4784"/>
      <c r="D212" s="4784"/>
      <c r="E212" s="4784"/>
      <c r="F212" s="552"/>
      <c r="G212" s="551">
        <f>VLOOKUP(F212,BE38:BG72,2,2)</f>
        <v>0</v>
      </c>
      <c r="H212" s="511"/>
      <c r="I212" s="513"/>
      <c r="J212" s="4783" t="s">
        <v>539</v>
      </c>
      <c r="K212" s="4784"/>
      <c r="L212" s="4784"/>
      <c r="M212" s="4784"/>
      <c r="N212" s="552" t="s">
        <v>540</v>
      </c>
      <c r="O212" s="628"/>
      <c r="P212" s="629"/>
      <c r="Q212" s="630"/>
      <c r="R212" s="4783" t="s">
        <v>541</v>
      </c>
      <c r="S212" s="4784"/>
      <c r="T212" s="4784"/>
      <c r="U212" s="4785"/>
      <c r="V212" s="508" t="s">
        <v>396</v>
      </c>
      <c r="W212" s="553">
        <f>O185</f>
        <v>0</v>
      </c>
      <c r="X212" s="554">
        <f>R185</f>
        <v>0</v>
      </c>
      <c r="Y212" s="555">
        <f>U185</f>
        <v>0</v>
      </c>
      <c r="Z212" s="4773" t="s">
        <v>542</v>
      </c>
      <c r="AA212" s="4774"/>
      <c r="AB212" s="4774"/>
      <c r="AC212" s="4775"/>
    </row>
    <row r="213" spans="1:29" ht="12" customHeight="1" thickTop="1" thickBot="1">
      <c r="A213" s="688"/>
      <c r="B213" s="663"/>
      <c r="C213" s="664"/>
      <c r="D213" s="664"/>
      <c r="E213" s="664"/>
      <c r="F213" s="664"/>
      <c r="G213" s="664"/>
      <c r="H213" s="664"/>
      <c r="I213" s="664"/>
      <c r="J213" s="664"/>
      <c r="K213" s="664"/>
      <c r="L213" s="664"/>
      <c r="M213" s="664"/>
      <c r="N213" s="664"/>
      <c r="O213" s="664"/>
      <c r="P213" s="664"/>
      <c r="Q213" s="664"/>
      <c r="R213" s="664"/>
      <c r="S213" s="664"/>
      <c r="T213" s="664"/>
      <c r="U213" s="664"/>
      <c r="V213" s="664"/>
      <c r="W213" s="664"/>
      <c r="X213" s="664"/>
      <c r="Y213" s="665"/>
      <c r="Z213" s="558" t="s">
        <v>396</v>
      </c>
      <c r="AA213" s="559" t="e">
        <f>W193</f>
        <v>#REF!</v>
      </c>
      <c r="AB213" s="560"/>
      <c r="AC213" s="561"/>
    </row>
    <row r="214" spans="1:29" ht="12" customHeight="1" thickTop="1">
      <c r="A214" s="688"/>
      <c r="B214" s="4761" t="s">
        <v>386</v>
      </c>
      <c r="C214" s="4762"/>
      <c r="D214" s="4762"/>
      <c r="E214" s="4762"/>
      <c r="F214" s="4762"/>
      <c r="G214" s="4762"/>
      <c r="H214" s="4762"/>
      <c r="I214" s="4763"/>
      <c r="J214" s="562">
        <f>COUNTA(I219:I220)</f>
        <v>0</v>
      </c>
      <c r="K214" s="563" t="s">
        <v>387</v>
      </c>
      <c r="L214" s="564"/>
      <c r="M214" s="564"/>
      <c r="N214" s="564"/>
      <c r="O214" s="564"/>
      <c r="P214" s="564"/>
      <c r="Q214" s="564"/>
      <c r="R214" s="564"/>
      <c r="S214" s="564"/>
      <c r="T214" s="564"/>
      <c r="U214" s="564"/>
      <c r="V214" s="564"/>
      <c r="W214" s="564"/>
      <c r="X214" s="564"/>
      <c r="Y214" s="441"/>
      <c r="Z214" s="4770" t="s">
        <v>388</v>
      </c>
      <c r="AA214" s="4771"/>
      <c r="AB214" s="4771"/>
      <c r="AC214" s="4772"/>
    </row>
    <row r="215" spans="1:29" ht="12" customHeight="1">
      <c r="A215" s="688"/>
      <c r="B215" s="4764"/>
      <c r="C215" s="4765"/>
      <c r="D215" s="4765"/>
      <c r="E215" s="4765"/>
      <c r="F215" s="4765"/>
      <c r="G215" s="4765"/>
      <c r="H215" s="4765"/>
      <c r="I215" s="4766"/>
      <c r="J215" s="565" t="str">
        <f>CONCATENATE(O215,J232,R215,K232,U215,L232)</f>
        <v xml:space="preserve">       </v>
      </c>
      <c r="K215" s="699" t="s">
        <v>395</v>
      </c>
      <c r="L215" s="700"/>
      <c r="M215" s="539"/>
      <c r="N215" s="539"/>
      <c r="O215" s="701"/>
      <c r="P215" s="573"/>
      <c r="R215" s="701"/>
      <c r="S215" s="573"/>
      <c r="U215" s="701"/>
      <c r="V215" s="702"/>
      <c r="W215" s="703"/>
      <c r="X215" s="641"/>
      <c r="Y215" s="445" t="str">
        <f>CONCATENATE(U215,K232,O215,J232,R215,L232)</f>
        <v xml:space="preserve">       </v>
      </c>
      <c r="Z215" s="446" t="s">
        <v>396</v>
      </c>
      <c r="AA215" s="447" t="str">
        <f>J215</f>
        <v xml:space="preserve">       </v>
      </c>
      <c r="AB215" s="448"/>
      <c r="AC215" s="449"/>
    </row>
    <row r="216" spans="1:29" ht="12" customHeight="1" thickBot="1">
      <c r="A216" s="688"/>
      <c r="B216" s="4767"/>
      <c r="C216" s="4768"/>
      <c r="D216" s="4768"/>
      <c r="E216" s="4768"/>
      <c r="F216" s="4768"/>
      <c r="G216" s="4768"/>
      <c r="H216" s="4768"/>
      <c r="I216" s="4769"/>
      <c r="J216" s="565"/>
      <c r="K216" s="539" t="str">
        <f>'VISITA DE INSP.'!D24</f>
        <v>SANCHEZ BUSTAMANTE * CONCEPCION</v>
      </c>
      <c r="L216" s="539"/>
      <c r="M216" s="539"/>
      <c r="N216" s="539"/>
      <c r="P216" s="704"/>
      <c r="Q216" s="705"/>
      <c r="S216" s="704"/>
      <c r="T216" s="705"/>
      <c r="U216" s="706"/>
      <c r="V216" s="706"/>
      <c r="W216" s="706"/>
      <c r="X216" s="706"/>
      <c r="Y216" s="450" t="str">
        <f>CONCATENATE(V217,L232,W217)</f>
        <v>11007831200.0   078312 E028100.0233935</v>
      </c>
      <c r="Z216" s="4773" t="s">
        <v>400</v>
      </c>
      <c r="AA216" s="4774"/>
      <c r="AB216" s="4774"/>
      <c r="AC216" s="4775"/>
    </row>
    <row r="217" spans="1:29" ht="12" customHeight="1" thickTop="1">
      <c r="A217" s="688"/>
      <c r="B217" s="452">
        <v>1</v>
      </c>
      <c r="C217" s="453" t="s">
        <v>406</v>
      </c>
      <c r="D217" s="454" t="s">
        <v>407</v>
      </c>
      <c r="E217" s="455" t="s">
        <v>408</v>
      </c>
      <c r="F217" s="456" t="s">
        <v>409</v>
      </c>
      <c r="G217" s="457" t="e">
        <f>G187</f>
        <v>#REF!</v>
      </c>
      <c r="H217" s="458"/>
      <c r="I217" s="654">
        <f>COUNTA(G220,G340,G460,G580)</f>
        <v>4</v>
      </c>
      <c r="J217" s="565" t="str">
        <f>CONCATENATE(N217,K232,O217)</f>
        <v>SABC641208  19</v>
      </c>
      <c r="K217" s="699" t="s">
        <v>410</v>
      </c>
      <c r="L217" s="700"/>
      <c r="M217" s="707"/>
      <c r="N217" s="708" t="str">
        <f>MID('VISITA DE INSP.'!AN24,1,10)</f>
        <v>SABC641208</v>
      </c>
      <c r="O217" s="701" t="str">
        <f>MID('VISITA DE INSP.'!AN24,12,15)</f>
        <v>19</v>
      </c>
      <c r="P217" s="641"/>
      <c r="Q217" s="700"/>
      <c r="R217" s="709"/>
      <c r="T217" s="710" t="s">
        <v>411</v>
      </c>
      <c r="U217" s="641"/>
      <c r="V217" s="711" t="s">
        <v>179</v>
      </c>
      <c r="W217" s="712" t="str">
        <f>'VISITA DE INSP.'!AO24</f>
        <v>078312 E028100.0233935</v>
      </c>
      <c r="X217" s="713"/>
      <c r="Y217" s="460" t="str">
        <f>CONCATENATE(V217,K232,W217)</f>
        <v>11007831200.0  078312 E028100.0233935</v>
      </c>
      <c r="Z217" s="446" t="s">
        <v>396</v>
      </c>
      <c r="AA217" s="447" t="str">
        <f>Y215</f>
        <v xml:space="preserve">       </v>
      </c>
      <c r="AB217" s="448"/>
      <c r="AC217" s="449"/>
    </row>
    <row r="218" spans="1:29" ht="12" customHeight="1">
      <c r="A218" s="688"/>
      <c r="B218" s="462" t="s">
        <v>416</v>
      </c>
      <c r="C218" s="463"/>
      <c r="D218" s="464"/>
      <c r="E218" s="465">
        <f t="shared" ref="E218:E223" si="15">C218+D218</f>
        <v>0</v>
      </c>
      <c r="F218" s="466" t="s">
        <v>417</v>
      </c>
      <c r="G218" s="467" t="e">
        <f>G188</f>
        <v>#REF!</v>
      </c>
      <c r="H218" s="468" t="e">
        <f>H188</f>
        <v>#REF!</v>
      </c>
      <c r="I218" s="469"/>
      <c r="J218" s="565"/>
      <c r="K218" s="714"/>
      <c r="L218" s="715"/>
      <c r="M218" s="716"/>
      <c r="O218" s="716"/>
      <c r="P218" s="716"/>
      <c r="Q218" s="717" t="s">
        <v>418</v>
      </c>
      <c r="R218" s="714"/>
      <c r="S218" s="540"/>
      <c r="T218" s="540"/>
      <c r="U218" s="716"/>
      <c r="V218" s="716"/>
      <c r="W218" s="716"/>
      <c r="X218" s="716"/>
      <c r="Y218" s="450" t="str">
        <f>MID(W217,1,5)</f>
        <v>07831</v>
      </c>
      <c r="Z218" s="4773" t="s">
        <v>419</v>
      </c>
      <c r="AA218" s="4774"/>
      <c r="AB218" s="4774"/>
      <c r="AC218" s="4775"/>
    </row>
    <row r="219" spans="1:29" ht="12" customHeight="1">
      <c r="A219" s="688"/>
      <c r="B219" s="470" t="s">
        <v>423</v>
      </c>
      <c r="C219" s="463"/>
      <c r="D219" s="464"/>
      <c r="E219" s="465">
        <f t="shared" si="15"/>
        <v>0</v>
      </c>
      <c r="F219" s="692" t="s">
        <v>3</v>
      </c>
      <c r="G219" s="463" t="str">
        <f>'VISITA DE INSP.'!B24</f>
        <v>4º</v>
      </c>
      <c r="H219" s="471" t="s">
        <v>406</v>
      </c>
      <c r="I219" s="480"/>
      <c r="J219" s="568">
        <f>COUNTA(I219,I249,I279,I309,I339,I369,I399,I429,I459,I489)</f>
        <v>1</v>
      </c>
      <c r="K219" s="522" t="s">
        <v>424</v>
      </c>
      <c r="L219" s="539"/>
      <c r="M219" s="539"/>
      <c r="N219" s="539"/>
      <c r="O219" s="712" t="str">
        <f>'VISITA DE INSP.'!AU24</f>
        <v>01-09-1984</v>
      </c>
      <c r="P219" s="719"/>
      <c r="Q219" s="720"/>
      <c r="R219" s="714"/>
      <c r="S219" s="714"/>
      <c r="T219" s="714"/>
      <c r="U219" s="574" t="s">
        <v>425</v>
      </c>
      <c r="V219" s="721">
        <f>'VISITA DE INSP.'!AT24</f>
        <v>10</v>
      </c>
      <c r="W219" s="722" t="str">
        <f>Y219</f>
        <v>BASE</v>
      </c>
      <c r="X219" s="723"/>
      <c r="Y219" s="473" t="str">
        <f>VLOOKUP(V219,AH2:AI14,2)</f>
        <v>BASE</v>
      </c>
      <c r="Z219" s="446" t="s">
        <v>396</v>
      </c>
      <c r="AA219" s="447" t="str">
        <f>J217</f>
        <v>SABC641208  19</v>
      </c>
      <c r="AB219" s="448"/>
      <c r="AC219" s="449"/>
    </row>
    <row r="220" spans="1:29" ht="12" customHeight="1">
      <c r="A220" s="688"/>
      <c r="B220" s="470" t="s">
        <v>408</v>
      </c>
      <c r="C220" s="463"/>
      <c r="D220" s="464"/>
      <c r="E220" s="465">
        <f t="shared" si="15"/>
        <v>0</v>
      </c>
      <c r="F220" s="692" t="s">
        <v>4</v>
      </c>
      <c r="G220" s="463" t="str">
        <f>'VISITA DE INSP.'!C24</f>
        <v>A</v>
      </c>
      <c r="H220" s="475" t="s">
        <v>407</v>
      </c>
      <c r="I220" s="623"/>
      <c r="J220" s="568">
        <f>COUNTA(I220,I250,I280,I310,I340,I370,I400,I430,I460,I490)</f>
        <v>0</v>
      </c>
      <c r="K220" s="717"/>
      <c r="L220" s="717"/>
      <c r="M220" s="539"/>
      <c r="N220" s="714"/>
      <c r="O220" s="716"/>
      <c r="P220" s="716"/>
      <c r="Q220" s="716"/>
      <c r="R220" s="539"/>
      <c r="S220" s="539"/>
      <c r="T220" s="714"/>
      <c r="U220" s="714"/>
      <c r="V220" s="724"/>
      <c r="W220" s="724"/>
      <c r="X220" s="716"/>
      <c r="Y220" s="476"/>
      <c r="Z220" s="4773" t="s">
        <v>429</v>
      </c>
      <c r="AA220" s="4774"/>
      <c r="AB220" s="4774"/>
      <c r="AC220" s="4775"/>
    </row>
    <row r="221" spans="1:29" ht="12" customHeight="1">
      <c r="A221" s="688"/>
      <c r="B221" s="470" t="s">
        <v>434</v>
      </c>
      <c r="C221" s="463"/>
      <c r="D221" s="464"/>
      <c r="E221" s="465">
        <f t="shared" si="15"/>
        <v>0</v>
      </c>
      <c r="F221" s="4776" t="s">
        <v>435</v>
      </c>
      <c r="G221" s="4777"/>
      <c r="H221" s="4777" t="s">
        <v>436</v>
      </c>
      <c r="I221" s="4778"/>
      <c r="J221" s="568">
        <f>SUM(J219,J220)</f>
        <v>1</v>
      </c>
      <c r="K221" s="522" t="s">
        <v>437</v>
      </c>
      <c r="L221" s="539"/>
      <c r="M221" s="725"/>
      <c r="N221" s="725"/>
      <c r="O221" s="725"/>
      <c r="P221" s="725"/>
      <c r="Q221" s="725"/>
      <c r="R221" s="726"/>
      <c r="S221" s="725"/>
      <c r="T221" s="727"/>
      <c r="U221" s="725"/>
      <c r="V221" s="574" t="s">
        <v>438</v>
      </c>
      <c r="W221" s="728"/>
      <c r="X221" s="723"/>
      <c r="Y221" s="445" t="str">
        <f>CONCATENATE(O234,S221)</f>
        <v xml:space="preserve">  COL-</v>
      </c>
      <c r="Z221" s="446" t="s">
        <v>396</v>
      </c>
      <c r="AA221" s="447" t="str">
        <f>Y217</f>
        <v>11007831200.0  078312 E028100.0233935</v>
      </c>
      <c r="AB221" s="448"/>
      <c r="AC221" s="449"/>
    </row>
    <row r="222" spans="1:29" ht="12" customHeight="1">
      <c r="A222" s="688"/>
      <c r="B222" s="470" t="s">
        <v>443</v>
      </c>
      <c r="C222" s="463"/>
      <c r="D222" s="464"/>
      <c r="E222" s="465">
        <f t="shared" si="15"/>
        <v>0</v>
      </c>
      <c r="F222" s="478" t="s">
        <v>444</v>
      </c>
      <c r="G222" s="624">
        <v>8</v>
      </c>
      <c r="H222" s="479" t="e">
        <f>H192</f>
        <v>#REF!</v>
      </c>
      <c r="I222" s="480" t="e">
        <f>H222+1</f>
        <v>#REF!</v>
      </c>
      <c r="J222" s="569" t="str">
        <f>CONCATENATE(J234,M221,K234,N221,L234,O221,M234,P221,N234,Q221,O234,S221)</f>
        <v>RG-  SM-  MZA-  LTE-  CALLE-  COL-</v>
      </c>
      <c r="K222" s="729"/>
      <c r="L222" s="539"/>
      <c r="M222" s="492"/>
      <c r="N222" s="492"/>
      <c r="O222" s="492"/>
      <c r="P222" s="492"/>
      <c r="Q222" s="492"/>
      <c r="R222" s="730"/>
      <c r="S222" s="731" t="s">
        <v>503</v>
      </c>
      <c r="T222" s="731"/>
      <c r="U222" s="731" t="s">
        <v>504</v>
      </c>
      <c r="V222" s="533"/>
      <c r="W222" s="732"/>
      <c r="X222" s="733"/>
      <c r="Y222" s="450" t="str">
        <f>CONCATENATE(K232,P234,U221)</f>
        <v xml:space="preserve">    C.P.-</v>
      </c>
      <c r="Z222" s="4779" t="s">
        <v>445</v>
      </c>
      <c r="AA222" s="4780"/>
      <c r="AB222" s="4780"/>
      <c r="AC222" s="4781"/>
    </row>
    <row r="223" spans="1:29" ht="12" customHeight="1">
      <c r="A223" s="688"/>
      <c r="B223" s="470" t="s">
        <v>450</v>
      </c>
      <c r="C223" s="463"/>
      <c r="D223" s="464"/>
      <c r="E223" s="465">
        <f t="shared" si="15"/>
        <v>0</v>
      </c>
      <c r="F223" s="692" t="s">
        <v>373</v>
      </c>
      <c r="G223" s="4782" t="s">
        <v>451</v>
      </c>
      <c r="H223" s="4777"/>
      <c r="I223" s="4778"/>
      <c r="J223" s="565" t="str">
        <f>CONCATENATE(O234,S221)</f>
        <v xml:space="preserve">  COL-</v>
      </c>
      <c r="K223" s="522" t="s">
        <v>452</v>
      </c>
      <c r="L223" s="539"/>
      <c r="M223" s="539"/>
      <c r="N223" s="572" t="e">
        <f>#REF!</f>
        <v>#REF!</v>
      </c>
      <c r="O223" s="573"/>
      <c r="P223" s="573"/>
      <c r="Q223" s="573"/>
      <c r="R223" s="573"/>
      <c r="S223" s="574" t="s">
        <v>453</v>
      </c>
      <c r="T223" s="572" t="e">
        <f>#REF!</f>
        <v>#REF!</v>
      </c>
      <c r="U223" s="575"/>
      <c r="V223" s="574" t="s">
        <v>454</v>
      </c>
      <c r="W223" s="576" t="e">
        <f>#REF!</f>
        <v>#REF!</v>
      </c>
      <c r="X223" s="575"/>
      <c r="Y223" s="445"/>
      <c r="Z223" s="446" t="s">
        <v>396</v>
      </c>
      <c r="AA223" s="482" t="str">
        <f>O219</f>
        <v>01-09-1984</v>
      </c>
      <c r="AB223" s="448"/>
      <c r="AC223" s="483"/>
    </row>
    <row r="224" spans="1:29" ht="12" customHeight="1" thickBot="1">
      <c r="A224" s="688"/>
      <c r="B224" s="484" t="s">
        <v>456</v>
      </c>
      <c r="C224" s="485"/>
      <c r="D224" s="486"/>
      <c r="E224" s="465">
        <f>E222-E223</f>
        <v>0</v>
      </c>
      <c r="F224" s="487">
        <f>F194</f>
        <v>1</v>
      </c>
      <c r="G224" s="488" t="e">
        <f>G194</f>
        <v>#REF!</v>
      </c>
      <c r="H224" s="488" t="e">
        <f>H194</f>
        <v>#REF!</v>
      </c>
      <c r="I224" s="579" t="e">
        <f>I194</f>
        <v>#REF!</v>
      </c>
      <c r="J224" s="580" t="str">
        <f>CONCATENATE(,P234,U221)</f>
        <v xml:space="preserve">  C.P.-</v>
      </c>
      <c r="K224" s="490"/>
      <c r="L224" s="491"/>
      <c r="M224" s="492"/>
      <c r="N224" s="492"/>
      <c r="O224" s="492"/>
      <c r="P224" s="492"/>
      <c r="Q224" s="492"/>
      <c r="R224" s="492"/>
      <c r="S224" s="492"/>
      <c r="T224" s="493"/>
      <c r="V224" s="494"/>
      <c r="W224" s="495"/>
      <c r="X224" s="496"/>
      <c r="Y224" s="497"/>
      <c r="Z224" s="4773" t="s">
        <v>457</v>
      </c>
      <c r="AA224" s="4774"/>
      <c r="AB224" s="4774"/>
      <c r="AC224" s="4775"/>
    </row>
    <row r="225" spans="1:30" ht="12" customHeight="1" thickTop="1" thickBot="1">
      <c r="A225" s="688"/>
      <c r="B225" s="4783" t="s">
        <v>460</v>
      </c>
      <c r="C225" s="4784"/>
      <c r="D225" s="4784"/>
      <c r="E225" s="4785"/>
      <c r="F225" s="498" t="s">
        <v>396</v>
      </c>
      <c r="G225" s="647" t="str">
        <f>G195</f>
        <v>CERVANTES BENITEZ * ANTONIA</v>
      </c>
      <c r="H225" s="500"/>
      <c r="I225" s="500"/>
      <c r="J225" s="501"/>
      <c r="K225" s="501"/>
      <c r="L225" s="501"/>
      <c r="M225" s="504"/>
      <c r="N225" s="4783" t="s">
        <v>461</v>
      </c>
      <c r="O225" s="4786"/>
      <c r="P225" s="4786"/>
      <c r="Q225" s="4787"/>
      <c r="R225" s="625" t="s">
        <v>7</v>
      </c>
      <c r="S225" s="499" t="str">
        <f>VLOOKUP(R225,AE1:AF16,2,1)</f>
        <v>DOCENTE</v>
      </c>
      <c r="T225" s="501"/>
      <c r="U225" s="501"/>
      <c r="V225" s="501"/>
      <c r="W225" s="501"/>
      <c r="X225" s="501"/>
      <c r="Y225" s="504"/>
      <c r="Z225" s="446" t="s">
        <v>396</v>
      </c>
      <c r="AA225" s="461" t="str">
        <f>Y219</f>
        <v>BASE</v>
      </c>
      <c r="AB225" s="448"/>
      <c r="AC225" s="505">
        <f>V219</f>
        <v>10</v>
      </c>
    </row>
    <row r="226" spans="1:30" ht="12" customHeight="1" thickTop="1" thickBot="1">
      <c r="A226" s="688"/>
      <c r="B226" s="4783" t="s">
        <v>465</v>
      </c>
      <c r="C226" s="4786"/>
      <c r="D226" s="4786"/>
      <c r="E226" s="4787"/>
      <c r="F226" s="506" t="s">
        <v>396</v>
      </c>
      <c r="G226" s="648" t="str">
        <f>G196</f>
        <v>JESUS MARTIN RICALDE CASTRO</v>
      </c>
      <c r="H226" s="501"/>
      <c r="I226" s="501"/>
      <c r="J226" s="501"/>
      <c r="K226" s="501"/>
      <c r="L226" s="501"/>
      <c r="M226" s="504"/>
      <c r="N226" s="4783" t="s">
        <v>466</v>
      </c>
      <c r="O226" s="4786"/>
      <c r="P226" s="4786"/>
      <c r="Q226" s="4787"/>
      <c r="R226" s="625">
        <v>1</v>
      </c>
      <c r="S226" s="499" t="str">
        <f>VLOOKUP(R226,AE17:AF22,2,2)</f>
        <v>BASE</v>
      </c>
      <c r="T226" s="501"/>
      <c r="U226" s="501"/>
      <c r="V226" s="501"/>
      <c r="W226" s="501"/>
      <c r="X226" s="501"/>
      <c r="Y226" s="507" t="str">
        <f>CONCATENATE(M222,M221,N222,N221,O222,O221,P222,P221)</f>
        <v/>
      </c>
      <c r="Z226" s="4773" t="s">
        <v>467</v>
      </c>
      <c r="AA226" s="4774"/>
      <c r="AB226" s="4774"/>
      <c r="AC226" s="4775"/>
    </row>
    <row r="227" spans="1:30" ht="12" customHeight="1" thickTop="1" thickBot="1">
      <c r="A227" s="688"/>
      <c r="B227" s="4788" t="s">
        <v>471</v>
      </c>
      <c r="C227" s="4789"/>
      <c r="D227" s="4789"/>
      <c r="E227" s="4790"/>
      <c r="F227" s="506" t="s">
        <v>396</v>
      </c>
      <c r="G227" s="648" t="e">
        <f>G197</f>
        <v>#REF!</v>
      </c>
      <c r="H227" s="501"/>
      <c r="I227" s="501"/>
      <c r="J227" s="501"/>
      <c r="K227" s="501"/>
      <c r="L227" s="501"/>
      <c r="M227" s="501"/>
      <c r="N227" s="4783" t="s">
        <v>472</v>
      </c>
      <c r="O227" s="4786"/>
      <c r="P227" s="4786"/>
      <c r="Q227" s="4787"/>
      <c r="R227" s="625">
        <v>4</v>
      </c>
      <c r="S227" s="499" t="str">
        <f>VLOOKUP(R227,AE25:AF34,2,2)</f>
        <v>ALTA DEFINITIVA. (Si la persona se da de alta en al escuela)</v>
      </c>
      <c r="T227" s="501"/>
      <c r="U227" s="501"/>
      <c r="V227" s="501"/>
      <c r="W227" s="501"/>
      <c r="X227" s="501"/>
      <c r="Y227" s="504"/>
      <c r="Z227" s="446" t="s">
        <v>396</v>
      </c>
      <c r="AA227" s="447" t="str">
        <f>J222</f>
        <v>RG-  SM-  MZA-  LTE-  CALLE-  COL-</v>
      </c>
      <c r="AB227" s="448"/>
      <c r="AC227" s="449"/>
      <c r="AD227" s="662" t="s">
        <v>389</v>
      </c>
    </row>
    <row r="228" spans="1:30" ht="12" customHeight="1" thickTop="1" thickBot="1">
      <c r="A228" s="688"/>
      <c r="B228" s="4788" t="s">
        <v>475</v>
      </c>
      <c r="C228" s="4789"/>
      <c r="D228" s="4789"/>
      <c r="E228" s="4790"/>
      <c r="F228" s="508"/>
      <c r="G228" s="648"/>
      <c r="H228" s="501"/>
      <c r="I228" s="501"/>
      <c r="J228" s="501"/>
      <c r="K228" s="501"/>
      <c r="L228" s="501"/>
      <c r="M228" s="501"/>
      <c r="N228" s="4783" t="s">
        <v>476</v>
      </c>
      <c r="O228" s="4786"/>
      <c r="P228" s="4786"/>
      <c r="Q228" s="4787"/>
      <c r="R228" s="625">
        <v>2</v>
      </c>
      <c r="S228" s="499" t="str">
        <f>VLOOKUP(R228,AE35:AF43,2,2)</f>
        <v>FEDERAL TRANFERIDA  (18 de mayo de 2005 )</v>
      </c>
      <c r="T228" s="501"/>
      <c r="U228" s="501"/>
      <c r="V228" s="501"/>
      <c r="W228" s="501"/>
      <c r="X228" s="501"/>
      <c r="Y228" s="504"/>
      <c r="Z228" s="4773" t="s">
        <v>477</v>
      </c>
      <c r="AA228" s="4774"/>
      <c r="AB228" s="4774"/>
      <c r="AC228" s="4775"/>
    </row>
    <row r="229" spans="1:30" ht="12" customHeight="1" thickTop="1" thickBot="1">
      <c r="A229" s="688"/>
      <c r="B229" s="4791" t="s">
        <v>479</v>
      </c>
      <c r="C229" s="4792"/>
      <c r="D229" s="4792"/>
      <c r="E229" s="4793"/>
      <c r="F229" s="625"/>
      <c r="G229" s="582">
        <f>VLOOKUP(F229,AE69:AF78,2,1)</f>
        <v>0</v>
      </c>
      <c r="H229" s="501"/>
      <c r="I229" s="501"/>
      <c r="J229" s="501"/>
      <c r="K229" s="501"/>
      <c r="L229" s="584"/>
      <c r="M229" s="619">
        <f>COUNTA(F229,F347,F467,F587)</f>
        <v>3</v>
      </c>
      <c r="N229" s="4783" t="s">
        <v>480</v>
      </c>
      <c r="O229" s="4786"/>
      <c r="P229" s="4786"/>
      <c r="Q229" s="4787"/>
      <c r="R229" s="625"/>
      <c r="S229" s="499">
        <f>VLOOKUP(R229,AE44:AF68,2,2)</f>
        <v>0</v>
      </c>
      <c r="T229" s="501"/>
      <c r="U229" s="501"/>
      <c r="V229" s="501"/>
      <c r="W229" s="501"/>
      <c r="X229" s="501"/>
      <c r="Y229" s="504"/>
      <c r="Z229" s="446" t="s">
        <v>481</v>
      </c>
      <c r="AA229" s="447" t="str">
        <f>'VISITA DE INSP.'!AQ24</f>
        <v>23DPR0737O</v>
      </c>
      <c r="AB229" s="448"/>
      <c r="AC229" s="449"/>
    </row>
    <row r="230" spans="1:30" ht="12" customHeight="1" thickTop="1" thickBot="1">
      <c r="A230" s="688"/>
      <c r="B230" s="4791" t="s">
        <v>484</v>
      </c>
      <c r="C230" s="4792"/>
      <c r="D230" s="4792"/>
      <c r="E230" s="4793"/>
      <c r="F230" s="625"/>
      <c r="G230" s="582">
        <f>VLOOKUP(F230,AE79:AF85,2,1)</f>
        <v>0</v>
      </c>
      <c r="H230" s="501"/>
      <c r="I230" s="501"/>
      <c r="J230" s="501"/>
      <c r="K230" s="501"/>
      <c r="L230" s="501"/>
      <c r="M230" s="504"/>
      <c r="N230" s="4783" t="s">
        <v>485</v>
      </c>
      <c r="O230" s="4786"/>
      <c r="P230" s="4786"/>
      <c r="Q230" s="4787"/>
      <c r="R230" s="625"/>
      <c r="S230" s="553"/>
      <c r="T230" s="511"/>
      <c r="U230" s="512"/>
      <c r="V230" s="511"/>
      <c r="W230" s="511"/>
      <c r="X230" s="511"/>
      <c r="Y230" s="513"/>
      <c r="Z230" s="4773" t="s">
        <v>486</v>
      </c>
      <c r="AA230" s="4774"/>
      <c r="AB230" s="4774"/>
      <c r="AC230" s="4775"/>
    </row>
    <row r="231" spans="1:30" ht="12" hidden="1" customHeight="1" thickTop="1" thickBot="1">
      <c r="A231" s="688"/>
      <c r="B231" s="4811" t="s">
        <v>488</v>
      </c>
      <c r="C231" s="4812"/>
      <c r="D231" s="4812"/>
      <c r="E231" s="4812"/>
      <c r="F231" s="4812"/>
      <c r="G231" s="4812"/>
      <c r="H231" s="4812"/>
      <c r="I231" s="4812"/>
      <c r="J231" s="4794" t="s">
        <v>488</v>
      </c>
      <c r="K231" s="4795"/>
      <c r="L231" s="4795"/>
      <c r="M231" s="4795"/>
      <c r="N231" s="4795"/>
      <c r="O231" s="4795"/>
      <c r="P231" s="4795"/>
      <c r="Q231" s="4796"/>
      <c r="R231" s="4811" t="s">
        <v>488</v>
      </c>
      <c r="S231" s="4812"/>
      <c r="T231" s="4812"/>
      <c r="U231" s="4812"/>
      <c r="V231" s="4812"/>
      <c r="W231" s="4812"/>
      <c r="X231" s="4812"/>
      <c r="Y231" s="4812"/>
      <c r="Z231" s="446" t="s">
        <v>489</v>
      </c>
      <c r="AA231" s="447"/>
      <c r="AB231" s="448"/>
      <c r="AC231" s="449"/>
    </row>
    <row r="232" spans="1:30" ht="12" hidden="1" customHeight="1" thickTop="1" thickBot="1">
      <c r="A232" s="688"/>
      <c r="B232" s="586"/>
      <c r="C232" s="587"/>
      <c r="D232" s="588"/>
      <c r="E232" s="4797"/>
      <c r="F232" s="4797"/>
      <c r="G232" s="589"/>
      <c r="H232" s="590"/>
      <c r="I232" s="591"/>
      <c r="J232" s="592" t="s">
        <v>491</v>
      </c>
      <c r="K232" s="515" t="s">
        <v>491</v>
      </c>
      <c r="L232" s="516" t="s">
        <v>492</v>
      </c>
      <c r="M232" s="4797"/>
      <c r="N232" s="4797"/>
      <c r="O232" s="517" t="s">
        <v>418</v>
      </c>
      <c r="P232" s="518" t="s">
        <v>493</v>
      </c>
      <c r="Q232" s="520"/>
      <c r="R232" s="593"/>
      <c r="S232" s="594"/>
      <c r="T232" s="595"/>
      <c r="U232" s="4797"/>
      <c r="V232" s="4797"/>
      <c r="W232" s="596"/>
      <c r="X232" s="594"/>
      <c r="Y232" s="597"/>
      <c r="Z232" s="4773" t="s">
        <v>494</v>
      </c>
      <c r="AA232" s="4774"/>
      <c r="AB232" s="4774"/>
      <c r="AC232" s="4775"/>
    </row>
    <row r="233" spans="1:30" ht="12" hidden="1" customHeight="1" thickTop="1">
      <c r="A233" s="688"/>
      <c r="B233" s="586"/>
      <c r="C233" s="587"/>
      <c r="D233" s="588"/>
      <c r="E233" s="4813" t="s">
        <v>621</v>
      </c>
      <c r="F233" s="4814"/>
      <c r="G233" s="590"/>
      <c r="H233" s="590"/>
      <c r="I233" s="591"/>
      <c r="J233" s="523"/>
      <c r="K233" s="522"/>
      <c r="L233" s="4798" t="s">
        <v>496</v>
      </c>
      <c r="M233" s="4799"/>
      <c r="N233" s="4799"/>
      <c r="O233" s="4800"/>
      <c r="P233" s="515"/>
      <c r="Q233" s="520"/>
      <c r="R233" s="593"/>
      <c r="S233" s="594"/>
      <c r="T233" s="598"/>
      <c r="U233" s="4815" t="s">
        <v>622</v>
      </c>
      <c r="V233" s="4816"/>
      <c r="W233" s="596"/>
      <c r="X233" s="594"/>
      <c r="Y233" s="597"/>
      <c r="Z233" s="446"/>
      <c r="AA233" s="524">
        <f>VLOOKUP(Z233,BE24:BF34,2,2)</f>
        <v>0</v>
      </c>
      <c r="AB233" s="448"/>
      <c r="AC233" s="449"/>
    </row>
    <row r="234" spans="1:30" ht="12" hidden="1" customHeight="1">
      <c r="A234" s="688"/>
      <c r="B234" s="586"/>
      <c r="C234" s="587"/>
      <c r="D234" s="588"/>
      <c r="E234" s="599"/>
      <c r="F234" s="590"/>
      <c r="G234" s="590"/>
      <c r="H234" s="590"/>
      <c r="I234" s="591"/>
      <c r="J234" s="526" t="s">
        <v>498</v>
      </c>
      <c r="K234" s="527" t="s">
        <v>499</v>
      </c>
      <c r="L234" s="527" t="s">
        <v>500</v>
      </c>
      <c r="M234" s="527" t="s">
        <v>501</v>
      </c>
      <c r="N234" s="527" t="s">
        <v>502</v>
      </c>
      <c r="O234" s="527" t="s">
        <v>503</v>
      </c>
      <c r="P234" s="527" t="s">
        <v>504</v>
      </c>
      <c r="Q234" s="600"/>
      <c r="R234" s="593"/>
      <c r="S234" s="4758" t="str">
        <f>'VISITA DE INSP.'!D24</f>
        <v>SANCHEZ BUSTAMANTE * CONCEPCION</v>
      </c>
      <c r="T234" s="4759"/>
      <c r="U234" s="4759"/>
      <c r="V234" s="4759"/>
      <c r="W234" s="4759"/>
      <c r="X234" s="4760"/>
      <c r="Y234" s="602"/>
      <c r="Z234" s="4801" t="s">
        <v>506</v>
      </c>
      <c r="AA234" s="4802"/>
      <c r="AB234" s="4802"/>
      <c r="AC234" s="4803"/>
    </row>
    <row r="235" spans="1:30" ht="12" hidden="1" customHeight="1">
      <c r="A235" s="688"/>
      <c r="B235" s="586"/>
      <c r="C235" s="587"/>
      <c r="D235" s="588"/>
      <c r="E235" s="599"/>
      <c r="F235" s="590"/>
      <c r="G235" s="590"/>
      <c r="H235" s="590"/>
      <c r="I235" s="591"/>
      <c r="J235" s="534"/>
      <c r="K235" s="531" t="s">
        <v>491</v>
      </c>
      <c r="L235" s="532" t="s">
        <v>491</v>
      </c>
      <c r="M235" s="533"/>
      <c r="N235" s="532"/>
      <c r="O235" s="532"/>
      <c r="P235" s="532"/>
      <c r="Q235" s="520"/>
      <c r="R235" s="593"/>
      <c r="S235" s="4758" t="str">
        <f>'VISITA DE INSP.'!AN24</f>
        <v>SABC641208519</v>
      </c>
      <c r="T235" s="4759"/>
      <c r="U235" s="4759"/>
      <c r="V235" s="4759"/>
      <c r="W235" s="4759"/>
      <c r="X235" s="4760"/>
      <c r="Y235" s="602"/>
      <c r="Z235" s="446"/>
      <c r="AA235" s="524">
        <f>VLOOKUP(Z235,AW24:AX39,2,2)</f>
        <v>0</v>
      </c>
      <c r="AB235" s="448"/>
      <c r="AC235" s="449"/>
    </row>
    <row r="236" spans="1:30" ht="12" hidden="1" customHeight="1">
      <c r="A236" s="688"/>
      <c r="B236" s="586"/>
      <c r="C236" s="587"/>
      <c r="D236" s="588"/>
      <c r="E236" s="599"/>
      <c r="F236" s="590"/>
      <c r="G236" s="590"/>
      <c r="H236" s="590"/>
      <c r="I236" s="591"/>
      <c r="J236" s="538"/>
      <c r="K236" s="537"/>
      <c r="L236" s="527"/>
      <c r="M236" s="527"/>
      <c r="N236" s="527"/>
      <c r="O236" s="527"/>
      <c r="P236" s="527"/>
      <c r="Q236" s="520"/>
      <c r="R236" s="593"/>
      <c r="S236" s="4758" t="str">
        <f>'VISITA DE INSP.'!AO24</f>
        <v>078312 E028100.0233935</v>
      </c>
      <c r="T236" s="4759"/>
      <c r="U236" s="4759"/>
      <c r="V236" s="4759"/>
      <c r="W236" s="4759"/>
      <c r="X236" s="4760"/>
      <c r="Y236" s="602"/>
      <c r="Z236" s="4773" t="s">
        <v>511</v>
      </c>
      <c r="AA236" s="4774"/>
      <c r="AB236" s="4774"/>
      <c r="AC236" s="4775"/>
    </row>
    <row r="237" spans="1:30" ht="12" hidden="1" customHeight="1">
      <c r="A237" s="688"/>
      <c r="B237" s="586"/>
      <c r="C237" s="587"/>
      <c r="D237" s="588"/>
      <c r="E237" s="599"/>
      <c r="F237" s="590"/>
      <c r="G237" s="590"/>
      <c r="H237" s="590"/>
      <c r="I237" s="591"/>
      <c r="J237" s="534"/>
      <c r="K237" s="537"/>
      <c r="L237" s="531"/>
      <c r="M237" s="533"/>
      <c r="N237" s="532"/>
      <c r="O237" s="532"/>
      <c r="P237" s="532"/>
      <c r="Q237" s="520"/>
      <c r="R237" s="593"/>
      <c r="S237" s="4827" t="str">
        <f>'VISITA DE INSP.'!AU24</f>
        <v>01-09-1984</v>
      </c>
      <c r="T237" s="4828"/>
      <c r="U237" s="4828"/>
      <c r="V237" s="4828"/>
      <c r="W237" s="4828"/>
      <c r="X237" s="4829"/>
      <c r="Y237" s="597"/>
      <c r="Z237" s="446"/>
      <c r="AA237" s="524">
        <f>VLOOKUP(Z237,BB24:BC34,2,2)</f>
        <v>0</v>
      </c>
      <c r="AB237" s="448"/>
      <c r="AC237" s="449"/>
    </row>
    <row r="238" spans="1:30" ht="12" hidden="1" customHeight="1">
      <c r="A238" s="688"/>
      <c r="B238" s="586"/>
      <c r="C238" s="587"/>
      <c r="D238" s="588"/>
      <c r="E238" s="599"/>
      <c r="F238" s="590"/>
      <c r="G238" s="590"/>
      <c r="H238" s="590"/>
      <c r="I238" s="591"/>
      <c r="J238" s="534"/>
      <c r="K238" s="522"/>
      <c r="L238" s="539"/>
      <c r="M238" s="540"/>
      <c r="N238" s="515"/>
      <c r="O238" s="515"/>
      <c r="P238" s="515"/>
      <c r="Q238" s="520"/>
      <c r="R238" s="593"/>
      <c r="S238" s="4758">
        <f>'VISITA DE INSP.'!AT24</f>
        <v>10</v>
      </c>
      <c r="T238" s="4759"/>
      <c r="U238" s="4759"/>
      <c r="V238" s="4759"/>
      <c r="W238" s="4759"/>
      <c r="X238" s="4760"/>
      <c r="Y238" s="597"/>
      <c r="Z238" s="4773" t="s">
        <v>520</v>
      </c>
      <c r="AA238" s="4774"/>
      <c r="AB238" s="4774"/>
      <c r="AC238" s="4775"/>
    </row>
    <row r="239" spans="1:30" ht="12" hidden="1" customHeight="1">
      <c r="A239" s="688"/>
      <c r="B239" s="586"/>
      <c r="C239" s="587"/>
      <c r="D239" s="588"/>
      <c r="E239" s="599"/>
      <c r="F239" s="590"/>
      <c r="G239" s="590"/>
      <c r="H239" s="590"/>
      <c r="I239" s="591"/>
      <c r="J239" s="534"/>
      <c r="K239" s="541"/>
      <c r="L239" s="541"/>
      <c r="M239" s="541"/>
      <c r="N239" s="541"/>
      <c r="O239" s="541"/>
      <c r="P239" s="541"/>
      <c r="Q239" s="520"/>
      <c r="R239" s="593"/>
      <c r="S239" s="4830" t="str">
        <f>'VISITA DE INSP.'!AS24</f>
        <v>7A</v>
      </c>
      <c r="T239" s="4831"/>
      <c r="U239" s="4831"/>
      <c r="V239" s="4831"/>
      <c r="W239" s="4831"/>
      <c r="X239" s="4832"/>
      <c r="Y239" s="597"/>
      <c r="Z239" s="446" t="s">
        <v>396</v>
      </c>
      <c r="AA239" s="447" t="str">
        <f>J223</f>
        <v xml:space="preserve">  COL-</v>
      </c>
      <c r="AB239" s="448"/>
      <c r="AC239" s="449"/>
    </row>
    <row r="240" spans="1:30" ht="12" hidden="1" customHeight="1">
      <c r="A240" s="688"/>
      <c r="B240" s="586"/>
      <c r="C240" s="603" t="str">
        <f>Y215</f>
        <v xml:space="preserve">       </v>
      </c>
      <c r="D240" s="604"/>
      <c r="E240" s="604"/>
      <c r="F240" s="604"/>
      <c r="G240" s="604"/>
      <c r="H240" s="605"/>
      <c r="I240" s="591"/>
      <c r="J240" s="606" t="str">
        <f>J224</f>
        <v xml:space="preserve">  C.P.-</v>
      </c>
      <c r="K240" s="603" t="str">
        <f>C240</f>
        <v xml:space="preserve">       </v>
      </c>
      <c r="L240" s="604"/>
      <c r="M240" s="604"/>
      <c r="N240" s="604"/>
      <c r="O240" s="604"/>
      <c r="P240" s="605"/>
      <c r="Q240" s="597"/>
      <c r="R240" s="593"/>
      <c r="S240" s="607" t="str">
        <f>K240</f>
        <v xml:space="preserve">       </v>
      </c>
      <c r="T240" s="608"/>
      <c r="U240" s="608"/>
      <c r="V240" s="608"/>
      <c r="W240" s="608"/>
      <c r="X240" s="609"/>
      <c r="Y240" s="597"/>
      <c r="Z240" s="4773" t="s">
        <v>529</v>
      </c>
      <c r="AA240" s="4774"/>
      <c r="AB240" s="4774"/>
      <c r="AC240" s="4775"/>
    </row>
    <row r="241" spans="1:30" ht="12" hidden="1" customHeight="1" thickBot="1">
      <c r="A241" s="688"/>
      <c r="B241" s="610"/>
      <c r="C241" s="4817" t="s">
        <v>534</v>
      </c>
      <c r="D241" s="4818"/>
      <c r="E241" s="4818"/>
      <c r="F241" s="4818"/>
      <c r="G241" s="4818"/>
      <c r="H241" s="4819"/>
      <c r="I241" s="611"/>
      <c r="J241" s="656"/>
      <c r="K241" s="4817" t="s">
        <v>534</v>
      </c>
      <c r="L241" s="4818"/>
      <c r="M241" s="4818"/>
      <c r="N241" s="4818"/>
      <c r="O241" s="4818"/>
      <c r="P241" s="4819"/>
      <c r="Q241" s="615"/>
      <c r="R241" s="614"/>
      <c r="S241" s="4817" t="s">
        <v>534</v>
      </c>
      <c r="T241" s="4818"/>
      <c r="U241" s="4818"/>
      <c r="V241" s="4818"/>
      <c r="W241" s="4818"/>
      <c r="X241" s="4819"/>
      <c r="Y241" s="615"/>
      <c r="Z241" s="446" t="s">
        <v>396</v>
      </c>
      <c r="AA241" s="447" t="str">
        <f>J224</f>
        <v xml:space="preserve">  C.P.-</v>
      </c>
      <c r="AB241" s="448"/>
      <c r="AC241" s="449"/>
    </row>
    <row r="242" spans="1:30" ht="12" customHeight="1" thickTop="1" thickBot="1">
      <c r="A242" s="688"/>
      <c r="B242" s="4783" t="s">
        <v>538</v>
      </c>
      <c r="C242" s="4784"/>
      <c r="D242" s="4784"/>
      <c r="E242" s="4784"/>
      <c r="F242" s="552"/>
      <c r="G242" s="551">
        <f>VLOOKUP(F242,BE38:BG72,2,2)</f>
        <v>0</v>
      </c>
      <c r="H242" s="511"/>
      <c r="I242" s="513"/>
      <c r="J242" s="4783" t="s">
        <v>539</v>
      </c>
      <c r="K242" s="4784"/>
      <c r="L242" s="4784"/>
      <c r="M242" s="4784"/>
      <c r="N242" s="552" t="s">
        <v>540</v>
      </c>
      <c r="O242" s="628"/>
      <c r="P242" s="629"/>
      <c r="Q242" s="630"/>
      <c r="R242" s="4783" t="s">
        <v>541</v>
      </c>
      <c r="S242" s="4784"/>
      <c r="T242" s="4784"/>
      <c r="U242" s="4785"/>
      <c r="V242" s="508" t="s">
        <v>396</v>
      </c>
      <c r="W242" s="553">
        <f>O215</f>
        <v>0</v>
      </c>
      <c r="X242" s="554">
        <f>R215</f>
        <v>0</v>
      </c>
      <c r="Y242" s="555">
        <f>U215</f>
        <v>0</v>
      </c>
      <c r="Z242" s="4773" t="s">
        <v>542</v>
      </c>
      <c r="AA242" s="4774"/>
      <c r="AB242" s="4774"/>
      <c r="AC242" s="4775"/>
    </row>
    <row r="243" spans="1:30" ht="12" customHeight="1" thickTop="1" thickBot="1">
      <c r="A243" s="688"/>
      <c r="B243" s="666"/>
      <c r="C243" s="667"/>
      <c r="D243" s="667"/>
      <c r="E243" s="667"/>
      <c r="F243" s="667"/>
      <c r="G243" s="667"/>
      <c r="H243" s="667"/>
      <c r="I243" s="667"/>
      <c r="J243" s="667"/>
      <c r="K243" s="667"/>
      <c r="L243" s="667"/>
      <c r="M243" s="667"/>
      <c r="N243" s="667"/>
      <c r="O243" s="667"/>
      <c r="P243" s="667"/>
      <c r="Q243" s="667"/>
      <c r="R243" s="667"/>
      <c r="S243" s="667"/>
      <c r="T243" s="667"/>
      <c r="U243" s="667"/>
      <c r="V243" s="667"/>
      <c r="W243" s="667"/>
      <c r="X243" s="667"/>
      <c r="Y243" s="667"/>
      <c r="Z243" s="558" t="s">
        <v>396</v>
      </c>
      <c r="AA243" s="559" t="e">
        <f>W223</f>
        <v>#REF!</v>
      </c>
      <c r="AB243" s="560"/>
      <c r="AC243" s="561"/>
    </row>
    <row r="244" spans="1:30" ht="12" customHeight="1" thickTop="1">
      <c r="A244" s="688"/>
      <c r="B244" s="4761" t="s">
        <v>386</v>
      </c>
      <c r="C244" s="4762"/>
      <c r="D244" s="4762"/>
      <c r="E244" s="4762"/>
      <c r="F244" s="4762"/>
      <c r="G244" s="4762"/>
      <c r="H244" s="4762"/>
      <c r="I244" s="4763"/>
      <c r="J244" s="562">
        <f>COUNTA(I249:I250)</f>
        <v>0</v>
      </c>
      <c r="K244" s="563" t="s">
        <v>387</v>
      </c>
      <c r="L244" s="564"/>
      <c r="M244" s="564"/>
      <c r="N244" s="564"/>
      <c r="O244" s="564"/>
      <c r="P244" s="564"/>
      <c r="Q244" s="564"/>
      <c r="R244" s="564"/>
      <c r="S244" s="564"/>
      <c r="T244" s="564"/>
      <c r="U244" s="564"/>
      <c r="V244" s="564"/>
      <c r="W244" s="564"/>
      <c r="X244" s="564"/>
      <c r="Y244" s="441"/>
      <c r="Z244" s="4770" t="s">
        <v>388</v>
      </c>
      <c r="AA244" s="4771"/>
      <c r="AB244" s="4771"/>
      <c r="AC244" s="4772"/>
    </row>
    <row r="245" spans="1:30" ht="12" customHeight="1">
      <c r="A245" s="688"/>
      <c r="B245" s="4764"/>
      <c r="C245" s="4765"/>
      <c r="D245" s="4765"/>
      <c r="E245" s="4765"/>
      <c r="F245" s="4765"/>
      <c r="G245" s="4765"/>
      <c r="H245" s="4765"/>
      <c r="I245" s="4766"/>
      <c r="J245" s="565" t="str">
        <f>CONCATENATE(O245,J262,R245,K262,U245,L262)</f>
        <v xml:space="preserve">       </v>
      </c>
      <c r="K245" s="699" t="s">
        <v>395</v>
      </c>
      <c r="L245" s="700"/>
      <c r="M245" s="539"/>
      <c r="N245" s="539"/>
      <c r="O245" s="701"/>
      <c r="P245" s="573"/>
      <c r="R245" s="701"/>
      <c r="S245" s="573"/>
      <c r="U245" s="701"/>
      <c r="V245" s="702"/>
      <c r="W245" s="703"/>
      <c r="X245" s="641"/>
      <c r="Y245" s="445" t="str">
        <f>CONCATENATE(U245,K262,O245,J262,R245,L262)</f>
        <v xml:space="preserve">       </v>
      </c>
      <c r="Z245" s="446" t="s">
        <v>396</v>
      </c>
      <c r="AA245" s="447" t="str">
        <f>J245</f>
        <v xml:space="preserve">       </v>
      </c>
      <c r="AB245" s="448"/>
      <c r="AC245" s="449"/>
    </row>
    <row r="246" spans="1:30" ht="12" customHeight="1" thickBot="1">
      <c r="A246" s="688"/>
      <c r="B246" s="4767"/>
      <c r="C246" s="4768"/>
      <c r="D246" s="4768"/>
      <c r="E246" s="4768"/>
      <c r="F246" s="4768"/>
      <c r="G246" s="4768"/>
      <c r="H246" s="4768"/>
      <c r="I246" s="4769"/>
      <c r="J246" s="565"/>
      <c r="K246" s="539" t="str">
        <f>'VISITA DE INSP.'!D25</f>
        <v>VIVEROS SALAZAR *NORA</v>
      </c>
      <c r="L246" s="539"/>
      <c r="M246" s="539"/>
      <c r="N246" s="539"/>
      <c r="P246" s="704"/>
      <c r="Q246" s="705"/>
      <c r="S246" s="704"/>
      <c r="T246" s="705"/>
      <c r="U246" s="706"/>
      <c r="V246" s="706"/>
      <c r="W246" s="706"/>
      <c r="X246" s="706"/>
      <c r="Y246" s="450" t="str">
        <f>CONCATENATE(V247,L262,W247)</f>
        <v>11007831200.0   078312 E028100.0232459</v>
      </c>
      <c r="Z246" s="4773" t="s">
        <v>400</v>
      </c>
      <c r="AA246" s="4774"/>
      <c r="AB246" s="4774"/>
      <c r="AC246" s="4775"/>
    </row>
    <row r="247" spans="1:30" ht="12" customHeight="1" thickTop="1">
      <c r="A247" s="688"/>
      <c r="B247" s="452">
        <v>1</v>
      </c>
      <c r="C247" s="453" t="s">
        <v>406</v>
      </c>
      <c r="D247" s="454" t="s">
        <v>407</v>
      </c>
      <c r="E247" s="455" t="s">
        <v>408</v>
      </c>
      <c r="F247" s="456" t="s">
        <v>409</v>
      </c>
      <c r="G247" s="457" t="e">
        <f>G217</f>
        <v>#REF!</v>
      </c>
      <c r="H247" s="458"/>
      <c r="I247" s="459"/>
      <c r="J247" s="565" t="str">
        <f>CONCATENATE(N247,K262,O247)</f>
        <v>VISN610207  M0</v>
      </c>
      <c r="K247" s="699" t="s">
        <v>410</v>
      </c>
      <c r="L247" s="700"/>
      <c r="M247" s="707"/>
      <c r="N247" s="708" t="str">
        <f>MID('VISITA DE INSP.'!AN25,1,10)</f>
        <v>VISN610207</v>
      </c>
      <c r="O247" s="701" t="str">
        <f>MID('VISITA DE INSP.'!AN25,12,15)</f>
        <v>M0</v>
      </c>
      <c r="P247" s="641"/>
      <c r="Q247" s="700"/>
      <c r="R247" s="709"/>
      <c r="T247" s="710" t="s">
        <v>411</v>
      </c>
      <c r="U247" s="641"/>
      <c r="V247" s="711" t="s">
        <v>179</v>
      </c>
      <c r="W247" s="712" t="str">
        <f>'VISITA DE INSP.'!AO25</f>
        <v>078312 E028100.0232459</v>
      </c>
      <c r="X247" s="713"/>
      <c r="Y247" s="460" t="str">
        <f>CONCATENATE(V247,K262,W247)</f>
        <v>11007831200.0  078312 E028100.0232459</v>
      </c>
      <c r="Z247" s="446" t="s">
        <v>396</v>
      </c>
      <c r="AA247" s="447" t="str">
        <f>Y245</f>
        <v xml:space="preserve">       </v>
      </c>
      <c r="AB247" s="448"/>
      <c r="AC247" s="449"/>
    </row>
    <row r="248" spans="1:30" ht="12" customHeight="1">
      <c r="A248" s="688"/>
      <c r="B248" s="462" t="s">
        <v>416</v>
      </c>
      <c r="C248" s="463"/>
      <c r="D248" s="464"/>
      <c r="E248" s="465">
        <f t="shared" ref="E248:E253" si="16">C248+D248</f>
        <v>0</v>
      </c>
      <c r="F248" s="466" t="s">
        <v>417</v>
      </c>
      <c r="G248" s="467" t="e">
        <f>G218</f>
        <v>#REF!</v>
      </c>
      <c r="H248" s="468" t="e">
        <f>H218</f>
        <v>#REF!</v>
      </c>
      <c r="I248" s="469"/>
      <c r="J248" s="565"/>
      <c r="K248" s="714"/>
      <c r="L248" s="715"/>
      <c r="M248" s="716"/>
      <c r="O248" s="716"/>
      <c r="P248" s="716"/>
      <c r="Q248" s="717" t="s">
        <v>418</v>
      </c>
      <c r="R248" s="714"/>
      <c r="S248" s="540"/>
      <c r="T248" s="540"/>
      <c r="U248" s="716"/>
      <c r="V248" s="716"/>
      <c r="W248" s="716"/>
      <c r="X248" s="718"/>
      <c r="Y248" s="450" t="str">
        <f>MID(W247,1,5)</f>
        <v>07831</v>
      </c>
      <c r="Z248" s="4773" t="s">
        <v>419</v>
      </c>
      <c r="AA248" s="4774"/>
      <c r="AB248" s="4774"/>
      <c r="AC248" s="4775"/>
    </row>
    <row r="249" spans="1:30" ht="12" customHeight="1">
      <c r="A249" s="688"/>
      <c r="B249" s="470" t="s">
        <v>423</v>
      </c>
      <c r="C249" s="463"/>
      <c r="D249" s="464"/>
      <c r="E249" s="465">
        <f t="shared" si="16"/>
        <v>0</v>
      </c>
      <c r="F249" s="692" t="s">
        <v>3</v>
      </c>
      <c r="G249" s="463" t="str">
        <f>'VISITA DE INSP.'!B25</f>
        <v>4º</v>
      </c>
      <c r="H249" s="471" t="s">
        <v>406</v>
      </c>
      <c r="I249" s="480"/>
      <c r="J249" s="568">
        <f>COUNTA(I249,I279,I309,I339,I369,I399,I429,I459,I489,I519)</f>
        <v>1</v>
      </c>
      <c r="K249" s="522" t="s">
        <v>424</v>
      </c>
      <c r="L249" s="539"/>
      <c r="M249" s="539"/>
      <c r="N249" s="539"/>
      <c r="O249" s="712" t="str">
        <f>'VISITA DE INSP.'!AU25</f>
        <v>01-10-1993</v>
      </c>
      <c r="P249" s="719"/>
      <c r="Q249" s="720"/>
      <c r="R249" s="714"/>
      <c r="S249" s="714"/>
      <c r="T249" s="714"/>
      <c r="U249" s="574" t="s">
        <v>425</v>
      </c>
      <c r="V249" s="721">
        <f>'VISITA DE INSP.'!AT25</f>
        <v>10</v>
      </c>
      <c r="W249" s="722" t="str">
        <f>Y249</f>
        <v>BASE</v>
      </c>
      <c r="X249" s="723"/>
      <c r="Y249" s="473" t="str">
        <f>VLOOKUP(V249,AH2:AI14,2)</f>
        <v>BASE</v>
      </c>
      <c r="Z249" s="446" t="s">
        <v>396</v>
      </c>
      <c r="AA249" s="447" t="str">
        <f>J247</f>
        <v>VISN610207  M0</v>
      </c>
      <c r="AB249" s="448"/>
      <c r="AC249" s="449"/>
    </row>
    <row r="250" spans="1:30" ht="12" customHeight="1">
      <c r="A250" s="688"/>
      <c r="B250" s="470" t="s">
        <v>408</v>
      </c>
      <c r="C250" s="463"/>
      <c r="D250" s="464"/>
      <c r="E250" s="465">
        <f t="shared" si="16"/>
        <v>0</v>
      </c>
      <c r="F250" s="692" t="s">
        <v>4</v>
      </c>
      <c r="G250" s="463" t="str">
        <f>'VISITA DE INSP.'!C25</f>
        <v>B</v>
      </c>
      <c r="H250" s="475" t="s">
        <v>407</v>
      </c>
      <c r="I250" s="623"/>
      <c r="J250" s="568">
        <f>COUNTA(I250,I280,I310,I340,I370,I400,I430,I460,I490,I520)</f>
        <v>0</v>
      </c>
      <c r="K250" s="717"/>
      <c r="L250" s="717"/>
      <c r="M250" s="539"/>
      <c r="N250" s="714"/>
      <c r="O250" s="716"/>
      <c r="P250" s="716"/>
      <c r="Q250" s="716"/>
      <c r="R250" s="539"/>
      <c r="S250" s="539"/>
      <c r="T250" s="714"/>
      <c r="U250" s="714"/>
      <c r="V250" s="724"/>
      <c r="W250" s="724"/>
      <c r="X250" s="716"/>
      <c r="Y250" s="476"/>
      <c r="Z250" s="4773" t="s">
        <v>429</v>
      </c>
      <c r="AA250" s="4774"/>
      <c r="AB250" s="4774"/>
      <c r="AC250" s="4775"/>
    </row>
    <row r="251" spans="1:30" ht="12" customHeight="1">
      <c r="A251" s="688"/>
      <c r="B251" s="470" t="s">
        <v>434</v>
      </c>
      <c r="C251" s="463"/>
      <c r="D251" s="464"/>
      <c r="E251" s="465">
        <f t="shared" si="16"/>
        <v>0</v>
      </c>
      <c r="F251" s="4776" t="s">
        <v>435</v>
      </c>
      <c r="G251" s="4777"/>
      <c r="H251" s="4777" t="s">
        <v>436</v>
      </c>
      <c r="I251" s="4778"/>
      <c r="J251" s="568">
        <f>SUM(J249,J250)</f>
        <v>1</v>
      </c>
      <c r="K251" s="522" t="s">
        <v>437</v>
      </c>
      <c r="L251" s="539"/>
      <c r="M251" s="725"/>
      <c r="N251" s="725"/>
      <c r="O251" s="725"/>
      <c r="P251" s="725"/>
      <c r="Q251" s="725"/>
      <c r="R251" s="726"/>
      <c r="S251" s="725"/>
      <c r="T251" s="727"/>
      <c r="U251" s="725"/>
      <c r="V251" s="574" t="s">
        <v>438</v>
      </c>
      <c r="W251" s="728"/>
      <c r="X251" s="723"/>
      <c r="Y251" s="445" t="str">
        <f>CONCATENATE(O264,S251)</f>
        <v xml:space="preserve">  COL-</v>
      </c>
      <c r="Z251" s="446" t="s">
        <v>396</v>
      </c>
      <c r="AA251" s="447" t="str">
        <f>Y247</f>
        <v>11007831200.0  078312 E028100.0232459</v>
      </c>
      <c r="AB251" s="448"/>
      <c r="AC251" s="449"/>
      <c r="AD251" s="662" t="s">
        <v>79</v>
      </c>
    </row>
    <row r="252" spans="1:30" ht="12" customHeight="1">
      <c r="A252" s="688"/>
      <c r="B252" s="470" t="s">
        <v>443</v>
      </c>
      <c r="C252" s="463"/>
      <c r="D252" s="464"/>
      <c r="E252" s="465">
        <f t="shared" si="16"/>
        <v>0</v>
      </c>
      <c r="F252" s="478" t="s">
        <v>444</v>
      </c>
      <c r="G252" s="624">
        <v>9</v>
      </c>
      <c r="H252" s="479" t="e">
        <f>H222</f>
        <v>#REF!</v>
      </c>
      <c r="I252" s="480" t="e">
        <f>H252+1</f>
        <v>#REF!</v>
      </c>
      <c r="J252" s="569" t="str">
        <f>CONCATENATE(J264,M251,K264,N251,L264,O251,M264,P251,N264,Q251,O264,S251)</f>
        <v>RG-  SM-  MZA-  LTE-  CALLE-  COL-</v>
      </c>
      <c r="K252" s="729"/>
      <c r="L252" s="539"/>
      <c r="M252" s="492"/>
      <c r="N252" s="492"/>
      <c r="O252" s="492"/>
      <c r="P252" s="492"/>
      <c r="Q252" s="492"/>
      <c r="R252" s="730"/>
      <c r="S252" s="731" t="s">
        <v>503</v>
      </c>
      <c r="T252" s="731"/>
      <c r="U252" s="731" t="s">
        <v>504</v>
      </c>
      <c r="V252" s="533"/>
      <c r="W252" s="732"/>
      <c r="X252" s="733"/>
      <c r="Y252" s="450" t="str">
        <f>CONCATENATE(K262,P264,U251)</f>
        <v xml:space="preserve">    C.P.-</v>
      </c>
      <c r="Z252" s="4779" t="s">
        <v>445</v>
      </c>
      <c r="AA252" s="4780"/>
      <c r="AB252" s="4780"/>
      <c r="AC252" s="4781"/>
    </row>
    <row r="253" spans="1:30" ht="12" customHeight="1">
      <c r="A253" s="688"/>
      <c r="B253" s="470" t="s">
        <v>450</v>
      </c>
      <c r="C253" s="463"/>
      <c r="D253" s="464"/>
      <c r="E253" s="465">
        <f t="shared" si="16"/>
        <v>0</v>
      </c>
      <c r="F253" s="692" t="s">
        <v>373</v>
      </c>
      <c r="G253" s="4782" t="s">
        <v>451</v>
      </c>
      <c r="H253" s="4777"/>
      <c r="I253" s="4778"/>
      <c r="J253" s="565" t="str">
        <f>CONCATENATE(O264,S251)</f>
        <v xml:space="preserve">  COL-</v>
      </c>
      <c r="K253" s="522" t="s">
        <v>452</v>
      </c>
      <c r="L253" s="539"/>
      <c r="M253" s="539"/>
      <c r="N253" s="572" t="e">
        <f>#REF!</f>
        <v>#REF!</v>
      </c>
      <c r="O253" s="573"/>
      <c r="P253" s="573"/>
      <c r="Q253" s="573"/>
      <c r="R253" s="573"/>
      <c r="S253" s="574" t="s">
        <v>453</v>
      </c>
      <c r="T253" s="572" t="e">
        <f>#REF!</f>
        <v>#REF!</v>
      </c>
      <c r="U253" s="575"/>
      <c r="V253" s="574" t="s">
        <v>454</v>
      </c>
      <c r="W253" s="576" t="e">
        <f>#REF!</f>
        <v>#REF!</v>
      </c>
      <c r="X253" s="575"/>
      <c r="Y253" s="445"/>
      <c r="Z253" s="446" t="s">
        <v>396</v>
      </c>
      <c r="AA253" s="668" t="str">
        <f>O249</f>
        <v>01-10-1993</v>
      </c>
      <c r="AB253" s="669"/>
      <c r="AC253" s="670"/>
    </row>
    <row r="254" spans="1:30" ht="12" customHeight="1" thickBot="1">
      <c r="A254" s="688"/>
      <c r="B254" s="484" t="s">
        <v>456</v>
      </c>
      <c r="C254" s="485"/>
      <c r="D254" s="486"/>
      <c r="E254" s="465">
        <f>E252-E253</f>
        <v>0</v>
      </c>
      <c r="F254" s="577">
        <f>F224</f>
        <v>1</v>
      </c>
      <c r="G254" s="578" t="e">
        <f>G224</f>
        <v>#REF!</v>
      </c>
      <c r="H254" s="578" t="e">
        <f>H224</f>
        <v>#REF!</v>
      </c>
      <c r="I254" s="579" t="e">
        <f>I224</f>
        <v>#REF!</v>
      </c>
      <c r="J254" s="580" t="str">
        <f>CONCATENATE(,P264,U251)</f>
        <v xml:space="preserve">  C.P.-</v>
      </c>
      <c r="K254" s="490"/>
      <c r="L254" s="491"/>
      <c r="M254" s="492"/>
      <c r="N254" s="492"/>
      <c r="O254" s="492"/>
      <c r="P254" s="492"/>
      <c r="Q254" s="492"/>
      <c r="R254" s="492"/>
      <c r="S254" s="492"/>
      <c r="T254" s="493"/>
      <c r="V254" s="494"/>
      <c r="W254" s="495"/>
      <c r="X254" s="496"/>
      <c r="Y254" s="497"/>
      <c r="Z254" s="4773" t="s">
        <v>457</v>
      </c>
      <c r="AA254" s="4774"/>
      <c r="AB254" s="4774"/>
      <c r="AC254" s="4775"/>
    </row>
    <row r="255" spans="1:30" ht="12" customHeight="1" thickTop="1" thickBot="1">
      <c r="A255" s="688"/>
      <c r="B255" s="4783" t="s">
        <v>460</v>
      </c>
      <c r="C255" s="4784"/>
      <c r="D255" s="4784"/>
      <c r="E255" s="4785"/>
      <c r="F255" s="498" t="s">
        <v>396</v>
      </c>
      <c r="G255" s="647" t="str">
        <f>G225</f>
        <v>CERVANTES BENITEZ * ANTONIA</v>
      </c>
      <c r="H255" s="500"/>
      <c r="I255" s="500"/>
      <c r="J255" s="501"/>
      <c r="K255" s="501"/>
      <c r="L255" s="501"/>
      <c r="M255" s="504"/>
      <c r="N255" s="4783" t="s">
        <v>461</v>
      </c>
      <c r="O255" s="4786"/>
      <c r="P255" s="4786"/>
      <c r="Q255" s="4787"/>
      <c r="R255" s="625" t="s">
        <v>7</v>
      </c>
      <c r="S255" s="499" t="str">
        <f>VLOOKUP(R255,AE1:AF16,2,1)</f>
        <v>DOCENTE</v>
      </c>
      <c r="T255" s="501"/>
      <c r="U255" s="501"/>
      <c r="V255" s="501"/>
      <c r="W255" s="501"/>
      <c r="X255" s="501"/>
      <c r="Y255" s="504"/>
      <c r="Z255" s="446" t="s">
        <v>396</v>
      </c>
      <c r="AA255" s="461" t="str">
        <f>Y249</f>
        <v>BASE</v>
      </c>
      <c r="AB255" s="448"/>
      <c r="AC255" s="505">
        <f>V249</f>
        <v>10</v>
      </c>
    </row>
    <row r="256" spans="1:30" ht="12" customHeight="1" thickTop="1" thickBot="1">
      <c r="A256" s="688"/>
      <c r="B256" s="4783" t="s">
        <v>465</v>
      </c>
      <c r="C256" s="4786"/>
      <c r="D256" s="4786"/>
      <c r="E256" s="4787"/>
      <c r="F256" s="506" t="s">
        <v>396</v>
      </c>
      <c r="G256" s="648" t="str">
        <f>G226</f>
        <v>JESUS MARTIN RICALDE CASTRO</v>
      </c>
      <c r="H256" s="501"/>
      <c r="I256" s="501"/>
      <c r="J256" s="501"/>
      <c r="K256" s="501"/>
      <c r="L256" s="501"/>
      <c r="M256" s="504"/>
      <c r="N256" s="4783" t="s">
        <v>466</v>
      </c>
      <c r="O256" s="4786"/>
      <c r="P256" s="4786"/>
      <c r="Q256" s="4787"/>
      <c r="R256" s="625">
        <v>1</v>
      </c>
      <c r="S256" s="499" t="str">
        <f>VLOOKUP(R256,AE17:AF22,2,2)</f>
        <v>BASE</v>
      </c>
      <c r="T256" s="501"/>
      <c r="U256" s="501"/>
      <c r="V256" s="501"/>
      <c r="W256" s="501"/>
      <c r="X256" s="501"/>
      <c r="Y256" s="507" t="str">
        <f>CONCATENATE(M252,M251,N252,N251,O252,O251,P252,P251)</f>
        <v/>
      </c>
      <c r="Z256" s="4773" t="s">
        <v>467</v>
      </c>
      <c r="AA256" s="4774"/>
      <c r="AB256" s="4774"/>
      <c r="AC256" s="4775"/>
    </row>
    <row r="257" spans="1:30" ht="12" customHeight="1" thickTop="1" thickBot="1">
      <c r="A257" s="688"/>
      <c r="B257" s="4788" t="s">
        <v>471</v>
      </c>
      <c r="C257" s="4789"/>
      <c r="D257" s="4789"/>
      <c r="E257" s="4790"/>
      <c r="F257" s="506" t="s">
        <v>396</v>
      </c>
      <c r="G257" s="648" t="e">
        <f>G227</f>
        <v>#REF!</v>
      </c>
      <c r="H257" s="501"/>
      <c r="I257" s="501"/>
      <c r="J257" s="501"/>
      <c r="K257" s="501"/>
      <c r="L257" s="501"/>
      <c r="M257" s="501"/>
      <c r="N257" s="4783" t="s">
        <v>472</v>
      </c>
      <c r="O257" s="4786"/>
      <c r="P257" s="4786"/>
      <c r="Q257" s="4787"/>
      <c r="R257" s="625">
        <v>4</v>
      </c>
      <c r="S257" s="499" t="str">
        <f>VLOOKUP(R257,AE25:AF34,2,2)</f>
        <v>ALTA DEFINITIVA. (Si la persona se da de alta en al escuela)</v>
      </c>
      <c r="T257" s="501"/>
      <c r="U257" s="501"/>
      <c r="V257" s="501"/>
      <c r="W257" s="501"/>
      <c r="X257" s="501"/>
      <c r="Y257" s="504"/>
      <c r="Z257" s="446" t="s">
        <v>396</v>
      </c>
      <c r="AA257" s="447" t="str">
        <f>J252</f>
        <v>RG-  SM-  MZA-  LTE-  CALLE-  COL-</v>
      </c>
      <c r="AB257" s="448"/>
      <c r="AC257" s="449"/>
      <c r="AD257" s="662" t="s">
        <v>389</v>
      </c>
    </row>
    <row r="258" spans="1:30" ht="12" customHeight="1" thickTop="1" thickBot="1">
      <c r="A258" s="688"/>
      <c r="B258" s="4788" t="s">
        <v>475</v>
      </c>
      <c r="C258" s="4789"/>
      <c r="D258" s="4789"/>
      <c r="E258" s="4790"/>
      <c r="F258" s="508"/>
      <c r="G258" s="648"/>
      <c r="H258" s="501"/>
      <c r="I258" s="501"/>
      <c r="J258" s="501"/>
      <c r="K258" s="501"/>
      <c r="L258" s="501"/>
      <c r="M258" s="501"/>
      <c r="N258" s="4783" t="s">
        <v>476</v>
      </c>
      <c r="O258" s="4786"/>
      <c r="P258" s="4786"/>
      <c r="Q258" s="4787"/>
      <c r="R258" s="625">
        <v>2</v>
      </c>
      <c r="S258" s="499" t="str">
        <f>VLOOKUP(R258,AE35:AF43,2,2)</f>
        <v>FEDERAL TRANFERIDA  (18 de mayo de 2005 )</v>
      </c>
      <c r="T258" s="501"/>
      <c r="U258" s="501"/>
      <c r="V258" s="501"/>
      <c r="W258" s="501"/>
      <c r="X258" s="501"/>
      <c r="Y258" s="504"/>
      <c r="Z258" s="4773" t="s">
        <v>477</v>
      </c>
      <c r="AA258" s="4774"/>
      <c r="AB258" s="4774"/>
      <c r="AC258" s="4775"/>
    </row>
    <row r="259" spans="1:30" ht="12" customHeight="1" thickTop="1" thickBot="1">
      <c r="A259" s="688"/>
      <c r="B259" s="4791" t="s">
        <v>479</v>
      </c>
      <c r="C259" s="4792"/>
      <c r="D259" s="4792"/>
      <c r="E259" s="4793"/>
      <c r="F259" s="625"/>
      <c r="G259" s="582">
        <f>VLOOKUP(F259,AE69:AF78,2,1)</f>
        <v>0</v>
      </c>
      <c r="H259" s="501"/>
      <c r="I259" s="501"/>
      <c r="J259" s="501"/>
      <c r="K259" s="501"/>
      <c r="L259" s="584"/>
      <c r="M259" s="619">
        <f>COUNTA(F259,F377,F497,F617)</f>
        <v>2</v>
      </c>
      <c r="N259" s="4783" t="s">
        <v>480</v>
      </c>
      <c r="O259" s="4786"/>
      <c r="P259" s="4786"/>
      <c r="Q259" s="4787"/>
      <c r="R259" s="625"/>
      <c r="S259" s="499">
        <f>VLOOKUP(R259,AE44:AF68,2,2)</f>
        <v>0</v>
      </c>
      <c r="T259" s="501"/>
      <c r="U259" s="501"/>
      <c r="V259" s="501"/>
      <c r="W259" s="501"/>
      <c r="X259" s="501"/>
      <c r="Y259" s="504"/>
      <c r="Z259" s="446" t="s">
        <v>481</v>
      </c>
      <c r="AA259" s="447" t="str">
        <f>'VISITA DE INSP.'!AQ25</f>
        <v>23DPR0710H</v>
      </c>
      <c r="AB259" s="448"/>
      <c r="AC259" s="449"/>
    </row>
    <row r="260" spans="1:30" ht="12" customHeight="1" thickTop="1" thickBot="1">
      <c r="A260" s="688"/>
      <c r="B260" s="4791" t="s">
        <v>484</v>
      </c>
      <c r="C260" s="4792"/>
      <c r="D260" s="4792"/>
      <c r="E260" s="4793"/>
      <c r="F260" s="625"/>
      <c r="G260" s="582">
        <f>VLOOKUP(F260,AE79:AF85,2,1)</f>
        <v>0</v>
      </c>
      <c r="H260" s="501"/>
      <c r="I260" s="501"/>
      <c r="J260" s="501"/>
      <c r="K260" s="501"/>
      <c r="L260" s="501"/>
      <c r="M260" s="504"/>
      <c r="N260" s="4783" t="s">
        <v>485</v>
      </c>
      <c r="O260" s="4786"/>
      <c r="P260" s="4786"/>
      <c r="Q260" s="4787"/>
      <c r="R260" s="625"/>
      <c r="S260" s="553"/>
      <c r="T260" s="511"/>
      <c r="U260" s="512"/>
      <c r="V260" s="511"/>
      <c r="W260" s="511"/>
      <c r="X260" s="511"/>
      <c r="Y260" s="513"/>
      <c r="Z260" s="4773" t="s">
        <v>486</v>
      </c>
      <c r="AA260" s="4774"/>
      <c r="AB260" s="4774"/>
      <c r="AC260" s="4775"/>
    </row>
    <row r="261" spans="1:30" ht="12" hidden="1" customHeight="1" thickTop="1" thickBot="1">
      <c r="A261" s="688"/>
      <c r="B261" s="4811" t="s">
        <v>488</v>
      </c>
      <c r="C261" s="4812"/>
      <c r="D261" s="4812"/>
      <c r="E261" s="4812"/>
      <c r="F261" s="4812"/>
      <c r="G261" s="4812"/>
      <c r="H261" s="4812"/>
      <c r="I261" s="4812"/>
      <c r="J261" s="4794" t="s">
        <v>488</v>
      </c>
      <c r="K261" s="4795"/>
      <c r="L261" s="4795"/>
      <c r="M261" s="4795"/>
      <c r="N261" s="4795"/>
      <c r="O261" s="4795"/>
      <c r="P261" s="4795"/>
      <c r="Q261" s="4796"/>
      <c r="R261" s="4811" t="s">
        <v>488</v>
      </c>
      <c r="S261" s="4812"/>
      <c r="T261" s="4812"/>
      <c r="U261" s="4812"/>
      <c r="V261" s="4812"/>
      <c r="W261" s="4812"/>
      <c r="X261" s="4812"/>
      <c r="Y261" s="4812"/>
      <c r="Z261" s="446" t="s">
        <v>489</v>
      </c>
      <c r="AA261" s="447"/>
      <c r="AB261" s="448"/>
      <c r="AC261" s="449"/>
    </row>
    <row r="262" spans="1:30" ht="12" hidden="1" customHeight="1" thickTop="1" thickBot="1">
      <c r="A262" s="688"/>
      <c r="B262" s="586"/>
      <c r="C262" s="587"/>
      <c r="D262" s="588"/>
      <c r="E262" s="4797"/>
      <c r="F262" s="4797"/>
      <c r="G262" s="589"/>
      <c r="H262" s="590"/>
      <c r="I262" s="591"/>
      <c r="J262" s="592" t="s">
        <v>491</v>
      </c>
      <c r="K262" s="515" t="s">
        <v>491</v>
      </c>
      <c r="L262" s="516" t="s">
        <v>492</v>
      </c>
      <c r="M262" s="4797"/>
      <c r="N262" s="4797"/>
      <c r="O262" s="517" t="s">
        <v>418</v>
      </c>
      <c r="P262" s="518" t="s">
        <v>493</v>
      </c>
      <c r="Q262" s="520"/>
      <c r="R262" s="593"/>
      <c r="S262" s="594"/>
      <c r="T262" s="595"/>
      <c r="U262" s="4797"/>
      <c r="V262" s="4797"/>
      <c r="W262" s="596"/>
      <c r="X262" s="594"/>
      <c r="Y262" s="597"/>
      <c r="Z262" s="4773" t="s">
        <v>494</v>
      </c>
      <c r="AA262" s="4774"/>
      <c r="AB262" s="4774"/>
      <c r="AC262" s="4775"/>
    </row>
    <row r="263" spans="1:30" ht="12" hidden="1" customHeight="1" thickTop="1">
      <c r="A263" s="688"/>
      <c r="B263" s="586"/>
      <c r="C263" s="587"/>
      <c r="D263" s="588"/>
      <c r="E263" s="4813" t="s">
        <v>621</v>
      </c>
      <c r="F263" s="4814"/>
      <c r="G263" s="590"/>
      <c r="H263" s="590"/>
      <c r="I263" s="591"/>
      <c r="J263" s="523"/>
      <c r="K263" s="522"/>
      <c r="L263" s="4798" t="s">
        <v>496</v>
      </c>
      <c r="M263" s="4799"/>
      <c r="N263" s="4799"/>
      <c r="O263" s="4800"/>
      <c r="P263" s="515"/>
      <c r="Q263" s="520"/>
      <c r="R263" s="593"/>
      <c r="S263" s="594"/>
      <c r="T263" s="598"/>
      <c r="U263" s="4815" t="s">
        <v>622</v>
      </c>
      <c r="V263" s="4816"/>
      <c r="W263" s="596"/>
      <c r="X263" s="594"/>
      <c r="Y263" s="597"/>
      <c r="Z263" s="446"/>
      <c r="AA263" s="524">
        <f>VLOOKUP(Z263,BE24:BF34,2,2)</f>
        <v>0</v>
      </c>
      <c r="AB263" s="448"/>
      <c r="AC263" s="449"/>
    </row>
    <row r="264" spans="1:30" ht="12" hidden="1" customHeight="1">
      <c r="A264" s="688"/>
      <c r="B264" s="586"/>
      <c r="C264" s="587"/>
      <c r="D264" s="588"/>
      <c r="E264" s="599"/>
      <c r="F264" s="590"/>
      <c r="G264" s="590"/>
      <c r="H264" s="590"/>
      <c r="I264" s="591"/>
      <c r="J264" s="526" t="s">
        <v>498</v>
      </c>
      <c r="K264" s="527" t="s">
        <v>499</v>
      </c>
      <c r="L264" s="527" t="s">
        <v>500</v>
      </c>
      <c r="M264" s="527" t="s">
        <v>501</v>
      </c>
      <c r="N264" s="527" t="s">
        <v>502</v>
      </c>
      <c r="O264" s="527" t="s">
        <v>503</v>
      </c>
      <c r="P264" s="527" t="s">
        <v>504</v>
      </c>
      <c r="Q264" s="600"/>
      <c r="R264" s="4752" t="str">
        <f>'VISITA DE INSP.'!D25</f>
        <v>VIVEROS SALAZAR *NORA</v>
      </c>
      <c r="S264" s="4753"/>
      <c r="T264" s="4753"/>
      <c r="U264" s="4753"/>
      <c r="V264" s="4753"/>
      <c r="W264" s="4753"/>
      <c r="X264" s="4753"/>
      <c r="Y264" s="4754"/>
      <c r="Z264" s="4801" t="s">
        <v>506</v>
      </c>
      <c r="AA264" s="4802"/>
      <c r="AB264" s="4802"/>
      <c r="AC264" s="4803"/>
    </row>
    <row r="265" spans="1:30" ht="12" hidden="1" customHeight="1">
      <c r="A265" s="688"/>
      <c r="B265" s="586"/>
      <c r="C265" s="587"/>
      <c r="D265" s="588"/>
      <c r="E265" s="599"/>
      <c r="F265" s="590"/>
      <c r="G265" s="590"/>
      <c r="H265" s="590"/>
      <c r="I265" s="591"/>
      <c r="J265" s="534"/>
      <c r="K265" s="531" t="s">
        <v>491</v>
      </c>
      <c r="L265" s="532" t="s">
        <v>491</v>
      </c>
      <c r="M265" s="533"/>
      <c r="N265" s="532"/>
      <c r="O265" s="532"/>
      <c r="P265" s="532"/>
      <c r="Q265" s="520"/>
      <c r="R265" s="593"/>
      <c r="S265" s="4758" t="str">
        <f>'VISITA DE INSP.'!AN25</f>
        <v>VISN610207QM0</v>
      </c>
      <c r="T265" s="4759"/>
      <c r="U265" s="4759"/>
      <c r="V265" s="4759"/>
      <c r="W265" s="4759"/>
      <c r="X265" s="4760"/>
      <c r="Y265" s="602"/>
      <c r="Z265" s="446"/>
      <c r="AA265" s="524">
        <f>VLOOKUP(Z265,AW24:AX39,2,2)</f>
        <v>0</v>
      </c>
      <c r="AB265" s="448"/>
      <c r="AC265" s="449"/>
    </row>
    <row r="266" spans="1:30" ht="12" hidden="1" customHeight="1">
      <c r="A266" s="688"/>
      <c r="B266" s="586"/>
      <c r="C266" s="587"/>
      <c r="D266" s="588"/>
      <c r="E266" s="599"/>
      <c r="F266" s="590"/>
      <c r="G266" s="590"/>
      <c r="H266" s="590"/>
      <c r="I266" s="591"/>
      <c r="J266" s="538"/>
      <c r="K266" s="537"/>
      <c r="L266" s="527"/>
      <c r="M266" s="527"/>
      <c r="N266" s="527"/>
      <c r="O266" s="527"/>
      <c r="P266" s="527"/>
      <c r="Q266" s="520"/>
      <c r="R266" s="593"/>
      <c r="S266" s="4758" t="str">
        <f>'VISITA DE INSP.'!AO25</f>
        <v>078312 E028100.0232459</v>
      </c>
      <c r="T266" s="4759"/>
      <c r="U266" s="4759"/>
      <c r="V266" s="4759"/>
      <c r="W266" s="4759"/>
      <c r="X266" s="4760"/>
      <c r="Y266" s="602"/>
      <c r="Z266" s="4773" t="s">
        <v>511</v>
      </c>
      <c r="AA266" s="4774"/>
      <c r="AB266" s="4774"/>
      <c r="AC266" s="4775"/>
    </row>
    <row r="267" spans="1:30" ht="12" hidden="1" customHeight="1">
      <c r="A267" s="688"/>
      <c r="B267" s="586"/>
      <c r="C267" s="587"/>
      <c r="D267" s="588"/>
      <c r="E267" s="599"/>
      <c r="F267" s="590"/>
      <c r="G267" s="590"/>
      <c r="H267" s="590"/>
      <c r="I267" s="591"/>
      <c r="J267" s="534"/>
      <c r="K267" s="537"/>
      <c r="L267" s="531"/>
      <c r="M267" s="533"/>
      <c r="N267" s="532"/>
      <c r="O267" s="532"/>
      <c r="P267" s="532"/>
      <c r="Q267" s="520"/>
      <c r="R267" s="593"/>
      <c r="S267" s="4827" t="str">
        <f>'VISITA DE INSP.'!AU25</f>
        <v>01-10-1993</v>
      </c>
      <c r="T267" s="4828"/>
      <c r="U267" s="4828"/>
      <c r="V267" s="4828"/>
      <c r="W267" s="4828"/>
      <c r="X267" s="4829"/>
      <c r="Y267" s="597"/>
      <c r="Z267" s="446"/>
      <c r="AA267" s="524">
        <f>VLOOKUP(Z267,BB24:BC34,2,2)</f>
        <v>0</v>
      </c>
      <c r="AB267" s="448"/>
      <c r="AC267" s="449"/>
    </row>
    <row r="268" spans="1:30" ht="12" hidden="1" customHeight="1">
      <c r="A268" s="688"/>
      <c r="B268" s="586"/>
      <c r="C268" s="587"/>
      <c r="D268" s="588"/>
      <c r="E268" s="599"/>
      <c r="F268" s="590"/>
      <c r="G268" s="590"/>
      <c r="H268" s="590"/>
      <c r="I268" s="591"/>
      <c r="J268" s="534"/>
      <c r="K268" s="522"/>
      <c r="L268" s="539"/>
      <c r="M268" s="540"/>
      <c r="N268" s="515"/>
      <c r="O268" s="515"/>
      <c r="P268" s="515"/>
      <c r="Q268" s="520"/>
      <c r="R268" s="593"/>
      <c r="S268" s="4758">
        <f>'VISITA DE INSP.'!AT25</f>
        <v>10</v>
      </c>
      <c r="T268" s="4759"/>
      <c r="U268" s="4759"/>
      <c r="V268" s="4759"/>
      <c r="W268" s="4759"/>
      <c r="X268" s="4760"/>
      <c r="Y268" s="597"/>
      <c r="Z268" s="4773" t="s">
        <v>520</v>
      </c>
      <c r="AA268" s="4774"/>
      <c r="AB268" s="4774"/>
      <c r="AC268" s="4775"/>
    </row>
    <row r="269" spans="1:30" ht="12" hidden="1" customHeight="1">
      <c r="A269" s="688"/>
      <c r="B269" s="586"/>
      <c r="C269" s="587"/>
      <c r="D269" s="588"/>
      <c r="E269" s="599"/>
      <c r="F269" s="590"/>
      <c r="G269" s="590"/>
      <c r="H269" s="590"/>
      <c r="I269" s="591"/>
      <c r="J269" s="534"/>
      <c r="K269" s="541"/>
      <c r="L269" s="541"/>
      <c r="M269" s="541"/>
      <c r="N269" s="541"/>
      <c r="O269" s="541"/>
      <c r="P269" s="541"/>
      <c r="Q269" s="520"/>
      <c r="R269" s="593"/>
      <c r="S269" s="4830" t="str">
        <f>'VISITA DE INSP.'!AS25</f>
        <v>7A</v>
      </c>
      <c r="T269" s="4831"/>
      <c r="U269" s="4831"/>
      <c r="V269" s="4831"/>
      <c r="W269" s="4831"/>
      <c r="X269" s="4832"/>
      <c r="Y269" s="597"/>
      <c r="Z269" s="446" t="s">
        <v>396</v>
      </c>
      <c r="AA269" s="447" t="str">
        <f>J253</f>
        <v xml:space="preserve">  COL-</v>
      </c>
      <c r="AB269" s="448"/>
      <c r="AC269" s="449"/>
    </row>
    <row r="270" spans="1:30" ht="12" hidden="1" customHeight="1">
      <c r="A270" s="688"/>
      <c r="B270" s="586"/>
      <c r="C270" s="603" t="str">
        <f>Y245</f>
        <v xml:space="preserve">       </v>
      </c>
      <c r="D270" s="604"/>
      <c r="E270" s="604"/>
      <c r="F270" s="604"/>
      <c r="G270" s="604"/>
      <c r="H270" s="605"/>
      <c r="I270" s="591"/>
      <c r="J270" s="606" t="str">
        <f>J254</f>
        <v xml:space="preserve">  C.P.-</v>
      </c>
      <c r="K270" s="603" t="str">
        <f>C270</f>
        <v xml:space="preserve">       </v>
      </c>
      <c r="L270" s="604"/>
      <c r="M270" s="604"/>
      <c r="N270" s="604"/>
      <c r="O270" s="604"/>
      <c r="P270" s="605"/>
      <c r="Q270" s="597"/>
      <c r="R270" s="593"/>
      <c r="S270" s="607" t="str">
        <f>K270</f>
        <v xml:space="preserve">       </v>
      </c>
      <c r="T270" s="608"/>
      <c r="U270" s="608"/>
      <c r="V270" s="608"/>
      <c r="W270" s="608"/>
      <c r="X270" s="609"/>
      <c r="Y270" s="597"/>
      <c r="Z270" s="4773" t="s">
        <v>529</v>
      </c>
      <c r="AA270" s="4774"/>
      <c r="AB270" s="4774"/>
      <c r="AC270" s="4775"/>
    </row>
    <row r="271" spans="1:30" ht="12" hidden="1" customHeight="1" thickBot="1">
      <c r="A271" s="688"/>
      <c r="B271" s="610"/>
      <c r="C271" s="4817" t="s">
        <v>534</v>
      </c>
      <c r="D271" s="4818"/>
      <c r="E271" s="4818"/>
      <c r="F271" s="4818"/>
      <c r="G271" s="4818"/>
      <c r="H271" s="4819"/>
      <c r="I271" s="611"/>
      <c r="J271" s="656"/>
      <c r="K271" s="4817" t="s">
        <v>534</v>
      </c>
      <c r="L271" s="4818"/>
      <c r="M271" s="4818"/>
      <c r="N271" s="4818"/>
      <c r="O271" s="4818"/>
      <c r="P271" s="4819"/>
      <c r="Q271" s="615"/>
      <c r="R271" s="614"/>
      <c r="S271" s="4817" t="s">
        <v>534</v>
      </c>
      <c r="T271" s="4818"/>
      <c r="U271" s="4818"/>
      <c r="V271" s="4818"/>
      <c r="W271" s="4818"/>
      <c r="X271" s="4819"/>
      <c r="Y271" s="671"/>
      <c r="Z271" s="446" t="s">
        <v>396</v>
      </c>
      <c r="AA271" s="447" t="str">
        <f>J254</f>
        <v xml:space="preserve">  C.P.-</v>
      </c>
      <c r="AB271" s="448"/>
      <c r="AC271" s="449"/>
    </row>
    <row r="272" spans="1:30" ht="12" customHeight="1" thickTop="1" thickBot="1">
      <c r="A272" s="688"/>
      <c r="B272" s="4783" t="s">
        <v>538</v>
      </c>
      <c r="C272" s="4784"/>
      <c r="D272" s="4784"/>
      <c r="E272" s="4784"/>
      <c r="F272" s="552"/>
      <c r="G272" s="551">
        <f>VLOOKUP(F272,BE38:BG72,2,2)</f>
        <v>0</v>
      </c>
      <c r="H272" s="511"/>
      <c r="I272" s="513"/>
      <c r="J272" s="4783" t="s">
        <v>539</v>
      </c>
      <c r="K272" s="4784"/>
      <c r="L272" s="4784"/>
      <c r="M272" s="4784"/>
      <c r="N272" s="552" t="s">
        <v>540</v>
      </c>
      <c r="O272" s="628"/>
      <c r="P272" s="629"/>
      <c r="Q272" s="630"/>
      <c r="R272" s="4783" t="s">
        <v>541</v>
      </c>
      <c r="S272" s="4784"/>
      <c r="T272" s="4784"/>
      <c r="U272" s="4785"/>
      <c r="V272" s="508" t="s">
        <v>396</v>
      </c>
      <c r="W272" s="553">
        <f>O245</f>
        <v>0</v>
      </c>
      <c r="X272" s="554">
        <f>R245</f>
        <v>0</v>
      </c>
      <c r="Y272" s="672"/>
      <c r="Z272" s="4773" t="s">
        <v>542</v>
      </c>
      <c r="AA272" s="4774"/>
      <c r="AB272" s="4774"/>
      <c r="AC272" s="4775"/>
    </row>
    <row r="273" spans="1:30" ht="12" customHeight="1" thickTop="1" thickBot="1">
      <c r="A273" s="688"/>
      <c r="B273" s="663"/>
      <c r="C273" s="664"/>
      <c r="D273" s="664"/>
      <c r="E273" s="664"/>
      <c r="F273" s="664"/>
      <c r="G273" s="664"/>
      <c r="H273" s="664"/>
      <c r="I273" s="664"/>
      <c r="J273" s="664"/>
      <c r="K273" s="664"/>
      <c r="L273" s="664"/>
      <c r="M273" s="664"/>
      <c r="N273" s="664"/>
      <c r="O273" s="664"/>
      <c r="P273" s="664"/>
      <c r="Q273" s="664"/>
      <c r="R273" s="664"/>
      <c r="S273" s="664"/>
      <c r="T273" s="664"/>
      <c r="U273" s="664"/>
      <c r="V273" s="664"/>
      <c r="W273" s="664"/>
      <c r="X273" s="664"/>
      <c r="Y273" s="664"/>
      <c r="Z273" s="558" t="s">
        <v>396</v>
      </c>
      <c r="AA273" s="559" t="e">
        <f>W253</f>
        <v>#REF!</v>
      </c>
      <c r="AB273" s="560"/>
      <c r="AC273" s="561"/>
    </row>
    <row r="274" spans="1:30" ht="12" customHeight="1" thickTop="1">
      <c r="A274" s="688"/>
      <c r="B274" s="4761" t="s">
        <v>386</v>
      </c>
      <c r="C274" s="4762"/>
      <c r="D274" s="4762"/>
      <c r="E274" s="4762"/>
      <c r="F274" s="4762"/>
      <c r="G274" s="4762"/>
      <c r="H274" s="4762"/>
      <c r="I274" s="4763"/>
      <c r="J274" s="562">
        <f>COUNTA(I279:I280)</f>
        <v>0</v>
      </c>
      <c r="K274" s="563" t="s">
        <v>387</v>
      </c>
      <c r="L274" s="564"/>
      <c r="M274" s="564"/>
      <c r="N274" s="564"/>
      <c r="O274" s="564"/>
      <c r="P274" s="564"/>
      <c r="Q274" s="564"/>
      <c r="R274" s="564"/>
      <c r="S274" s="564"/>
      <c r="T274" s="564"/>
      <c r="U274" s="564"/>
      <c r="V274" s="564"/>
      <c r="W274" s="564"/>
      <c r="X274" s="564"/>
      <c r="Y274" s="441"/>
      <c r="Z274" s="4770" t="s">
        <v>388</v>
      </c>
      <c r="AA274" s="4771"/>
      <c r="AB274" s="4771"/>
      <c r="AC274" s="4772"/>
    </row>
    <row r="275" spans="1:30" ht="12" customHeight="1">
      <c r="A275" s="688"/>
      <c r="B275" s="4764"/>
      <c r="C275" s="4765"/>
      <c r="D275" s="4765"/>
      <c r="E275" s="4765"/>
      <c r="F275" s="4765"/>
      <c r="G275" s="4765"/>
      <c r="H275" s="4765"/>
      <c r="I275" s="4766"/>
      <c r="J275" s="565" t="str">
        <f>CONCATENATE(O275,J292,R275,K292,U275,L292)</f>
        <v xml:space="preserve">       </v>
      </c>
      <c r="K275" s="699" t="s">
        <v>395</v>
      </c>
      <c r="L275" s="700"/>
      <c r="M275" s="539"/>
      <c r="N275" s="539"/>
      <c r="O275" s="701"/>
      <c r="P275" s="573"/>
      <c r="R275" s="701"/>
      <c r="S275" s="573"/>
      <c r="U275" s="701"/>
      <c r="V275" s="702"/>
      <c r="W275" s="703"/>
      <c r="X275" s="641"/>
      <c r="Y275" s="445" t="str">
        <f>CONCATENATE(U275,K292,O275,J292,R275,L292)</f>
        <v xml:space="preserve">       </v>
      </c>
      <c r="Z275" s="446" t="s">
        <v>396</v>
      </c>
      <c r="AA275" s="447" t="str">
        <f>J275</f>
        <v xml:space="preserve">       </v>
      </c>
      <c r="AB275" s="448"/>
      <c r="AC275" s="449"/>
    </row>
    <row r="276" spans="1:30" ht="12" customHeight="1" thickBot="1">
      <c r="A276" s="688"/>
      <c r="B276" s="4767"/>
      <c r="C276" s="4768"/>
      <c r="D276" s="4768"/>
      <c r="E276" s="4768"/>
      <c r="F276" s="4768"/>
      <c r="G276" s="4768"/>
      <c r="H276" s="4768"/>
      <c r="I276" s="4769"/>
      <c r="J276" s="565"/>
      <c r="K276" s="539" t="str">
        <f>'VISITA DE INSP.'!D26</f>
        <v>XIU VELAZQUEZ * JOSE MANUEL</v>
      </c>
      <c r="L276" s="539"/>
      <c r="M276" s="539"/>
      <c r="N276" s="539"/>
      <c r="P276" s="704"/>
      <c r="Q276" s="705"/>
      <c r="S276" s="704"/>
      <c r="T276" s="705"/>
      <c r="U276" s="706"/>
      <c r="V276" s="706"/>
      <c r="W276" s="706"/>
      <c r="X276" s="706"/>
      <c r="Y276" s="450" t="str">
        <f>CONCATENATE(V277,L292,W277)</f>
        <v>11007831200.0   078312 E028100.0040223</v>
      </c>
      <c r="Z276" s="4773" t="s">
        <v>400</v>
      </c>
      <c r="AA276" s="4774"/>
      <c r="AB276" s="4774"/>
      <c r="AC276" s="4775"/>
    </row>
    <row r="277" spans="1:30" ht="12" customHeight="1" thickTop="1">
      <c r="A277" s="688"/>
      <c r="B277" s="452">
        <v>1</v>
      </c>
      <c r="C277" s="453" t="s">
        <v>406</v>
      </c>
      <c r="D277" s="454" t="s">
        <v>407</v>
      </c>
      <c r="E277" s="455" t="s">
        <v>408</v>
      </c>
      <c r="F277" s="456" t="s">
        <v>409</v>
      </c>
      <c r="G277" s="457" t="e">
        <f>G247</f>
        <v>#REF!</v>
      </c>
      <c r="H277" s="458"/>
      <c r="I277" s="459"/>
      <c r="J277" s="565" t="str">
        <f>CONCATENATE(N277,K292,O277)</f>
        <v>XIVM780420  J4</v>
      </c>
      <c r="K277" s="699" t="s">
        <v>410</v>
      </c>
      <c r="L277" s="700"/>
      <c r="M277" s="707"/>
      <c r="N277" s="708" t="str">
        <f>MID('VISITA DE INSP.'!AN26,1,10)</f>
        <v>XIVM780420</v>
      </c>
      <c r="O277" s="701" t="str">
        <f>MID('VISITA DE INSP.'!AN26,12,15)</f>
        <v>J4</v>
      </c>
      <c r="P277" s="641"/>
      <c r="Q277" s="700"/>
      <c r="R277" s="709"/>
      <c r="T277" s="710" t="s">
        <v>411</v>
      </c>
      <c r="U277" s="641"/>
      <c r="V277" s="711" t="s">
        <v>179</v>
      </c>
      <c r="W277" s="712" t="str">
        <f>'VISITA DE INSP.'!AO26</f>
        <v>078312 E028100.0040223</v>
      </c>
      <c r="X277" s="713"/>
      <c r="Y277" s="460" t="str">
        <f>CONCATENATE(V277,K292,W277)</f>
        <v>11007831200.0  078312 E028100.0040223</v>
      </c>
      <c r="Z277" s="446" t="s">
        <v>396</v>
      </c>
      <c r="AA277" s="447" t="str">
        <f>Y275</f>
        <v xml:space="preserve">       </v>
      </c>
      <c r="AB277" s="448"/>
      <c r="AC277" s="449"/>
    </row>
    <row r="278" spans="1:30" ht="12" customHeight="1">
      <c r="A278" s="688"/>
      <c r="B278" s="462" t="s">
        <v>416</v>
      </c>
      <c r="C278" s="463"/>
      <c r="D278" s="464"/>
      <c r="E278" s="465">
        <f t="shared" ref="E278:E283" si="17">C278+D278</f>
        <v>0</v>
      </c>
      <c r="F278" s="466" t="s">
        <v>417</v>
      </c>
      <c r="G278" s="467" t="e">
        <f>G248</f>
        <v>#REF!</v>
      </c>
      <c r="H278" s="468" t="e">
        <f>H248</f>
        <v>#REF!</v>
      </c>
      <c r="I278" s="469"/>
      <c r="J278" s="565"/>
      <c r="K278" s="714"/>
      <c r="L278" s="715"/>
      <c r="M278" s="716"/>
      <c r="O278" s="716"/>
      <c r="P278" s="716"/>
      <c r="Q278" s="717" t="s">
        <v>418</v>
      </c>
      <c r="R278" s="714"/>
      <c r="S278" s="540"/>
      <c r="T278" s="540"/>
      <c r="U278" s="716"/>
      <c r="V278" s="716"/>
      <c r="W278" s="716"/>
      <c r="X278" s="718"/>
      <c r="Y278" s="450" t="str">
        <f>MID(W277,1,5)</f>
        <v>07831</v>
      </c>
      <c r="Z278" s="4773" t="s">
        <v>419</v>
      </c>
      <c r="AA278" s="4774"/>
      <c r="AB278" s="4774"/>
      <c r="AC278" s="4775"/>
    </row>
    <row r="279" spans="1:30" ht="12" customHeight="1">
      <c r="A279" s="688"/>
      <c r="B279" s="470" t="s">
        <v>423</v>
      </c>
      <c r="C279" s="463"/>
      <c r="D279" s="464"/>
      <c r="E279" s="465">
        <f t="shared" si="17"/>
        <v>0</v>
      </c>
      <c r="F279" s="692" t="s">
        <v>3</v>
      </c>
      <c r="G279" s="463" t="str">
        <f>'VISITA DE INSP.'!B26</f>
        <v>5º</v>
      </c>
      <c r="H279" s="471" t="s">
        <v>406</v>
      </c>
      <c r="I279" s="480"/>
      <c r="J279" s="568">
        <f>COUNTA(I279,I309,I339,I369,I399,I429,I459,I489,I519,I549)</f>
        <v>1</v>
      </c>
      <c r="K279" s="522" t="s">
        <v>424</v>
      </c>
      <c r="L279" s="539"/>
      <c r="M279" s="539"/>
      <c r="N279" s="539"/>
      <c r="O279" s="712" t="str">
        <f>'VISITA DE INSP.'!AU26</f>
        <v>01-10-2004</v>
      </c>
      <c r="P279" s="719"/>
      <c r="Q279" s="720"/>
      <c r="R279" s="714"/>
      <c r="S279" s="714"/>
      <c r="T279" s="714"/>
      <c r="U279" s="574" t="s">
        <v>425</v>
      </c>
      <c r="V279" s="721">
        <f>'VISITA DE INSP.'!AT26</f>
        <v>10</v>
      </c>
      <c r="W279" s="722" t="str">
        <f>Y279</f>
        <v>BASE</v>
      </c>
      <c r="X279" s="723"/>
      <c r="Y279" s="473" t="str">
        <f>VLOOKUP(V279,AH2:AI14,2)</f>
        <v>BASE</v>
      </c>
      <c r="Z279" s="446" t="s">
        <v>396</v>
      </c>
      <c r="AA279" s="447" t="str">
        <f>J277</f>
        <v>XIVM780420  J4</v>
      </c>
      <c r="AB279" s="448"/>
      <c r="AC279" s="449"/>
    </row>
    <row r="280" spans="1:30" ht="12" customHeight="1">
      <c r="A280" s="688"/>
      <c r="B280" s="470" t="s">
        <v>408</v>
      </c>
      <c r="C280" s="463"/>
      <c r="D280" s="464"/>
      <c r="E280" s="465">
        <f t="shared" si="17"/>
        <v>0</v>
      </c>
      <c r="F280" s="692" t="s">
        <v>4</v>
      </c>
      <c r="G280" s="463" t="str">
        <f>'VISITA DE INSP.'!C26</f>
        <v>A</v>
      </c>
      <c r="H280" s="475" t="s">
        <v>407</v>
      </c>
      <c r="I280" s="623"/>
      <c r="J280" s="568">
        <f>COUNTA(I280,I310,I340,I370,I400,I430,I460,I490,I520,I550)</f>
        <v>0</v>
      </c>
      <c r="K280" s="717"/>
      <c r="L280" s="717"/>
      <c r="M280" s="539"/>
      <c r="N280" s="714"/>
      <c r="O280" s="716"/>
      <c r="P280" s="716"/>
      <c r="Q280" s="716"/>
      <c r="R280" s="539"/>
      <c r="S280" s="539"/>
      <c r="T280" s="714"/>
      <c r="U280" s="714"/>
      <c r="V280" s="724"/>
      <c r="W280" s="724"/>
      <c r="X280" s="716"/>
      <c r="Y280" s="476"/>
      <c r="Z280" s="4773" t="s">
        <v>429</v>
      </c>
      <c r="AA280" s="4774"/>
      <c r="AB280" s="4774"/>
      <c r="AC280" s="4775"/>
    </row>
    <row r="281" spans="1:30" ht="12" customHeight="1">
      <c r="A281" s="688"/>
      <c r="B281" s="470" t="s">
        <v>434</v>
      </c>
      <c r="C281" s="463"/>
      <c r="D281" s="464"/>
      <c r="E281" s="465">
        <f t="shared" si="17"/>
        <v>0</v>
      </c>
      <c r="F281" s="4776" t="s">
        <v>435</v>
      </c>
      <c r="G281" s="4777"/>
      <c r="H281" s="4777" t="s">
        <v>436</v>
      </c>
      <c r="I281" s="4778"/>
      <c r="J281" s="568">
        <f>SUM(J279,J280)</f>
        <v>1</v>
      </c>
      <c r="K281" s="522" t="s">
        <v>437</v>
      </c>
      <c r="L281" s="539"/>
      <c r="M281" s="725"/>
      <c r="N281" s="725"/>
      <c r="O281" s="725"/>
      <c r="P281" s="725"/>
      <c r="Q281" s="725"/>
      <c r="R281" s="726"/>
      <c r="S281" s="725"/>
      <c r="T281" s="727"/>
      <c r="U281" s="725"/>
      <c r="V281" s="574" t="s">
        <v>438</v>
      </c>
      <c r="W281" s="728"/>
      <c r="X281" s="723"/>
      <c r="Y281" s="445" t="str">
        <f>CONCATENATE(O294,S281)</f>
        <v xml:space="preserve">  COL-</v>
      </c>
      <c r="Z281" s="446" t="s">
        <v>396</v>
      </c>
      <c r="AA281" s="447" t="str">
        <f>Y277</f>
        <v>11007831200.0  078312 E028100.0040223</v>
      </c>
      <c r="AB281" s="448"/>
      <c r="AC281" s="449"/>
      <c r="AD281" s="662" t="s">
        <v>79</v>
      </c>
    </row>
    <row r="282" spans="1:30" ht="12" customHeight="1">
      <c r="A282" s="688"/>
      <c r="B282" s="470" t="s">
        <v>443</v>
      </c>
      <c r="C282" s="463"/>
      <c r="D282" s="464"/>
      <c r="E282" s="465">
        <f t="shared" si="17"/>
        <v>0</v>
      </c>
      <c r="F282" s="478" t="s">
        <v>444</v>
      </c>
      <c r="G282" s="624">
        <v>10</v>
      </c>
      <c r="H282" s="479" t="e">
        <f>H252</f>
        <v>#REF!</v>
      </c>
      <c r="I282" s="480" t="e">
        <f>H282+1</f>
        <v>#REF!</v>
      </c>
      <c r="J282" s="569" t="str">
        <f>CONCATENATE(J294,M281,K294,N281,L294,O281,M294,P281,N294,Q281,O294,S281)</f>
        <v>RG-  SM-  MZA-  LTE-  CALLE-  COL-</v>
      </c>
      <c r="K282" s="729"/>
      <c r="L282" s="539"/>
      <c r="M282" s="492"/>
      <c r="N282" s="492"/>
      <c r="O282" s="492"/>
      <c r="P282" s="492"/>
      <c r="Q282" s="492"/>
      <c r="R282" s="730"/>
      <c r="S282" s="731" t="s">
        <v>503</v>
      </c>
      <c r="T282" s="731"/>
      <c r="U282" s="731" t="s">
        <v>504</v>
      </c>
      <c r="V282" s="533"/>
      <c r="W282" s="732"/>
      <c r="X282" s="733"/>
      <c r="Y282" s="450" t="str">
        <f>CONCATENATE(K292,P294,U281)</f>
        <v xml:space="preserve">    C.P.-</v>
      </c>
      <c r="Z282" s="4779" t="s">
        <v>445</v>
      </c>
      <c r="AA282" s="4780"/>
      <c r="AB282" s="4780"/>
      <c r="AC282" s="4781"/>
    </row>
    <row r="283" spans="1:30" ht="12" customHeight="1">
      <c r="A283" s="688"/>
      <c r="B283" s="470" t="s">
        <v>450</v>
      </c>
      <c r="C283" s="463"/>
      <c r="D283" s="464"/>
      <c r="E283" s="465">
        <f t="shared" si="17"/>
        <v>0</v>
      </c>
      <c r="F283" s="692" t="s">
        <v>373</v>
      </c>
      <c r="G283" s="4782" t="s">
        <v>451</v>
      </c>
      <c r="H283" s="4777"/>
      <c r="I283" s="4778"/>
      <c r="J283" s="565" t="str">
        <f>CONCATENATE(O294,S281)</f>
        <v xml:space="preserve">  COL-</v>
      </c>
      <c r="K283" s="522" t="s">
        <v>452</v>
      </c>
      <c r="L283" s="539"/>
      <c r="M283" s="539"/>
      <c r="N283" s="572" t="e">
        <f>#REF!</f>
        <v>#REF!</v>
      </c>
      <c r="O283" s="573"/>
      <c r="P283" s="573"/>
      <c r="Q283" s="573"/>
      <c r="R283" s="573"/>
      <c r="S283" s="574" t="s">
        <v>453</v>
      </c>
      <c r="T283" s="572" t="e">
        <f>#REF!</f>
        <v>#REF!</v>
      </c>
      <c r="U283" s="575"/>
      <c r="V283" s="574" t="s">
        <v>454</v>
      </c>
      <c r="W283" s="576" t="e">
        <f>#REF!</f>
        <v>#REF!</v>
      </c>
      <c r="X283" s="575"/>
      <c r="Y283" s="445"/>
      <c r="Z283" s="446" t="s">
        <v>396</v>
      </c>
      <c r="AA283" s="482" t="str">
        <f>O279</f>
        <v>01-10-2004</v>
      </c>
      <c r="AB283" s="673"/>
      <c r="AC283" s="483"/>
    </row>
    <row r="284" spans="1:30" ht="12" customHeight="1" thickBot="1">
      <c r="A284" s="688"/>
      <c r="B284" s="484" t="s">
        <v>456</v>
      </c>
      <c r="C284" s="485"/>
      <c r="D284" s="486"/>
      <c r="E284" s="465">
        <f>E282-E283</f>
        <v>0</v>
      </c>
      <c r="F284" s="577">
        <f>F254</f>
        <v>1</v>
      </c>
      <c r="G284" s="578" t="e">
        <f>G254</f>
        <v>#REF!</v>
      </c>
      <c r="H284" s="578" t="e">
        <f>H254</f>
        <v>#REF!</v>
      </c>
      <c r="I284" s="579" t="e">
        <f>I254</f>
        <v>#REF!</v>
      </c>
      <c r="J284" s="580" t="str">
        <f>CONCATENATE(,P294,U281)</f>
        <v xml:space="preserve">  C.P.-</v>
      </c>
      <c r="K284" s="490"/>
      <c r="L284" s="491"/>
      <c r="M284" s="492"/>
      <c r="N284" s="492"/>
      <c r="O284" s="492"/>
      <c r="P284" s="492"/>
      <c r="Q284" s="492"/>
      <c r="R284" s="492"/>
      <c r="S284" s="492"/>
      <c r="T284" s="493"/>
      <c r="V284" s="494"/>
      <c r="W284" s="495"/>
      <c r="X284" s="496"/>
      <c r="Y284" s="497"/>
      <c r="Z284" s="4773" t="s">
        <v>457</v>
      </c>
      <c r="AA284" s="4774"/>
      <c r="AB284" s="4774"/>
      <c r="AC284" s="4775"/>
    </row>
    <row r="285" spans="1:30" ht="12" customHeight="1" thickTop="1" thickBot="1">
      <c r="A285" s="688"/>
      <c r="B285" s="4783" t="s">
        <v>460</v>
      </c>
      <c r="C285" s="4784"/>
      <c r="D285" s="4784"/>
      <c r="E285" s="4785"/>
      <c r="F285" s="498" t="s">
        <v>396</v>
      </c>
      <c r="G285" s="647" t="str">
        <f>G255</f>
        <v>CERVANTES BENITEZ * ANTONIA</v>
      </c>
      <c r="H285" s="500"/>
      <c r="I285" s="500"/>
      <c r="J285" s="501"/>
      <c r="K285" s="501"/>
      <c r="L285" s="501"/>
      <c r="M285" s="504"/>
      <c r="N285" s="4783" t="s">
        <v>461</v>
      </c>
      <c r="O285" s="4786"/>
      <c r="P285" s="4786"/>
      <c r="Q285" s="4787"/>
      <c r="R285" s="625" t="s">
        <v>7</v>
      </c>
      <c r="S285" s="499" t="str">
        <f>VLOOKUP(R285,AE1:AF16,2,1)</f>
        <v>DOCENTE</v>
      </c>
      <c r="T285" s="501"/>
      <c r="U285" s="501"/>
      <c r="V285" s="501"/>
      <c r="W285" s="501"/>
      <c r="X285" s="501"/>
      <c r="Y285" s="504"/>
      <c r="Z285" s="446" t="s">
        <v>396</v>
      </c>
      <c r="AA285" s="461" t="str">
        <f>Y279</f>
        <v>BASE</v>
      </c>
      <c r="AB285" s="448"/>
      <c r="AC285" s="505">
        <f>V279</f>
        <v>10</v>
      </c>
    </row>
    <row r="286" spans="1:30" ht="12" customHeight="1" thickTop="1" thickBot="1">
      <c r="A286" s="688"/>
      <c r="B286" s="4783" t="s">
        <v>465</v>
      </c>
      <c r="C286" s="4786"/>
      <c r="D286" s="4786"/>
      <c r="E286" s="4787"/>
      <c r="F286" s="506" t="s">
        <v>396</v>
      </c>
      <c r="G286" s="648" t="str">
        <f>G256</f>
        <v>JESUS MARTIN RICALDE CASTRO</v>
      </c>
      <c r="H286" s="501"/>
      <c r="I286" s="501"/>
      <c r="J286" s="501"/>
      <c r="K286" s="501"/>
      <c r="L286" s="501"/>
      <c r="M286" s="504"/>
      <c r="N286" s="4783" t="s">
        <v>466</v>
      </c>
      <c r="O286" s="4786"/>
      <c r="P286" s="4786"/>
      <c r="Q286" s="4787"/>
      <c r="R286" s="625">
        <v>1</v>
      </c>
      <c r="S286" s="499" t="str">
        <f>VLOOKUP(R286,AE17:AF22,2,2)</f>
        <v>BASE</v>
      </c>
      <c r="T286" s="501"/>
      <c r="U286" s="501"/>
      <c r="V286" s="501"/>
      <c r="W286" s="501"/>
      <c r="X286" s="501"/>
      <c r="Y286" s="507" t="str">
        <f>CONCATENATE(M282,M281,N282,N281,O282,O281,P282,P281)</f>
        <v/>
      </c>
      <c r="Z286" s="4773" t="s">
        <v>467</v>
      </c>
      <c r="AA286" s="4774"/>
      <c r="AB286" s="4774"/>
      <c r="AC286" s="4775"/>
    </row>
    <row r="287" spans="1:30" ht="12" customHeight="1" thickTop="1" thickBot="1">
      <c r="A287" s="688"/>
      <c r="B287" s="4788" t="s">
        <v>471</v>
      </c>
      <c r="C287" s="4789"/>
      <c r="D287" s="4789"/>
      <c r="E287" s="4790"/>
      <c r="F287" s="506" t="s">
        <v>396</v>
      </c>
      <c r="G287" s="648" t="e">
        <f>G257</f>
        <v>#REF!</v>
      </c>
      <c r="H287" s="501"/>
      <c r="I287" s="501"/>
      <c r="J287" s="501"/>
      <c r="K287" s="501"/>
      <c r="L287" s="501"/>
      <c r="M287" s="501"/>
      <c r="N287" s="4783" t="s">
        <v>472</v>
      </c>
      <c r="O287" s="4786"/>
      <c r="P287" s="4786"/>
      <c r="Q287" s="4787"/>
      <c r="R287" s="625">
        <v>4</v>
      </c>
      <c r="S287" s="499" t="str">
        <f>VLOOKUP(R287,AE25:AF34,2,2)</f>
        <v>ALTA DEFINITIVA. (Si la persona se da de alta en al escuela)</v>
      </c>
      <c r="T287" s="501"/>
      <c r="U287" s="501"/>
      <c r="V287" s="501"/>
      <c r="W287" s="501"/>
      <c r="X287" s="501"/>
      <c r="Y287" s="504"/>
      <c r="Z287" s="446" t="s">
        <v>396</v>
      </c>
      <c r="AA287" s="447" t="str">
        <f>J282</f>
        <v>RG-  SM-  MZA-  LTE-  CALLE-  COL-</v>
      </c>
      <c r="AB287" s="448"/>
      <c r="AC287" s="449"/>
      <c r="AD287" s="662" t="s">
        <v>389</v>
      </c>
    </row>
    <row r="288" spans="1:30" ht="12" customHeight="1" thickTop="1" thickBot="1">
      <c r="A288" s="688"/>
      <c r="B288" s="4788" t="s">
        <v>475</v>
      </c>
      <c r="C288" s="4789"/>
      <c r="D288" s="4789"/>
      <c r="E288" s="4790"/>
      <c r="F288" s="508"/>
      <c r="G288" s="648"/>
      <c r="H288" s="501"/>
      <c r="I288" s="501"/>
      <c r="J288" s="501"/>
      <c r="K288" s="501"/>
      <c r="L288" s="501"/>
      <c r="M288" s="501"/>
      <c r="N288" s="4783" t="s">
        <v>476</v>
      </c>
      <c r="O288" s="4786"/>
      <c r="P288" s="4786"/>
      <c r="Q288" s="4787"/>
      <c r="R288" s="625">
        <v>2</v>
      </c>
      <c r="S288" s="499" t="str">
        <f>VLOOKUP(R288,AE35:AF43,2,2)</f>
        <v>FEDERAL TRANFERIDA  (18 de mayo de 2005 )</v>
      </c>
      <c r="T288" s="501"/>
      <c r="U288" s="501"/>
      <c r="V288" s="501"/>
      <c r="W288" s="501"/>
      <c r="X288" s="501"/>
      <c r="Y288" s="504"/>
      <c r="Z288" s="4773" t="s">
        <v>477</v>
      </c>
      <c r="AA288" s="4774"/>
      <c r="AB288" s="4774"/>
      <c r="AC288" s="4775"/>
    </row>
    <row r="289" spans="1:29" ht="12" customHeight="1" thickTop="1" thickBot="1">
      <c r="A289" s="688"/>
      <c r="B289" s="4791" t="s">
        <v>479</v>
      </c>
      <c r="C289" s="4792"/>
      <c r="D289" s="4792"/>
      <c r="E289" s="4793"/>
      <c r="F289" s="625"/>
      <c r="G289" s="582">
        <f>VLOOKUP(F289,AE69:AF78,2,1)</f>
        <v>0</v>
      </c>
      <c r="H289" s="501"/>
      <c r="I289" s="501"/>
      <c r="J289" s="501"/>
      <c r="K289" s="501"/>
      <c r="L289" s="584"/>
      <c r="M289" s="585">
        <f>COUNTA(F289,F407,F527,F647)</f>
        <v>2</v>
      </c>
      <c r="N289" s="4783" t="s">
        <v>480</v>
      </c>
      <c r="O289" s="4786"/>
      <c r="P289" s="4786"/>
      <c r="Q289" s="4787"/>
      <c r="R289" s="625"/>
      <c r="S289" s="499">
        <f>VLOOKUP(R289,AE44:AF68,2,2)</f>
        <v>0</v>
      </c>
      <c r="T289" s="501"/>
      <c r="U289" s="501"/>
      <c r="V289" s="501"/>
      <c r="W289" s="501"/>
      <c r="X289" s="501"/>
      <c r="Y289" s="504"/>
      <c r="Z289" s="446" t="s">
        <v>481</v>
      </c>
      <c r="AA289" s="447">
        <f>'VISITA DE INSP.'!AQ26</f>
        <v>0</v>
      </c>
      <c r="AB289" s="448"/>
      <c r="AC289" s="449"/>
    </row>
    <row r="290" spans="1:29" ht="12" customHeight="1" thickTop="1" thickBot="1">
      <c r="A290" s="688"/>
      <c r="B290" s="4791" t="s">
        <v>484</v>
      </c>
      <c r="C290" s="4792"/>
      <c r="D290" s="4792"/>
      <c r="E290" s="4793"/>
      <c r="F290" s="625"/>
      <c r="G290" s="582">
        <f>VLOOKUP(F290,AE79:AF85,2,1)</f>
        <v>0</v>
      </c>
      <c r="H290" s="501"/>
      <c r="I290" s="501"/>
      <c r="J290" s="501"/>
      <c r="K290" s="501"/>
      <c r="L290" s="501"/>
      <c r="M290" s="504"/>
      <c r="N290" s="4783" t="s">
        <v>485</v>
      </c>
      <c r="O290" s="4786"/>
      <c r="P290" s="4786"/>
      <c r="Q290" s="4787"/>
      <c r="R290" s="625"/>
      <c r="S290" s="553"/>
      <c r="T290" s="511"/>
      <c r="U290" s="512"/>
      <c r="V290" s="511"/>
      <c r="W290" s="511"/>
      <c r="X290" s="511"/>
      <c r="Y290" s="513"/>
      <c r="Z290" s="4773" t="s">
        <v>486</v>
      </c>
      <c r="AA290" s="4774"/>
      <c r="AB290" s="4774"/>
      <c r="AC290" s="4775"/>
    </row>
    <row r="291" spans="1:29" ht="12" hidden="1" customHeight="1" thickTop="1" thickBot="1">
      <c r="A291" s="688"/>
      <c r="B291" s="4811" t="s">
        <v>488</v>
      </c>
      <c r="C291" s="4812"/>
      <c r="D291" s="4812"/>
      <c r="E291" s="4812"/>
      <c r="F291" s="4812"/>
      <c r="G291" s="4812"/>
      <c r="H291" s="4812"/>
      <c r="I291" s="4812"/>
      <c r="J291" s="4794" t="s">
        <v>488</v>
      </c>
      <c r="K291" s="4795"/>
      <c r="L291" s="4795"/>
      <c r="M291" s="4795"/>
      <c r="N291" s="4795"/>
      <c r="O291" s="4795"/>
      <c r="P291" s="4795"/>
      <c r="Q291" s="4796"/>
      <c r="R291" s="4811" t="s">
        <v>488</v>
      </c>
      <c r="S291" s="4812"/>
      <c r="T291" s="4812"/>
      <c r="U291" s="4812"/>
      <c r="V291" s="4812"/>
      <c r="W291" s="4812"/>
      <c r="X291" s="4812"/>
      <c r="Y291" s="4812"/>
      <c r="Z291" s="446" t="s">
        <v>489</v>
      </c>
      <c r="AA291" s="447"/>
      <c r="AB291" s="448"/>
      <c r="AC291" s="449"/>
    </row>
    <row r="292" spans="1:29" ht="12" hidden="1" customHeight="1" thickTop="1" thickBot="1">
      <c r="A292" s="688"/>
      <c r="B292" s="586"/>
      <c r="C292" s="587"/>
      <c r="D292" s="588"/>
      <c r="E292" s="4797"/>
      <c r="F292" s="4797"/>
      <c r="G292" s="589"/>
      <c r="H292" s="590"/>
      <c r="I292" s="591"/>
      <c r="J292" s="592" t="s">
        <v>491</v>
      </c>
      <c r="K292" s="515" t="s">
        <v>491</v>
      </c>
      <c r="L292" s="516" t="s">
        <v>492</v>
      </c>
      <c r="M292" s="4797"/>
      <c r="N292" s="4797"/>
      <c r="O292" s="517" t="s">
        <v>418</v>
      </c>
      <c r="P292" s="518" t="s">
        <v>493</v>
      </c>
      <c r="Q292" s="520"/>
      <c r="R292" s="593"/>
      <c r="S292" s="594"/>
      <c r="T292" s="595"/>
      <c r="U292" s="4797"/>
      <c r="V292" s="4797"/>
      <c r="W292" s="596"/>
      <c r="X292" s="594"/>
      <c r="Y292" s="597"/>
      <c r="Z292" s="4773" t="s">
        <v>494</v>
      </c>
      <c r="AA292" s="4774"/>
      <c r="AB292" s="4774"/>
      <c r="AC292" s="4775"/>
    </row>
    <row r="293" spans="1:29" ht="12" hidden="1" customHeight="1" thickTop="1">
      <c r="A293" s="688"/>
      <c r="B293" s="586"/>
      <c r="C293" s="587"/>
      <c r="D293" s="588"/>
      <c r="E293" s="4813" t="s">
        <v>621</v>
      </c>
      <c r="F293" s="4814"/>
      <c r="G293" s="590"/>
      <c r="H293" s="590"/>
      <c r="I293" s="591"/>
      <c r="J293" s="523"/>
      <c r="K293" s="522"/>
      <c r="L293" s="4798" t="s">
        <v>496</v>
      </c>
      <c r="M293" s="4799"/>
      <c r="N293" s="4799"/>
      <c r="O293" s="4800"/>
      <c r="P293" s="515"/>
      <c r="Q293" s="520"/>
      <c r="R293" s="593"/>
      <c r="S293" s="594"/>
      <c r="T293" s="598"/>
      <c r="U293" s="4815" t="s">
        <v>622</v>
      </c>
      <c r="V293" s="4816"/>
      <c r="W293" s="596"/>
      <c r="X293" s="594"/>
      <c r="Y293" s="597"/>
      <c r="Z293" s="446"/>
      <c r="AA293" s="524">
        <f>VLOOKUP(Z293,BE24:BF34,2,2)</f>
        <v>0</v>
      </c>
      <c r="AB293" s="448"/>
      <c r="AC293" s="449"/>
    </row>
    <row r="294" spans="1:29" ht="12" hidden="1" customHeight="1">
      <c r="A294" s="688"/>
      <c r="B294" s="586"/>
      <c r="C294" s="587"/>
      <c r="D294" s="588"/>
      <c r="E294" s="599"/>
      <c r="F294" s="590"/>
      <c r="G294" s="590"/>
      <c r="H294" s="590"/>
      <c r="I294" s="591"/>
      <c r="J294" s="526" t="s">
        <v>498</v>
      </c>
      <c r="K294" s="527" t="s">
        <v>499</v>
      </c>
      <c r="L294" s="527" t="s">
        <v>500</v>
      </c>
      <c r="M294" s="527" t="s">
        <v>501</v>
      </c>
      <c r="N294" s="527" t="s">
        <v>502</v>
      </c>
      <c r="O294" s="527" t="s">
        <v>503</v>
      </c>
      <c r="P294" s="527" t="s">
        <v>504</v>
      </c>
      <c r="Q294" s="600"/>
      <c r="R294" s="4752" t="str">
        <f>'VISITA DE INSP.'!D26</f>
        <v>XIU VELAZQUEZ * JOSE MANUEL</v>
      </c>
      <c r="S294" s="4753"/>
      <c r="T294" s="4753"/>
      <c r="U294" s="4753"/>
      <c r="V294" s="4753"/>
      <c r="W294" s="4753"/>
      <c r="X294" s="4753"/>
      <c r="Y294" s="4754"/>
      <c r="Z294" s="4801" t="s">
        <v>506</v>
      </c>
      <c r="AA294" s="4802"/>
      <c r="AB294" s="4802"/>
      <c r="AC294" s="4803"/>
    </row>
    <row r="295" spans="1:29" ht="12" hidden="1" customHeight="1">
      <c r="A295" s="688"/>
      <c r="B295" s="586"/>
      <c r="C295" s="587"/>
      <c r="D295" s="588"/>
      <c r="E295" s="599"/>
      <c r="F295" s="590"/>
      <c r="G295" s="590"/>
      <c r="H295" s="590"/>
      <c r="I295" s="591"/>
      <c r="J295" s="534"/>
      <c r="K295" s="531" t="s">
        <v>491</v>
      </c>
      <c r="L295" s="532" t="s">
        <v>491</v>
      </c>
      <c r="M295" s="533"/>
      <c r="N295" s="532"/>
      <c r="O295" s="532"/>
      <c r="P295" s="532"/>
      <c r="Q295" s="520"/>
      <c r="R295" s="682"/>
      <c r="S295" s="4758" t="str">
        <f>'VISITA DE INSP.'!AN26</f>
        <v>XIVM780420LJ4</v>
      </c>
      <c r="T295" s="4759"/>
      <c r="U295" s="4759"/>
      <c r="V295" s="4759"/>
      <c r="W295" s="4759"/>
      <c r="X295" s="4760"/>
      <c r="Y295" s="683"/>
      <c r="Z295" s="446"/>
      <c r="AA295" s="524">
        <f>VLOOKUP(Z295,AW24:AX39,2,2)</f>
        <v>0</v>
      </c>
      <c r="AB295" s="448"/>
      <c r="AC295" s="449"/>
    </row>
    <row r="296" spans="1:29" ht="12" hidden="1" customHeight="1">
      <c r="A296" s="688"/>
      <c r="B296" s="586"/>
      <c r="C296" s="587"/>
      <c r="D296" s="588"/>
      <c r="E296" s="599"/>
      <c r="F296" s="590"/>
      <c r="G296" s="590"/>
      <c r="H296" s="590"/>
      <c r="I296" s="591"/>
      <c r="J296" s="538"/>
      <c r="K296" s="537"/>
      <c r="L296" s="527"/>
      <c r="M296" s="527"/>
      <c r="N296" s="527"/>
      <c r="O296" s="527"/>
      <c r="P296" s="527"/>
      <c r="Q296" s="520"/>
      <c r="R296" s="682"/>
      <c r="S296" s="4758" t="str">
        <f>'VISITA DE INSP.'!AO26</f>
        <v>078312 E028100.0040223</v>
      </c>
      <c r="T296" s="4759"/>
      <c r="U296" s="4759"/>
      <c r="V296" s="4759"/>
      <c r="W296" s="4759"/>
      <c r="X296" s="4760"/>
      <c r="Y296" s="683"/>
      <c r="Z296" s="4773" t="s">
        <v>511</v>
      </c>
      <c r="AA296" s="4774"/>
      <c r="AB296" s="4774"/>
      <c r="AC296" s="4775"/>
    </row>
    <row r="297" spans="1:29" ht="12" hidden="1" customHeight="1">
      <c r="A297" s="688"/>
      <c r="B297" s="586"/>
      <c r="C297" s="587"/>
      <c r="D297" s="588"/>
      <c r="E297" s="599"/>
      <c r="F297" s="590"/>
      <c r="G297" s="590"/>
      <c r="H297" s="590"/>
      <c r="I297" s="591"/>
      <c r="J297" s="534"/>
      <c r="K297" s="537"/>
      <c r="L297" s="531"/>
      <c r="M297" s="533"/>
      <c r="N297" s="532"/>
      <c r="O297" s="532"/>
      <c r="P297" s="532"/>
      <c r="Q297" s="520"/>
      <c r="R297" s="682"/>
      <c r="S297" s="4827" t="str">
        <f>'VISITA DE INSP.'!AU26</f>
        <v>01-10-2004</v>
      </c>
      <c r="T297" s="4828"/>
      <c r="U297" s="4828"/>
      <c r="V297" s="4828"/>
      <c r="W297" s="4828"/>
      <c r="X297" s="4829"/>
      <c r="Y297" s="684"/>
      <c r="Z297" s="446"/>
      <c r="AA297" s="524">
        <f>VLOOKUP(Z297,BB24:BC34,2,2)</f>
        <v>0</v>
      </c>
      <c r="AB297" s="448"/>
      <c r="AC297" s="449"/>
    </row>
    <row r="298" spans="1:29" ht="12" hidden="1" customHeight="1">
      <c r="A298" s="688"/>
      <c r="B298" s="586"/>
      <c r="C298" s="587"/>
      <c r="D298" s="588"/>
      <c r="E298" s="599"/>
      <c r="F298" s="590"/>
      <c r="G298" s="590"/>
      <c r="H298" s="590"/>
      <c r="I298" s="591"/>
      <c r="J298" s="534"/>
      <c r="K298" s="522"/>
      <c r="L298" s="539"/>
      <c r="M298" s="540"/>
      <c r="N298" s="515"/>
      <c r="O298" s="515"/>
      <c r="P298" s="515"/>
      <c r="Q298" s="520"/>
      <c r="R298" s="682"/>
      <c r="S298" s="4758">
        <f>'VISITA DE INSP.'!AT26</f>
        <v>10</v>
      </c>
      <c r="T298" s="4759"/>
      <c r="U298" s="4759"/>
      <c r="V298" s="4759"/>
      <c r="W298" s="4759"/>
      <c r="X298" s="4760"/>
      <c r="Y298" s="684"/>
      <c r="Z298" s="4773" t="s">
        <v>520</v>
      </c>
      <c r="AA298" s="4774"/>
      <c r="AB298" s="4774"/>
      <c r="AC298" s="4775"/>
    </row>
    <row r="299" spans="1:29" ht="12" hidden="1" customHeight="1">
      <c r="A299" s="688"/>
      <c r="B299" s="586"/>
      <c r="C299" s="587"/>
      <c r="D299" s="588"/>
      <c r="E299" s="599"/>
      <c r="F299" s="590"/>
      <c r="G299" s="590"/>
      <c r="H299" s="590"/>
      <c r="I299" s="591"/>
      <c r="J299" s="534"/>
      <c r="K299" s="541"/>
      <c r="L299" s="541"/>
      <c r="M299" s="541"/>
      <c r="N299" s="541"/>
      <c r="O299" s="541"/>
      <c r="P299" s="541"/>
      <c r="Q299" s="520"/>
      <c r="R299" s="682"/>
      <c r="S299" s="4830">
        <f>'VISITA DE INSP.'!AS26</f>
        <v>0</v>
      </c>
      <c r="T299" s="4831"/>
      <c r="U299" s="4831"/>
      <c r="V299" s="4831"/>
      <c r="W299" s="4831"/>
      <c r="X299" s="4832"/>
      <c r="Y299" s="684"/>
      <c r="Z299" s="446" t="s">
        <v>396</v>
      </c>
      <c r="AA299" s="447" t="str">
        <f>J283</f>
        <v xml:space="preserve">  COL-</v>
      </c>
      <c r="AB299" s="448"/>
      <c r="AC299" s="449"/>
    </row>
    <row r="300" spans="1:29" ht="12" hidden="1" customHeight="1">
      <c r="A300" s="688"/>
      <c r="B300" s="586"/>
      <c r="C300" s="603" t="str">
        <f>Y275</f>
        <v xml:space="preserve">       </v>
      </c>
      <c r="D300" s="604"/>
      <c r="E300" s="604"/>
      <c r="F300" s="604"/>
      <c r="G300" s="604"/>
      <c r="H300" s="605"/>
      <c r="I300" s="591"/>
      <c r="J300" s="606" t="str">
        <f>J284</f>
        <v xml:space="preserve">  C.P.-</v>
      </c>
      <c r="K300" s="603" t="str">
        <f>C300</f>
        <v xml:space="preserve">       </v>
      </c>
      <c r="L300" s="604"/>
      <c r="M300" s="604"/>
      <c r="N300" s="604"/>
      <c r="O300" s="604"/>
      <c r="P300" s="605"/>
      <c r="Q300" s="597"/>
      <c r="R300" s="593"/>
      <c r="S300" s="607" t="str">
        <f>K300</f>
        <v xml:space="preserve">       </v>
      </c>
      <c r="T300" s="608"/>
      <c r="U300" s="608"/>
      <c r="V300" s="608"/>
      <c r="W300" s="608"/>
      <c r="X300" s="609"/>
      <c r="Y300" s="597"/>
      <c r="Z300" s="4773" t="s">
        <v>529</v>
      </c>
      <c r="AA300" s="4774"/>
      <c r="AB300" s="4774"/>
      <c r="AC300" s="4775"/>
    </row>
    <row r="301" spans="1:29" ht="12" hidden="1" customHeight="1" thickBot="1">
      <c r="A301" s="688"/>
      <c r="B301" s="610"/>
      <c r="C301" s="4817" t="s">
        <v>534</v>
      </c>
      <c r="D301" s="4818"/>
      <c r="E301" s="4818"/>
      <c r="F301" s="4818"/>
      <c r="G301" s="4818"/>
      <c r="H301" s="4819"/>
      <c r="I301" s="611"/>
      <c r="J301" s="612"/>
      <c r="K301" s="4820" t="s">
        <v>534</v>
      </c>
      <c r="L301" s="4821"/>
      <c r="M301" s="4821"/>
      <c r="N301" s="4821"/>
      <c r="O301" s="4821"/>
      <c r="P301" s="4822"/>
      <c r="Q301" s="613"/>
      <c r="R301" s="614"/>
      <c r="S301" s="4817" t="s">
        <v>534</v>
      </c>
      <c r="T301" s="4818"/>
      <c r="U301" s="4818"/>
      <c r="V301" s="4818"/>
      <c r="W301" s="4818"/>
      <c r="X301" s="4819"/>
      <c r="Y301" s="615"/>
      <c r="Z301" s="446" t="s">
        <v>396</v>
      </c>
      <c r="AA301" s="447" t="str">
        <f>J284</f>
        <v xml:space="preserve">  C.P.-</v>
      </c>
      <c r="AB301" s="448"/>
      <c r="AC301" s="449"/>
    </row>
    <row r="302" spans="1:29" ht="12" customHeight="1" thickTop="1" thickBot="1">
      <c r="A302" s="688"/>
      <c r="B302" s="4783" t="s">
        <v>538</v>
      </c>
      <c r="C302" s="4784"/>
      <c r="D302" s="4784"/>
      <c r="E302" s="4784"/>
      <c r="F302" s="552"/>
      <c r="G302" s="551">
        <f>VLOOKUP(F302,BE38:BG72,2,2)</f>
        <v>0</v>
      </c>
      <c r="H302" s="511"/>
      <c r="I302" s="513"/>
      <c r="J302" s="4783" t="s">
        <v>539</v>
      </c>
      <c r="K302" s="4784"/>
      <c r="L302" s="4784"/>
      <c r="M302" s="4784"/>
      <c r="N302" s="552" t="s">
        <v>540</v>
      </c>
      <c r="O302" s="628"/>
      <c r="P302" s="629"/>
      <c r="Q302" s="630"/>
      <c r="R302" s="4783" t="s">
        <v>541</v>
      </c>
      <c r="S302" s="4784"/>
      <c r="T302" s="4784"/>
      <c r="U302" s="4785"/>
      <c r="V302" s="508" t="s">
        <v>396</v>
      </c>
      <c r="W302" s="553">
        <f>O275</f>
        <v>0</v>
      </c>
      <c r="X302" s="554">
        <f>R275</f>
        <v>0</v>
      </c>
      <c r="Y302" s="555">
        <f>U275</f>
        <v>0</v>
      </c>
      <c r="Z302" s="4773" t="s">
        <v>542</v>
      </c>
      <c r="AA302" s="4774"/>
      <c r="AB302" s="4774"/>
      <c r="AC302" s="4775"/>
    </row>
    <row r="303" spans="1:29" ht="12" customHeight="1" thickTop="1" thickBot="1">
      <c r="A303" s="688"/>
      <c r="B303" s="651"/>
      <c r="C303" s="652"/>
      <c r="D303" s="652"/>
      <c r="E303" s="652"/>
      <c r="F303" s="652"/>
      <c r="G303" s="652"/>
      <c r="H303" s="652"/>
      <c r="I303" s="652"/>
      <c r="J303" s="652"/>
      <c r="K303" s="652"/>
      <c r="L303" s="652"/>
      <c r="M303" s="652"/>
      <c r="N303" s="652"/>
      <c r="O303" s="652"/>
      <c r="P303" s="652"/>
      <c r="Q303" s="652"/>
      <c r="R303" s="652"/>
      <c r="S303" s="652"/>
      <c r="T303" s="652"/>
      <c r="U303" s="652"/>
      <c r="V303" s="652"/>
      <c r="W303" s="652"/>
      <c r="X303" s="652"/>
      <c r="Y303" s="674"/>
      <c r="Z303" s="558" t="s">
        <v>396</v>
      </c>
      <c r="AA303" s="559" t="e">
        <f>W283</f>
        <v>#REF!</v>
      </c>
      <c r="AB303" s="560"/>
      <c r="AC303" s="561"/>
    </row>
    <row r="304" spans="1:29" ht="12" customHeight="1" thickTop="1">
      <c r="A304" s="688"/>
      <c r="B304" s="4761" t="s">
        <v>386</v>
      </c>
      <c r="C304" s="4762"/>
      <c r="D304" s="4762"/>
      <c r="E304" s="4762"/>
      <c r="F304" s="4762"/>
      <c r="G304" s="4762"/>
      <c r="H304" s="4762"/>
      <c r="I304" s="4763"/>
      <c r="J304" s="562">
        <f>COUNTA(I309:I310)</f>
        <v>0</v>
      </c>
      <c r="K304" s="563" t="s">
        <v>387</v>
      </c>
      <c r="L304" s="564"/>
      <c r="M304" s="564"/>
      <c r="N304" s="564"/>
      <c r="O304" s="564"/>
      <c r="P304" s="564"/>
      <c r="Q304" s="564"/>
      <c r="R304" s="564"/>
      <c r="S304" s="564"/>
      <c r="T304" s="564"/>
      <c r="U304" s="564"/>
      <c r="V304" s="564"/>
      <c r="W304" s="564"/>
      <c r="X304" s="564"/>
      <c r="Y304" s="441"/>
      <c r="Z304" s="4770" t="s">
        <v>388</v>
      </c>
      <c r="AA304" s="4771"/>
      <c r="AB304" s="4771"/>
      <c r="AC304" s="4772"/>
    </row>
    <row r="305" spans="1:30" ht="12" customHeight="1">
      <c r="A305" s="688"/>
      <c r="B305" s="4764"/>
      <c r="C305" s="4765"/>
      <c r="D305" s="4765"/>
      <c r="E305" s="4765"/>
      <c r="F305" s="4765"/>
      <c r="G305" s="4765"/>
      <c r="H305" s="4765"/>
      <c r="I305" s="4766"/>
      <c r="J305" s="565" t="str">
        <f>CONCATENATE(O305,J322,R305,K322,U305,L322)</f>
        <v xml:space="preserve">       </v>
      </c>
      <c r="K305" s="699" t="s">
        <v>395</v>
      </c>
      <c r="L305" s="700"/>
      <c r="M305" s="539"/>
      <c r="N305" s="539"/>
      <c r="O305" s="701"/>
      <c r="P305" s="573"/>
      <c r="R305" s="701"/>
      <c r="S305" s="573"/>
      <c r="U305" s="701"/>
      <c r="V305" s="702"/>
      <c r="W305" s="703"/>
      <c r="X305" s="641"/>
      <c r="Y305" s="445" t="str">
        <f>CONCATENATE(U305,K322,O305,J322,R305,L322)</f>
        <v xml:space="preserve">       </v>
      </c>
      <c r="Z305" s="446" t="s">
        <v>396</v>
      </c>
      <c r="AA305" s="447" t="str">
        <f>J305</f>
        <v xml:space="preserve">       </v>
      </c>
      <c r="AB305" s="448"/>
      <c r="AC305" s="449"/>
    </row>
    <row r="306" spans="1:30" ht="12" customHeight="1" thickBot="1">
      <c r="A306" s="688"/>
      <c r="B306" s="4767"/>
      <c r="C306" s="4768"/>
      <c r="D306" s="4768"/>
      <c r="E306" s="4768"/>
      <c r="F306" s="4768"/>
      <c r="G306" s="4768"/>
      <c r="H306" s="4768"/>
      <c r="I306" s="4769"/>
      <c r="J306" s="565"/>
      <c r="K306" s="539" t="str">
        <f>'VISITA DE INSP.'!D27</f>
        <v>MARTIN QUINTAL * SIHARELI CONCEPCION</v>
      </c>
      <c r="L306" s="539"/>
      <c r="M306" s="539"/>
      <c r="N306" s="539"/>
      <c r="P306" s="704"/>
      <c r="Q306" s="705"/>
      <c r="S306" s="704"/>
      <c r="T306" s="705"/>
      <c r="U306" s="706"/>
      <c r="V306" s="706"/>
      <c r="W306" s="706"/>
      <c r="X306" s="706"/>
      <c r="Y306" s="450" t="str">
        <f>CONCATENATE(V307,L322,W307)</f>
        <v>11007831200.0   078312E028100.0234567</v>
      </c>
      <c r="Z306" s="4773" t="s">
        <v>400</v>
      </c>
      <c r="AA306" s="4774"/>
      <c r="AB306" s="4774"/>
      <c r="AC306" s="4775"/>
    </row>
    <row r="307" spans="1:30" ht="12" customHeight="1" thickTop="1">
      <c r="A307" s="688"/>
      <c r="B307" s="452">
        <v>1</v>
      </c>
      <c r="C307" s="453" t="s">
        <v>406</v>
      </c>
      <c r="D307" s="454" t="s">
        <v>407</v>
      </c>
      <c r="E307" s="455" t="s">
        <v>408</v>
      </c>
      <c r="F307" s="456" t="s">
        <v>409</v>
      </c>
      <c r="G307" s="457" t="e">
        <f>G277</f>
        <v>#REF!</v>
      </c>
      <c r="H307" s="458"/>
      <c r="I307" s="459"/>
      <c r="J307" s="565" t="str">
        <f>CONCATENATE(N307,K322,O307)</f>
        <v>MAQS911208  BX9</v>
      </c>
      <c r="K307" s="699" t="s">
        <v>410</v>
      </c>
      <c r="L307" s="700"/>
      <c r="M307" s="707"/>
      <c r="N307" s="708" t="str">
        <f>MID('VISITA DE INSP.'!AN27,1,10)</f>
        <v>MAQS911208</v>
      </c>
      <c r="O307" s="701" t="str">
        <f>MID('VISITA DE INSP.'!AN27,12,15)</f>
        <v>BX9</v>
      </c>
      <c r="P307" s="641"/>
      <c r="Q307" s="700"/>
      <c r="R307" s="709"/>
      <c r="T307" s="710" t="s">
        <v>411</v>
      </c>
      <c r="U307" s="641"/>
      <c r="V307" s="711" t="s">
        <v>179</v>
      </c>
      <c r="W307" s="712" t="str">
        <f>'VISITA DE INSP.'!AO27</f>
        <v>078312E028100.0234567</v>
      </c>
      <c r="X307" s="713"/>
      <c r="Y307" s="460" t="str">
        <f>CONCATENATE(V307,K322,W307)</f>
        <v>11007831200.0  078312E028100.0234567</v>
      </c>
      <c r="Z307" s="446" t="s">
        <v>396</v>
      </c>
      <c r="AA307" s="447" t="str">
        <f>Y305</f>
        <v xml:space="preserve">       </v>
      </c>
      <c r="AB307" s="448"/>
      <c r="AC307" s="449"/>
    </row>
    <row r="308" spans="1:30" ht="12" customHeight="1">
      <c r="A308" s="688"/>
      <c r="B308" s="462" t="s">
        <v>416</v>
      </c>
      <c r="C308" s="463"/>
      <c r="D308" s="464"/>
      <c r="E308" s="465">
        <f t="shared" ref="E308:E313" si="18">C308+D308</f>
        <v>0</v>
      </c>
      <c r="F308" s="466" t="s">
        <v>417</v>
      </c>
      <c r="G308" s="467" t="e">
        <f>G278</f>
        <v>#REF!</v>
      </c>
      <c r="H308" s="468" t="e">
        <f>H278</f>
        <v>#REF!</v>
      </c>
      <c r="I308" s="469"/>
      <c r="J308" s="565"/>
      <c r="K308" s="714"/>
      <c r="L308" s="715"/>
      <c r="M308" s="716"/>
      <c r="O308" s="716"/>
      <c r="P308" s="716"/>
      <c r="Q308" s="717" t="s">
        <v>418</v>
      </c>
      <c r="R308" s="714"/>
      <c r="S308" s="540"/>
      <c r="T308" s="540"/>
      <c r="U308" s="716"/>
      <c r="V308" s="716"/>
      <c r="W308" s="716"/>
      <c r="X308" s="718"/>
      <c r="Y308" s="450" t="str">
        <f>MID(W307,1,5)</f>
        <v>07831</v>
      </c>
      <c r="Z308" s="4773" t="s">
        <v>419</v>
      </c>
      <c r="AA308" s="4774"/>
      <c r="AB308" s="4774"/>
      <c r="AC308" s="4775"/>
    </row>
    <row r="309" spans="1:30" ht="12" customHeight="1">
      <c r="A309" s="688"/>
      <c r="B309" s="470" t="s">
        <v>423</v>
      </c>
      <c r="C309" s="463"/>
      <c r="D309" s="464"/>
      <c r="E309" s="465">
        <f t="shared" si="18"/>
        <v>0</v>
      </c>
      <c r="F309" s="692" t="s">
        <v>3</v>
      </c>
      <c r="G309" s="463" t="str">
        <f>'VISITA DE INSP.'!B27</f>
        <v>5º</v>
      </c>
      <c r="H309" s="471" t="s">
        <v>406</v>
      </c>
      <c r="I309" s="480"/>
      <c r="J309" s="568">
        <f>COUNTA(I309,I339,I369,I399,I429,I459,I489,I519,I549,I579)</f>
        <v>1</v>
      </c>
      <c r="K309" s="522" t="s">
        <v>424</v>
      </c>
      <c r="L309" s="539"/>
      <c r="M309" s="539"/>
      <c r="N309" s="539"/>
      <c r="O309" s="712" t="str">
        <f>'VISITA DE INSP.'!AU27</f>
        <v>01-09-1983</v>
      </c>
      <c r="P309" s="719"/>
      <c r="Q309" s="720"/>
      <c r="R309" s="714"/>
      <c r="S309" s="714"/>
      <c r="T309" s="714"/>
      <c r="U309" s="574" t="s">
        <v>425</v>
      </c>
      <c r="V309" s="721">
        <f>'VISITA DE INSP.'!AT27</f>
        <v>10</v>
      </c>
      <c r="W309" s="722" t="str">
        <f>Y309</f>
        <v>BASE</v>
      </c>
      <c r="X309" s="723"/>
      <c r="Y309" s="473" t="str">
        <f>VLOOKUP(V309,AH2:AI14,2)</f>
        <v>BASE</v>
      </c>
      <c r="Z309" s="446" t="s">
        <v>396</v>
      </c>
      <c r="AA309" s="447" t="str">
        <f>J307</f>
        <v>MAQS911208  BX9</v>
      </c>
      <c r="AB309" s="448"/>
      <c r="AC309" s="449"/>
    </row>
    <row r="310" spans="1:30" ht="12" customHeight="1">
      <c r="A310" s="688"/>
      <c r="B310" s="470" t="s">
        <v>408</v>
      </c>
      <c r="C310" s="463"/>
      <c r="D310" s="464"/>
      <c r="E310" s="465">
        <f t="shared" si="18"/>
        <v>0</v>
      </c>
      <c r="F310" s="692" t="s">
        <v>4</v>
      </c>
      <c r="G310" s="463" t="str">
        <f>'VISITA DE INSP.'!C27</f>
        <v>B</v>
      </c>
      <c r="H310" s="475" t="s">
        <v>407</v>
      </c>
      <c r="I310" s="623"/>
      <c r="J310" s="568">
        <f>COUNTA(I310,I340,I370,I400,I430,I460,I490,I520,I550,I580)</f>
        <v>0</v>
      </c>
      <c r="K310" s="717"/>
      <c r="L310" s="717"/>
      <c r="M310" s="539"/>
      <c r="N310" s="714"/>
      <c r="O310" s="716"/>
      <c r="P310" s="716"/>
      <c r="Q310" s="716"/>
      <c r="R310" s="539"/>
      <c r="S310" s="539"/>
      <c r="T310" s="714"/>
      <c r="U310" s="714"/>
      <c r="V310" s="724"/>
      <c r="W310" s="724"/>
      <c r="X310" s="716"/>
      <c r="Y310" s="476"/>
      <c r="Z310" s="4773" t="s">
        <v>429</v>
      </c>
      <c r="AA310" s="4774"/>
      <c r="AB310" s="4774"/>
      <c r="AC310" s="4775"/>
    </row>
    <row r="311" spans="1:30" ht="12" customHeight="1">
      <c r="A311" s="688"/>
      <c r="B311" s="470" t="s">
        <v>434</v>
      </c>
      <c r="C311" s="463"/>
      <c r="D311" s="464"/>
      <c r="E311" s="465">
        <f t="shared" si="18"/>
        <v>0</v>
      </c>
      <c r="F311" s="4776" t="s">
        <v>435</v>
      </c>
      <c r="G311" s="4777"/>
      <c r="H311" s="4777" t="s">
        <v>436</v>
      </c>
      <c r="I311" s="4778"/>
      <c r="J311" s="568">
        <f>SUM(J309,J310)</f>
        <v>1</v>
      </c>
      <c r="K311" s="522" t="s">
        <v>437</v>
      </c>
      <c r="L311" s="539"/>
      <c r="M311" s="725"/>
      <c r="N311" s="725"/>
      <c r="O311" s="725"/>
      <c r="P311" s="725"/>
      <c r="Q311" s="725"/>
      <c r="R311" s="726"/>
      <c r="S311" s="725"/>
      <c r="T311" s="727"/>
      <c r="U311" s="725"/>
      <c r="V311" s="574" t="s">
        <v>438</v>
      </c>
      <c r="W311" s="728"/>
      <c r="X311" s="723"/>
      <c r="Y311" s="445" t="str">
        <f>CONCATENATE(O324,S311)</f>
        <v xml:space="preserve">  COL-</v>
      </c>
      <c r="Z311" s="446" t="s">
        <v>396</v>
      </c>
      <c r="AA311" s="447" t="str">
        <f>Y307</f>
        <v>11007831200.0  078312E028100.0234567</v>
      </c>
      <c r="AB311" s="448"/>
      <c r="AC311" s="449"/>
      <c r="AD311" s="662" t="s">
        <v>79</v>
      </c>
    </row>
    <row r="312" spans="1:30" ht="12" customHeight="1">
      <c r="A312" s="688"/>
      <c r="B312" s="470" t="s">
        <v>443</v>
      </c>
      <c r="C312" s="463"/>
      <c r="D312" s="464"/>
      <c r="E312" s="465">
        <f t="shared" si="18"/>
        <v>0</v>
      </c>
      <c r="F312" s="478" t="s">
        <v>444</v>
      </c>
      <c r="G312" s="624">
        <v>11</v>
      </c>
      <c r="H312" s="479" t="e">
        <f>H282</f>
        <v>#REF!</v>
      </c>
      <c r="I312" s="480" t="e">
        <f>H312+1</f>
        <v>#REF!</v>
      </c>
      <c r="J312" s="569" t="str">
        <f>CONCATENATE(J324,M311,K324,N311,L324,O311,M324,P311,N324,Q311,O324,S311)</f>
        <v>RG-  SM-  MZA-  LTE-  CALLE-  COL-</v>
      </c>
      <c r="K312" s="729"/>
      <c r="L312" s="539"/>
      <c r="M312" s="492"/>
      <c r="N312" s="492"/>
      <c r="O312" s="492"/>
      <c r="P312" s="492"/>
      <c r="Q312" s="492"/>
      <c r="R312" s="730"/>
      <c r="S312" s="731" t="s">
        <v>503</v>
      </c>
      <c r="T312" s="731"/>
      <c r="U312" s="731" t="s">
        <v>504</v>
      </c>
      <c r="V312" s="533"/>
      <c r="W312" s="732"/>
      <c r="X312" s="733"/>
      <c r="Y312" s="450" t="str">
        <f>CONCATENATE(K322,P324,U311)</f>
        <v xml:space="preserve">    C.P.-</v>
      </c>
      <c r="Z312" s="4779" t="s">
        <v>445</v>
      </c>
      <c r="AA312" s="4780"/>
      <c r="AB312" s="4780"/>
      <c r="AC312" s="4781"/>
    </row>
    <row r="313" spans="1:30" ht="12" customHeight="1">
      <c r="A313" s="688"/>
      <c r="B313" s="470" t="s">
        <v>450</v>
      </c>
      <c r="C313" s="463"/>
      <c r="D313" s="464"/>
      <c r="E313" s="465">
        <f t="shared" si="18"/>
        <v>0</v>
      </c>
      <c r="F313" s="692" t="s">
        <v>373</v>
      </c>
      <c r="G313" s="4782" t="s">
        <v>451</v>
      </c>
      <c r="H313" s="4777"/>
      <c r="I313" s="4778"/>
      <c r="J313" s="565" t="str">
        <f>CONCATENATE(O324,S311)</f>
        <v xml:space="preserve">  COL-</v>
      </c>
      <c r="K313" s="522" t="s">
        <v>452</v>
      </c>
      <c r="L313" s="539"/>
      <c r="M313" s="539"/>
      <c r="N313" s="572" t="e">
        <f>#REF!</f>
        <v>#REF!</v>
      </c>
      <c r="O313" s="573"/>
      <c r="P313" s="573"/>
      <c r="Q313" s="573"/>
      <c r="R313" s="573"/>
      <c r="S313" s="574" t="s">
        <v>453</v>
      </c>
      <c r="T313" s="572" t="e">
        <f>#REF!</f>
        <v>#REF!</v>
      </c>
      <c r="U313" s="575"/>
      <c r="V313" s="574" t="s">
        <v>454</v>
      </c>
      <c r="W313" s="576" t="e">
        <f>#REF!</f>
        <v>#REF!</v>
      </c>
      <c r="X313" s="575"/>
      <c r="Y313" s="445"/>
      <c r="Z313" s="446" t="s">
        <v>396</v>
      </c>
      <c r="AA313" s="482" t="str">
        <f>O309</f>
        <v>01-09-1983</v>
      </c>
      <c r="AB313" s="673"/>
      <c r="AC313" s="483"/>
    </row>
    <row r="314" spans="1:30" ht="12" customHeight="1" thickBot="1">
      <c r="A314" s="688"/>
      <c r="B314" s="484" t="s">
        <v>456</v>
      </c>
      <c r="C314" s="485"/>
      <c r="D314" s="486"/>
      <c r="E314" s="465">
        <f>E312-E313</f>
        <v>0</v>
      </c>
      <c r="F314" s="577">
        <f>F284</f>
        <v>1</v>
      </c>
      <c r="G314" s="578" t="e">
        <f>G284</f>
        <v>#REF!</v>
      </c>
      <c r="H314" s="578" t="e">
        <f>H284</f>
        <v>#REF!</v>
      </c>
      <c r="I314" s="579" t="e">
        <f>I284</f>
        <v>#REF!</v>
      </c>
      <c r="J314" s="580" t="str">
        <f>CONCATENATE(,P324,U311)</f>
        <v xml:space="preserve">  C.P.-</v>
      </c>
      <c r="K314" s="490"/>
      <c r="L314" s="491"/>
      <c r="M314" s="492"/>
      <c r="N314" s="492"/>
      <c r="O314" s="492"/>
      <c r="P314" s="492"/>
      <c r="Q314" s="492"/>
      <c r="R314" s="492"/>
      <c r="S314" s="492"/>
      <c r="T314" s="493"/>
      <c r="V314" s="494"/>
      <c r="W314" s="495"/>
      <c r="X314" s="496"/>
      <c r="Y314" s="497"/>
      <c r="Z314" s="4773" t="s">
        <v>457</v>
      </c>
      <c r="AA314" s="4774"/>
      <c r="AB314" s="4774"/>
      <c r="AC314" s="4775"/>
    </row>
    <row r="315" spans="1:30" ht="12" customHeight="1" thickTop="1" thickBot="1">
      <c r="A315" s="688"/>
      <c r="B315" s="4783" t="s">
        <v>460</v>
      </c>
      <c r="C315" s="4784"/>
      <c r="D315" s="4784"/>
      <c r="E315" s="4785"/>
      <c r="F315" s="498" t="s">
        <v>396</v>
      </c>
      <c r="G315" s="647" t="str">
        <f>G285</f>
        <v>CERVANTES BENITEZ * ANTONIA</v>
      </c>
      <c r="H315" s="500"/>
      <c r="I315" s="500"/>
      <c r="J315" s="501"/>
      <c r="K315" s="501"/>
      <c r="L315" s="501"/>
      <c r="M315" s="504"/>
      <c r="N315" s="4783" t="s">
        <v>461</v>
      </c>
      <c r="O315" s="4786"/>
      <c r="P315" s="4786"/>
      <c r="Q315" s="4787"/>
      <c r="R315" s="625" t="s">
        <v>7</v>
      </c>
      <c r="S315" s="499" t="str">
        <f>VLOOKUP(R315,AE1:AF16,2,1)</f>
        <v>DOCENTE</v>
      </c>
      <c r="T315" s="501"/>
      <c r="U315" s="501"/>
      <c r="V315" s="501"/>
      <c r="W315" s="501"/>
      <c r="X315" s="501"/>
      <c r="Y315" s="504"/>
      <c r="Z315" s="446" t="s">
        <v>396</v>
      </c>
      <c r="AA315" s="461" t="str">
        <f>Y309</f>
        <v>BASE</v>
      </c>
      <c r="AB315" s="448"/>
      <c r="AC315" s="505">
        <f>V309</f>
        <v>10</v>
      </c>
    </row>
    <row r="316" spans="1:30" ht="12" customHeight="1" thickTop="1" thickBot="1">
      <c r="A316" s="688"/>
      <c r="B316" s="4783" t="s">
        <v>465</v>
      </c>
      <c r="C316" s="4786"/>
      <c r="D316" s="4786"/>
      <c r="E316" s="4787"/>
      <c r="F316" s="506" t="s">
        <v>396</v>
      </c>
      <c r="G316" s="648" t="str">
        <f>G286</f>
        <v>JESUS MARTIN RICALDE CASTRO</v>
      </c>
      <c r="H316" s="501"/>
      <c r="I316" s="501"/>
      <c r="J316" s="501"/>
      <c r="K316" s="501"/>
      <c r="L316" s="501"/>
      <c r="M316" s="504"/>
      <c r="N316" s="4783" t="s">
        <v>466</v>
      </c>
      <c r="O316" s="4786"/>
      <c r="P316" s="4786"/>
      <c r="Q316" s="4787"/>
      <c r="R316" s="625">
        <v>1</v>
      </c>
      <c r="S316" s="499" t="str">
        <f>VLOOKUP(R316,AE17:AF22,2,2)</f>
        <v>BASE</v>
      </c>
      <c r="T316" s="501"/>
      <c r="U316" s="501"/>
      <c r="V316" s="501"/>
      <c r="W316" s="501"/>
      <c r="X316" s="501"/>
      <c r="Y316" s="507" t="str">
        <f>CONCATENATE(M312,M311,N312,N311,O312,O311,P312,P311)</f>
        <v/>
      </c>
      <c r="Z316" s="4773" t="s">
        <v>467</v>
      </c>
      <c r="AA316" s="4774"/>
      <c r="AB316" s="4774"/>
      <c r="AC316" s="4775"/>
    </row>
    <row r="317" spans="1:30" ht="12" customHeight="1" thickTop="1" thickBot="1">
      <c r="A317" s="688"/>
      <c r="B317" s="4788" t="s">
        <v>471</v>
      </c>
      <c r="C317" s="4789"/>
      <c r="D317" s="4789"/>
      <c r="E317" s="4790"/>
      <c r="F317" s="506" t="s">
        <v>396</v>
      </c>
      <c r="G317" s="648" t="e">
        <f>G287</f>
        <v>#REF!</v>
      </c>
      <c r="H317" s="501"/>
      <c r="I317" s="501"/>
      <c r="J317" s="501"/>
      <c r="K317" s="501"/>
      <c r="L317" s="501"/>
      <c r="M317" s="501"/>
      <c r="N317" s="4783" t="s">
        <v>472</v>
      </c>
      <c r="O317" s="4786"/>
      <c r="P317" s="4786"/>
      <c r="Q317" s="4787"/>
      <c r="R317" s="625">
        <v>4</v>
      </c>
      <c r="S317" s="499" t="str">
        <f>VLOOKUP(R317,AE25:AF34,2,2)</f>
        <v>ALTA DEFINITIVA. (Si la persona se da de alta en al escuela)</v>
      </c>
      <c r="T317" s="501"/>
      <c r="U317" s="501"/>
      <c r="V317" s="501"/>
      <c r="W317" s="501"/>
      <c r="X317" s="501"/>
      <c r="Y317" s="504"/>
      <c r="Z317" s="446" t="s">
        <v>396</v>
      </c>
      <c r="AA317" s="447" t="str">
        <f>J312</f>
        <v>RG-  SM-  MZA-  LTE-  CALLE-  COL-</v>
      </c>
      <c r="AB317" s="448"/>
      <c r="AC317" s="449"/>
      <c r="AD317" s="662" t="s">
        <v>79</v>
      </c>
    </row>
    <row r="318" spans="1:30" ht="12" customHeight="1" thickTop="1" thickBot="1">
      <c r="A318" s="688"/>
      <c r="B318" s="4788" t="s">
        <v>475</v>
      </c>
      <c r="C318" s="4789"/>
      <c r="D318" s="4789"/>
      <c r="E318" s="4790"/>
      <c r="F318" s="508"/>
      <c r="G318" s="648"/>
      <c r="H318" s="501"/>
      <c r="I318" s="501"/>
      <c r="J318" s="501"/>
      <c r="K318" s="501"/>
      <c r="L318" s="501"/>
      <c r="M318" s="501"/>
      <c r="N318" s="4783" t="s">
        <v>476</v>
      </c>
      <c r="O318" s="4786"/>
      <c r="P318" s="4786"/>
      <c r="Q318" s="4787"/>
      <c r="R318" s="625">
        <v>2</v>
      </c>
      <c r="S318" s="499" t="str">
        <f>VLOOKUP(R318,AE35:AF43,2,2)</f>
        <v>FEDERAL TRANFERIDA  (18 de mayo de 2005 )</v>
      </c>
      <c r="T318" s="501"/>
      <c r="U318" s="501"/>
      <c r="V318" s="501"/>
      <c r="W318" s="501"/>
      <c r="X318" s="501"/>
      <c r="Y318" s="504"/>
      <c r="Z318" s="4773" t="s">
        <v>477</v>
      </c>
      <c r="AA318" s="4774"/>
      <c r="AB318" s="4774"/>
      <c r="AC318" s="4775"/>
    </row>
    <row r="319" spans="1:30" ht="12" customHeight="1" thickTop="1" thickBot="1">
      <c r="A319" s="688"/>
      <c r="B319" s="4791" t="s">
        <v>479</v>
      </c>
      <c r="C319" s="4792"/>
      <c r="D319" s="4792"/>
      <c r="E319" s="4793"/>
      <c r="F319" s="625"/>
      <c r="G319" s="582">
        <f>VLOOKUP(F319,AE69:AF78,2,1)</f>
        <v>0</v>
      </c>
      <c r="H319" s="501"/>
      <c r="I319" s="501"/>
      <c r="J319" s="501"/>
      <c r="K319" s="501"/>
      <c r="L319" s="584"/>
      <c r="M319" s="619">
        <f>COUNTA(F319,F437,F557,F677)</f>
        <v>2</v>
      </c>
      <c r="N319" s="4783" t="s">
        <v>480</v>
      </c>
      <c r="O319" s="4786"/>
      <c r="P319" s="4786"/>
      <c r="Q319" s="4787"/>
      <c r="R319" s="625"/>
      <c r="S319" s="499">
        <f>VLOOKUP(R319,AE44:AF68,2,2)</f>
        <v>0</v>
      </c>
      <c r="T319" s="501"/>
      <c r="U319" s="501"/>
      <c r="V319" s="501"/>
      <c r="W319" s="501"/>
      <c r="X319" s="501"/>
      <c r="Y319" s="504"/>
      <c r="Z319" s="446" t="s">
        <v>481</v>
      </c>
      <c r="AA319" s="447">
        <f>'VISITA DE INSP.'!AQ27</f>
        <v>0</v>
      </c>
      <c r="AB319" s="448"/>
      <c r="AC319" s="449"/>
    </row>
    <row r="320" spans="1:30" ht="12" customHeight="1" thickTop="1" thickBot="1">
      <c r="A320" s="688"/>
      <c r="B320" s="4791" t="s">
        <v>484</v>
      </c>
      <c r="C320" s="4792"/>
      <c r="D320" s="4792"/>
      <c r="E320" s="4793"/>
      <c r="F320" s="625"/>
      <c r="G320" s="582">
        <f>VLOOKUP(F320,AE79:AF85,2,1)</f>
        <v>0</v>
      </c>
      <c r="H320" s="501"/>
      <c r="I320" s="501"/>
      <c r="J320" s="501"/>
      <c r="K320" s="501"/>
      <c r="L320" s="501"/>
      <c r="M320" s="504"/>
      <c r="N320" s="4783" t="s">
        <v>485</v>
      </c>
      <c r="O320" s="4786"/>
      <c r="P320" s="4786"/>
      <c r="Q320" s="4787"/>
      <c r="R320" s="625"/>
      <c r="S320" s="553"/>
      <c r="T320" s="511"/>
      <c r="U320" s="512"/>
      <c r="V320" s="511"/>
      <c r="W320" s="511"/>
      <c r="X320" s="511"/>
      <c r="Y320" s="513"/>
      <c r="Z320" s="4773" t="s">
        <v>486</v>
      </c>
      <c r="AA320" s="4774"/>
      <c r="AB320" s="4774"/>
      <c r="AC320" s="4775"/>
    </row>
    <row r="321" spans="1:29" ht="12" hidden="1" customHeight="1" thickTop="1" thickBot="1">
      <c r="A321" s="688"/>
      <c r="B321" s="4811" t="s">
        <v>488</v>
      </c>
      <c r="C321" s="4812"/>
      <c r="D321" s="4812"/>
      <c r="E321" s="4812"/>
      <c r="F321" s="4812"/>
      <c r="G321" s="4812"/>
      <c r="H321" s="4812"/>
      <c r="I321" s="4812"/>
      <c r="J321" s="4794" t="s">
        <v>488</v>
      </c>
      <c r="K321" s="4795"/>
      <c r="L321" s="4795"/>
      <c r="M321" s="4795"/>
      <c r="N321" s="4795"/>
      <c r="O321" s="4795"/>
      <c r="P321" s="4795"/>
      <c r="Q321" s="4796"/>
      <c r="R321" s="4811" t="s">
        <v>488</v>
      </c>
      <c r="S321" s="4812"/>
      <c r="T321" s="4812"/>
      <c r="U321" s="4812"/>
      <c r="V321" s="4812"/>
      <c r="W321" s="4812"/>
      <c r="X321" s="4812"/>
      <c r="Y321" s="4812"/>
      <c r="Z321" s="446" t="s">
        <v>489</v>
      </c>
      <c r="AA321" s="447"/>
      <c r="AB321" s="448"/>
      <c r="AC321" s="449"/>
    </row>
    <row r="322" spans="1:29" ht="12" hidden="1" customHeight="1" thickTop="1" thickBot="1">
      <c r="A322" s="688"/>
      <c r="B322" s="586"/>
      <c r="C322" s="587"/>
      <c r="D322" s="588"/>
      <c r="E322" s="4797"/>
      <c r="F322" s="4797"/>
      <c r="G322" s="589"/>
      <c r="H322" s="590"/>
      <c r="I322" s="591"/>
      <c r="J322" s="592" t="s">
        <v>491</v>
      </c>
      <c r="K322" s="515" t="s">
        <v>491</v>
      </c>
      <c r="L322" s="516" t="s">
        <v>492</v>
      </c>
      <c r="M322" s="4797"/>
      <c r="N322" s="4797"/>
      <c r="O322" s="517" t="s">
        <v>418</v>
      </c>
      <c r="P322" s="518" t="s">
        <v>493</v>
      </c>
      <c r="Q322" s="520"/>
      <c r="R322" s="593"/>
      <c r="S322" s="594"/>
      <c r="T322" s="595"/>
      <c r="U322" s="4797"/>
      <c r="V322" s="4797"/>
      <c r="W322" s="596"/>
      <c r="X322" s="594"/>
      <c r="Y322" s="597"/>
      <c r="Z322" s="4773" t="s">
        <v>494</v>
      </c>
      <c r="AA322" s="4774"/>
      <c r="AB322" s="4774"/>
      <c r="AC322" s="4775"/>
    </row>
    <row r="323" spans="1:29" ht="12" hidden="1" customHeight="1" thickTop="1">
      <c r="A323" s="688"/>
      <c r="B323" s="586"/>
      <c r="C323" s="587"/>
      <c r="D323" s="588"/>
      <c r="E323" s="4813" t="s">
        <v>621</v>
      </c>
      <c r="F323" s="4814"/>
      <c r="G323" s="590"/>
      <c r="H323" s="590"/>
      <c r="I323" s="591"/>
      <c r="J323" s="523"/>
      <c r="K323" s="522"/>
      <c r="L323" s="4798" t="s">
        <v>496</v>
      </c>
      <c r="M323" s="4799"/>
      <c r="N323" s="4799"/>
      <c r="O323" s="4800"/>
      <c r="P323" s="515"/>
      <c r="Q323" s="520"/>
      <c r="R323" s="593"/>
      <c r="S323" s="594"/>
      <c r="T323" s="598"/>
      <c r="U323" s="4815" t="s">
        <v>622</v>
      </c>
      <c r="V323" s="4816"/>
      <c r="W323" s="596"/>
      <c r="X323" s="594"/>
      <c r="Y323" s="597"/>
      <c r="Z323" s="446"/>
      <c r="AA323" s="524">
        <f>VLOOKUP(Z323,BE24:BF34,2,2)</f>
        <v>0</v>
      </c>
      <c r="AB323" s="448"/>
      <c r="AC323" s="449"/>
    </row>
    <row r="324" spans="1:29" ht="12" hidden="1" customHeight="1">
      <c r="A324" s="688"/>
      <c r="B324" s="586"/>
      <c r="C324" s="587"/>
      <c r="D324" s="588"/>
      <c r="E324" s="599"/>
      <c r="F324" s="590"/>
      <c r="G324" s="590"/>
      <c r="H324" s="590"/>
      <c r="I324" s="591"/>
      <c r="J324" s="526" t="s">
        <v>498</v>
      </c>
      <c r="K324" s="527" t="s">
        <v>499</v>
      </c>
      <c r="L324" s="527" t="s">
        <v>500</v>
      </c>
      <c r="M324" s="527" t="s">
        <v>501</v>
      </c>
      <c r="N324" s="527" t="s">
        <v>502</v>
      </c>
      <c r="O324" s="527" t="s">
        <v>503</v>
      </c>
      <c r="P324" s="527" t="s">
        <v>504</v>
      </c>
      <c r="Q324" s="600"/>
      <c r="R324" s="4752" t="str">
        <f>'VISITA DE INSP.'!D27</f>
        <v>MARTIN QUINTAL * SIHARELI CONCEPCION</v>
      </c>
      <c r="S324" s="4753"/>
      <c r="T324" s="4753"/>
      <c r="U324" s="4753"/>
      <c r="V324" s="4753"/>
      <c r="W324" s="4753"/>
      <c r="X324" s="4753"/>
      <c r="Y324" s="4754"/>
      <c r="Z324" s="4801" t="s">
        <v>506</v>
      </c>
      <c r="AA324" s="4802"/>
      <c r="AB324" s="4802"/>
      <c r="AC324" s="4803"/>
    </row>
    <row r="325" spans="1:29" ht="12" hidden="1" customHeight="1">
      <c r="A325" s="688"/>
      <c r="B325" s="586"/>
      <c r="C325" s="587"/>
      <c r="D325" s="588"/>
      <c r="E325" s="599"/>
      <c r="F325" s="590"/>
      <c r="G325" s="590"/>
      <c r="H325" s="590"/>
      <c r="I325" s="591"/>
      <c r="J325" s="534"/>
      <c r="K325" s="531" t="s">
        <v>491</v>
      </c>
      <c r="L325" s="532" t="s">
        <v>491</v>
      </c>
      <c r="M325" s="533"/>
      <c r="N325" s="532"/>
      <c r="O325" s="532"/>
      <c r="P325" s="532"/>
      <c r="Q325" s="520"/>
      <c r="R325" s="682"/>
      <c r="S325" s="4758" t="str">
        <f>'VISITA DE INSP.'!AN27</f>
        <v>MAQS911208-BX9</v>
      </c>
      <c r="T325" s="4759"/>
      <c r="U325" s="4759"/>
      <c r="V325" s="4759"/>
      <c r="W325" s="4759"/>
      <c r="X325" s="4760"/>
      <c r="Y325" s="683"/>
      <c r="Z325" s="446"/>
      <c r="AA325" s="524" t="e">
        <f>VLOOKUP(Z325,AW54:AX69,2,2)</f>
        <v>#N/A</v>
      </c>
      <c r="AB325" s="448"/>
      <c r="AC325" s="449"/>
    </row>
    <row r="326" spans="1:29" ht="12" hidden="1" customHeight="1">
      <c r="A326" s="688"/>
      <c r="B326" s="586"/>
      <c r="C326" s="587"/>
      <c r="D326" s="588"/>
      <c r="E326" s="599"/>
      <c r="F326" s="590"/>
      <c r="G326" s="590"/>
      <c r="H326" s="590"/>
      <c r="I326" s="591"/>
      <c r="J326" s="538"/>
      <c r="K326" s="537"/>
      <c r="L326" s="527"/>
      <c r="M326" s="527"/>
      <c r="N326" s="527"/>
      <c r="O326" s="527"/>
      <c r="P326" s="527"/>
      <c r="Q326" s="520"/>
      <c r="R326" s="682"/>
      <c r="S326" s="4758" t="str">
        <f>'VISITA DE INSP.'!AO27</f>
        <v>078312E028100.0234567</v>
      </c>
      <c r="T326" s="4759"/>
      <c r="U326" s="4759"/>
      <c r="V326" s="4759"/>
      <c r="W326" s="4759"/>
      <c r="X326" s="4760"/>
      <c r="Y326" s="683"/>
      <c r="Z326" s="4773" t="s">
        <v>511</v>
      </c>
      <c r="AA326" s="4774"/>
      <c r="AB326" s="4774"/>
      <c r="AC326" s="4775"/>
    </row>
    <row r="327" spans="1:29" ht="12" hidden="1" customHeight="1">
      <c r="A327" s="688"/>
      <c r="B327" s="586"/>
      <c r="C327" s="587"/>
      <c r="D327" s="588"/>
      <c r="E327" s="599"/>
      <c r="F327" s="590"/>
      <c r="G327" s="590"/>
      <c r="H327" s="590"/>
      <c r="I327" s="591"/>
      <c r="J327" s="534"/>
      <c r="K327" s="537"/>
      <c r="L327" s="531"/>
      <c r="M327" s="533"/>
      <c r="N327" s="532"/>
      <c r="O327" s="532"/>
      <c r="P327" s="532"/>
      <c r="Q327" s="520"/>
      <c r="R327" s="682"/>
      <c r="S327" s="4827" t="str">
        <f>'VISITA DE INSP.'!AU27</f>
        <v>01-09-1983</v>
      </c>
      <c r="T327" s="4828"/>
      <c r="U327" s="4828"/>
      <c r="V327" s="4828"/>
      <c r="W327" s="4828"/>
      <c r="X327" s="4829"/>
      <c r="Y327" s="684"/>
      <c r="Z327" s="446"/>
      <c r="AA327" s="524" t="e">
        <f>VLOOKUP(Z327,BB54:BC64,2,2)</f>
        <v>#N/A</v>
      </c>
      <c r="AB327" s="448"/>
      <c r="AC327" s="449"/>
    </row>
    <row r="328" spans="1:29" ht="12" hidden="1" customHeight="1">
      <c r="A328" s="688"/>
      <c r="B328" s="586"/>
      <c r="C328" s="587"/>
      <c r="D328" s="588"/>
      <c r="E328" s="599"/>
      <c r="F328" s="590"/>
      <c r="G328" s="590"/>
      <c r="H328" s="590"/>
      <c r="I328" s="591"/>
      <c r="J328" s="534"/>
      <c r="K328" s="522"/>
      <c r="L328" s="539"/>
      <c r="M328" s="540"/>
      <c r="N328" s="515"/>
      <c r="O328" s="515"/>
      <c r="P328" s="515"/>
      <c r="Q328" s="520"/>
      <c r="R328" s="682"/>
      <c r="S328" s="4758">
        <f>'VISITA DE INSP.'!AT27</f>
        <v>10</v>
      </c>
      <c r="T328" s="4759"/>
      <c r="U328" s="4759"/>
      <c r="V328" s="4759"/>
      <c r="W328" s="4759"/>
      <c r="X328" s="4760"/>
      <c r="Y328" s="684"/>
      <c r="Z328" s="4773" t="s">
        <v>520</v>
      </c>
      <c r="AA328" s="4774"/>
      <c r="AB328" s="4774"/>
      <c r="AC328" s="4775"/>
    </row>
    <row r="329" spans="1:29" ht="12" hidden="1" customHeight="1">
      <c r="A329" s="688"/>
      <c r="B329" s="586"/>
      <c r="C329" s="587"/>
      <c r="D329" s="588"/>
      <c r="E329" s="599"/>
      <c r="F329" s="590"/>
      <c r="G329" s="590"/>
      <c r="H329" s="590"/>
      <c r="I329" s="591"/>
      <c r="J329" s="534"/>
      <c r="K329" s="541"/>
      <c r="L329" s="541"/>
      <c r="M329" s="541"/>
      <c r="N329" s="541"/>
      <c r="O329" s="541"/>
      <c r="P329" s="541"/>
      <c r="Q329" s="520"/>
      <c r="R329" s="682"/>
      <c r="S329" s="4830">
        <f>'VISITA DE INSP.'!AS27</f>
        <v>0</v>
      </c>
      <c r="T329" s="4831"/>
      <c r="U329" s="4831"/>
      <c r="V329" s="4831"/>
      <c r="W329" s="4831"/>
      <c r="X329" s="4832"/>
      <c r="Y329" s="684"/>
      <c r="Z329" s="446" t="s">
        <v>396</v>
      </c>
      <c r="AA329" s="447" t="str">
        <f>J313</f>
        <v xml:space="preserve">  COL-</v>
      </c>
      <c r="AB329" s="448"/>
      <c r="AC329" s="449"/>
    </row>
    <row r="330" spans="1:29" ht="12" hidden="1" customHeight="1">
      <c r="A330" s="688"/>
      <c r="B330" s="586"/>
      <c r="C330" s="603" t="str">
        <f>Y305</f>
        <v xml:space="preserve">       </v>
      </c>
      <c r="D330" s="604"/>
      <c r="E330" s="604"/>
      <c r="F330" s="604"/>
      <c r="G330" s="604"/>
      <c r="H330" s="605"/>
      <c r="I330" s="591"/>
      <c r="J330" s="606" t="str">
        <f>J314</f>
        <v xml:space="preserve">  C.P.-</v>
      </c>
      <c r="K330" s="603" t="str">
        <f>C330</f>
        <v xml:space="preserve">       </v>
      </c>
      <c r="L330" s="604"/>
      <c r="M330" s="604"/>
      <c r="N330" s="604"/>
      <c r="O330" s="604"/>
      <c r="P330" s="605"/>
      <c r="Q330" s="597"/>
      <c r="R330" s="593"/>
      <c r="S330" s="607" t="str">
        <f>K330</f>
        <v xml:space="preserve">       </v>
      </c>
      <c r="T330" s="608"/>
      <c r="U330" s="608"/>
      <c r="V330" s="608"/>
      <c r="W330" s="608"/>
      <c r="X330" s="609"/>
      <c r="Y330" s="597"/>
      <c r="Z330" s="4773" t="s">
        <v>529</v>
      </c>
      <c r="AA330" s="4774"/>
      <c r="AB330" s="4774"/>
      <c r="AC330" s="4775"/>
    </row>
    <row r="331" spans="1:29" ht="12" hidden="1" customHeight="1" thickBot="1">
      <c r="A331" s="688"/>
      <c r="B331" s="610"/>
      <c r="C331" s="4817" t="s">
        <v>534</v>
      </c>
      <c r="D331" s="4818"/>
      <c r="E331" s="4818"/>
      <c r="F331" s="4818"/>
      <c r="G331" s="4818"/>
      <c r="H331" s="4819"/>
      <c r="I331" s="611"/>
      <c r="J331" s="612"/>
      <c r="K331" s="4820" t="s">
        <v>534</v>
      </c>
      <c r="L331" s="4821"/>
      <c r="M331" s="4821"/>
      <c r="N331" s="4821"/>
      <c r="O331" s="4821"/>
      <c r="P331" s="4822"/>
      <c r="Q331" s="613"/>
      <c r="R331" s="614"/>
      <c r="S331" s="4817" t="s">
        <v>534</v>
      </c>
      <c r="T331" s="4818"/>
      <c r="U331" s="4818"/>
      <c r="V331" s="4818"/>
      <c r="W331" s="4818"/>
      <c r="X331" s="4819"/>
      <c r="Y331" s="615"/>
      <c r="Z331" s="446" t="s">
        <v>396</v>
      </c>
      <c r="AA331" s="447" t="str">
        <f>J314</f>
        <v xml:space="preserve">  C.P.-</v>
      </c>
      <c r="AB331" s="448"/>
      <c r="AC331" s="449"/>
    </row>
    <row r="332" spans="1:29" ht="12" customHeight="1" thickTop="1" thickBot="1">
      <c r="A332" s="688"/>
      <c r="B332" s="4783" t="s">
        <v>538</v>
      </c>
      <c r="C332" s="4784"/>
      <c r="D332" s="4784"/>
      <c r="E332" s="4784"/>
      <c r="F332" s="552"/>
      <c r="G332" s="551">
        <f>VLOOKUP(F332,BE38:BG72,2,2)</f>
        <v>0</v>
      </c>
      <c r="H332" s="511"/>
      <c r="I332" s="513"/>
      <c r="J332" s="4783" t="s">
        <v>539</v>
      </c>
      <c r="K332" s="4784"/>
      <c r="L332" s="4784"/>
      <c r="M332" s="4784"/>
      <c r="N332" s="552" t="s">
        <v>540</v>
      </c>
      <c r="O332" s="628"/>
      <c r="P332" s="629"/>
      <c r="Q332" s="630"/>
      <c r="R332" s="4783" t="s">
        <v>541</v>
      </c>
      <c r="S332" s="4784"/>
      <c r="T332" s="4784"/>
      <c r="U332" s="4785"/>
      <c r="V332" s="508" t="s">
        <v>396</v>
      </c>
      <c r="W332" s="553">
        <f>O305</f>
        <v>0</v>
      </c>
      <c r="X332" s="554">
        <f>R305</f>
        <v>0</v>
      </c>
      <c r="Y332" s="555">
        <f>U305</f>
        <v>0</v>
      </c>
      <c r="Z332" s="4773" t="s">
        <v>542</v>
      </c>
      <c r="AA332" s="4774"/>
      <c r="AB332" s="4774"/>
      <c r="AC332" s="4775"/>
    </row>
    <row r="333" spans="1:29" ht="12" customHeight="1" thickTop="1" thickBot="1">
      <c r="A333" s="688"/>
      <c r="B333" s="651"/>
      <c r="C333" s="652"/>
      <c r="D333" s="652"/>
      <c r="E333" s="652"/>
      <c r="F333" s="652"/>
      <c r="G333" s="652"/>
      <c r="H333" s="652"/>
      <c r="I333" s="652"/>
      <c r="J333" s="652"/>
      <c r="K333" s="652"/>
      <c r="L333" s="652"/>
      <c r="M333" s="652"/>
      <c r="N333" s="652"/>
      <c r="O333" s="652"/>
      <c r="P333" s="652"/>
      <c r="Q333" s="652"/>
      <c r="R333" s="652"/>
      <c r="S333" s="652"/>
      <c r="T333" s="652"/>
      <c r="U333" s="652"/>
      <c r="V333" s="652"/>
      <c r="W333" s="652"/>
      <c r="X333" s="652"/>
      <c r="Y333" s="674"/>
      <c r="Z333" s="558" t="s">
        <v>396</v>
      </c>
      <c r="AA333" s="559" t="e">
        <f>W313</f>
        <v>#REF!</v>
      </c>
      <c r="AB333" s="560"/>
      <c r="AC333" s="561"/>
    </row>
    <row r="334" spans="1:29" ht="12" customHeight="1" thickTop="1">
      <c r="A334" s="688"/>
      <c r="B334" s="4761" t="s">
        <v>386</v>
      </c>
      <c r="C334" s="4762"/>
      <c r="D334" s="4762"/>
      <c r="E334" s="4762"/>
      <c r="F334" s="4762"/>
      <c r="G334" s="4762"/>
      <c r="H334" s="4762"/>
      <c r="I334" s="4763"/>
      <c r="J334" s="562">
        <f>COUNTA(I339:I340)</f>
        <v>0</v>
      </c>
      <c r="K334" s="563" t="s">
        <v>387</v>
      </c>
      <c r="L334" s="564"/>
      <c r="M334" s="564"/>
      <c r="N334" s="564"/>
      <c r="O334" s="564"/>
      <c r="P334" s="564"/>
      <c r="Q334" s="564"/>
      <c r="R334" s="564"/>
      <c r="S334" s="564"/>
      <c r="T334" s="564"/>
      <c r="U334" s="564"/>
      <c r="V334" s="564"/>
      <c r="W334" s="564"/>
      <c r="X334" s="564"/>
      <c r="Y334" s="441"/>
      <c r="Z334" s="4770" t="s">
        <v>388</v>
      </c>
      <c r="AA334" s="4771"/>
      <c r="AB334" s="4771"/>
      <c r="AC334" s="4772"/>
    </row>
    <row r="335" spans="1:29" ht="12" customHeight="1">
      <c r="A335" s="688"/>
      <c r="B335" s="4764"/>
      <c r="C335" s="4765"/>
      <c r="D335" s="4765"/>
      <c r="E335" s="4765"/>
      <c r="F335" s="4765"/>
      <c r="G335" s="4765"/>
      <c r="H335" s="4765"/>
      <c r="I335" s="4766"/>
      <c r="J335" s="565" t="str">
        <f>CONCATENATE(O335,J352,R335,K352,U335,L352)</f>
        <v xml:space="preserve">       </v>
      </c>
      <c r="K335" s="699" t="s">
        <v>395</v>
      </c>
      <c r="L335" s="700"/>
      <c r="M335" s="539"/>
      <c r="N335" s="539"/>
      <c r="O335" s="701"/>
      <c r="P335" s="573"/>
      <c r="R335" s="701"/>
      <c r="S335" s="573"/>
      <c r="U335" s="701"/>
      <c r="V335" s="702"/>
      <c r="W335" s="703"/>
      <c r="X335" s="641"/>
      <c r="Y335" s="445" t="str">
        <f>CONCATENATE(U335,K352,O335,J352,R335,L352)</f>
        <v xml:space="preserve">       </v>
      </c>
      <c r="Z335" s="446" t="s">
        <v>396</v>
      </c>
      <c r="AA335" s="447" t="str">
        <f>J335</f>
        <v xml:space="preserve">       </v>
      </c>
      <c r="AB335" s="448"/>
      <c r="AC335" s="449"/>
    </row>
    <row r="336" spans="1:29" ht="12" customHeight="1" thickBot="1">
      <c r="A336" s="688"/>
      <c r="B336" s="4767"/>
      <c r="C336" s="4768"/>
      <c r="D336" s="4768"/>
      <c r="E336" s="4768"/>
      <c r="F336" s="4768"/>
      <c r="G336" s="4768"/>
      <c r="H336" s="4768"/>
      <c r="I336" s="4769"/>
      <c r="J336" s="565"/>
      <c r="K336" s="539" t="str">
        <f>'VISITA DE INSP.'!D28</f>
        <v>ALEMAN SANTOS * MIRIAM</v>
      </c>
      <c r="L336" s="539"/>
      <c r="M336" s="539"/>
      <c r="N336" s="539"/>
      <c r="P336" s="704"/>
      <c r="Q336" s="705"/>
      <c r="S336" s="704"/>
      <c r="T336" s="705"/>
      <c r="U336" s="706"/>
      <c r="V336" s="706"/>
      <c r="W336" s="706"/>
      <c r="X336" s="706"/>
      <c r="Y336" s="450" t="str">
        <f>CONCATENATE(V337,L352,W337)</f>
        <v>11007831200.0   078312 E028100.0233330</v>
      </c>
      <c r="Z336" s="4773" t="s">
        <v>400</v>
      </c>
      <c r="AA336" s="4774"/>
      <c r="AB336" s="4774"/>
      <c r="AC336" s="4775"/>
    </row>
    <row r="337" spans="1:30" ht="12" customHeight="1" thickTop="1">
      <c r="A337" s="688"/>
      <c r="B337" s="452">
        <v>1</v>
      </c>
      <c r="C337" s="453" t="s">
        <v>406</v>
      </c>
      <c r="D337" s="454" t="s">
        <v>407</v>
      </c>
      <c r="E337" s="455" t="s">
        <v>408</v>
      </c>
      <c r="F337" s="456" t="s">
        <v>409</v>
      </c>
      <c r="G337" s="457" t="e">
        <f>G307</f>
        <v>#REF!</v>
      </c>
      <c r="H337" s="458"/>
      <c r="I337" s="459"/>
      <c r="J337" s="565" t="str">
        <f>CONCATENATE(N337,K352,O337)</f>
        <v>AESM711024  NA</v>
      </c>
      <c r="K337" s="699" t="s">
        <v>410</v>
      </c>
      <c r="L337" s="700"/>
      <c r="M337" s="707"/>
      <c r="N337" s="708" t="str">
        <f>MID('VISITA DE INSP.'!AN28,1,10)</f>
        <v>AESM711024</v>
      </c>
      <c r="O337" s="701" t="str">
        <f>MID('VISITA DE INSP.'!AN28,12,15)</f>
        <v>NA</v>
      </c>
      <c r="P337" s="641"/>
      <c r="Q337" s="700"/>
      <c r="R337" s="709"/>
      <c r="T337" s="710" t="s">
        <v>411</v>
      </c>
      <c r="U337" s="641"/>
      <c r="V337" s="711" t="s">
        <v>179</v>
      </c>
      <c r="W337" s="712" t="str">
        <f>'VISITA DE INSP.'!AO28</f>
        <v>078312 E028100.0233330</v>
      </c>
      <c r="X337" s="713"/>
      <c r="Y337" s="460" t="str">
        <f>CONCATENATE(V337,K352,W337)</f>
        <v>11007831200.0  078312 E028100.0233330</v>
      </c>
      <c r="Z337" s="446" t="s">
        <v>396</v>
      </c>
      <c r="AA337" s="447" t="str">
        <f>Y335</f>
        <v xml:space="preserve">       </v>
      </c>
      <c r="AB337" s="448"/>
      <c r="AC337" s="449"/>
    </row>
    <row r="338" spans="1:30" ht="12" customHeight="1">
      <c r="A338" s="688"/>
      <c r="B338" s="462" t="s">
        <v>416</v>
      </c>
      <c r="C338" s="463"/>
      <c r="D338" s="464"/>
      <c r="E338" s="465">
        <f t="shared" ref="E338:E343" si="19">C338+D338</f>
        <v>0</v>
      </c>
      <c r="F338" s="466" t="s">
        <v>417</v>
      </c>
      <c r="G338" s="467" t="e">
        <f>G308</f>
        <v>#REF!</v>
      </c>
      <c r="H338" s="468" t="e">
        <f>H308</f>
        <v>#REF!</v>
      </c>
      <c r="I338" s="469"/>
      <c r="J338" s="565"/>
      <c r="K338" s="714"/>
      <c r="L338" s="715"/>
      <c r="M338" s="716"/>
      <c r="O338" s="716"/>
      <c r="P338" s="716"/>
      <c r="Q338" s="717" t="s">
        <v>418</v>
      </c>
      <c r="R338" s="714"/>
      <c r="S338" s="540"/>
      <c r="T338" s="540"/>
      <c r="U338" s="716"/>
      <c r="V338" s="716"/>
      <c r="W338" s="716"/>
      <c r="X338" s="718"/>
      <c r="Y338" s="450" t="str">
        <f>MID(W337,1,5)</f>
        <v>07831</v>
      </c>
      <c r="Z338" s="4773" t="s">
        <v>419</v>
      </c>
      <c r="AA338" s="4774"/>
      <c r="AB338" s="4774"/>
      <c r="AC338" s="4775"/>
    </row>
    <row r="339" spans="1:30" ht="12" customHeight="1">
      <c r="A339" s="688"/>
      <c r="B339" s="470" t="s">
        <v>423</v>
      </c>
      <c r="C339" s="463"/>
      <c r="D339" s="464"/>
      <c r="E339" s="465">
        <f t="shared" si="19"/>
        <v>0</v>
      </c>
      <c r="F339" s="692" t="s">
        <v>3</v>
      </c>
      <c r="G339" s="463" t="str">
        <f>'VISITA DE INSP.'!B28</f>
        <v>6º</v>
      </c>
      <c r="H339" s="471" t="s">
        <v>406</v>
      </c>
      <c r="I339" s="480"/>
      <c r="J339" s="568">
        <f>COUNTA(I339,I369,I399,I429,I459,I489,I519,I549,I579,I609)</f>
        <v>1</v>
      </c>
      <c r="K339" s="522" t="s">
        <v>424</v>
      </c>
      <c r="L339" s="539"/>
      <c r="M339" s="539"/>
      <c r="N339" s="539"/>
      <c r="O339" s="712" t="str">
        <f>'VISITA DE INSP.'!AU28</f>
        <v>01-09-1996</v>
      </c>
      <c r="P339" s="719"/>
      <c r="Q339" s="720"/>
      <c r="R339" s="714"/>
      <c r="S339" s="714"/>
      <c r="T339" s="714"/>
      <c r="U339" s="574" t="s">
        <v>425</v>
      </c>
      <c r="V339" s="721">
        <f>'VISITA DE INSP.'!AT28</f>
        <v>20</v>
      </c>
      <c r="W339" s="722" t="str">
        <f>Y339</f>
        <v>HONORARIO</v>
      </c>
      <c r="X339" s="723"/>
      <c r="Y339" s="473" t="str">
        <f>VLOOKUP(V339,AH2:AI14,2)</f>
        <v>HONORARIO</v>
      </c>
      <c r="Z339" s="446" t="s">
        <v>396</v>
      </c>
      <c r="AA339" s="447" t="str">
        <f>J337</f>
        <v>AESM711024  NA</v>
      </c>
      <c r="AB339" s="448"/>
      <c r="AC339" s="449"/>
    </row>
    <row r="340" spans="1:30" ht="12" customHeight="1">
      <c r="A340" s="688"/>
      <c r="B340" s="470" t="s">
        <v>408</v>
      </c>
      <c r="C340" s="463"/>
      <c r="D340" s="464"/>
      <c r="E340" s="465">
        <f t="shared" si="19"/>
        <v>0</v>
      </c>
      <c r="F340" s="692" t="s">
        <v>4</v>
      </c>
      <c r="G340" s="463" t="str">
        <f>'VISITA DE INSP.'!C28</f>
        <v>A</v>
      </c>
      <c r="H340" s="475" t="s">
        <v>407</v>
      </c>
      <c r="I340" s="623"/>
      <c r="J340" s="568">
        <f>COUNTA(I340,I370,I400,I430,I460,I490,I520,I550,I580,I610)</f>
        <v>0</v>
      </c>
      <c r="K340" s="717"/>
      <c r="L340" s="717"/>
      <c r="M340" s="539"/>
      <c r="N340" s="714"/>
      <c r="O340" s="716"/>
      <c r="P340" s="716"/>
      <c r="Q340" s="716"/>
      <c r="R340" s="539"/>
      <c r="S340" s="539"/>
      <c r="T340" s="714"/>
      <c r="U340" s="714"/>
      <c r="V340" s="724"/>
      <c r="W340" s="724"/>
      <c r="X340" s="716"/>
      <c r="Y340" s="476"/>
      <c r="Z340" s="4773" t="s">
        <v>429</v>
      </c>
      <c r="AA340" s="4774"/>
      <c r="AB340" s="4774"/>
      <c r="AC340" s="4775"/>
    </row>
    <row r="341" spans="1:30" ht="12" customHeight="1">
      <c r="A341" s="688"/>
      <c r="B341" s="470" t="s">
        <v>434</v>
      </c>
      <c r="C341" s="463"/>
      <c r="D341" s="464"/>
      <c r="E341" s="465">
        <f t="shared" si="19"/>
        <v>0</v>
      </c>
      <c r="F341" s="4776" t="s">
        <v>435</v>
      </c>
      <c r="G341" s="4777"/>
      <c r="H341" s="4777" t="s">
        <v>436</v>
      </c>
      <c r="I341" s="4778"/>
      <c r="J341" s="568">
        <f>SUM(J339,J340)</f>
        <v>1</v>
      </c>
      <c r="K341" s="522" t="s">
        <v>437</v>
      </c>
      <c r="L341" s="539"/>
      <c r="M341" s="725"/>
      <c r="N341" s="725"/>
      <c r="O341" s="725"/>
      <c r="P341" s="725"/>
      <c r="Q341" s="725"/>
      <c r="R341" s="726"/>
      <c r="S341" s="725"/>
      <c r="T341" s="727"/>
      <c r="U341" s="725"/>
      <c r="V341" s="574" t="s">
        <v>438</v>
      </c>
      <c r="W341" s="728"/>
      <c r="X341" s="723"/>
      <c r="Y341" s="445" t="str">
        <f>CONCATENATE(O354,S341)</f>
        <v xml:space="preserve">  COL-</v>
      </c>
      <c r="Z341" s="446" t="s">
        <v>396</v>
      </c>
      <c r="AA341" s="447" t="str">
        <f>Y337</f>
        <v>11007831200.0  078312 E028100.0233330</v>
      </c>
      <c r="AB341" s="448"/>
      <c r="AC341" s="449"/>
      <c r="AD341" s="662" t="s">
        <v>79</v>
      </c>
    </row>
    <row r="342" spans="1:30" ht="12" customHeight="1">
      <c r="A342" s="688"/>
      <c r="B342" s="470" t="s">
        <v>443</v>
      </c>
      <c r="C342" s="463"/>
      <c r="D342" s="464"/>
      <c r="E342" s="465">
        <f t="shared" si="19"/>
        <v>0</v>
      </c>
      <c r="F342" s="478" t="s">
        <v>444</v>
      </c>
      <c r="G342" s="624">
        <v>12</v>
      </c>
      <c r="H342" s="479" t="e">
        <f>H312</f>
        <v>#REF!</v>
      </c>
      <c r="I342" s="480" t="e">
        <f>H342+1</f>
        <v>#REF!</v>
      </c>
      <c r="J342" s="569" t="str">
        <f>CONCATENATE(J354,M341,K354,N341,L354,O341,M354,P341,N354,Q341,O354,S341)</f>
        <v>RG-  SM-  MZA-  LTE-  CALLE-  COL-</v>
      </c>
      <c r="K342" s="729"/>
      <c r="L342" s="539"/>
      <c r="M342" s="492"/>
      <c r="N342" s="492"/>
      <c r="O342" s="492"/>
      <c r="P342" s="492"/>
      <c r="Q342" s="492"/>
      <c r="R342" s="730"/>
      <c r="S342" s="731" t="s">
        <v>503</v>
      </c>
      <c r="T342" s="731"/>
      <c r="U342" s="731" t="s">
        <v>504</v>
      </c>
      <c r="V342" s="533"/>
      <c r="W342" s="732"/>
      <c r="X342" s="733"/>
      <c r="Y342" s="450" t="str">
        <f>CONCATENATE(K352,P354,U341)</f>
        <v xml:space="preserve">    C.P.-</v>
      </c>
      <c r="Z342" s="4779" t="s">
        <v>445</v>
      </c>
      <c r="AA342" s="4780"/>
      <c r="AB342" s="4780"/>
      <c r="AC342" s="4781"/>
    </row>
    <row r="343" spans="1:30" ht="12" customHeight="1">
      <c r="A343" s="688"/>
      <c r="B343" s="470" t="s">
        <v>450</v>
      </c>
      <c r="C343" s="463"/>
      <c r="D343" s="464"/>
      <c r="E343" s="465">
        <f t="shared" si="19"/>
        <v>0</v>
      </c>
      <c r="F343" s="692" t="s">
        <v>373</v>
      </c>
      <c r="G343" s="4782" t="s">
        <v>451</v>
      </c>
      <c r="H343" s="4777"/>
      <c r="I343" s="4778"/>
      <c r="J343" s="565" t="str">
        <f>CONCATENATE(O354,S341)</f>
        <v xml:space="preserve">  COL-</v>
      </c>
      <c r="K343" s="522" t="s">
        <v>452</v>
      </c>
      <c r="L343" s="539"/>
      <c r="M343" s="539"/>
      <c r="N343" s="572" t="e">
        <f>#REF!</f>
        <v>#REF!</v>
      </c>
      <c r="O343" s="573"/>
      <c r="P343" s="573"/>
      <c r="Q343" s="573"/>
      <c r="R343" s="573"/>
      <c r="S343" s="574" t="s">
        <v>453</v>
      </c>
      <c r="T343" s="572" t="e">
        <f>#REF!</f>
        <v>#REF!</v>
      </c>
      <c r="U343" s="575"/>
      <c r="V343" s="574" t="s">
        <v>454</v>
      </c>
      <c r="W343" s="576" t="e">
        <f>#REF!</f>
        <v>#REF!</v>
      </c>
      <c r="X343" s="575"/>
      <c r="Y343" s="445"/>
      <c r="Z343" s="446" t="s">
        <v>396</v>
      </c>
      <c r="AA343" s="482" t="str">
        <f>O339</f>
        <v>01-09-1996</v>
      </c>
      <c r="AB343" s="673"/>
      <c r="AC343" s="483"/>
    </row>
    <row r="344" spans="1:30" ht="12" customHeight="1" thickBot="1">
      <c r="A344" s="688"/>
      <c r="B344" s="484" t="s">
        <v>456</v>
      </c>
      <c r="C344" s="485"/>
      <c r="D344" s="486"/>
      <c r="E344" s="465">
        <f>E342-E343</f>
        <v>0</v>
      </c>
      <c r="F344" s="577">
        <f>F314</f>
        <v>1</v>
      </c>
      <c r="G344" s="578" t="e">
        <f>G314</f>
        <v>#REF!</v>
      </c>
      <c r="H344" s="578" t="e">
        <f>H314</f>
        <v>#REF!</v>
      </c>
      <c r="I344" s="579" t="e">
        <f>I314</f>
        <v>#REF!</v>
      </c>
      <c r="J344" s="580" t="str">
        <f>CONCATENATE(,P354,U341)</f>
        <v xml:space="preserve">  C.P.-</v>
      </c>
      <c r="K344" s="490"/>
      <c r="L344" s="491"/>
      <c r="M344" s="492"/>
      <c r="N344" s="492"/>
      <c r="O344" s="492"/>
      <c r="P344" s="492"/>
      <c r="Q344" s="492"/>
      <c r="R344" s="492"/>
      <c r="S344" s="492"/>
      <c r="T344" s="493"/>
      <c r="V344" s="494"/>
      <c r="W344" s="495"/>
      <c r="X344" s="496"/>
      <c r="Y344" s="497"/>
      <c r="Z344" s="4773" t="s">
        <v>457</v>
      </c>
      <c r="AA344" s="4774"/>
      <c r="AB344" s="4774"/>
      <c r="AC344" s="4775"/>
    </row>
    <row r="345" spans="1:30" ht="12" customHeight="1" thickTop="1" thickBot="1">
      <c r="A345" s="688"/>
      <c r="B345" s="4783" t="s">
        <v>460</v>
      </c>
      <c r="C345" s="4784"/>
      <c r="D345" s="4784"/>
      <c r="E345" s="4785"/>
      <c r="F345" s="498" t="s">
        <v>396</v>
      </c>
      <c r="G345" s="647" t="str">
        <f>G315</f>
        <v>CERVANTES BENITEZ * ANTONIA</v>
      </c>
      <c r="H345" s="500"/>
      <c r="I345" s="500"/>
      <c r="J345" s="501"/>
      <c r="K345" s="501"/>
      <c r="L345" s="501"/>
      <c r="M345" s="504"/>
      <c r="N345" s="4783" t="s">
        <v>461</v>
      </c>
      <c r="O345" s="4786"/>
      <c r="P345" s="4786"/>
      <c r="Q345" s="4787"/>
      <c r="R345" s="625" t="s">
        <v>7</v>
      </c>
      <c r="S345" s="499" t="str">
        <f>VLOOKUP(R345,AE1:AF16,2,1)</f>
        <v>DOCENTE</v>
      </c>
      <c r="T345" s="501"/>
      <c r="U345" s="501"/>
      <c r="V345" s="501"/>
      <c r="W345" s="501"/>
      <c r="X345" s="501"/>
      <c r="Y345" s="504"/>
      <c r="Z345" s="446" t="s">
        <v>396</v>
      </c>
      <c r="AA345" s="461" t="str">
        <f>Y339</f>
        <v>HONORARIO</v>
      </c>
      <c r="AB345" s="448"/>
      <c r="AC345" s="505">
        <f>V339</f>
        <v>20</v>
      </c>
    </row>
    <row r="346" spans="1:30" ht="12" customHeight="1" thickTop="1" thickBot="1">
      <c r="A346" s="688"/>
      <c r="B346" s="4783" t="s">
        <v>465</v>
      </c>
      <c r="C346" s="4786"/>
      <c r="D346" s="4786"/>
      <c r="E346" s="4787"/>
      <c r="F346" s="506" t="s">
        <v>396</v>
      </c>
      <c r="G346" s="648" t="str">
        <f>G316</f>
        <v>JESUS MARTIN RICALDE CASTRO</v>
      </c>
      <c r="H346" s="501"/>
      <c r="I346" s="501"/>
      <c r="J346" s="501"/>
      <c r="K346" s="501"/>
      <c r="L346" s="501"/>
      <c r="M346" s="504"/>
      <c r="N346" s="4783" t="s">
        <v>466</v>
      </c>
      <c r="O346" s="4786"/>
      <c r="P346" s="4786"/>
      <c r="Q346" s="4787"/>
      <c r="R346" s="625">
        <v>1</v>
      </c>
      <c r="S346" s="499" t="str">
        <f>VLOOKUP(R346,AE17:AF22,2,2)</f>
        <v>BASE</v>
      </c>
      <c r="T346" s="501"/>
      <c r="U346" s="501"/>
      <c r="V346" s="501"/>
      <c r="W346" s="501"/>
      <c r="X346" s="501"/>
      <c r="Y346" s="507" t="str">
        <f>CONCATENATE(M342,M341,N342,N341,O342,O341,P342,P341)</f>
        <v/>
      </c>
      <c r="Z346" s="4773" t="s">
        <v>467</v>
      </c>
      <c r="AA346" s="4774"/>
      <c r="AB346" s="4774"/>
      <c r="AC346" s="4775"/>
    </row>
    <row r="347" spans="1:30" ht="12" customHeight="1" thickTop="1" thickBot="1">
      <c r="A347" s="688"/>
      <c r="B347" s="4788" t="s">
        <v>471</v>
      </c>
      <c r="C347" s="4789"/>
      <c r="D347" s="4789"/>
      <c r="E347" s="4790"/>
      <c r="F347" s="506" t="s">
        <v>396</v>
      </c>
      <c r="G347" s="648" t="e">
        <f>G317</f>
        <v>#REF!</v>
      </c>
      <c r="H347" s="501"/>
      <c r="I347" s="501"/>
      <c r="J347" s="501"/>
      <c r="K347" s="501"/>
      <c r="L347" s="501"/>
      <c r="M347" s="501"/>
      <c r="N347" s="4783" t="s">
        <v>472</v>
      </c>
      <c r="O347" s="4786"/>
      <c r="P347" s="4786"/>
      <c r="Q347" s="4787"/>
      <c r="R347" s="625">
        <v>4</v>
      </c>
      <c r="S347" s="499" t="str">
        <f>VLOOKUP(R347,AE25:AF34,2,2)</f>
        <v>ALTA DEFINITIVA. (Si la persona se da de alta en al escuela)</v>
      </c>
      <c r="T347" s="501"/>
      <c r="U347" s="501"/>
      <c r="V347" s="501"/>
      <c r="W347" s="501"/>
      <c r="X347" s="501"/>
      <c r="Y347" s="504"/>
      <c r="Z347" s="446" t="s">
        <v>396</v>
      </c>
      <c r="AA347" s="447" t="str">
        <f>J342</f>
        <v>RG-  SM-  MZA-  LTE-  CALLE-  COL-</v>
      </c>
      <c r="AB347" s="448"/>
      <c r="AC347" s="449"/>
      <c r="AD347" s="662" t="s">
        <v>79</v>
      </c>
    </row>
    <row r="348" spans="1:30" ht="12" customHeight="1" thickTop="1" thickBot="1">
      <c r="A348" s="688"/>
      <c r="B348" s="4788" t="s">
        <v>475</v>
      </c>
      <c r="C348" s="4789"/>
      <c r="D348" s="4789"/>
      <c r="E348" s="4790"/>
      <c r="F348" s="508"/>
      <c r="G348" s="648"/>
      <c r="H348" s="501"/>
      <c r="I348" s="501"/>
      <c r="J348" s="501"/>
      <c r="K348" s="501"/>
      <c r="L348" s="501"/>
      <c r="M348" s="501"/>
      <c r="N348" s="4783" t="s">
        <v>476</v>
      </c>
      <c r="O348" s="4786"/>
      <c r="P348" s="4786"/>
      <c r="Q348" s="4787"/>
      <c r="R348" s="625">
        <v>2</v>
      </c>
      <c r="S348" s="499" t="str">
        <f>VLOOKUP(R348,AE35:AF43,2,2)</f>
        <v>FEDERAL TRANFERIDA  (18 de mayo de 2005 )</v>
      </c>
      <c r="T348" s="501"/>
      <c r="U348" s="501"/>
      <c r="V348" s="501"/>
      <c r="W348" s="501"/>
      <c r="X348" s="501"/>
      <c r="Y348" s="504"/>
      <c r="Z348" s="4773" t="s">
        <v>477</v>
      </c>
      <c r="AA348" s="4774"/>
      <c r="AB348" s="4774"/>
      <c r="AC348" s="4775"/>
    </row>
    <row r="349" spans="1:30" ht="12" customHeight="1" thickTop="1" thickBot="1">
      <c r="A349" s="688"/>
      <c r="B349" s="4791" t="s">
        <v>479</v>
      </c>
      <c r="C349" s="4792"/>
      <c r="D349" s="4792"/>
      <c r="E349" s="4793"/>
      <c r="F349" s="625"/>
      <c r="G349" s="582">
        <f>VLOOKUP(F349,AE69:AF78,2,1)</f>
        <v>0</v>
      </c>
      <c r="H349" s="501"/>
      <c r="I349" s="501"/>
      <c r="J349" s="501"/>
      <c r="K349" s="501"/>
      <c r="L349" s="584"/>
      <c r="M349" s="619">
        <f>COUNTA(F349,F467,F587,F707)</f>
        <v>2</v>
      </c>
      <c r="N349" s="4783" t="s">
        <v>480</v>
      </c>
      <c r="O349" s="4786"/>
      <c r="P349" s="4786"/>
      <c r="Q349" s="4787"/>
      <c r="R349" s="625"/>
      <c r="S349" s="499">
        <f>VLOOKUP(R349,AE44:AF68,2,2)</f>
        <v>0</v>
      </c>
      <c r="T349" s="501"/>
      <c r="U349" s="501"/>
      <c r="V349" s="501"/>
      <c r="W349" s="501"/>
      <c r="X349" s="501"/>
      <c r="Y349" s="504"/>
      <c r="Z349" s="446" t="s">
        <v>481</v>
      </c>
      <c r="AA349" s="447" t="str">
        <f>'VISITA DE INSP.'!AQ28</f>
        <v>23DPR0593I</v>
      </c>
      <c r="AB349" s="448"/>
      <c r="AC349" s="449"/>
    </row>
    <row r="350" spans="1:30" ht="12" customHeight="1" thickTop="1" thickBot="1">
      <c r="A350" s="688"/>
      <c r="B350" s="4791" t="s">
        <v>484</v>
      </c>
      <c r="C350" s="4792"/>
      <c r="D350" s="4792"/>
      <c r="E350" s="4793"/>
      <c r="F350" s="625"/>
      <c r="G350" s="582">
        <f>VLOOKUP(F350,AE79:AF85,2,1)</f>
        <v>0</v>
      </c>
      <c r="H350" s="501"/>
      <c r="I350" s="501"/>
      <c r="J350" s="501"/>
      <c r="K350" s="501"/>
      <c r="L350" s="501"/>
      <c r="M350" s="504"/>
      <c r="N350" s="4783" t="s">
        <v>485</v>
      </c>
      <c r="O350" s="4786"/>
      <c r="P350" s="4786"/>
      <c r="Q350" s="4787"/>
      <c r="R350" s="625"/>
      <c r="S350" s="553"/>
      <c r="T350" s="511"/>
      <c r="U350" s="512"/>
      <c r="V350" s="511"/>
      <c r="W350" s="511"/>
      <c r="X350" s="511"/>
      <c r="Y350" s="513"/>
      <c r="Z350" s="4773" t="s">
        <v>486</v>
      </c>
      <c r="AA350" s="4774"/>
      <c r="AB350" s="4774"/>
      <c r="AC350" s="4775"/>
    </row>
    <row r="351" spans="1:30" ht="12" hidden="1" customHeight="1" thickTop="1" thickBot="1">
      <c r="A351" s="688"/>
      <c r="B351" s="4811" t="s">
        <v>488</v>
      </c>
      <c r="C351" s="4812"/>
      <c r="D351" s="4812"/>
      <c r="E351" s="4812"/>
      <c r="F351" s="4812"/>
      <c r="G351" s="4812"/>
      <c r="H351" s="4812"/>
      <c r="I351" s="4812"/>
      <c r="J351" s="4794" t="s">
        <v>488</v>
      </c>
      <c r="K351" s="4795"/>
      <c r="L351" s="4795"/>
      <c r="M351" s="4795"/>
      <c r="N351" s="4795"/>
      <c r="O351" s="4795"/>
      <c r="P351" s="4795"/>
      <c r="Q351" s="4796"/>
      <c r="R351" s="4811" t="s">
        <v>488</v>
      </c>
      <c r="S351" s="4812"/>
      <c r="T351" s="4812"/>
      <c r="U351" s="4812"/>
      <c r="V351" s="4812"/>
      <c r="W351" s="4812"/>
      <c r="X351" s="4812"/>
      <c r="Y351" s="4812"/>
      <c r="Z351" s="446" t="s">
        <v>489</v>
      </c>
      <c r="AA351" s="447"/>
      <c r="AB351" s="448"/>
      <c r="AC351" s="449"/>
    </row>
    <row r="352" spans="1:30" ht="12" hidden="1" customHeight="1" thickTop="1" thickBot="1">
      <c r="A352" s="688"/>
      <c r="B352" s="586"/>
      <c r="C352" s="587"/>
      <c r="D352" s="588"/>
      <c r="E352" s="4797"/>
      <c r="F352" s="4797"/>
      <c r="G352" s="589"/>
      <c r="H352" s="590"/>
      <c r="I352" s="591"/>
      <c r="J352" s="592" t="s">
        <v>491</v>
      </c>
      <c r="K352" s="515" t="s">
        <v>491</v>
      </c>
      <c r="L352" s="516" t="s">
        <v>492</v>
      </c>
      <c r="M352" s="4797"/>
      <c r="N352" s="4797"/>
      <c r="O352" s="517" t="s">
        <v>418</v>
      </c>
      <c r="P352" s="518" t="s">
        <v>493</v>
      </c>
      <c r="Q352" s="520"/>
      <c r="R352" s="593"/>
      <c r="S352" s="594"/>
      <c r="T352" s="595"/>
      <c r="U352" s="4797"/>
      <c r="V352" s="4797"/>
      <c r="W352" s="596"/>
      <c r="X352" s="594"/>
      <c r="Y352" s="597"/>
      <c r="Z352" s="4773" t="s">
        <v>494</v>
      </c>
      <c r="AA352" s="4774"/>
      <c r="AB352" s="4774"/>
      <c r="AC352" s="4775"/>
    </row>
    <row r="353" spans="1:29" ht="12" hidden="1" customHeight="1" thickTop="1">
      <c r="A353" s="688"/>
      <c r="B353" s="586"/>
      <c r="C353" s="587"/>
      <c r="D353" s="588"/>
      <c r="E353" s="4813" t="s">
        <v>621</v>
      </c>
      <c r="F353" s="4814"/>
      <c r="G353" s="590"/>
      <c r="H353" s="590"/>
      <c r="I353" s="591"/>
      <c r="J353" s="523"/>
      <c r="K353" s="522"/>
      <c r="L353" s="4798" t="s">
        <v>496</v>
      </c>
      <c r="M353" s="4799"/>
      <c r="N353" s="4799"/>
      <c r="O353" s="4800"/>
      <c r="P353" s="515"/>
      <c r="Q353" s="520"/>
      <c r="R353" s="593"/>
      <c r="S353" s="594"/>
      <c r="T353" s="598"/>
      <c r="U353" s="4815" t="s">
        <v>622</v>
      </c>
      <c r="V353" s="4816"/>
      <c r="W353" s="596"/>
      <c r="X353" s="594"/>
      <c r="Y353" s="597"/>
      <c r="Z353" s="446"/>
      <c r="AA353" s="524">
        <f>VLOOKUP(Z353,BE24:BF34,2,2)</f>
        <v>0</v>
      </c>
      <c r="AB353" s="448"/>
      <c r="AC353" s="449"/>
    </row>
    <row r="354" spans="1:29" ht="12" hidden="1" customHeight="1">
      <c r="A354" s="688"/>
      <c r="B354" s="586"/>
      <c r="C354" s="587"/>
      <c r="D354" s="588"/>
      <c r="E354" s="599"/>
      <c r="F354" s="590"/>
      <c r="G354" s="590"/>
      <c r="H354" s="590"/>
      <c r="I354" s="591"/>
      <c r="J354" s="526" t="s">
        <v>498</v>
      </c>
      <c r="K354" s="527" t="s">
        <v>499</v>
      </c>
      <c r="L354" s="527" t="s">
        <v>500</v>
      </c>
      <c r="M354" s="527" t="s">
        <v>501</v>
      </c>
      <c r="N354" s="527" t="s">
        <v>502</v>
      </c>
      <c r="O354" s="527" t="s">
        <v>503</v>
      </c>
      <c r="P354" s="527" t="s">
        <v>504</v>
      </c>
      <c r="Q354" s="600"/>
      <c r="R354" s="4752" t="str">
        <f>'VISITA DE INSP.'!D28</f>
        <v>ALEMAN SANTOS * MIRIAM</v>
      </c>
      <c r="S354" s="4753"/>
      <c r="T354" s="4753"/>
      <c r="U354" s="4753"/>
      <c r="V354" s="4753"/>
      <c r="W354" s="4753"/>
      <c r="X354" s="4753"/>
      <c r="Y354" s="4754"/>
      <c r="Z354" s="4801" t="s">
        <v>506</v>
      </c>
      <c r="AA354" s="4802"/>
      <c r="AB354" s="4802"/>
      <c r="AC354" s="4803"/>
    </row>
    <row r="355" spans="1:29" ht="12" hidden="1" customHeight="1">
      <c r="A355" s="688"/>
      <c r="B355" s="586"/>
      <c r="C355" s="587"/>
      <c r="D355" s="588"/>
      <c r="E355" s="599"/>
      <c r="F355" s="590"/>
      <c r="G355" s="590"/>
      <c r="H355" s="590"/>
      <c r="I355" s="591"/>
      <c r="J355" s="534"/>
      <c r="K355" s="531" t="s">
        <v>491</v>
      </c>
      <c r="L355" s="532" t="s">
        <v>491</v>
      </c>
      <c r="M355" s="533"/>
      <c r="N355" s="532"/>
      <c r="O355" s="532"/>
      <c r="P355" s="532"/>
      <c r="Q355" s="520"/>
      <c r="R355" s="682"/>
      <c r="S355" s="4758" t="str">
        <f>'VISITA DE INSP.'!AN28</f>
        <v>AESM711024QNA</v>
      </c>
      <c r="T355" s="4759"/>
      <c r="U355" s="4759"/>
      <c r="V355" s="4759"/>
      <c r="W355" s="4759"/>
      <c r="X355" s="4760"/>
      <c r="Y355" s="683"/>
      <c r="Z355" s="446"/>
      <c r="AA355" s="524" t="e">
        <f>VLOOKUP(Z355,AW84:AX99,2,2)</f>
        <v>#N/A</v>
      </c>
      <c r="AB355" s="448"/>
      <c r="AC355" s="449"/>
    </row>
    <row r="356" spans="1:29" ht="12" hidden="1" customHeight="1">
      <c r="A356" s="688"/>
      <c r="B356" s="586"/>
      <c r="C356" s="587"/>
      <c r="D356" s="588"/>
      <c r="E356" s="599"/>
      <c r="F356" s="590"/>
      <c r="G356" s="590"/>
      <c r="H356" s="590"/>
      <c r="I356" s="591"/>
      <c r="J356" s="538"/>
      <c r="K356" s="537"/>
      <c r="L356" s="527"/>
      <c r="M356" s="527"/>
      <c r="N356" s="527"/>
      <c r="O356" s="527"/>
      <c r="P356" s="527"/>
      <c r="Q356" s="520"/>
      <c r="R356" s="682"/>
      <c r="S356" s="4758" t="str">
        <f>'VISITA DE INSP.'!AO28</f>
        <v>078312 E028100.0233330</v>
      </c>
      <c r="T356" s="4759"/>
      <c r="U356" s="4759"/>
      <c r="V356" s="4759"/>
      <c r="W356" s="4759"/>
      <c r="X356" s="4760"/>
      <c r="Y356" s="683"/>
      <c r="Z356" s="4773" t="s">
        <v>511</v>
      </c>
      <c r="AA356" s="4774"/>
      <c r="AB356" s="4774"/>
      <c r="AC356" s="4775"/>
    </row>
    <row r="357" spans="1:29" ht="12" hidden="1" customHeight="1">
      <c r="A357" s="688"/>
      <c r="B357" s="586"/>
      <c r="C357" s="587"/>
      <c r="D357" s="588"/>
      <c r="E357" s="599"/>
      <c r="F357" s="590"/>
      <c r="G357" s="590"/>
      <c r="H357" s="590"/>
      <c r="I357" s="591"/>
      <c r="J357" s="534"/>
      <c r="K357" s="537"/>
      <c r="L357" s="531"/>
      <c r="M357" s="533"/>
      <c r="N357" s="532"/>
      <c r="O357" s="532"/>
      <c r="P357" s="532"/>
      <c r="Q357" s="520"/>
      <c r="R357" s="682"/>
      <c r="S357" s="4827" t="str">
        <f>'VISITA DE INSP.'!AU28</f>
        <v>01-09-1996</v>
      </c>
      <c r="T357" s="4828"/>
      <c r="U357" s="4828"/>
      <c r="V357" s="4828"/>
      <c r="W357" s="4828"/>
      <c r="X357" s="4829"/>
      <c r="Y357" s="684"/>
      <c r="Z357" s="446"/>
      <c r="AA357" s="524" t="e">
        <f>VLOOKUP(Z357,BB84:BC94,2,2)</f>
        <v>#N/A</v>
      </c>
      <c r="AB357" s="448"/>
      <c r="AC357" s="449"/>
    </row>
    <row r="358" spans="1:29" ht="12" hidden="1" customHeight="1">
      <c r="A358" s="688"/>
      <c r="B358" s="586"/>
      <c r="C358" s="587"/>
      <c r="D358" s="588"/>
      <c r="E358" s="599"/>
      <c r="F358" s="590"/>
      <c r="G358" s="590"/>
      <c r="H358" s="590"/>
      <c r="I358" s="591"/>
      <c r="J358" s="534"/>
      <c r="K358" s="522"/>
      <c r="L358" s="539"/>
      <c r="M358" s="540"/>
      <c r="N358" s="515"/>
      <c r="O358" s="515"/>
      <c r="P358" s="515"/>
      <c r="Q358" s="520"/>
      <c r="R358" s="682"/>
      <c r="S358" s="4758">
        <f>'VISITA DE INSP.'!AT28</f>
        <v>20</v>
      </c>
      <c r="T358" s="4759"/>
      <c r="U358" s="4759"/>
      <c r="V358" s="4759"/>
      <c r="W358" s="4759"/>
      <c r="X358" s="4760"/>
      <c r="Y358" s="684"/>
      <c r="Z358" s="4773" t="s">
        <v>520</v>
      </c>
      <c r="AA358" s="4774"/>
      <c r="AB358" s="4774"/>
      <c r="AC358" s="4775"/>
    </row>
    <row r="359" spans="1:29" ht="12" hidden="1" customHeight="1">
      <c r="A359" s="688"/>
      <c r="B359" s="586"/>
      <c r="C359" s="587"/>
      <c r="D359" s="588"/>
      <c r="E359" s="599"/>
      <c r="F359" s="590"/>
      <c r="G359" s="590"/>
      <c r="H359" s="590"/>
      <c r="I359" s="591"/>
      <c r="J359" s="534"/>
      <c r="K359" s="541"/>
      <c r="L359" s="541"/>
      <c r="M359" s="541"/>
      <c r="N359" s="541"/>
      <c r="O359" s="541"/>
      <c r="P359" s="541"/>
      <c r="Q359" s="520"/>
      <c r="R359" s="682"/>
      <c r="S359" s="4830" t="str">
        <f>'VISITA DE INSP.'!AS28</f>
        <v>7A</v>
      </c>
      <c r="T359" s="4831"/>
      <c r="U359" s="4831"/>
      <c r="V359" s="4831"/>
      <c r="W359" s="4831"/>
      <c r="X359" s="4832"/>
      <c r="Y359" s="684"/>
      <c r="Z359" s="446" t="s">
        <v>396</v>
      </c>
      <c r="AA359" s="447" t="str">
        <f>J343</f>
        <v xml:space="preserve">  COL-</v>
      </c>
      <c r="AB359" s="448"/>
      <c r="AC359" s="449"/>
    </row>
    <row r="360" spans="1:29" ht="12" hidden="1" customHeight="1">
      <c r="A360" s="688"/>
      <c r="B360" s="586"/>
      <c r="C360" s="603" t="str">
        <f>Y335</f>
        <v xml:space="preserve">       </v>
      </c>
      <c r="D360" s="604"/>
      <c r="E360" s="604"/>
      <c r="F360" s="604"/>
      <c r="G360" s="604"/>
      <c r="H360" s="605"/>
      <c r="I360" s="591"/>
      <c r="J360" s="606" t="str">
        <f>J344</f>
        <v xml:space="preserve">  C.P.-</v>
      </c>
      <c r="K360" s="603" t="str">
        <f>C360</f>
        <v xml:space="preserve">       </v>
      </c>
      <c r="L360" s="604"/>
      <c r="M360" s="604"/>
      <c r="N360" s="604"/>
      <c r="O360" s="604"/>
      <c r="P360" s="605"/>
      <c r="Q360" s="597"/>
      <c r="R360" s="593"/>
      <c r="S360" s="607" t="str">
        <f>K360</f>
        <v xml:space="preserve">       </v>
      </c>
      <c r="T360" s="608"/>
      <c r="U360" s="608"/>
      <c r="V360" s="608"/>
      <c r="W360" s="608"/>
      <c r="X360" s="609"/>
      <c r="Y360" s="597"/>
      <c r="Z360" s="4773" t="s">
        <v>529</v>
      </c>
      <c r="AA360" s="4774"/>
      <c r="AB360" s="4774"/>
      <c r="AC360" s="4775"/>
    </row>
    <row r="361" spans="1:29" ht="12" hidden="1" customHeight="1" thickBot="1">
      <c r="A361" s="688"/>
      <c r="B361" s="610"/>
      <c r="C361" s="4817" t="s">
        <v>534</v>
      </c>
      <c r="D361" s="4818"/>
      <c r="E361" s="4818"/>
      <c r="F361" s="4818"/>
      <c r="G361" s="4818"/>
      <c r="H361" s="4819"/>
      <c r="I361" s="611"/>
      <c r="J361" s="612"/>
      <c r="K361" s="4820" t="s">
        <v>534</v>
      </c>
      <c r="L361" s="4821"/>
      <c r="M361" s="4821"/>
      <c r="N361" s="4821"/>
      <c r="O361" s="4821"/>
      <c r="P361" s="4822"/>
      <c r="Q361" s="613"/>
      <c r="R361" s="614"/>
      <c r="S361" s="4817" t="s">
        <v>534</v>
      </c>
      <c r="T361" s="4818"/>
      <c r="U361" s="4818"/>
      <c r="V361" s="4818"/>
      <c r="W361" s="4818"/>
      <c r="X361" s="4819"/>
      <c r="Y361" s="615"/>
      <c r="Z361" s="446" t="s">
        <v>396</v>
      </c>
      <c r="AA361" s="447" t="str">
        <f>J344</f>
        <v xml:space="preserve">  C.P.-</v>
      </c>
      <c r="AB361" s="448"/>
      <c r="AC361" s="449"/>
    </row>
    <row r="362" spans="1:29" ht="12" customHeight="1" thickTop="1" thickBot="1">
      <c r="A362" s="688"/>
      <c r="B362" s="4783" t="s">
        <v>538</v>
      </c>
      <c r="C362" s="4784"/>
      <c r="D362" s="4784"/>
      <c r="E362" s="4784"/>
      <c r="F362" s="552"/>
      <c r="G362" s="551">
        <f>VLOOKUP(F362,BE38:BG72,2,2)</f>
        <v>0</v>
      </c>
      <c r="H362" s="511"/>
      <c r="I362" s="513"/>
      <c r="J362" s="4783" t="s">
        <v>539</v>
      </c>
      <c r="K362" s="4784"/>
      <c r="L362" s="4784"/>
      <c r="M362" s="4784"/>
      <c r="N362" s="552" t="s">
        <v>540</v>
      </c>
      <c r="O362" s="628"/>
      <c r="P362" s="629"/>
      <c r="Q362" s="630"/>
      <c r="R362" s="4783" t="s">
        <v>541</v>
      </c>
      <c r="S362" s="4784"/>
      <c r="T362" s="4784"/>
      <c r="U362" s="4785"/>
      <c r="V362" s="508" t="s">
        <v>396</v>
      </c>
      <c r="W362" s="553">
        <f>O335</f>
        <v>0</v>
      </c>
      <c r="X362" s="554">
        <f>R335</f>
        <v>0</v>
      </c>
      <c r="Y362" s="555">
        <f>U335</f>
        <v>0</v>
      </c>
      <c r="Z362" s="4773" t="s">
        <v>542</v>
      </c>
      <c r="AA362" s="4774"/>
      <c r="AB362" s="4774"/>
      <c r="AC362" s="4775"/>
    </row>
    <row r="363" spans="1:29" ht="12" customHeight="1" thickTop="1" thickBot="1">
      <c r="A363" s="688"/>
      <c r="B363" s="651"/>
      <c r="C363" s="652"/>
      <c r="D363" s="652"/>
      <c r="E363" s="652"/>
      <c r="F363" s="652"/>
      <c r="G363" s="652"/>
      <c r="H363" s="652"/>
      <c r="I363" s="652"/>
      <c r="J363" s="652"/>
      <c r="K363" s="652"/>
      <c r="L363" s="652"/>
      <c r="M363" s="652"/>
      <c r="N363" s="652"/>
      <c r="O363" s="652"/>
      <c r="P363" s="652"/>
      <c r="Q363" s="652"/>
      <c r="R363" s="652"/>
      <c r="S363" s="652"/>
      <c r="T363" s="652"/>
      <c r="U363" s="652"/>
      <c r="V363" s="652"/>
      <c r="W363" s="652"/>
      <c r="X363" s="652"/>
      <c r="Y363" s="674"/>
      <c r="Z363" s="558" t="s">
        <v>396</v>
      </c>
      <c r="AA363" s="559" t="e">
        <f>W343</f>
        <v>#REF!</v>
      </c>
      <c r="AB363" s="560"/>
      <c r="AC363" s="561"/>
    </row>
    <row r="364" spans="1:29" ht="12" customHeight="1" thickTop="1">
      <c r="A364" s="688"/>
      <c r="B364" s="4761" t="s">
        <v>386</v>
      </c>
      <c r="C364" s="4762"/>
      <c r="D364" s="4762"/>
      <c r="E364" s="4762"/>
      <c r="F364" s="4762"/>
      <c r="G364" s="4762"/>
      <c r="H364" s="4762"/>
      <c r="I364" s="4763"/>
      <c r="J364" s="562">
        <f>COUNTA(I369:I370)</f>
        <v>0</v>
      </c>
      <c r="K364" s="563" t="s">
        <v>387</v>
      </c>
      <c r="L364" s="564"/>
      <c r="M364" s="564"/>
      <c r="N364" s="564"/>
      <c r="O364" s="564"/>
      <c r="P364" s="564"/>
      <c r="Q364" s="564"/>
      <c r="R364" s="564"/>
      <c r="S364" s="564"/>
      <c r="T364" s="564"/>
      <c r="U364" s="564"/>
      <c r="V364" s="564"/>
      <c r="W364" s="564"/>
      <c r="X364" s="564"/>
      <c r="Y364" s="441"/>
      <c r="Z364" s="4770" t="s">
        <v>388</v>
      </c>
      <c r="AA364" s="4771"/>
      <c r="AB364" s="4771"/>
      <c r="AC364" s="4772"/>
    </row>
    <row r="365" spans="1:29" ht="12" customHeight="1">
      <c r="A365" s="688"/>
      <c r="B365" s="4764"/>
      <c r="C365" s="4765"/>
      <c r="D365" s="4765"/>
      <c r="E365" s="4765"/>
      <c r="F365" s="4765"/>
      <c r="G365" s="4765"/>
      <c r="H365" s="4765"/>
      <c r="I365" s="4766"/>
      <c r="J365" s="565" t="str">
        <f>CONCATENATE(O365,J382,R365,K382,U365,L382)</f>
        <v xml:space="preserve">       </v>
      </c>
      <c r="K365" s="699" t="s">
        <v>395</v>
      </c>
      <c r="L365" s="700"/>
      <c r="M365" s="539"/>
      <c r="N365" s="539"/>
      <c r="O365" s="701"/>
      <c r="P365" s="573"/>
      <c r="R365" s="701"/>
      <c r="S365" s="573"/>
      <c r="U365" s="701"/>
      <c r="V365" s="702"/>
      <c r="W365" s="703"/>
      <c r="X365" s="641"/>
      <c r="Y365" s="445" t="str">
        <f>CONCATENATE(U365,K382,O365,J382,R365,L382)</f>
        <v xml:space="preserve">       </v>
      </c>
      <c r="Z365" s="446" t="s">
        <v>396</v>
      </c>
      <c r="AA365" s="447" t="str">
        <f>J365</f>
        <v xml:space="preserve">       </v>
      </c>
      <c r="AB365" s="448"/>
      <c r="AC365" s="449"/>
    </row>
    <row r="366" spans="1:29" ht="12" customHeight="1" thickBot="1">
      <c r="A366" s="688"/>
      <c r="B366" s="4767"/>
      <c r="C366" s="4768"/>
      <c r="D366" s="4768"/>
      <c r="E366" s="4768"/>
      <c r="F366" s="4768"/>
      <c r="G366" s="4768"/>
      <c r="H366" s="4768"/>
      <c r="I366" s="4769"/>
      <c r="J366" s="565"/>
      <c r="K366" s="539" t="str">
        <f>'VISITA DE INSP.'!D29</f>
        <v>CRUZ PEREZ * FRANCISCO</v>
      </c>
      <c r="L366" s="539"/>
      <c r="M366" s="539"/>
      <c r="N366" s="539"/>
      <c r="P366" s="704"/>
      <c r="Q366" s="705"/>
      <c r="S366" s="704"/>
      <c r="T366" s="705"/>
      <c r="U366" s="706"/>
      <c r="V366" s="706"/>
      <c r="W366" s="706"/>
      <c r="X366" s="706"/>
      <c r="Y366" s="450" t="str">
        <f>CONCATENATE(V367,L382,W367)</f>
        <v>11007831200.0   078312 E028100.0233698</v>
      </c>
      <c r="Z366" s="4773" t="s">
        <v>400</v>
      </c>
      <c r="AA366" s="4774"/>
      <c r="AB366" s="4774"/>
      <c r="AC366" s="4775"/>
    </row>
    <row r="367" spans="1:29" ht="12" customHeight="1" thickTop="1">
      <c r="A367" s="688"/>
      <c r="B367" s="452">
        <v>1</v>
      </c>
      <c r="C367" s="453" t="s">
        <v>406</v>
      </c>
      <c r="D367" s="454" t="s">
        <v>407</v>
      </c>
      <c r="E367" s="455" t="s">
        <v>408</v>
      </c>
      <c r="F367" s="456" t="s">
        <v>409</v>
      </c>
      <c r="G367" s="457" t="e">
        <f>G337</f>
        <v>#REF!</v>
      </c>
      <c r="H367" s="458"/>
      <c r="I367" s="459"/>
      <c r="J367" s="565" t="str">
        <f>CONCATENATE(N367,K382,O367)</f>
        <v>CUPF711129  H0</v>
      </c>
      <c r="K367" s="699" t="s">
        <v>410</v>
      </c>
      <c r="L367" s="700"/>
      <c r="M367" s="707"/>
      <c r="N367" s="708" t="str">
        <f>MID('VISITA DE INSP.'!AN29,1,10)</f>
        <v>CUPF711129</v>
      </c>
      <c r="O367" s="701" t="str">
        <f>MID('VISITA DE INSP.'!AN29,12,15)</f>
        <v>H0</v>
      </c>
      <c r="P367" s="641"/>
      <c r="Q367" s="700"/>
      <c r="R367" s="709"/>
      <c r="T367" s="710" t="s">
        <v>411</v>
      </c>
      <c r="U367" s="641"/>
      <c r="V367" s="711" t="s">
        <v>179</v>
      </c>
      <c r="W367" s="712" t="str">
        <f>'VISITA DE INSP.'!AO29</f>
        <v>078312 E028100.0233698</v>
      </c>
      <c r="X367" s="713"/>
      <c r="Y367" s="460" t="str">
        <f>CONCATENATE(V367,K382,W367)</f>
        <v>11007831200.0  078312 E028100.0233698</v>
      </c>
      <c r="Z367" s="446" t="s">
        <v>396</v>
      </c>
      <c r="AA367" s="447" t="str">
        <f>Y365</f>
        <v xml:space="preserve">       </v>
      </c>
      <c r="AB367" s="448"/>
      <c r="AC367" s="449"/>
    </row>
    <row r="368" spans="1:29" ht="12" customHeight="1">
      <c r="A368" s="688"/>
      <c r="B368" s="462" t="s">
        <v>416</v>
      </c>
      <c r="C368" s="463"/>
      <c r="D368" s="464"/>
      <c r="E368" s="465">
        <f t="shared" ref="E368:E373" si="20">C368+D368</f>
        <v>0</v>
      </c>
      <c r="F368" s="466" t="s">
        <v>417</v>
      </c>
      <c r="G368" s="467" t="e">
        <f>G338</f>
        <v>#REF!</v>
      </c>
      <c r="H368" s="468" t="e">
        <f>H338</f>
        <v>#REF!</v>
      </c>
      <c r="I368" s="469"/>
      <c r="J368" s="565"/>
      <c r="K368" s="714"/>
      <c r="L368" s="715"/>
      <c r="M368" s="716"/>
      <c r="O368" s="716"/>
      <c r="P368" s="716"/>
      <c r="Q368" s="717" t="s">
        <v>418</v>
      </c>
      <c r="R368" s="714"/>
      <c r="S368" s="540"/>
      <c r="T368" s="540"/>
      <c r="U368" s="716"/>
      <c r="V368" s="716"/>
      <c r="W368" s="716"/>
      <c r="X368" s="718"/>
      <c r="Y368" s="450" t="str">
        <f>MID(W367,1,5)</f>
        <v>07831</v>
      </c>
      <c r="Z368" s="4773" t="s">
        <v>419</v>
      </c>
      <c r="AA368" s="4774"/>
      <c r="AB368" s="4774"/>
      <c r="AC368" s="4775"/>
    </row>
    <row r="369" spans="1:30" ht="12" customHeight="1">
      <c r="A369" s="688"/>
      <c r="B369" s="470" t="s">
        <v>423</v>
      </c>
      <c r="C369" s="463"/>
      <c r="D369" s="464"/>
      <c r="E369" s="465">
        <f t="shared" si="20"/>
        <v>0</v>
      </c>
      <c r="F369" s="692" t="s">
        <v>3</v>
      </c>
      <c r="G369" s="463" t="str">
        <f>'VISITA DE INSP.'!B29</f>
        <v>6º</v>
      </c>
      <c r="H369" s="471" t="s">
        <v>406</v>
      </c>
      <c r="I369" s="480"/>
      <c r="J369" s="568">
        <f>COUNTA(I369,I399,I429,I459,I489,I519,I549,I579,I609,I639)</f>
        <v>1</v>
      </c>
      <c r="K369" s="522" t="s">
        <v>424</v>
      </c>
      <c r="L369" s="539"/>
      <c r="M369" s="539"/>
      <c r="N369" s="539"/>
      <c r="O369" s="712" t="str">
        <f>'VISITA DE INSP.'!AU29</f>
        <v>01-09-1998</v>
      </c>
      <c r="P369" s="719"/>
      <c r="Q369" s="720"/>
      <c r="R369" s="714"/>
      <c r="S369" s="714"/>
      <c r="T369" s="714"/>
      <c r="U369" s="574" t="s">
        <v>425</v>
      </c>
      <c r="V369" s="721">
        <f>'VISITA DE INSP.'!AT29</f>
        <v>10</v>
      </c>
      <c r="W369" s="722" t="str">
        <f>Y369</f>
        <v>BASE</v>
      </c>
      <c r="X369" s="723"/>
      <c r="Y369" s="473" t="str">
        <f>VLOOKUP(V369,AH2:AI14,2)</f>
        <v>BASE</v>
      </c>
      <c r="Z369" s="446" t="s">
        <v>396</v>
      </c>
      <c r="AA369" s="447" t="str">
        <f>J367</f>
        <v>CUPF711129  H0</v>
      </c>
      <c r="AB369" s="448"/>
      <c r="AC369" s="449"/>
    </row>
    <row r="370" spans="1:30" ht="12" customHeight="1">
      <c r="A370" s="688"/>
      <c r="B370" s="470" t="s">
        <v>408</v>
      </c>
      <c r="C370" s="463"/>
      <c r="D370" s="464"/>
      <c r="E370" s="465">
        <f t="shared" si="20"/>
        <v>0</v>
      </c>
      <c r="F370" s="692" t="s">
        <v>4</v>
      </c>
      <c r="G370" s="463" t="str">
        <f>'VISITA DE INSP.'!C29</f>
        <v>B</v>
      </c>
      <c r="H370" s="475" t="s">
        <v>407</v>
      </c>
      <c r="I370" s="623"/>
      <c r="J370" s="568">
        <f>COUNTA(I370,I400,I430,I460,I490,I520,I550,I580,I610,I640)</f>
        <v>0</v>
      </c>
      <c r="K370" s="717"/>
      <c r="L370" s="717"/>
      <c r="M370" s="539"/>
      <c r="N370" s="714"/>
      <c r="O370" s="716"/>
      <c r="P370" s="716"/>
      <c r="Q370" s="716"/>
      <c r="R370" s="539"/>
      <c r="S370" s="539"/>
      <c r="T370" s="714"/>
      <c r="U370" s="714"/>
      <c r="V370" s="724"/>
      <c r="W370" s="724"/>
      <c r="X370" s="716"/>
      <c r="Y370" s="476"/>
      <c r="Z370" s="4773" t="s">
        <v>429</v>
      </c>
      <c r="AA370" s="4774"/>
      <c r="AB370" s="4774"/>
      <c r="AC370" s="4775"/>
    </row>
    <row r="371" spans="1:30" ht="12" customHeight="1">
      <c r="A371" s="688"/>
      <c r="B371" s="470" t="s">
        <v>434</v>
      </c>
      <c r="C371" s="463"/>
      <c r="D371" s="464"/>
      <c r="E371" s="465">
        <f t="shared" si="20"/>
        <v>0</v>
      </c>
      <c r="F371" s="4776" t="s">
        <v>435</v>
      </c>
      <c r="G371" s="4777"/>
      <c r="H371" s="4777" t="s">
        <v>436</v>
      </c>
      <c r="I371" s="4778"/>
      <c r="J371" s="568">
        <f>SUM(J369,J370)</f>
        <v>1</v>
      </c>
      <c r="K371" s="522" t="s">
        <v>437</v>
      </c>
      <c r="L371" s="539"/>
      <c r="M371" s="725"/>
      <c r="N371" s="725"/>
      <c r="O371" s="725"/>
      <c r="P371" s="725"/>
      <c r="Q371" s="725"/>
      <c r="R371" s="726"/>
      <c r="S371" s="725"/>
      <c r="T371" s="727"/>
      <c r="U371" s="725"/>
      <c r="V371" s="574" t="s">
        <v>438</v>
      </c>
      <c r="W371" s="728"/>
      <c r="X371" s="723"/>
      <c r="Y371" s="445" t="str">
        <f>CONCATENATE(O384,S371)</f>
        <v xml:space="preserve">  COL-</v>
      </c>
      <c r="Z371" s="446" t="s">
        <v>396</v>
      </c>
      <c r="AA371" s="447" t="str">
        <f>Y367</f>
        <v>11007831200.0  078312 E028100.0233698</v>
      </c>
      <c r="AB371" s="448"/>
      <c r="AC371" s="449"/>
      <c r="AD371" s="662" t="s">
        <v>79</v>
      </c>
    </row>
    <row r="372" spans="1:30" ht="12" customHeight="1">
      <c r="A372" s="688"/>
      <c r="B372" s="470" t="s">
        <v>443</v>
      </c>
      <c r="C372" s="463"/>
      <c r="D372" s="464"/>
      <c r="E372" s="465">
        <f t="shared" si="20"/>
        <v>0</v>
      </c>
      <c r="F372" s="478" t="s">
        <v>444</v>
      </c>
      <c r="G372" s="624">
        <v>13</v>
      </c>
      <c r="H372" s="479" t="e">
        <f>H342</f>
        <v>#REF!</v>
      </c>
      <c r="I372" s="480" t="e">
        <f>H372+1</f>
        <v>#REF!</v>
      </c>
      <c r="J372" s="569" t="str">
        <f>CONCATENATE(J384,M371,K384,N371,L384,O371,M384,P371,N384,Q371,O384,S371)</f>
        <v>RG-  SM-  MZA-  LTE-  CALLE-  COL-</v>
      </c>
      <c r="K372" s="729"/>
      <c r="L372" s="539"/>
      <c r="M372" s="492"/>
      <c r="N372" s="492"/>
      <c r="O372" s="492"/>
      <c r="P372" s="492"/>
      <c r="Q372" s="492"/>
      <c r="R372" s="730"/>
      <c r="S372" s="731" t="s">
        <v>503</v>
      </c>
      <c r="T372" s="731"/>
      <c r="U372" s="731" t="s">
        <v>504</v>
      </c>
      <c r="V372" s="533"/>
      <c r="W372" s="732"/>
      <c r="X372" s="733"/>
      <c r="Y372" s="450" t="str">
        <f>CONCATENATE(K382,P384,U371)</f>
        <v xml:space="preserve">    C.P.-</v>
      </c>
      <c r="Z372" s="4779" t="s">
        <v>445</v>
      </c>
      <c r="AA372" s="4780"/>
      <c r="AB372" s="4780"/>
      <c r="AC372" s="4781"/>
    </row>
    <row r="373" spans="1:30" ht="12" customHeight="1">
      <c r="A373" s="688"/>
      <c r="B373" s="470" t="s">
        <v>450</v>
      </c>
      <c r="C373" s="463"/>
      <c r="D373" s="464"/>
      <c r="E373" s="465">
        <f t="shared" si="20"/>
        <v>0</v>
      </c>
      <c r="F373" s="692" t="s">
        <v>373</v>
      </c>
      <c r="G373" s="4782" t="s">
        <v>451</v>
      </c>
      <c r="H373" s="4777"/>
      <c r="I373" s="4778"/>
      <c r="J373" s="565" t="str">
        <f>CONCATENATE(O384,S371)</f>
        <v xml:space="preserve">  COL-</v>
      </c>
      <c r="K373" s="522" t="s">
        <v>452</v>
      </c>
      <c r="L373" s="539"/>
      <c r="M373" s="539"/>
      <c r="N373" s="572" t="e">
        <f>#REF!</f>
        <v>#REF!</v>
      </c>
      <c r="O373" s="573"/>
      <c r="P373" s="573"/>
      <c r="Q373" s="573"/>
      <c r="R373" s="573"/>
      <c r="S373" s="574" t="s">
        <v>453</v>
      </c>
      <c r="T373" s="572" t="e">
        <f>#REF!</f>
        <v>#REF!</v>
      </c>
      <c r="U373" s="575"/>
      <c r="V373" s="574" t="s">
        <v>454</v>
      </c>
      <c r="W373" s="576" t="e">
        <f>#REF!</f>
        <v>#REF!</v>
      </c>
      <c r="X373" s="575"/>
      <c r="Y373" s="445"/>
      <c r="Z373" s="446" t="s">
        <v>396</v>
      </c>
      <c r="AA373" s="482" t="str">
        <f>O369</f>
        <v>01-09-1998</v>
      </c>
      <c r="AB373" s="673"/>
      <c r="AC373" s="483"/>
    </row>
    <row r="374" spans="1:30" ht="12" customHeight="1" thickBot="1">
      <c r="A374" s="688"/>
      <c r="B374" s="484" t="s">
        <v>456</v>
      </c>
      <c r="C374" s="485"/>
      <c r="D374" s="486"/>
      <c r="E374" s="465">
        <f>E372-E373</f>
        <v>0</v>
      </c>
      <c r="F374" s="577">
        <f>F344</f>
        <v>1</v>
      </c>
      <c r="G374" s="578" t="e">
        <f>G344</f>
        <v>#REF!</v>
      </c>
      <c r="H374" s="578" t="e">
        <f>H344</f>
        <v>#REF!</v>
      </c>
      <c r="I374" s="579" t="e">
        <f>I344</f>
        <v>#REF!</v>
      </c>
      <c r="J374" s="580" t="str">
        <f>CONCATENATE(,P384,U371)</f>
        <v xml:space="preserve">  C.P.-</v>
      </c>
      <c r="K374" s="490"/>
      <c r="L374" s="491"/>
      <c r="M374" s="492"/>
      <c r="N374" s="492"/>
      <c r="O374" s="492"/>
      <c r="P374" s="492"/>
      <c r="Q374" s="492"/>
      <c r="R374" s="492"/>
      <c r="S374" s="492"/>
      <c r="T374" s="493"/>
      <c r="V374" s="494"/>
      <c r="W374" s="495"/>
      <c r="X374" s="496"/>
      <c r="Y374" s="497"/>
      <c r="Z374" s="4773" t="s">
        <v>457</v>
      </c>
      <c r="AA374" s="4774"/>
      <c r="AB374" s="4774"/>
      <c r="AC374" s="4775"/>
    </row>
    <row r="375" spans="1:30" ht="12" customHeight="1" thickTop="1" thickBot="1">
      <c r="A375" s="688"/>
      <c r="B375" s="4783" t="s">
        <v>460</v>
      </c>
      <c r="C375" s="4784"/>
      <c r="D375" s="4784"/>
      <c r="E375" s="4785"/>
      <c r="F375" s="498" t="s">
        <v>396</v>
      </c>
      <c r="G375" s="647" t="str">
        <f>G345</f>
        <v>CERVANTES BENITEZ * ANTONIA</v>
      </c>
      <c r="H375" s="500"/>
      <c r="I375" s="500"/>
      <c r="J375" s="501"/>
      <c r="K375" s="501"/>
      <c r="L375" s="501"/>
      <c r="M375" s="504"/>
      <c r="N375" s="4783" t="s">
        <v>461</v>
      </c>
      <c r="O375" s="4786"/>
      <c r="P375" s="4786"/>
      <c r="Q375" s="4787"/>
      <c r="R375" s="625" t="s">
        <v>7</v>
      </c>
      <c r="S375" s="499" t="str">
        <f>VLOOKUP(R375,AE1:AF16,2,1)</f>
        <v>DOCENTE</v>
      </c>
      <c r="T375" s="501"/>
      <c r="U375" s="501"/>
      <c r="V375" s="501"/>
      <c r="W375" s="501"/>
      <c r="X375" s="501"/>
      <c r="Y375" s="504"/>
      <c r="Z375" s="446" t="s">
        <v>396</v>
      </c>
      <c r="AA375" s="461" t="str">
        <f>Y369</f>
        <v>BASE</v>
      </c>
      <c r="AB375" s="448"/>
      <c r="AC375" s="505">
        <f>V369</f>
        <v>10</v>
      </c>
    </row>
    <row r="376" spans="1:30" ht="12" customHeight="1" thickTop="1" thickBot="1">
      <c r="A376" s="688"/>
      <c r="B376" s="4783" t="s">
        <v>465</v>
      </c>
      <c r="C376" s="4786"/>
      <c r="D376" s="4786"/>
      <c r="E376" s="4787"/>
      <c r="F376" s="506" t="s">
        <v>396</v>
      </c>
      <c r="G376" s="648" t="str">
        <f>G346</f>
        <v>JESUS MARTIN RICALDE CASTRO</v>
      </c>
      <c r="H376" s="501"/>
      <c r="I376" s="501"/>
      <c r="J376" s="501"/>
      <c r="K376" s="501"/>
      <c r="L376" s="501"/>
      <c r="M376" s="504"/>
      <c r="N376" s="4783" t="s">
        <v>466</v>
      </c>
      <c r="O376" s="4786"/>
      <c r="P376" s="4786"/>
      <c r="Q376" s="4787"/>
      <c r="R376" s="625">
        <v>1</v>
      </c>
      <c r="S376" s="499" t="str">
        <f>VLOOKUP(R376,AE17:AF22,2,2)</f>
        <v>BASE</v>
      </c>
      <c r="T376" s="501"/>
      <c r="U376" s="501"/>
      <c r="V376" s="501"/>
      <c r="W376" s="501"/>
      <c r="X376" s="501"/>
      <c r="Y376" s="507" t="str">
        <f>CONCATENATE(M372,M371,N372,N371,O372,O371,P372,P371)</f>
        <v/>
      </c>
      <c r="Z376" s="4773" t="s">
        <v>467</v>
      </c>
      <c r="AA376" s="4774"/>
      <c r="AB376" s="4774"/>
      <c r="AC376" s="4775"/>
    </row>
    <row r="377" spans="1:30" ht="12" customHeight="1" thickTop="1" thickBot="1">
      <c r="A377" s="688"/>
      <c r="B377" s="4788" t="s">
        <v>471</v>
      </c>
      <c r="C377" s="4789"/>
      <c r="D377" s="4789"/>
      <c r="E377" s="4790"/>
      <c r="F377" s="506" t="s">
        <v>396</v>
      </c>
      <c r="G377" s="648" t="e">
        <f>G347</f>
        <v>#REF!</v>
      </c>
      <c r="H377" s="501"/>
      <c r="I377" s="501"/>
      <c r="J377" s="501"/>
      <c r="K377" s="501"/>
      <c r="L377" s="501"/>
      <c r="M377" s="501"/>
      <c r="N377" s="4783" t="s">
        <v>472</v>
      </c>
      <c r="O377" s="4786"/>
      <c r="P377" s="4786"/>
      <c r="Q377" s="4787"/>
      <c r="R377" s="625">
        <v>4</v>
      </c>
      <c r="S377" s="499" t="str">
        <f>VLOOKUP(R377,AE25:AF34,2,2)</f>
        <v>ALTA DEFINITIVA. (Si la persona se da de alta en al escuela)</v>
      </c>
      <c r="T377" s="501"/>
      <c r="U377" s="501"/>
      <c r="V377" s="501"/>
      <c r="W377" s="501"/>
      <c r="X377" s="501"/>
      <c r="Y377" s="504"/>
      <c r="Z377" s="446" t="s">
        <v>396</v>
      </c>
      <c r="AA377" s="447" t="str">
        <f>J372</f>
        <v>RG-  SM-  MZA-  LTE-  CALLE-  COL-</v>
      </c>
      <c r="AB377" s="448"/>
      <c r="AC377" s="449"/>
      <c r="AD377" s="662" t="s">
        <v>79</v>
      </c>
    </row>
    <row r="378" spans="1:30" ht="12" customHeight="1" thickTop="1" thickBot="1">
      <c r="A378" s="688"/>
      <c r="B378" s="4788" t="s">
        <v>475</v>
      </c>
      <c r="C378" s="4789"/>
      <c r="D378" s="4789"/>
      <c r="E378" s="4790"/>
      <c r="F378" s="508"/>
      <c r="G378" s="648"/>
      <c r="H378" s="501"/>
      <c r="I378" s="501"/>
      <c r="J378" s="501"/>
      <c r="K378" s="501"/>
      <c r="L378" s="501"/>
      <c r="M378" s="501"/>
      <c r="N378" s="4783" t="s">
        <v>476</v>
      </c>
      <c r="O378" s="4786"/>
      <c r="P378" s="4786"/>
      <c r="Q378" s="4787"/>
      <c r="R378" s="625">
        <v>2</v>
      </c>
      <c r="S378" s="499" t="str">
        <f>VLOOKUP(R378,AE35:AF43,2,2)</f>
        <v>FEDERAL TRANFERIDA  (18 de mayo de 2005 )</v>
      </c>
      <c r="T378" s="501"/>
      <c r="U378" s="501"/>
      <c r="V378" s="501"/>
      <c r="W378" s="501"/>
      <c r="X378" s="501"/>
      <c r="Y378" s="504"/>
      <c r="Z378" s="4773" t="s">
        <v>477</v>
      </c>
      <c r="AA378" s="4774"/>
      <c r="AB378" s="4774"/>
      <c r="AC378" s="4775"/>
    </row>
    <row r="379" spans="1:30" ht="12" customHeight="1" thickTop="1" thickBot="1">
      <c r="A379" s="688"/>
      <c r="B379" s="4791" t="s">
        <v>479</v>
      </c>
      <c r="C379" s="4792"/>
      <c r="D379" s="4792"/>
      <c r="E379" s="4793"/>
      <c r="F379" s="625"/>
      <c r="G379" s="582">
        <f>VLOOKUP(F379,AE69:AF78,2,1)</f>
        <v>0</v>
      </c>
      <c r="H379" s="501"/>
      <c r="I379" s="501"/>
      <c r="J379" s="501"/>
      <c r="K379" s="501"/>
      <c r="L379" s="584"/>
      <c r="M379" s="619">
        <f>COUNTA(F379,F497,F617,F737)</f>
        <v>1</v>
      </c>
      <c r="N379" s="4783" t="s">
        <v>480</v>
      </c>
      <c r="O379" s="4786"/>
      <c r="P379" s="4786"/>
      <c r="Q379" s="4787"/>
      <c r="R379" s="625"/>
      <c r="S379" s="499">
        <f>VLOOKUP(R379,AE44:AF68,2,2)</f>
        <v>0</v>
      </c>
      <c r="T379" s="501"/>
      <c r="U379" s="501"/>
      <c r="V379" s="501"/>
      <c r="W379" s="501"/>
      <c r="X379" s="501"/>
      <c r="Y379" s="504"/>
      <c r="Z379" s="446" t="s">
        <v>481</v>
      </c>
      <c r="AA379" s="447" t="str">
        <f>'VISITA DE INSP.'!AQ29</f>
        <v>23DPR0480F</v>
      </c>
      <c r="AB379" s="448"/>
      <c r="AC379" s="449"/>
    </row>
    <row r="380" spans="1:30" ht="12" customHeight="1" thickTop="1" thickBot="1">
      <c r="A380" s="688"/>
      <c r="B380" s="4791" t="s">
        <v>484</v>
      </c>
      <c r="C380" s="4792"/>
      <c r="D380" s="4792"/>
      <c r="E380" s="4793"/>
      <c r="F380" s="625"/>
      <c r="G380" s="582">
        <f>VLOOKUP(F380,AE79:AF85,2,1)</f>
        <v>0</v>
      </c>
      <c r="H380" s="501"/>
      <c r="I380" s="501"/>
      <c r="J380" s="501"/>
      <c r="K380" s="501"/>
      <c r="L380" s="501"/>
      <c r="M380" s="504"/>
      <c r="N380" s="4783" t="s">
        <v>485</v>
      </c>
      <c r="O380" s="4786"/>
      <c r="P380" s="4786"/>
      <c r="Q380" s="4787"/>
      <c r="R380" s="625"/>
      <c r="S380" s="553"/>
      <c r="T380" s="511"/>
      <c r="U380" s="512"/>
      <c r="V380" s="511"/>
      <c r="W380" s="511"/>
      <c r="X380" s="511"/>
      <c r="Y380" s="513"/>
      <c r="Z380" s="4773" t="s">
        <v>486</v>
      </c>
      <c r="AA380" s="4774"/>
      <c r="AB380" s="4774"/>
      <c r="AC380" s="4775"/>
    </row>
    <row r="381" spans="1:30" ht="12" hidden="1" customHeight="1" thickTop="1" thickBot="1">
      <c r="A381" s="688"/>
      <c r="B381" s="4811" t="s">
        <v>488</v>
      </c>
      <c r="C381" s="4812"/>
      <c r="D381" s="4812"/>
      <c r="E381" s="4812"/>
      <c r="F381" s="4812"/>
      <c r="G381" s="4812"/>
      <c r="H381" s="4812"/>
      <c r="I381" s="4812"/>
      <c r="J381" s="4794" t="s">
        <v>488</v>
      </c>
      <c r="K381" s="4795"/>
      <c r="L381" s="4795"/>
      <c r="M381" s="4795"/>
      <c r="N381" s="4795"/>
      <c r="O381" s="4795"/>
      <c r="P381" s="4795"/>
      <c r="Q381" s="4796"/>
      <c r="R381" s="4811" t="s">
        <v>488</v>
      </c>
      <c r="S381" s="4812"/>
      <c r="T381" s="4812"/>
      <c r="U381" s="4812"/>
      <c r="V381" s="4812"/>
      <c r="W381" s="4812"/>
      <c r="X381" s="4812"/>
      <c r="Y381" s="4812"/>
      <c r="Z381" s="446" t="s">
        <v>489</v>
      </c>
      <c r="AA381" s="447"/>
      <c r="AB381" s="448"/>
      <c r="AC381" s="449"/>
    </row>
    <row r="382" spans="1:30" ht="12" hidden="1" customHeight="1" thickTop="1" thickBot="1">
      <c r="A382" s="688"/>
      <c r="B382" s="586"/>
      <c r="C382" s="587"/>
      <c r="D382" s="588"/>
      <c r="E382" s="4797"/>
      <c r="F382" s="4797"/>
      <c r="G382" s="589"/>
      <c r="H382" s="590"/>
      <c r="I382" s="591"/>
      <c r="J382" s="592" t="s">
        <v>491</v>
      </c>
      <c r="K382" s="515" t="s">
        <v>491</v>
      </c>
      <c r="L382" s="516" t="s">
        <v>492</v>
      </c>
      <c r="M382" s="4797"/>
      <c r="N382" s="4797"/>
      <c r="O382" s="517" t="s">
        <v>418</v>
      </c>
      <c r="P382" s="518" t="s">
        <v>493</v>
      </c>
      <c r="Q382" s="520"/>
      <c r="R382" s="593"/>
      <c r="S382" s="594"/>
      <c r="T382" s="595"/>
      <c r="U382" s="4797"/>
      <c r="V382" s="4797"/>
      <c r="W382" s="596"/>
      <c r="X382" s="594"/>
      <c r="Y382" s="597"/>
      <c r="Z382" s="4773" t="s">
        <v>494</v>
      </c>
      <c r="AA382" s="4774"/>
      <c r="AB382" s="4774"/>
      <c r="AC382" s="4775"/>
    </row>
    <row r="383" spans="1:30" ht="12" hidden="1" customHeight="1" thickTop="1">
      <c r="A383" s="688"/>
      <c r="B383" s="586"/>
      <c r="C383" s="587"/>
      <c r="D383" s="588"/>
      <c r="E383" s="4813" t="s">
        <v>621</v>
      </c>
      <c r="F383" s="4814"/>
      <c r="G383" s="590"/>
      <c r="H383" s="590"/>
      <c r="I383" s="591"/>
      <c r="J383" s="523"/>
      <c r="K383" s="522"/>
      <c r="L383" s="4798" t="s">
        <v>496</v>
      </c>
      <c r="M383" s="4799"/>
      <c r="N383" s="4799"/>
      <c r="O383" s="4800"/>
      <c r="P383" s="515"/>
      <c r="Q383" s="520"/>
      <c r="R383" s="593"/>
      <c r="S383" s="594"/>
      <c r="T383" s="598"/>
      <c r="U383" s="4815" t="s">
        <v>622</v>
      </c>
      <c r="V383" s="4816"/>
      <c r="W383" s="596"/>
      <c r="X383" s="594"/>
      <c r="Y383" s="597"/>
      <c r="Z383" s="446"/>
      <c r="AA383" s="524">
        <f>VLOOKUP(Z383,BE24:BF34,2,2)</f>
        <v>0</v>
      </c>
      <c r="AB383" s="448"/>
      <c r="AC383" s="449"/>
    </row>
    <row r="384" spans="1:30" ht="12" hidden="1" customHeight="1">
      <c r="A384" s="688"/>
      <c r="B384" s="586"/>
      <c r="C384" s="587"/>
      <c r="D384" s="588"/>
      <c r="E384" s="599"/>
      <c r="F384" s="590"/>
      <c r="G384" s="590"/>
      <c r="H384" s="590"/>
      <c r="I384" s="591"/>
      <c r="J384" s="526" t="s">
        <v>498</v>
      </c>
      <c r="K384" s="527" t="s">
        <v>499</v>
      </c>
      <c r="L384" s="527" t="s">
        <v>500</v>
      </c>
      <c r="M384" s="527" t="s">
        <v>501</v>
      </c>
      <c r="N384" s="527" t="s">
        <v>502</v>
      </c>
      <c r="O384" s="527" t="s">
        <v>503</v>
      </c>
      <c r="P384" s="527" t="s">
        <v>504</v>
      </c>
      <c r="Q384" s="600"/>
      <c r="R384" s="4752" t="str">
        <f>'VISITA DE INSP.'!D29</f>
        <v>CRUZ PEREZ * FRANCISCO</v>
      </c>
      <c r="S384" s="4753"/>
      <c r="T384" s="4753"/>
      <c r="U384" s="4753"/>
      <c r="V384" s="4753"/>
      <c r="W384" s="4753"/>
      <c r="X384" s="4753"/>
      <c r="Y384" s="4754"/>
      <c r="Z384" s="4801" t="s">
        <v>506</v>
      </c>
      <c r="AA384" s="4802"/>
      <c r="AB384" s="4802"/>
      <c r="AC384" s="4803"/>
    </row>
    <row r="385" spans="1:29" ht="12" hidden="1" customHeight="1">
      <c r="A385" s="688"/>
      <c r="B385" s="586"/>
      <c r="C385" s="587"/>
      <c r="D385" s="588"/>
      <c r="E385" s="599"/>
      <c r="F385" s="590"/>
      <c r="G385" s="590"/>
      <c r="H385" s="590"/>
      <c r="I385" s="591"/>
      <c r="J385" s="534"/>
      <c r="K385" s="531" t="s">
        <v>491</v>
      </c>
      <c r="L385" s="532" t="s">
        <v>491</v>
      </c>
      <c r="M385" s="533"/>
      <c r="N385" s="532"/>
      <c r="O385" s="532"/>
      <c r="P385" s="532"/>
      <c r="Q385" s="520"/>
      <c r="R385" s="682"/>
      <c r="S385" s="4758" t="str">
        <f>'VISITA DE INSP.'!AN29</f>
        <v>CUPF7111299H0</v>
      </c>
      <c r="T385" s="4759"/>
      <c r="U385" s="4759"/>
      <c r="V385" s="4759"/>
      <c r="W385" s="4759"/>
      <c r="X385" s="4760"/>
      <c r="Y385" s="683"/>
      <c r="Z385" s="446"/>
      <c r="AA385" s="524" t="e">
        <f>VLOOKUP(Z385,AW114:AX129,2,2)</f>
        <v>#N/A</v>
      </c>
      <c r="AB385" s="448"/>
      <c r="AC385" s="449"/>
    </row>
    <row r="386" spans="1:29" ht="12" hidden="1" customHeight="1">
      <c r="A386" s="688"/>
      <c r="B386" s="586"/>
      <c r="C386" s="587"/>
      <c r="D386" s="588"/>
      <c r="E386" s="599"/>
      <c r="F386" s="590"/>
      <c r="G386" s="590"/>
      <c r="H386" s="590"/>
      <c r="I386" s="591"/>
      <c r="J386" s="538"/>
      <c r="K386" s="537"/>
      <c r="L386" s="527"/>
      <c r="M386" s="527"/>
      <c r="N386" s="527"/>
      <c r="O386" s="527"/>
      <c r="P386" s="527"/>
      <c r="Q386" s="520"/>
      <c r="R386" s="682"/>
      <c r="S386" s="4758" t="str">
        <f>'VISITA DE INSP.'!AO29</f>
        <v>078312 E028100.0233698</v>
      </c>
      <c r="T386" s="4759"/>
      <c r="U386" s="4759"/>
      <c r="V386" s="4759"/>
      <c r="W386" s="4759"/>
      <c r="X386" s="4760"/>
      <c r="Y386" s="683"/>
      <c r="Z386" s="4773" t="s">
        <v>511</v>
      </c>
      <c r="AA386" s="4774"/>
      <c r="AB386" s="4774"/>
      <c r="AC386" s="4775"/>
    </row>
    <row r="387" spans="1:29" ht="12" hidden="1" customHeight="1">
      <c r="A387" s="688"/>
      <c r="B387" s="586"/>
      <c r="C387" s="587"/>
      <c r="D387" s="588"/>
      <c r="E387" s="599"/>
      <c r="F387" s="590"/>
      <c r="G387" s="590"/>
      <c r="H387" s="590"/>
      <c r="I387" s="591"/>
      <c r="J387" s="534"/>
      <c r="K387" s="537"/>
      <c r="L387" s="531"/>
      <c r="M387" s="533"/>
      <c r="N387" s="532"/>
      <c r="O387" s="532"/>
      <c r="P387" s="532"/>
      <c r="Q387" s="520"/>
      <c r="R387" s="682"/>
      <c r="S387" s="4827" t="str">
        <f>'VISITA DE INSP.'!AU29</f>
        <v>01-09-1998</v>
      </c>
      <c r="T387" s="4828"/>
      <c r="U387" s="4828"/>
      <c r="V387" s="4828"/>
      <c r="W387" s="4828"/>
      <c r="X387" s="4829"/>
      <c r="Y387" s="684"/>
      <c r="Z387" s="446"/>
      <c r="AA387" s="524" t="e">
        <f>VLOOKUP(Z387,BB114:BC124,2,2)</f>
        <v>#N/A</v>
      </c>
      <c r="AB387" s="448"/>
      <c r="AC387" s="449"/>
    </row>
    <row r="388" spans="1:29" ht="12" hidden="1" customHeight="1">
      <c r="A388" s="688"/>
      <c r="B388" s="586"/>
      <c r="C388" s="587"/>
      <c r="D388" s="588"/>
      <c r="E388" s="599"/>
      <c r="F388" s="590"/>
      <c r="G388" s="590"/>
      <c r="H388" s="590"/>
      <c r="I388" s="591"/>
      <c r="J388" s="534"/>
      <c r="K388" s="522"/>
      <c r="L388" s="539"/>
      <c r="M388" s="540"/>
      <c r="N388" s="515"/>
      <c r="O388" s="515"/>
      <c r="P388" s="515"/>
      <c r="Q388" s="520"/>
      <c r="R388" s="682"/>
      <c r="S388" s="4758">
        <f>'VISITA DE INSP.'!AT20</f>
        <v>10</v>
      </c>
      <c r="T388" s="4759"/>
      <c r="U388" s="4759"/>
      <c r="V388" s="4759"/>
      <c r="W388" s="4759"/>
      <c r="X388" s="4760"/>
      <c r="Y388" s="684"/>
      <c r="Z388" s="4773" t="s">
        <v>520</v>
      </c>
      <c r="AA388" s="4774"/>
      <c r="AB388" s="4774"/>
      <c r="AC388" s="4775"/>
    </row>
    <row r="389" spans="1:29" ht="12" hidden="1" customHeight="1">
      <c r="A389" s="688"/>
      <c r="B389" s="586"/>
      <c r="C389" s="587"/>
      <c r="D389" s="588"/>
      <c r="E389" s="599"/>
      <c r="F389" s="590"/>
      <c r="G389" s="590"/>
      <c r="H389" s="590"/>
      <c r="I389" s="591"/>
      <c r="J389" s="534"/>
      <c r="K389" s="541"/>
      <c r="L389" s="541"/>
      <c r="M389" s="541"/>
      <c r="N389" s="541"/>
      <c r="O389" s="541"/>
      <c r="P389" s="541"/>
      <c r="Q389" s="520"/>
      <c r="R389" s="682"/>
      <c r="S389" s="4830" t="str">
        <f>'VISITA DE INSP.'!AS29</f>
        <v>7A</v>
      </c>
      <c r="T389" s="4831"/>
      <c r="U389" s="4831"/>
      <c r="V389" s="4831"/>
      <c r="W389" s="4831"/>
      <c r="X389" s="4832"/>
      <c r="Y389" s="684"/>
      <c r="Z389" s="446" t="s">
        <v>396</v>
      </c>
      <c r="AA389" s="447" t="str">
        <f>J373</f>
        <v xml:space="preserve">  COL-</v>
      </c>
      <c r="AB389" s="448"/>
      <c r="AC389" s="449"/>
    </row>
    <row r="390" spans="1:29" ht="12" hidden="1" customHeight="1">
      <c r="A390" s="688"/>
      <c r="B390" s="586"/>
      <c r="C390" s="603" t="str">
        <f>Y365</f>
        <v xml:space="preserve">       </v>
      </c>
      <c r="D390" s="604"/>
      <c r="E390" s="604"/>
      <c r="F390" s="604"/>
      <c r="G390" s="604"/>
      <c r="H390" s="605"/>
      <c r="I390" s="591"/>
      <c r="J390" s="606" t="str">
        <f>J374</f>
        <v xml:space="preserve">  C.P.-</v>
      </c>
      <c r="K390" s="603" t="str">
        <f>C390</f>
        <v xml:space="preserve">       </v>
      </c>
      <c r="L390" s="604"/>
      <c r="M390" s="604"/>
      <c r="N390" s="604"/>
      <c r="O390" s="604"/>
      <c r="P390" s="605"/>
      <c r="Q390" s="597"/>
      <c r="R390" s="593"/>
      <c r="S390" s="607" t="str">
        <f>K390</f>
        <v xml:space="preserve">       </v>
      </c>
      <c r="T390" s="608"/>
      <c r="U390" s="608"/>
      <c r="V390" s="608"/>
      <c r="W390" s="608"/>
      <c r="X390" s="609"/>
      <c r="Y390" s="597"/>
      <c r="Z390" s="4773" t="s">
        <v>529</v>
      </c>
      <c r="AA390" s="4774"/>
      <c r="AB390" s="4774"/>
      <c r="AC390" s="4775"/>
    </row>
    <row r="391" spans="1:29" ht="12" hidden="1" customHeight="1" thickBot="1">
      <c r="A391" s="688"/>
      <c r="B391" s="610"/>
      <c r="C391" s="4817" t="s">
        <v>534</v>
      </c>
      <c r="D391" s="4818"/>
      <c r="E391" s="4818"/>
      <c r="F391" s="4818"/>
      <c r="G391" s="4818"/>
      <c r="H391" s="4819"/>
      <c r="I391" s="611"/>
      <c r="J391" s="612"/>
      <c r="K391" s="4820" t="s">
        <v>534</v>
      </c>
      <c r="L391" s="4821"/>
      <c r="M391" s="4821"/>
      <c r="N391" s="4821"/>
      <c r="O391" s="4821"/>
      <c r="P391" s="4822"/>
      <c r="Q391" s="613"/>
      <c r="R391" s="614"/>
      <c r="S391" s="4817" t="s">
        <v>534</v>
      </c>
      <c r="T391" s="4818"/>
      <c r="U391" s="4818"/>
      <c r="V391" s="4818"/>
      <c r="W391" s="4818"/>
      <c r="X391" s="4819"/>
      <c r="Y391" s="615"/>
      <c r="Z391" s="446" t="s">
        <v>396</v>
      </c>
      <c r="AA391" s="447" t="str">
        <f>J374</f>
        <v xml:space="preserve">  C.P.-</v>
      </c>
      <c r="AB391" s="448"/>
      <c r="AC391" s="449"/>
    </row>
    <row r="392" spans="1:29" ht="12" customHeight="1" thickTop="1" thickBot="1">
      <c r="A392" s="688"/>
      <c r="B392" s="4783" t="s">
        <v>538</v>
      </c>
      <c r="C392" s="4784"/>
      <c r="D392" s="4784"/>
      <c r="E392" s="4784"/>
      <c r="F392" s="552"/>
      <c r="G392" s="551">
        <f>VLOOKUP(F392,BE38:BG72,2,2)</f>
        <v>0</v>
      </c>
      <c r="H392" s="511"/>
      <c r="I392" s="513"/>
      <c r="J392" s="4783" t="s">
        <v>539</v>
      </c>
      <c r="K392" s="4784"/>
      <c r="L392" s="4784"/>
      <c r="M392" s="4784"/>
      <c r="N392" s="552" t="s">
        <v>540</v>
      </c>
      <c r="O392" s="628"/>
      <c r="P392" s="629"/>
      <c r="Q392" s="630"/>
      <c r="R392" s="4783" t="s">
        <v>541</v>
      </c>
      <c r="S392" s="4784"/>
      <c r="T392" s="4784"/>
      <c r="U392" s="4785"/>
      <c r="V392" s="508" t="s">
        <v>396</v>
      </c>
      <c r="W392" s="553">
        <f>O365</f>
        <v>0</v>
      </c>
      <c r="X392" s="554">
        <f>R365</f>
        <v>0</v>
      </c>
      <c r="Y392" s="555">
        <f>U365</f>
        <v>0</v>
      </c>
      <c r="Z392" s="4773" t="s">
        <v>542</v>
      </c>
      <c r="AA392" s="4774"/>
      <c r="AB392" s="4774"/>
      <c r="AC392" s="4775"/>
    </row>
    <row r="393" spans="1:29" ht="12" customHeight="1" thickTop="1" thickBot="1">
      <c r="A393" s="688"/>
      <c r="B393" s="651"/>
      <c r="C393" s="652"/>
      <c r="D393" s="652"/>
      <c r="E393" s="652"/>
      <c r="F393" s="652"/>
      <c r="G393" s="652"/>
      <c r="H393" s="652"/>
      <c r="I393" s="652"/>
      <c r="J393" s="652"/>
      <c r="K393" s="652"/>
      <c r="L393" s="652"/>
      <c r="M393" s="652"/>
      <c r="N393" s="652"/>
      <c r="O393" s="652"/>
      <c r="P393" s="652"/>
      <c r="Q393" s="652"/>
      <c r="R393" s="652"/>
      <c r="S393" s="652"/>
      <c r="T393" s="652"/>
      <c r="U393" s="652"/>
      <c r="V393" s="652"/>
      <c r="W393" s="652"/>
      <c r="X393" s="652"/>
      <c r="Y393" s="674"/>
      <c r="Z393" s="558" t="s">
        <v>396</v>
      </c>
      <c r="AA393" s="559" t="e">
        <f>W373</f>
        <v>#REF!</v>
      </c>
      <c r="AB393" s="560"/>
      <c r="AC393" s="561"/>
    </row>
    <row r="394" spans="1:29" ht="12" customHeight="1" thickTop="1">
      <c r="A394" s="688"/>
      <c r="B394" s="4761" t="s">
        <v>386</v>
      </c>
      <c r="C394" s="4762"/>
      <c r="D394" s="4762"/>
      <c r="E394" s="4762"/>
      <c r="F394" s="4762"/>
      <c r="G394" s="4762"/>
      <c r="H394" s="4762"/>
      <c r="I394" s="4763"/>
      <c r="J394" s="562">
        <f>COUNTA(I399:I400)</f>
        <v>0</v>
      </c>
      <c r="K394" s="563" t="s">
        <v>387</v>
      </c>
      <c r="L394" s="564"/>
      <c r="M394" s="564"/>
      <c r="N394" s="564"/>
      <c r="O394" s="564"/>
      <c r="P394" s="564"/>
      <c r="Q394" s="564"/>
      <c r="R394" s="564"/>
      <c r="S394" s="564"/>
      <c r="T394" s="564"/>
      <c r="U394" s="564"/>
      <c r="V394" s="564"/>
      <c r="W394" s="564"/>
      <c r="X394" s="564"/>
      <c r="Y394" s="441"/>
      <c r="Z394" s="4770" t="s">
        <v>388</v>
      </c>
      <c r="AA394" s="4771"/>
      <c r="AB394" s="4771"/>
      <c r="AC394" s="4772"/>
    </row>
    <row r="395" spans="1:29" ht="12" customHeight="1">
      <c r="A395" s="688"/>
      <c r="B395" s="4764"/>
      <c r="C395" s="4765"/>
      <c r="D395" s="4765"/>
      <c r="E395" s="4765"/>
      <c r="F395" s="4765"/>
      <c r="G395" s="4765"/>
      <c r="H395" s="4765"/>
      <c r="I395" s="4766"/>
      <c r="J395" s="565" t="str">
        <f>CONCATENATE(O395,J412,R395,K412,U395,L412)</f>
        <v xml:space="preserve">       </v>
      </c>
      <c r="K395" s="699" t="s">
        <v>395</v>
      </c>
      <c r="L395" s="700"/>
      <c r="M395" s="539"/>
      <c r="N395" s="539"/>
      <c r="O395" s="701"/>
      <c r="P395" s="573"/>
      <c r="R395" s="701"/>
      <c r="S395" s="573"/>
      <c r="U395" s="701"/>
      <c r="V395" s="702"/>
      <c r="W395" s="703"/>
      <c r="X395" s="641"/>
      <c r="Y395" s="445" t="str">
        <f>CONCATENATE(U395,K412,O395,J412,R395,L412)</f>
        <v xml:space="preserve">       </v>
      </c>
      <c r="Z395" s="446" t="s">
        <v>396</v>
      </c>
      <c r="AA395" s="447" t="str">
        <f>J395</f>
        <v xml:space="preserve">       </v>
      </c>
      <c r="AB395" s="448"/>
      <c r="AC395" s="449"/>
    </row>
    <row r="396" spans="1:29" ht="12" customHeight="1" thickBot="1">
      <c r="A396" s="688"/>
      <c r="B396" s="4767"/>
      <c r="C396" s="4768"/>
      <c r="D396" s="4768"/>
      <c r="E396" s="4768"/>
      <c r="F396" s="4768"/>
      <c r="G396" s="4768"/>
      <c r="H396" s="4768"/>
      <c r="I396" s="4769"/>
      <c r="J396" s="565"/>
      <c r="K396" s="539" t="str">
        <f>'VISITA DE INSP.'!D30</f>
        <v>GONGORA * TERESITA DEL CARMEN</v>
      </c>
      <c r="L396" s="539"/>
      <c r="M396" s="539"/>
      <c r="N396" s="539"/>
      <c r="P396" s="704"/>
      <c r="Q396" s="705"/>
      <c r="S396" s="704"/>
      <c r="T396" s="705"/>
      <c r="U396" s="706"/>
      <c r="V396" s="706"/>
      <c r="W396" s="706"/>
      <c r="X396" s="706"/>
      <c r="Y396" s="450" t="str">
        <f>CONCATENATE(V397,L412,W397)</f>
        <v>11007831200.0   072303 S0180700.0300489</v>
      </c>
      <c r="Z396" s="4773" t="s">
        <v>400</v>
      </c>
      <c r="AA396" s="4774"/>
      <c r="AB396" s="4774"/>
      <c r="AC396" s="4775"/>
    </row>
    <row r="397" spans="1:29" ht="12" customHeight="1" thickTop="1">
      <c r="A397" s="688"/>
      <c r="B397" s="452">
        <v>1</v>
      </c>
      <c r="C397" s="453" t="s">
        <v>406</v>
      </c>
      <c r="D397" s="454" t="s">
        <v>407</v>
      </c>
      <c r="E397" s="455" t="s">
        <v>408</v>
      </c>
      <c r="F397" s="456" t="s">
        <v>409</v>
      </c>
      <c r="G397" s="457" t="e">
        <f>G367</f>
        <v>#REF!</v>
      </c>
      <c r="H397" s="458"/>
      <c r="I397" s="459"/>
      <c r="J397" s="565" t="str">
        <f>CONCATENATE(N397,K412,O397)</f>
        <v>GOTE710913  14</v>
      </c>
      <c r="K397" s="699" t="s">
        <v>410</v>
      </c>
      <c r="L397" s="700"/>
      <c r="M397" s="707"/>
      <c r="N397" s="708" t="str">
        <f>MID('VISITA DE INSP.'!AN30,1,10)</f>
        <v>GOTE710913</v>
      </c>
      <c r="O397" s="701" t="str">
        <f>MID('VISITA DE INSP.'!AN30,12,15)</f>
        <v>14</v>
      </c>
      <c r="P397" s="641"/>
      <c r="Q397" s="700"/>
      <c r="R397" s="709"/>
      <c r="T397" s="710" t="s">
        <v>411</v>
      </c>
      <c r="U397" s="641"/>
      <c r="V397" s="711" t="s">
        <v>179</v>
      </c>
      <c r="W397" s="712" t="str">
        <f>'VISITA DE INSP.'!AO30</f>
        <v>072303 S0180700.0300489</v>
      </c>
      <c r="X397" s="713"/>
      <c r="Y397" s="460" t="str">
        <f>CONCATENATE(V397,K412,W397)</f>
        <v>11007831200.0  072303 S0180700.0300489</v>
      </c>
      <c r="Z397" s="446" t="s">
        <v>396</v>
      </c>
      <c r="AA397" s="447" t="str">
        <f>Y395</f>
        <v xml:space="preserve">       </v>
      </c>
      <c r="AB397" s="448"/>
      <c r="AC397" s="449"/>
    </row>
    <row r="398" spans="1:29" ht="12" customHeight="1">
      <c r="A398" s="688"/>
      <c r="B398" s="462" t="s">
        <v>416</v>
      </c>
      <c r="C398" s="463"/>
      <c r="D398" s="464"/>
      <c r="E398" s="465">
        <f t="shared" ref="E398:E403" si="21">C398+D398</f>
        <v>0</v>
      </c>
      <c r="F398" s="466" t="s">
        <v>417</v>
      </c>
      <c r="G398" s="467" t="e">
        <f>G368</f>
        <v>#REF!</v>
      </c>
      <c r="H398" s="468" t="e">
        <f>H368</f>
        <v>#REF!</v>
      </c>
      <c r="I398" s="469"/>
      <c r="J398" s="565"/>
      <c r="K398" s="714"/>
      <c r="L398" s="715"/>
      <c r="M398" s="716"/>
      <c r="O398" s="716"/>
      <c r="P398" s="716"/>
      <c r="Q398" s="717" t="s">
        <v>418</v>
      </c>
      <c r="R398" s="714"/>
      <c r="S398" s="540"/>
      <c r="T398" s="540"/>
      <c r="U398" s="716"/>
      <c r="V398" s="716"/>
      <c r="W398" s="716"/>
      <c r="X398" s="718"/>
      <c r="Y398" s="450" t="str">
        <f>MID(W397,1,5)</f>
        <v>07230</v>
      </c>
      <c r="Z398" s="4773" t="s">
        <v>419</v>
      </c>
      <c r="AA398" s="4774"/>
      <c r="AB398" s="4774"/>
      <c r="AC398" s="4775"/>
    </row>
    <row r="399" spans="1:29" ht="12" customHeight="1">
      <c r="A399" s="688"/>
      <c r="B399" s="470" t="s">
        <v>423</v>
      </c>
      <c r="C399" s="463"/>
      <c r="D399" s="464"/>
      <c r="E399" s="465">
        <f t="shared" si="21"/>
        <v>0</v>
      </c>
      <c r="F399" s="692" t="s">
        <v>3</v>
      </c>
      <c r="G399" s="463">
        <f>'VISITA DE INSP.'!B30</f>
        <v>0</v>
      </c>
      <c r="H399" s="471" t="s">
        <v>406</v>
      </c>
      <c r="I399" s="480"/>
      <c r="J399" s="568">
        <f>COUNTA(I399,I429,I459,I489,I519,I549,I579,I609,I639,I669)</f>
        <v>1</v>
      </c>
      <c r="K399" s="522" t="s">
        <v>424</v>
      </c>
      <c r="L399" s="539"/>
      <c r="M399" s="539"/>
      <c r="N399" s="539"/>
      <c r="O399" s="712" t="str">
        <f>'VISITA DE INSP.'!AU30</f>
        <v>16-09-1995</v>
      </c>
      <c r="P399" s="719"/>
      <c r="Q399" s="720"/>
      <c r="R399" s="714"/>
      <c r="S399" s="714"/>
      <c r="T399" s="714"/>
      <c r="U399" s="574" t="s">
        <v>425</v>
      </c>
      <c r="V399" s="721">
        <f>'VISITA DE INSP.'!AT30</f>
        <v>10</v>
      </c>
      <c r="W399" s="722" t="str">
        <f>Y399</f>
        <v>BASE</v>
      </c>
      <c r="X399" s="723"/>
      <c r="Y399" s="473" t="str">
        <f>VLOOKUP(V399,AH2:AI14,2)</f>
        <v>BASE</v>
      </c>
      <c r="Z399" s="446" t="s">
        <v>396</v>
      </c>
      <c r="AA399" s="447" t="str">
        <f>J397</f>
        <v>GOTE710913  14</v>
      </c>
      <c r="AB399" s="448"/>
      <c r="AC399" s="449"/>
    </row>
    <row r="400" spans="1:29" ht="12" customHeight="1">
      <c r="A400" s="688"/>
      <c r="B400" s="470" t="s">
        <v>408</v>
      </c>
      <c r="C400" s="463"/>
      <c r="D400" s="464"/>
      <c r="E400" s="465">
        <f t="shared" si="21"/>
        <v>0</v>
      </c>
      <c r="F400" s="692" t="s">
        <v>4</v>
      </c>
      <c r="G400" s="463">
        <f>'VISITA DE INSP.'!C30</f>
        <v>0</v>
      </c>
      <c r="H400" s="475" t="s">
        <v>407</v>
      </c>
      <c r="I400" s="623"/>
      <c r="J400" s="568">
        <f>COUNTA(I400,I430,I460,I490,I520,I550,I580,I610,I640,I670)</f>
        <v>0</v>
      </c>
      <c r="K400" s="717"/>
      <c r="L400" s="717"/>
      <c r="M400" s="539"/>
      <c r="N400" s="714"/>
      <c r="O400" s="716"/>
      <c r="P400" s="716"/>
      <c r="Q400" s="716"/>
      <c r="R400" s="539"/>
      <c r="S400" s="539"/>
      <c r="T400" s="714"/>
      <c r="U400" s="714"/>
      <c r="V400" s="724"/>
      <c r="W400" s="724"/>
      <c r="X400" s="716"/>
      <c r="Y400" s="476"/>
      <c r="Z400" s="4773" t="s">
        <v>429</v>
      </c>
      <c r="AA400" s="4774"/>
      <c r="AB400" s="4774"/>
      <c r="AC400" s="4775"/>
    </row>
    <row r="401" spans="1:30" ht="12" customHeight="1">
      <c r="A401" s="688"/>
      <c r="B401" s="470" t="s">
        <v>434</v>
      </c>
      <c r="C401" s="463"/>
      <c r="D401" s="464"/>
      <c r="E401" s="465">
        <f t="shared" si="21"/>
        <v>0</v>
      </c>
      <c r="F401" s="4776" t="s">
        <v>435</v>
      </c>
      <c r="G401" s="4777"/>
      <c r="H401" s="4777" t="s">
        <v>436</v>
      </c>
      <c r="I401" s="4778"/>
      <c r="J401" s="568">
        <f>SUM(J399,J400)</f>
        <v>1</v>
      </c>
      <c r="K401" s="522" t="s">
        <v>437</v>
      </c>
      <c r="L401" s="539"/>
      <c r="M401" s="725"/>
      <c r="N401" s="725"/>
      <c r="O401" s="725"/>
      <c r="P401" s="725"/>
      <c r="Q401" s="725"/>
      <c r="R401" s="726"/>
      <c r="S401" s="725"/>
      <c r="T401" s="727"/>
      <c r="U401" s="725"/>
      <c r="V401" s="574" t="s">
        <v>438</v>
      </c>
      <c r="W401" s="728"/>
      <c r="X401" s="723"/>
      <c r="Y401" s="445" t="str">
        <f>CONCATENATE(O414,S401)</f>
        <v xml:space="preserve">  COL-</v>
      </c>
      <c r="Z401" s="446" t="s">
        <v>396</v>
      </c>
      <c r="AA401" s="447" t="str">
        <f>Y397</f>
        <v>11007831200.0  072303 S0180700.0300489</v>
      </c>
      <c r="AB401" s="448"/>
      <c r="AC401" s="449"/>
      <c r="AD401" s="662" t="s">
        <v>79</v>
      </c>
    </row>
    <row r="402" spans="1:30" ht="12" customHeight="1">
      <c r="A402" s="688"/>
      <c r="B402" s="470" t="s">
        <v>443</v>
      </c>
      <c r="C402" s="463"/>
      <c r="D402" s="464"/>
      <c r="E402" s="465">
        <f t="shared" si="21"/>
        <v>0</v>
      </c>
      <c r="F402" s="478" t="s">
        <v>444</v>
      </c>
      <c r="G402" s="624">
        <v>14</v>
      </c>
      <c r="H402" s="479" t="e">
        <f>H372</f>
        <v>#REF!</v>
      </c>
      <c r="I402" s="480" t="e">
        <f>H402+1</f>
        <v>#REF!</v>
      </c>
      <c r="J402" s="569" t="str">
        <f>CONCATENATE(J414,M401,K414,N401,L414,O401,M414,P401,N414,Q401,O414,S401)</f>
        <v>RG-  SM-  MZA-  LTE-  CALLE-  COL-</v>
      </c>
      <c r="K402" s="729"/>
      <c r="L402" s="539"/>
      <c r="M402" s="492"/>
      <c r="N402" s="492"/>
      <c r="O402" s="492"/>
      <c r="P402" s="492"/>
      <c r="Q402" s="492"/>
      <c r="R402" s="730"/>
      <c r="S402" s="731" t="s">
        <v>503</v>
      </c>
      <c r="T402" s="731"/>
      <c r="U402" s="731" t="s">
        <v>504</v>
      </c>
      <c r="V402" s="533"/>
      <c r="W402" s="732"/>
      <c r="X402" s="733"/>
      <c r="Y402" s="450" t="str">
        <f>CONCATENATE(K412,P414,U401)</f>
        <v xml:space="preserve">    C.P.-</v>
      </c>
      <c r="Z402" s="4779" t="s">
        <v>445</v>
      </c>
      <c r="AA402" s="4780"/>
      <c r="AB402" s="4780"/>
      <c r="AC402" s="4781"/>
    </row>
    <row r="403" spans="1:30" ht="12" customHeight="1">
      <c r="A403" s="688"/>
      <c r="B403" s="470" t="s">
        <v>450</v>
      </c>
      <c r="C403" s="463"/>
      <c r="D403" s="464"/>
      <c r="E403" s="465">
        <f t="shared" si="21"/>
        <v>0</v>
      </c>
      <c r="F403" s="692" t="s">
        <v>373</v>
      </c>
      <c r="G403" s="4782" t="s">
        <v>451</v>
      </c>
      <c r="H403" s="4777"/>
      <c r="I403" s="4778"/>
      <c r="J403" s="565" t="str">
        <f>CONCATENATE(O414,S401)</f>
        <v xml:space="preserve">  COL-</v>
      </c>
      <c r="K403" s="522" t="s">
        <v>452</v>
      </c>
      <c r="L403" s="539"/>
      <c r="M403" s="539"/>
      <c r="N403" s="572" t="e">
        <f>#REF!</f>
        <v>#REF!</v>
      </c>
      <c r="O403" s="573"/>
      <c r="P403" s="573"/>
      <c r="Q403" s="573"/>
      <c r="R403" s="573"/>
      <c r="S403" s="574" t="s">
        <v>453</v>
      </c>
      <c r="T403" s="572" t="e">
        <f>#REF!</f>
        <v>#REF!</v>
      </c>
      <c r="U403" s="575"/>
      <c r="V403" s="574" t="s">
        <v>454</v>
      </c>
      <c r="W403" s="576" t="e">
        <f>#REF!</f>
        <v>#REF!</v>
      </c>
      <c r="X403" s="575"/>
      <c r="Y403" s="445"/>
      <c r="Z403" s="446" t="s">
        <v>396</v>
      </c>
      <c r="AA403" s="482" t="str">
        <f>O399</f>
        <v>16-09-1995</v>
      </c>
      <c r="AB403" s="673"/>
      <c r="AC403" s="483"/>
    </row>
    <row r="404" spans="1:30" ht="12" customHeight="1" thickBot="1">
      <c r="A404" s="688"/>
      <c r="B404" s="484" t="s">
        <v>456</v>
      </c>
      <c r="C404" s="485"/>
      <c r="D404" s="486"/>
      <c r="E404" s="465">
        <f>E402-E403</f>
        <v>0</v>
      </c>
      <c r="F404" s="577">
        <f>F374</f>
        <v>1</v>
      </c>
      <c r="G404" s="578" t="e">
        <f>G374</f>
        <v>#REF!</v>
      </c>
      <c r="H404" s="578" t="e">
        <f>H374</f>
        <v>#REF!</v>
      </c>
      <c r="I404" s="579" t="e">
        <f>I374</f>
        <v>#REF!</v>
      </c>
      <c r="J404" s="580" t="str">
        <f>CONCATENATE(,P414,U401)</f>
        <v xml:space="preserve">  C.P.-</v>
      </c>
      <c r="K404" s="490"/>
      <c r="L404" s="491"/>
      <c r="M404" s="492"/>
      <c r="N404" s="492"/>
      <c r="O404" s="492"/>
      <c r="P404" s="492"/>
      <c r="Q404" s="492"/>
      <c r="R404" s="492"/>
      <c r="S404" s="492"/>
      <c r="T404" s="493"/>
      <c r="V404" s="494"/>
      <c r="W404" s="495"/>
      <c r="X404" s="496"/>
      <c r="Y404" s="497"/>
      <c r="Z404" s="4773" t="s">
        <v>457</v>
      </c>
      <c r="AA404" s="4774"/>
      <c r="AB404" s="4774"/>
      <c r="AC404" s="4775"/>
    </row>
    <row r="405" spans="1:30" ht="12" customHeight="1" thickTop="1" thickBot="1">
      <c r="A405" s="688"/>
      <c r="B405" s="4783" t="s">
        <v>460</v>
      </c>
      <c r="C405" s="4784"/>
      <c r="D405" s="4784"/>
      <c r="E405" s="4785"/>
      <c r="F405" s="498" t="s">
        <v>396</v>
      </c>
      <c r="G405" s="647" t="str">
        <f>G375</f>
        <v>CERVANTES BENITEZ * ANTONIA</v>
      </c>
      <c r="H405" s="500"/>
      <c r="I405" s="500"/>
      <c r="J405" s="501"/>
      <c r="K405" s="501"/>
      <c r="L405" s="501"/>
      <c r="M405" s="504"/>
      <c r="N405" s="4783" t="s">
        <v>461</v>
      </c>
      <c r="O405" s="4786"/>
      <c r="P405" s="4786"/>
      <c r="Q405" s="4787"/>
      <c r="R405" s="625" t="s">
        <v>439</v>
      </c>
      <c r="S405" s="499" t="str">
        <f>VLOOKUP(R405,AE1:AF16,2,1)</f>
        <v>USAER</v>
      </c>
      <c r="T405" s="501"/>
      <c r="U405" s="501"/>
      <c r="V405" s="501"/>
      <c r="W405" s="501"/>
      <c r="X405" s="501"/>
      <c r="Y405" s="504"/>
      <c r="Z405" s="446" t="s">
        <v>396</v>
      </c>
      <c r="AA405" s="461" t="str">
        <f>Y399</f>
        <v>BASE</v>
      </c>
      <c r="AB405" s="448"/>
      <c r="AC405" s="505">
        <f>V399</f>
        <v>10</v>
      </c>
    </row>
    <row r="406" spans="1:30" ht="12" customHeight="1" thickTop="1" thickBot="1">
      <c r="A406" s="688"/>
      <c r="B406" s="4783" t="s">
        <v>465</v>
      </c>
      <c r="C406" s="4786"/>
      <c r="D406" s="4786"/>
      <c r="E406" s="4787"/>
      <c r="F406" s="506" t="s">
        <v>396</v>
      </c>
      <c r="G406" s="648" t="str">
        <f>G376</f>
        <v>JESUS MARTIN RICALDE CASTRO</v>
      </c>
      <c r="H406" s="501"/>
      <c r="I406" s="501"/>
      <c r="J406" s="501"/>
      <c r="K406" s="501"/>
      <c r="L406" s="501"/>
      <c r="M406" s="504"/>
      <c r="N406" s="4783" t="s">
        <v>466</v>
      </c>
      <c r="O406" s="4786"/>
      <c r="P406" s="4786"/>
      <c r="Q406" s="4787"/>
      <c r="R406" s="625">
        <v>1</v>
      </c>
      <c r="S406" s="499" t="str">
        <f>VLOOKUP(R406,AE17:AF22,2,2)</f>
        <v>BASE</v>
      </c>
      <c r="T406" s="501"/>
      <c r="U406" s="501"/>
      <c r="V406" s="501"/>
      <c r="W406" s="501"/>
      <c r="X406" s="501"/>
      <c r="Y406" s="507" t="str">
        <f>CONCATENATE(M402,M401,N402,N401,O402,O401,P402,P401)</f>
        <v/>
      </c>
      <c r="Z406" s="4773" t="s">
        <v>467</v>
      </c>
      <c r="AA406" s="4774"/>
      <c r="AB406" s="4774"/>
      <c r="AC406" s="4775"/>
    </row>
    <row r="407" spans="1:30" ht="12" customHeight="1" thickTop="1" thickBot="1">
      <c r="A407" s="688"/>
      <c r="B407" s="4788" t="s">
        <v>471</v>
      </c>
      <c r="C407" s="4789"/>
      <c r="D407" s="4789"/>
      <c r="E407" s="4790"/>
      <c r="F407" s="506" t="s">
        <v>396</v>
      </c>
      <c r="G407" s="648" t="e">
        <f>G377</f>
        <v>#REF!</v>
      </c>
      <c r="H407" s="501"/>
      <c r="I407" s="501"/>
      <c r="J407" s="501"/>
      <c r="K407" s="501"/>
      <c r="L407" s="501"/>
      <c r="M407" s="501"/>
      <c r="N407" s="4783" t="s">
        <v>472</v>
      </c>
      <c r="O407" s="4786"/>
      <c r="P407" s="4786"/>
      <c r="Q407" s="4787"/>
      <c r="R407" s="625">
        <v>4</v>
      </c>
      <c r="S407" s="499" t="str">
        <f>VLOOKUP(R407,AE25:AF34,2,2)</f>
        <v>ALTA DEFINITIVA. (Si la persona se da de alta en al escuela)</v>
      </c>
      <c r="T407" s="501"/>
      <c r="U407" s="501"/>
      <c r="V407" s="501"/>
      <c r="W407" s="501"/>
      <c r="X407" s="501"/>
      <c r="Y407" s="504"/>
      <c r="Z407" s="446" t="s">
        <v>396</v>
      </c>
      <c r="AA407" s="447" t="str">
        <f>J402</f>
        <v>RG-  SM-  MZA-  LTE-  CALLE-  COL-</v>
      </c>
      <c r="AB407" s="448"/>
      <c r="AC407" s="449"/>
      <c r="AD407" s="662" t="s">
        <v>79</v>
      </c>
    </row>
    <row r="408" spans="1:30" ht="12" customHeight="1" thickTop="1" thickBot="1">
      <c r="A408" s="688"/>
      <c r="B408" s="4788" t="s">
        <v>475</v>
      </c>
      <c r="C408" s="4789"/>
      <c r="D408" s="4789"/>
      <c r="E408" s="4790"/>
      <c r="F408" s="508"/>
      <c r="G408" s="648"/>
      <c r="H408" s="501"/>
      <c r="I408" s="501"/>
      <c r="J408" s="501"/>
      <c r="K408" s="501"/>
      <c r="L408" s="501"/>
      <c r="M408" s="501"/>
      <c r="N408" s="4783" t="s">
        <v>476</v>
      </c>
      <c r="O408" s="4786"/>
      <c r="P408" s="4786"/>
      <c r="Q408" s="4787"/>
      <c r="R408" s="625">
        <v>2</v>
      </c>
      <c r="S408" s="499" t="str">
        <f>VLOOKUP(R408,AE35:AF43,2,2)</f>
        <v>FEDERAL TRANFERIDA  (18 de mayo de 2005 )</v>
      </c>
      <c r="T408" s="501"/>
      <c r="U408" s="501"/>
      <c r="V408" s="501"/>
      <c r="W408" s="501"/>
      <c r="X408" s="501"/>
      <c r="Y408" s="504"/>
      <c r="Z408" s="4773" t="s">
        <v>477</v>
      </c>
      <c r="AA408" s="4774"/>
      <c r="AB408" s="4774"/>
      <c r="AC408" s="4775"/>
    </row>
    <row r="409" spans="1:30" ht="12" customHeight="1" thickTop="1" thickBot="1">
      <c r="A409" s="688"/>
      <c r="B409" s="4791" t="s">
        <v>479</v>
      </c>
      <c r="C409" s="4792"/>
      <c r="D409" s="4792"/>
      <c r="E409" s="4793"/>
      <c r="F409" s="625"/>
      <c r="G409" s="582">
        <f>VLOOKUP(F409,AE69:AF78,2,1)</f>
        <v>0</v>
      </c>
      <c r="H409" s="501"/>
      <c r="I409" s="501"/>
      <c r="J409" s="501"/>
      <c r="K409" s="501"/>
      <c r="L409" s="584"/>
      <c r="M409" s="619">
        <f>COUNTA(F409,F527,F647,F767)</f>
        <v>1</v>
      </c>
      <c r="N409" s="4783" t="s">
        <v>480</v>
      </c>
      <c r="O409" s="4786"/>
      <c r="P409" s="4786"/>
      <c r="Q409" s="4787"/>
      <c r="R409" s="625"/>
      <c r="S409" s="499">
        <f>VLOOKUP(R409,AE44:AF68,2,2)</f>
        <v>0</v>
      </c>
      <c r="T409" s="501"/>
      <c r="U409" s="501"/>
      <c r="V409" s="501"/>
      <c r="W409" s="501"/>
      <c r="X409" s="501"/>
      <c r="Y409" s="504"/>
      <c r="Z409" s="446" t="s">
        <v>481</v>
      </c>
      <c r="AA409" s="447" t="str">
        <f>'VISITA DE INSP.'!AQ30</f>
        <v>23FUA0031K</v>
      </c>
      <c r="AB409" s="448"/>
      <c r="AC409" s="449"/>
    </row>
    <row r="410" spans="1:30" ht="12" customHeight="1" thickTop="1" thickBot="1">
      <c r="A410" s="688"/>
      <c r="B410" s="4791" t="s">
        <v>484</v>
      </c>
      <c r="C410" s="4792"/>
      <c r="D410" s="4792"/>
      <c r="E410" s="4793"/>
      <c r="F410" s="625"/>
      <c r="G410" s="582">
        <f>VLOOKUP(F410,AE79:AF85,2,1)</f>
        <v>0</v>
      </c>
      <c r="H410" s="501"/>
      <c r="I410" s="501"/>
      <c r="J410" s="501"/>
      <c r="K410" s="501"/>
      <c r="L410" s="501"/>
      <c r="M410" s="504"/>
      <c r="N410" s="4783" t="s">
        <v>485</v>
      </c>
      <c r="O410" s="4786"/>
      <c r="P410" s="4786"/>
      <c r="Q410" s="4787"/>
      <c r="R410" s="625"/>
      <c r="S410" s="553"/>
      <c r="T410" s="511"/>
      <c r="U410" s="512"/>
      <c r="V410" s="511"/>
      <c r="W410" s="511"/>
      <c r="X410" s="511"/>
      <c r="Y410" s="513"/>
      <c r="Z410" s="4773" t="s">
        <v>486</v>
      </c>
      <c r="AA410" s="4774"/>
      <c r="AB410" s="4774"/>
      <c r="AC410" s="4775"/>
    </row>
    <row r="411" spans="1:30" ht="12" hidden="1" customHeight="1" thickTop="1" thickBot="1">
      <c r="A411" s="688"/>
      <c r="B411" s="4811" t="s">
        <v>488</v>
      </c>
      <c r="C411" s="4812"/>
      <c r="D411" s="4812"/>
      <c r="E411" s="4812"/>
      <c r="F411" s="4812"/>
      <c r="G411" s="4812"/>
      <c r="H411" s="4812"/>
      <c r="I411" s="4812"/>
      <c r="J411" s="4794" t="s">
        <v>488</v>
      </c>
      <c r="K411" s="4795"/>
      <c r="L411" s="4795"/>
      <c r="M411" s="4795"/>
      <c r="N411" s="4795"/>
      <c r="O411" s="4795"/>
      <c r="P411" s="4795"/>
      <c r="Q411" s="4796"/>
      <c r="R411" s="4811" t="s">
        <v>488</v>
      </c>
      <c r="S411" s="4812"/>
      <c r="T411" s="4812"/>
      <c r="U411" s="4812"/>
      <c r="V411" s="4812"/>
      <c r="W411" s="4812"/>
      <c r="X411" s="4812"/>
      <c r="Y411" s="4812"/>
      <c r="Z411" s="446" t="s">
        <v>489</v>
      </c>
      <c r="AA411" s="447"/>
      <c r="AB411" s="448"/>
      <c r="AC411" s="449"/>
    </row>
    <row r="412" spans="1:30" ht="12" hidden="1" customHeight="1" thickTop="1" thickBot="1">
      <c r="A412" s="688"/>
      <c r="B412" s="586"/>
      <c r="C412" s="587"/>
      <c r="D412" s="588"/>
      <c r="E412" s="4797"/>
      <c r="F412" s="4797"/>
      <c r="G412" s="589"/>
      <c r="H412" s="590"/>
      <c r="I412" s="591"/>
      <c r="J412" s="592" t="s">
        <v>491</v>
      </c>
      <c r="K412" s="515" t="s">
        <v>491</v>
      </c>
      <c r="L412" s="516" t="s">
        <v>492</v>
      </c>
      <c r="M412" s="4797"/>
      <c r="N412" s="4797"/>
      <c r="O412" s="517" t="s">
        <v>418</v>
      </c>
      <c r="P412" s="518" t="s">
        <v>493</v>
      </c>
      <c r="Q412" s="520"/>
      <c r="R412" s="593"/>
      <c r="S412" s="594"/>
      <c r="T412" s="595"/>
      <c r="U412" s="4797"/>
      <c r="V412" s="4797"/>
      <c r="W412" s="596"/>
      <c r="X412" s="594"/>
      <c r="Y412" s="597"/>
      <c r="Z412" s="4773" t="s">
        <v>494</v>
      </c>
      <c r="AA412" s="4774"/>
      <c r="AB412" s="4774"/>
      <c r="AC412" s="4775"/>
    </row>
    <row r="413" spans="1:30" ht="12" hidden="1" customHeight="1" thickTop="1">
      <c r="A413" s="688"/>
      <c r="B413" s="586"/>
      <c r="C413" s="587"/>
      <c r="D413" s="588"/>
      <c r="E413" s="4813" t="s">
        <v>621</v>
      </c>
      <c r="F413" s="4814"/>
      <c r="G413" s="590"/>
      <c r="H413" s="590"/>
      <c r="I413" s="591"/>
      <c r="J413" s="523"/>
      <c r="K413" s="522"/>
      <c r="L413" s="4798" t="s">
        <v>496</v>
      </c>
      <c r="M413" s="4799"/>
      <c r="N413" s="4799"/>
      <c r="O413" s="4800"/>
      <c r="P413" s="515"/>
      <c r="Q413" s="520"/>
      <c r="R413" s="593"/>
      <c r="S413" s="594"/>
      <c r="T413" s="598"/>
      <c r="U413" s="4815" t="s">
        <v>622</v>
      </c>
      <c r="V413" s="4816"/>
      <c r="W413" s="596"/>
      <c r="X413" s="594"/>
      <c r="Y413" s="597"/>
      <c r="Z413" s="446"/>
      <c r="AA413" s="524">
        <f>VLOOKUP(Z413,BE24:BF34,2,2)</f>
        <v>0</v>
      </c>
      <c r="AB413" s="448"/>
      <c r="AC413" s="449"/>
    </row>
    <row r="414" spans="1:30" ht="12" hidden="1" customHeight="1">
      <c r="A414" s="688"/>
      <c r="B414" s="586"/>
      <c r="C414" s="587"/>
      <c r="D414" s="588"/>
      <c r="E414" s="599"/>
      <c r="F414" s="590"/>
      <c r="G414" s="590"/>
      <c r="H414" s="590"/>
      <c r="I414" s="591"/>
      <c r="J414" s="526" t="s">
        <v>498</v>
      </c>
      <c r="K414" s="527" t="s">
        <v>499</v>
      </c>
      <c r="L414" s="527" t="s">
        <v>500</v>
      </c>
      <c r="M414" s="527" t="s">
        <v>501</v>
      </c>
      <c r="N414" s="527" t="s">
        <v>502</v>
      </c>
      <c r="O414" s="527" t="s">
        <v>503</v>
      </c>
      <c r="P414" s="527" t="s">
        <v>504</v>
      </c>
      <c r="Q414" s="600"/>
      <c r="R414" s="4752" t="str">
        <f>'VISITA DE INSP.'!D30</f>
        <v>GONGORA * TERESITA DEL CARMEN</v>
      </c>
      <c r="S414" s="4753"/>
      <c r="T414" s="4753"/>
      <c r="U414" s="4753"/>
      <c r="V414" s="4753"/>
      <c r="W414" s="4753"/>
      <c r="X414" s="4753"/>
      <c r="Y414" s="4754"/>
      <c r="Z414" s="4801" t="s">
        <v>506</v>
      </c>
      <c r="AA414" s="4802"/>
      <c r="AB414" s="4802"/>
      <c r="AC414" s="4803"/>
    </row>
    <row r="415" spans="1:30" ht="12" hidden="1" customHeight="1">
      <c r="A415" s="688"/>
      <c r="B415" s="586"/>
      <c r="C415" s="587"/>
      <c r="D415" s="588"/>
      <c r="E415" s="599"/>
      <c r="F415" s="590"/>
      <c r="G415" s="590"/>
      <c r="H415" s="590"/>
      <c r="I415" s="591"/>
      <c r="J415" s="534"/>
      <c r="K415" s="531" t="s">
        <v>491</v>
      </c>
      <c r="L415" s="532" t="s">
        <v>491</v>
      </c>
      <c r="M415" s="533"/>
      <c r="N415" s="532"/>
      <c r="O415" s="532"/>
      <c r="P415" s="532"/>
      <c r="Q415" s="520"/>
      <c r="R415" s="682"/>
      <c r="S415" s="4758" t="str">
        <f>'VISITA DE INSP.'!AN30</f>
        <v>GOTE710913H14</v>
      </c>
      <c r="T415" s="4759"/>
      <c r="U415" s="4759"/>
      <c r="V415" s="4759"/>
      <c r="W415" s="4759"/>
      <c r="X415" s="4760"/>
      <c r="Y415" s="683"/>
      <c r="Z415" s="446"/>
      <c r="AA415" s="524" t="e">
        <f>VLOOKUP(Z415,AW144:AX159,2,2)</f>
        <v>#N/A</v>
      </c>
      <c r="AB415" s="448"/>
      <c r="AC415" s="449"/>
    </row>
    <row r="416" spans="1:30" ht="12" hidden="1" customHeight="1">
      <c r="A416" s="688"/>
      <c r="B416" s="586"/>
      <c r="C416" s="587"/>
      <c r="D416" s="588"/>
      <c r="E416" s="599"/>
      <c r="F416" s="590"/>
      <c r="G416" s="590"/>
      <c r="H416" s="590"/>
      <c r="I416" s="591"/>
      <c r="J416" s="538"/>
      <c r="K416" s="537"/>
      <c r="L416" s="527"/>
      <c r="M416" s="527"/>
      <c r="N416" s="527"/>
      <c r="O416" s="527"/>
      <c r="P416" s="527"/>
      <c r="Q416" s="520"/>
      <c r="R416" s="682"/>
      <c r="S416" s="4758" t="str">
        <f>'VISITA DE INSP.'!AO30</f>
        <v>072303 S0180700.0300489</v>
      </c>
      <c r="T416" s="4759"/>
      <c r="U416" s="4759"/>
      <c r="V416" s="4759"/>
      <c r="W416" s="4759"/>
      <c r="X416" s="4760"/>
      <c r="Y416" s="683"/>
      <c r="Z416" s="4773" t="s">
        <v>511</v>
      </c>
      <c r="AA416" s="4774"/>
      <c r="AB416" s="4774"/>
      <c r="AC416" s="4775"/>
    </row>
    <row r="417" spans="1:30" ht="12" hidden="1" customHeight="1">
      <c r="A417" s="688"/>
      <c r="B417" s="586"/>
      <c r="C417" s="587"/>
      <c r="D417" s="588"/>
      <c r="E417" s="599"/>
      <c r="F417" s="590"/>
      <c r="G417" s="590"/>
      <c r="H417" s="590"/>
      <c r="I417" s="591"/>
      <c r="J417" s="534"/>
      <c r="K417" s="537"/>
      <c r="L417" s="531"/>
      <c r="M417" s="533"/>
      <c r="N417" s="532"/>
      <c r="O417" s="532"/>
      <c r="P417" s="532"/>
      <c r="Q417" s="520"/>
      <c r="R417" s="682"/>
      <c r="S417" s="4827" t="str">
        <f>'VISITA DE INSP.'!AU30</f>
        <v>16-09-1995</v>
      </c>
      <c r="T417" s="4828"/>
      <c r="U417" s="4828"/>
      <c r="V417" s="4828"/>
      <c r="W417" s="4828"/>
      <c r="X417" s="4829"/>
      <c r="Y417" s="684"/>
      <c r="Z417" s="446"/>
      <c r="AA417" s="524" t="e">
        <f>VLOOKUP(Z417,BB144:BC154,2,2)</f>
        <v>#N/A</v>
      </c>
      <c r="AB417" s="448"/>
      <c r="AC417" s="449"/>
    </row>
    <row r="418" spans="1:30" ht="12" hidden="1" customHeight="1">
      <c r="A418" s="688"/>
      <c r="B418" s="586"/>
      <c r="C418" s="587"/>
      <c r="D418" s="588"/>
      <c r="E418" s="599"/>
      <c r="F418" s="590"/>
      <c r="G418" s="590"/>
      <c r="H418" s="590"/>
      <c r="I418" s="591"/>
      <c r="J418" s="534"/>
      <c r="K418" s="522"/>
      <c r="L418" s="539"/>
      <c r="M418" s="540"/>
      <c r="N418" s="515"/>
      <c r="O418" s="515"/>
      <c r="P418" s="515"/>
      <c r="Q418" s="520"/>
      <c r="R418" s="682"/>
      <c r="S418" s="4758">
        <f>'VISITA DE INSP.'!AT30</f>
        <v>10</v>
      </c>
      <c r="T418" s="4759"/>
      <c r="U418" s="4759"/>
      <c r="V418" s="4759"/>
      <c r="W418" s="4759"/>
      <c r="X418" s="4760"/>
      <c r="Y418" s="684"/>
      <c r="Z418" s="4773" t="s">
        <v>520</v>
      </c>
      <c r="AA418" s="4774"/>
      <c r="AB418" s="4774"/>
      <c r="AC418" s="4775"/>
    </row>
    <row r="419" spans="1:30" ht="12" hidden="1" customHeight="1">
      <c r="A419" s="688"/>
      <c r="B419" s="586"/>
      <c r="C419" s="587"/>
      <c r="D419" s="588"/>
      <c r="E419" s="599"/>
      <c r="F419" s="590"/>
      <c r="G419" s="590"/>
      <c r="H419" s="590"/>
      <c r="I419" s="591"/>
      <c r="J419" s="534"/>
      <c r="K419" s="541"/>
      <c r="L419" s="541"/>
      <c r="M419" s="541"/>
      <c r="N419" s="541"/>
      <c r="O419" s="541"/>
      <c r="P419" s="541"/>
      <c r="Q419" s="520"/>
      <c r="R419" s="682"/>
      <c r="S419" s="4830" t="str">
        <f>'VISITA DE INSP.'!AS30</f>
        <v>7B</v>
      </c>
      <c r="T419" s="4831"/>
      <c r="U419" s="4831"/>
      <c r="V419" s="4831"/>
      <c r="W419" s="4831"/>
      <c r="X419" s="4832"/>
      <c r="Y419" s="684"/>
      <c r="Z419" s="446" t="s">
        <v>396</v>
      </c>
      <c r="AA419" s="447" t="str">
        <f>J403</f>
        <v xml:space="preserve">  COL-</v>
      </c>
      <c r="AB419" s="448"/>
      <c r="AC419" s="449"/>
    </row>
    <row r="420" spans="1:30" ht="12" hidden="1" customHeight="1">
      <c r="A420" s="688"/>
      <c r="B420" s="586"/>
      <c r="C420" s="603" t="str">
        <f>Y395</f>
        <v xml:space="preserve">       </v>
      </c>
      <c r="D420" s="604"/>
      <c r="E420" s="604"/>
      <c r="F420" s="604"/>
      <c r="G420" s="604"/>
      <c r="H420" s="605"/>
      <c r="I420" s="591"/>
      <c r="J420" s="606" t="str">
        <f>J404</f>
        <v xml:space="preserve">  C.P.-</v>
      </c>
      <c r="K420" s="603" t="str">
        <f>C420</f>
        <v xml:space="preserve">       </v>
      </c>
      <c r="L420" s="604"/>
      <c r="M420" s="604"/>
      <c r="N420" s="604"/>
      <c r="O420" s="604"/>
      <c r="P420" s="605"/>
      <c r="Q420" s="597"/>
      <c r="R420" s="593"/>
      <c r="S420" s="607" t="str">
        <f>K420</f>
        <v xml:space="preserve">       </v>
      </c>
      <c r="T420" s="608"/>
      <c r="U420" s="608"/>
      <c r="V420" s="608"/>
      <c r="W420" s="608"/>
      <c r="X420" s="609"/>
      <c r="Y420" s="597"/>
      <c r="Z420" s="4773" t="s">
        <v>529</v>
      </c>
      <c r="AA420" s="4774"/>
      <c r="AB420" s="4774"/>
      <c r="AC420" s="4775"/>
    </row>
    <row r="421" spans="1:30" ht="12" hidden="1" customHeight="1" thickBot="1">
      <c r="A421" s="688"/>
      <c r="B421" s="610"/>
      <c r="C421" s="4817" t="s">
        <v>534</v>
      </c>
      <c r="D421" s="4818"/>
      <c r="E421" s="4818"/>
      <c r="F421" s="4818"/>
      <c r="G421" s="4818"/>
      <c r="H421" s="4819"/>
      <c r="I421" s="611"/>
      <c r="J421" s="612"/>
      <c r="K421" s="4820" t="s">
        <v>534</v>
      </c>
      <c r="L421" s="4821"/>
      <c r="M421" s="4821"/>
      <c r="N421" s="4821"/>
      <c r="O421" s="4821"/>
      <c r="P421" s="4822"/>
      <c r="Q421" s="613"/>
      <c r="R421" s="614"/>
      <c r="S421" s="4817" t="s">
        <v>534</v>
      </c>
      <c r="T421" s="4818"/>
      <c r="U421" s="4818"/>
      <c r="V421" s="4818"/>
      <c r="W421" s="4818"/>
      <c r="X421" s="4819"/>
      <c r="Y421" s="615"/>
      <c r="Z421" s="446" t="s">
        <v>396</v>
      </c>
      <c r="AA421" s="447" t="str">
        <f>J404</f>
        <v xml:space="preserve">  C.P.-</v>
      </c>
      <c r="AB421" s="448"/>
      <c r="AC421" s="449"/>
    </row>
    <row r="422" spans="1:30" ht="12" customHeight="1" thickTop="1" thickBot="1">
      <c r="A422" s="688"/>
      <c r="B422" s="4783" t="s">
        <v>538</v>
      </c>
      <c r="C422" s="4784"/>
      <c r="D422" s="4784"/>
      <c r="E422" s="4784"/>
      <c r="F422" s="552"/>
      <c r="G422" s="551">
        <f>VLOOKUP(F422,BE38:BG72,2,2)</f>
        <v>0</v>
      </c>
      <c r="H422" s="511"/>
      <c r="I422" s="513"/>
      <c r="J422" s="4783" t="s">
        <v>539</v>
      </c>
      <c r="K422" s="4784"/>
      <c r="L422" s="4784"/>
      <c r="M422" s="4784"/>
      <c r="N422" s="552" t="s">
        <v>540</v>
      </c>
      <c r="O422" s="628"/>
      <c r="P422" s="629"/>
      <c r="Q422" s="630"/>
      <c r="R422" s="4783" t="s">
        <v>541</v>
      </c>
      <c r="S422" s="4784"/>
      <c r="T422" s="4784"/>
      <c r="U422" s="4785"/>
      <c r="V422" s="508" t="s">
        <v>396</v>
      </c>
      <c r="W422" s="553">
        <f>O395</f>
        <v>0</v>
      </c>
      <c r="X422" s="554">
        <f>R395</f>
        <v>0</v>
      </c>
      <c r="Y422" s="555">
        <f>U395</f>
        <v>0</v>
      </c>
      <c r="Z422" s="4773" t="s">
        <v>542</v>
      </c>
      <c r="AA422" s="4774"/>
      <c r="AB422" s="4774"/>
      <c r="AC422" s="4775"/>
    </row>
    <row r="423" spans="1:30" ht="12" customHeight="1" thickTop="1" thickBot="1">
      <c r="A423" s="688"/>
      <c r="B423" s="651"/>
      <c r="C423" s="652"/>
      <c r="D423" s="652"/>
      <c r="E423" s="652"/>
      <c r="F423" s="652"/>
      <c r="G423" s="652"/>
      <c r="H423" s="652"/>
      <c r="I423" s="652"/>
      <c r="J423" s="652"/>
      <c r="K423" s="652"/>
      <c r="L423" s="652"/>
      <c r="M423" s="652"/>
      <c r="N423" s="652"/>
      <c r="O423" s="652"/>
      <c r="P423" s="652"/>
      <c r="Q423" s="652"/>
      <c r="R423" s="652"/>
      <c r="S423" s="652"/>
      <c r="T423" s="652"/>
      <c r="U423" s="652"/>
      <c r="V423" s="652"/>
      <c r="W423" s="652"/>
      <c r="X423" s="652"/>
      <c r="Y423" s="674"/>
      <c r="Z423" s="558" t="s">
        <v>396</v>
      </c>
      <c r="AA423" s="559" t="e">
        <f>W403</f>
        <v>#REF!</v>
      </c>
      <c r="AB423" s="560"/>
      <c r="AC423" s="561"/>
    </row>
    <row r="424" spans="1:30" ht="12" customHeight="1" thickTop="1">
      <c r="A424" s="688"/>
      <c r="B424" s="4761" t="s">
        <v>386</v>
      </c>
      <c r="C424" s="4762"/>
      <c r="D424" s="4762"/>
      <c r="E424" s="4762"/>
      <c r="F424" s="4762"/>
      <c r="G424" s="4762"/>
      <c r="H424" s="4762"/>
      <c r="I424" s="4763"/>
      <c r="J424" s="562">
        <f>COUNTA(I429:I430)</f>
        <v>0</v>
      </c>
      <c r="K424" s="563" t="s">
        <v>387</v>
      </c>
      <c r="L424" s="564"/>
      <c r="M424" s="564"/>
      <c r="N424" s="564"/>
      <c r="O424" s="564"/>
      <c r="P424" s="564"/>
      <c r="Q424" s="564"/>
      <c r="R424" s="564"/>
      <c r="S424" s="564"/>
      <c r="T424" s="564"/>
      <c r="U424" s="564"/>
      <c r="V424" s="564"/>
      <c r="W424" s="564"/>
      <c r="X424" s="564"/>
      <c r="Y424" s="441"/>
      <c r="Z424" s="4770" t="s">
        <v>388</v>
      </c>
      <c r="AA424" s="4771"/>
      <c r="AB424" s="4771"/>
      <c r="AC424" s="4772"/>
    </row>
    <row r="425" spans="1:30" ht="12" customHeight="1">
      <c r="A425" s="688"/>
      <c r="B425" s="4764"/>
      <c r="C425" s="4765"/>
      <c r="D425" s="4765"/>
      <c r="E425" s="4765"/>
      <c r="F425" s="4765"/>
      <c r="G425" s="4765"/>
      <c r="H425" s="4765"/>
      <c r="I425" s="4766"/>
      <c r="J425" s="565" t="str">
        <f>CONCATENATE(O425,J442,R425,K442,U425,L442)</f>
        <v xml:space="preserve">       </v>
      </c>
      <c r="K425" s="699" t="s">
        <v>395</v>
      </c>
      <c r="L425" s="700"/>
      <c r="M425" s="539"/>
      <c r="N425" s="539"/>
      <c r="O425" s="701"/>
      <c r="P425" s="573"/>
      <c r="R425" s="701"/>
      <c r="S425" s="573"/>
      <c r="U425" s="701"/>
      <c r="V425" s="702"/>
      <c r="W425" s="703"/>
      <c r="X425" s="641"/>
      <c r="Y425" s="445" t="str">
        <f>CONCATENATE(U425,K442,O425,J442,R425,L442)</f>
        <v xml:space="preserve">       </v>
      </c>
      <c r="Z425" s="446" t="s">
        <v>396</v>
      </c>
      <c r="AA425" s="447" t="str">
        <f>J425</f>
        <v xml:space="preserve">       </v>
      </c>
      <c r="AB425" s="448"/>
      <c r="AC425" s="449"/>
    </row>
    <row r="426" spans="1:30" ht="12" customHeight="1" thickBot="1">
      <c r="A426" s="688"/>
      <c r="B426" s="4767"/>
      <c r="C426" s="4768"/>
      <c r="D426" s="4768"/>
      <c r="E426" s="4768"/>
      <c r="F426" s="4768"/>
      <c r="G426" s="4768"/>
      <c r="H426" s="4768"/>
      <c r="I426" s="4769"/>
      <c r="J426" s="565"/>
      <c r="K426" s="539" t="str">
        <f>'VISITA DE INSP.'!D31</f>
        <v>ARGUELLES GARCIA * MAYRA LUCELY</v>
      </c>
      <c r="L426" s="539"/>
      <c r="M426" s="539"/>
      <c r="N426" s="539"/>
      <c r="P426" s="704"/>
      <c r="Q426" s="705"/>
      <c r="S426" s="704"/>
      <c r="T426" s="705"/>
      <c r="U426" s="706"/>
      <c r="V426" s="706"/>
      <c r="W426" s="706"/>
      <c r="X426" s="706"/>
      <c r="Y426" s="450" t="str">
        <f>CONCATENATE(V427,L442,W427)</f>
        <v>11007831200.0   074823 E076302.0230140</v>
      </c>
      <c r="Z426" s="4773" t="s">
        <v>400</v>
      </c>
      <c r="AA426" s="4774"/>
      <c r="AB426" s="4774"/>
      <c r="AC426" s="4775"/>
    </row>
    <row r="427" spans="1:30" ht="12" customHeight="1" thickTop="1">
      <c r="A427" s="688"/>
      <c r="B427" s="452">
        <v>1</v>
      </c>
      <c r="C427" s="453" t="s">
        <v>406</v>
      </c>
      <c r="D427" s="454" t="s">
        <v>407</v>
      </c>
      <c r="E427" s="455" t="s">
        <v>408</v>
      </c>
      <c r="F427" s="456" t="s">
        <v>409</v>
      </c>
      <c r="G427" s="457" t="e">
        <f>G397</f>
        <v>#REF!</v>
      </c>
      <c r="H427" s="458"/>
      <c r="I427" s="459"/>
      <c r="J427" s="565" t="str">
        <f>CONCATENATE(N427,K442,O427)</f>
        <v>AUGM760116  K6</v>
      </c>
      <c r="K427" s="699" t="s">
        <v>410</v>
      </c>
      <c r="L427" s="700"/>
      <c r="M427" s="707"/>
      <c r="N427" s="708" t="str">
        <f>MID('VISITA DE INSP.'!AN31,1,10)</f>
        <v>AUGM760116</v>
      </c>
      <c r="O427" s="701" t="str">
        <f>MID('VISITA DE INSP.'!AN31,12,15)</f>
        <v>K6</v>
      </c>
      <c r="P427" s="641"/>
      <c r="Q427" s="700"/>
      <c r="R427" s="709"/>
      <c r="T427" s="710" t="s">
        <v>411</v>
      </c>
      <c r="U427" s="641"/>
      <c r="V427" s="711" t="s">
        <v>179</v>
      </c>
      <c r="W427" s="712" t="str">
        <f>'VISITA DE INSP.'!AO31</f>
        <v>074823 E076302.0230140</v>
      </c>
      <c r="X427" s="713"/>
      <c r="Y427" s="460" t="str">
        <f>CONCATENATE(V427,K442,W427)</f>
        <v>11007831200.0  074823 E076302.0230140</v>
      </c>
      <c r="Z427" s="446" t="s">
        <v>396</v>
      </c>
      <c r="AA427" s="447" t="str">
        <f>Y425</f>
        <v xml:space="preserve">       </v>
      </c>
      <c r="AB427" s="448"/>
      <c r="AC427" s="449"/>
    </row>
    <row r="428" spans="1:30" ht="12" customHeight="1">
      <c r="A428" s="688"/>
      <c r="B428" s="462" t="s">
        <v>416</v>
      </c>
      <c r="C428" s="463"/>
      <c r="D428" s="464"/>
      <c r="E428" s="465">
        <f t="shared" ref="E428:E433" si="22">C428+D428</f>
        <v>0</v>
      </c>
      <c r="F428" s="466" t="s">
        <v>417</v>
      </c>
      <c r="G428" s="467" t="e">
        <f>G398</f>
        <v>#REF!</v>
      </c>
      <c r="H428" s="468" t="e">
        <f>H398</f>
        <v>#REF!</v>
      </c>
      <c r="I428" s="469"/>
      <c r="J428" s="565"/>
      <c r="K428" s="714"/>
      <c r="L428" s="715"/>
      <c r="M428" s="716"/>
      <c r="O428" s="716"/>
      <c r="P428" s="716"/>
      <c r="Q428" s="717" t="s">
        <v>418</v>
      </c>
      <c r="R428" s="714"/>
      <c r="S428" s="540"/>
      <c r="T428" s="540"/>
      <c r="U428" s="716"/>
      <c r="V428" s="716"/>
      <c r="W428" s="716"/>
      <c r="X428" s="718"/>
      <c r="Y428" s="450" t="str">
        <f>MID(W427,1,5)</f>
        <v>07482</v>
      </c>
      <c r="Z428" s="4773" t="s">
        <v>419</v>
      </c>
      <c r="AA428" s="4774"/>
      <c r="AB428" s="4774"/>
      <c r="AC428" s="4775"/>
    </row>
    <row r="429" spans="1:30" ht="12" customHeight="1">
      <c r="A429" s="688"/>
      <c r="B429" s="470" t="s">
        <v>423</v>
      </c>
      <c r="C429" s="463"/>
      <c r="D429" s="464"/>
      <c r="E429" s="465">
        <f t="shared" si="22"/>
        <v>0</v>
      </c>
      <c r="F429" s="692" t="s">
        <v>3</v>
      </c>
      <c r="G429" s="463">
        <f>'VISITA DE INSP.'!B31</f>
        <v>0</v>
      </c>
      <c r="H429" s="471" t="s">
        <v>406</v>
      </c>
      <c r="I429" s="480"/>
      <c r="J429" s="568">
        <f>COUNTA(I429,I459,I489,I519,I549,I579,I609,I639,I669,I699)</f>
        <v>1</v>
      </c>
      <c r="K429" s="522" t="s">
        <v>424</v>
      </c>
      <c r="L429" s="539"/>
      <c r="M429" s="539"/>
      <c r="N429" s="539"/>
      <c r="O429" s="712" t="str">
        <f>'VISITA DE INSP.'!AU31</f>
        <v>01-07-2010</v>
      </c>
      <c r="P429" s="719"/>
      <c r="Q429" s="720"/>
      <c r="R429" s="714"/>
      <c r="S429" s="714"/>
      <c r="T429" s="714"/>
      <c r="U429" s="574" t="s">
        <v>425</v>
      </c>
      <c r="V429" s="721">
        <f>'VISITA DE INSP.'!AT31</f>
        <v>10</v>
      </c>
      <c r="W429" s="722" t="str">
        <f>Y429</f>
        <v>BASE</v>
      </c>
      <c r="X429" s="723"/>
      <c r="Y429" s="473" t="str">
        <f>VLOOKUP(V429,AH2:AI14,2)</f>
        <v>BASE</v>
      </c>
      <c r="Z429" s="446" t="s">
        <v>396</v>
      </c>
      <c r="AA429" s="447" t="str">
        <f>J427</f>
        <v>AUGM760116  K6</v>
      </c>
      <c r="AB429" s="448"/>
      <c r="AC429" s="449"/>
    </row>
    <row r="430" spans="1:30" ht="12" customHeight="1">
      <c r="A430" s="688"/>
      <c r="B430" s="470" t="s">
        <v>408</v>
      </c>
      <c r="C430" s="463"/>
      <c r="D430" s="464"/>
      <c r="E430" s="465">
        <f t="shared" si="22"/>
        <v>0</v>
      </c>
      <c r="F430" s="692" t="s">
        <v>4</v>
      </c>
      <c r="G430" s="463">
        <f>'VISITA DE INSP.'!C31</f>
        <v>0</v>
      </c>
      <c r="H430" s="475" t="s">
        <v>407</v>
      </c>
      <c r="I430" s="623"/>
      <c r="J430" s="568">
        <f>COUNTA(I430,I460,I490,I520,I550,I580,I610,I640,I670,I700)</f>
        <v>0</v>
      </c>
      <c r="K430" s="717"/>
      <c r="L430" s="717"/>
      <c r="M430" s="539"/>
      <c r="N430" s="714"/>
      <c r="O430" s="716"/>
      <c r="P430" s="716"/>
      <c r="Q430" s="716"/>
      <c r="R430" s="539"/>
      <c r="S430" s="539"/>
      <c r="T430" s="714"/>
      <c r="U430" s="714"/>
      <c r="V430" s="724"/>
      <c r="W430" s="724"/>
      <c r="X430" s="716"/>
      <c r="Y430" s="476"/>
      <c r="Z430" s="4773" t="s">
        <v>429</v>
      </c>
      <c r="AA430" s="4774"/>
      <c r="AB430" s="4774"/>
      <c r="AC430" s="4775"/>
    </row>
    <row r="431" spans="1:30" ht="12" customHeight="1">
      <c r="A431" s="688"/>
      <c r="B431" s="470" t="s">
        <v>434</v>
      </c>
      <c r="C431" s="463"/>
      <c r="D431" s="464"/>
      <c r="E431" s="465">
        <f t="shared" si="22"/>
        <v>0</v>
      </c>
      <c r="F431" s="4776" t="s">
        <v>435</v>
      </c>
      <c r="G431" s="4777"/>
      <c r="H431" s="4777" t="s">
        <v>436</v>
      </c>
      <c r="I431" s="4778"/>
      <c r="J431" s="568">
        <f>SUM(J429,J430)</f>
        <v>1</v>
      </c>
      <c r="K431" s="522" t="s">
        <v>437</v>
      </c>
      <c r="L431" s="539"/>
      <c r="M431" s="725"/>
      <c r="N431" s="725"/>
      <c r="O431" s="725"/>
      <c r="P431" s="725"/>
      <c r="Q431" s="725"/>
      <c r="R431" s="726"/>
      <c r="S431" s="725"/>
      <c r="T431" s="727"/>
      <c r="U431" s="725"/>
      <c r="V431" s="574" t="s">
        <v>438</v>
      </c>
      <c r="W431" s="728"/>
      <c r="X431" s="723"/>
      <c r="Y431" s="445" t="str">
        <f>CONCATENATE(O444,S431)</f>
        <v xml:space="preserve">  COL-</v>
      </c>
      <c r="Z431" s="446" t="s">
        <v>396</v>
      </c>
      <c r="AA431" s="447" t="str">
        <f>Y427</f>
        <v>11007831200.0  074823 E076302.0230140</v>
      </c>
      <c r="AB431" s="448"/>
      <c r="AC431" s="449"/>
      <c r="AD431" s="662" t="s">
        <v>79</v>
      </c>
    </row>
    <row r="432" spans="1:30" ht="12" customHeight="1">
      <c r="A432" s="688"/>
      <c r="B432" s="470" t="s">
        <v>443</v>
      </c>
      <c r="C432" s="463"/>
      <c r="D432" s="464"/>
      <c r="E432" s="465">
        <f t="shared" si="22"/>
        <v>0</v>
      </c>
      <c r="F432" s="478" t="s">
        <v>444</v>
      </c>
      <c r="G432" s="624">
        <v>15</v>
      </c>
      <c r="H432" s="479" t="e">
        <f>H402</f>
        <v>#REF!</v>
      </c>
      <c r="I432" s="480" t="e">
        <f>H432+1</f>
        <v>#REF!</v>
      </c>
      <c r="J432" s="569" t="str">
        <f>CONCATENATE(J444,M431,K444,N431,L444,O431,M444,P431,N444,Q431,O444,S431)</f>
        <v>RG-  SM-  MZA-  LTE-  CALLE-  COL-</v>
      </c>
      <c r="K432" s="729"/>
      <c r="L432" s="539"/>
      <c r="M432" s="492"/>
      <c r="N432" s="492"/>
      <c r="O432" s="492"/>
      <c r="P432" s="492"/>
      <c r="Q432" s="492"/>
      <c r="R432" s="730"/>
      <c r="S432" s="731" t="s">
        <v>503</v>
      </c>
      <c r="T432" s="731"/>
      <c r="U432" s="731" t="s">
        <v>504</v>
      </c>
      <c r="V432" s="533"/>
      <c r="W432" s="732"/>
      <c r="X432" s="733"/>
      <c r="Y432" s="450" t="str">
        <f>CONCATENATE(K442,P444,U431)</f>
        <v xml:space="preserve">    C.P.-</v>
      </c>
      <c r="Z432" s="4779" t="s">
        <v>445</v>
      </c>
      <c r="AA432" s="4780"/>
      <c r="AB432" s="4780"/>
      <c r="AC432" s="4781"/>
    </row>
    <row r="433" spans="1:30" ht="12" customHeight="1">
      <c r="A433" s="688"/>
      <c r="B433" s="470" t="s">
        <v>450</v>
      </c>
      <c r="C433" s="463"/>
      <c r="D433" s="464"/>
      <c r="E433" s="465">
        <f t="shared" si="22"/>
        <v>0</v>
      </c>
      <c r="F433" s="692" t="s">
        <v>373</v>
      </c>
      <c r="G433" s="4782" t="s">
        <v>451</v>
      </c>
      <c r="H433" s="4777"/>
      <c r="I433" s="4778"/>
      <c r="J433" s="565" t="str">
        <f>CONCATENATE(O444,S431)</f>
        <v xml:space="preserve">  COL-</v>
      </c>
      <c r="K433" s="522" t="s">
        <v>452</v>
      </c>
      <c r="L433" s="539"/>
      <c r="M433" s="539"/>
      <c r="N433" s="572" t="e">
        <f>#REF!</f>
        <v>#REF!</v>
      </c>
      <c r="O433" s="573"/>
      <c r="P433" s="573"/>
      <c r="Q433" s="573"/>
      <c r="R433" s="573"/>
      <c r="S433" s="574" t="s">
        <v>453</v>
      </c>
      <c r="T433" s="572" t="e">
        <f>#REF!</f>
        <v>#REF!</v>
      </c>
      <c r="U433" s="575"/>
      <c r="V433" s="574" t="s">
        <v>454</v>
      </c>
      <c r="W433" s="576" t="e">
        <f>#REF!</f>
        <v>#REF!</v>
      </c>
      <c r="X433" s="575"/>
      <c r="Y433" s="445"/>
      <c r="Z433" s="446" t="s">
        <v>396</v>
      </c>
      <c r="AA433" s="482" t="str">
        <f>O429</f>
        <v>01-07-2010</v>
      </c>
      <c r="AB433" s="673"/>
      <c r="AC433" s="483"/>
    </row>
    <row r="434" spans="1:30" ht="12" customHeight="1" thickBot="1">
      <c r="A434" s="688"/>
      <c r="B434" s="484" t="s">
        <v>456</v>
      </c>
      <c r="C434" s="485"/>
      <c r="D434" s="486"/>
      <c r="E434" s="465">
        <f>E432-E433</f>
        <v>0</v>
      </c>
      <c r="F434" s="577">
        <f>F404</f>
        <v>1</v>
      </c>
      <c r="G434" s="578" t="e">
        <f>G404</f>
        <v>#REF!</v>
      </c>
      <c r="H434" s="578" t="e">
        <f>H404</f>
        <v>#REF!</v>
      </c>
      <c r="I434" s="579" t="e">
        <f>I404</f>
        <v>#REF!</v>
      </c>
      <c r="J434" s="580" t="str">
        <f>CONCATENATE(,P444,U431)</f>
        <v xml:space="preserve">  C.P.-</v>
      </c>
      <c r="K434" s="490"/>
      <c r="L434" s="491"/>
      <c r="M434" s="492"/>
      <c r="N434" s="492"/>
      <c r="O434" s="492"/>
      <c r="P434" s="492"/>
      <c r="Q434" s="492"/>
      <c r="R434" s="492"/>
      <c r="S434" s="492"/>
      <c r="T434" s="493"/>
      <c r="V434" s="494"/>
      <c r="W434" s="495"/>
      <c r="X434" s="496"/>
      <c r="Y434" s="497"/>
      <c r="Z434" s="4773" t="s">
        <v>457</v>
      </c>
      <c r="AA434" s="4774"/>
      <c r="AB434" s="4774"/>
      <c r="AC434" s="4775"/>
    </row>
    <row r="435" spans="1:30" ht="12" customHeight="1" thickTop="1" thickBot="1">
      <c r="A435" s="688"/>
      <c r="B435" s="4783" t="s">
        <v>460</v>
      </c>
      <c r="C435" s="4784"/>
      <c r="D435" s="4784"/>
      <c r="E435" s="4785"/>
      <c r="F435" s="498" t="s">
        <v>396</v>
      </c>
      <c r="G435" s="647" t="str">
        <f>G405</f>
        <v>CERVANTES BENITEZ * ANTONIA</v>
      </c>
      <c r="H435" s="500"/>
      <c r="I435" s="500"/>
      <c r="J435" s="501"/>
      <c r="K435" s="501"/>
      <c r="L435" s="501"/>
      <c r="M435" s="504"/>
      <c r="N435" s="4783" t="s">
        <v>461</v>
      </c>
      <c r="O435" s="4786"/>
      <c r="P435" s="4786"/>
      <c r="Q435" s="4787"/>
      <c r="R435" s="625" t="s">
        <v>399</v>
      </c>
      <c r="S435" s="499" t="str">
        <f>VLOOKUP(R435,AE1:AF16,2,1)</f>
        <v>EDUC. FISICA</v>
      </c>
      <c r="T435" s="501"/>
      <c r="U435" s="501"/>
      <c r="V435" s="501"/>
      <c r="W435" s="501"/>
      <c r="X435" s="501"/>
      <c r="Y435" s="504"/>
      <c r="Z435" s="446" t="s">
        <v>396</v>
      </c>
      <c r="AA435" s="461" t="str">
        <f>Y429</f>
        <v>BASE</v>
      </c>
      <c r="AB435" s="448"/>
      <c r="AC435" s="505">
        <f>V429</f>
        <v>10</v>
      </c>
    </row>
    <row r="436" spans="1:30" ht="12" customHeight="1" thickTop="1" thickBot="1">
      <c r="A436" s="688"/>
      <c r="B436" s="4783" t="s">
        <v>465</v>
      </c>
      <c r="C436" s="4786"/>
      <c r="D436" s="4786"/>
      <c r="E436" s="4787"/>
      <c r="F436" s="506" t="s">
        <v>396</v>
      </c>
      <c r="G436" s="648" t="str">
        <f>G406</f>
        <v>JESUS MARTIN RICALDE CASTRO</v>
      </c>
      <c r="H436" s="501"/>
      <c r="I436" s="501"/>
      <c r="J436" s="501"/>
      <c r="K436" s="501"/>
      <c r="L436" s="501"/>
      <c r="M436" s="504"/>
      <c r="N436" s="4783" t="s">
        <v>466</v>
      </c>
      <c r="O436" s="4786"/>
      <c r="P436" s="4786"/>
      <c r="Q436" s="4787"/>
      <c r="R436" s="625">
        <v>1</v>
      </c>
      <c r="S436" s="499" t="str">
        <f>VLOOKUP(R436,AE17:AF22,2,2)</f>
        <v>BASE</v>
      </c>
      <c r="T436" s="501"/>
      <c r="U436" s="501"/>
      <c r="V436" s="501"/>
      <c r="W436" s="501"/>
      <c r="X436" s="501"/>
      <c r="Y436" s="507" t="str">
        <f>CONCATENATE(M432,M431,N432,N431,O432,O431,P432,P431)</f>
        <v/>
      </c>
      <c r="Z436" s="4773" t="s">
        <v>467</v>
      </c>
      <c r="AA436" s="4774"/>
      <c r="AB436" s="4774"/>
      <c r="AC436" s="4775"/>
    </row>
    <row r="437" spans="1:30" ht="12" customHeight="1" thickTop="1" thickBot="1">
      <c r="A437" s="688"/>
      <c r="B437" s="4788" t="s">
        <v>471</v>
      </c>
      <c r="C437" s="4789"/>
      <c r="D437" s="4789"/>
      <c r="E437" s="4790"/>
      <c r="F437" s="506" t="s">
        <v>396</v>
      </c>
      <c r="G437" s="648" t="e">
        <f>G407</f>
        <v>#REF!</v>
      </c>
      <c r="H437" s="501"/>
      <c r="I437" s="501"/>
      <c r="J437" s="501"/>
      <c r="K437" s="501"/>
      <c r="L437" s="501"/>
      <c r="M437" s="501"/>
      <c r="N437" s="4783" t="s">
        <v>472</v>
      </c>
      <c r="O437" s="4786"/>
      <c r="P437" s="4786"/>
      <c r="Q437" s="4787"/>
      <c r="R437" s="625">
        <v>4</v>
      </c>
      <c r="S437" s="499" t="str">
        <f>VLOOKUP(R437,AE25:AF34,2,2)</f>
        <v>ALTA DEFINITIVA. (Si la persona se da de alta en al escuela)</v>
      </c>
      <c r="T437" s="501"/>
      <c r="U437" s="501"/>
      <c r="V437" s="501"/>
      <c r="W437" s="501"/>
      <c r="X437" s="501"/>
      <c r="Y437" s="504"/>
      <c r="Z437" s="446" t="s">
        <v>396</v>
      </c>
      <c r="AA437" s="447" t="str">
        <f>J432</f>
        <v>RG-  SM-  MZA-  LTE-  CALLE-  COL-</v>
      </c>
      <c r="AB437" s="448"/>
      <c r="AC437" s="449"/>
      <c r="AD437" s="662" t="s">
        <v>79</v>
      </c>
    </row>
    <row r="438" spans="1:30" ht="12" customHeight="1" thickTop="1" thickBot="1">
      <c r="A438" s="688"/>
      <c r="B438" s="4788" t="s">
        <v>475</v>
      </c>
      <c r="C438" s="4789"/>
      <c r="D438" s="4789"/>
      <c r="E438" s="4790"/>
      <c r="F438" s="508"/>
      <c r="G438" s="648"/>
      <c r="H438" s="501"/>
      <c r="I438" s="501"/>
      <c r="J438" s="501"/>
      <c r="K438" s="501"/>
      <c r="L438" s="501"/>
      <c r="M438" s="501"/>
      <c r="N438" s="4783" t="s">
        <v>476</v>
      </c>
      <c r="O438" s="4786"/>
      <c r="P438" s="4786"/>
      <c r="Q438" s="4787"/>
      <c r="R438" s="625">
        <v>2</v>
      </c>
      <c r="S438" s="499" t="str">
        <f>VLOOKUP(R438,AE35:AF43,2,2)</f>
        <v>FEDERAL TRANFERIDA  (18 de mayo de 2005 )</v>
      </c>
      <c r="T438" s="501"/>
      <c r="U438" s="501"/>
      <c r="V438" s="501"/>
      <c r="W438" s="501"/>
      <c r="X438" s="501"/>
      <c r="Y438" s="504"/>
      <c r="Z438" s="4773" t="s">
        <v>477</v>
      </c>
      <c r="AA438" s="4774"/>
      <c r="AB438" s="4774"/>
      <c r="AC438" s="4775"/>
    </row>
    <row r="439" spans="1:30" ht="12" customHeight="1" thickTop="1" thickBot="1">
      <c r="A439" s="688"/>
      <c r="B439" s="4791" t="s">
        <v>479</v>
      </c>
      <c r="C439" s="4792"/>
      <c r="D439" s="4792"/>
      <c r="E439" s="4793"/>
      <c r="F439" s="625"/>
      <c r="G439" s="582">
        <f>VLOOKUP(F439,AE69:AF78,2,1)</f>
        <v>0</v>
      </c>
      <c r="H439" s="501"/>
      <c r="I439" s="501"/>
      <c r="J439" s="501"/>
      <c r="K439" s="501"/>
      <c r="L439" s="584"/>
      <c r="M439" s="619">
        <f>COUNTA(F439,F557,F677,F797)</f>
        <v>1</v>
      </c>
      <c r="N439" s="4783" t="s">
        <v>480</v>
      </c>
      <c r="O439" s="4786"/>
      <c r="P439" s="4786"/>
      <c r="Q439" s="4787"/>
      <c r="R439" s="625"/>
      <c r="S439" s="499">
        <f>VLOOKUP(R439,AE44:AF68,2,2)</f>
        <v>0</v>
      </c>
      <c r="T439" s="501"/>
      <c r="U439" s="501"/>
      <c r="V439" s="501"/>
      <c r="W439" s="501"/>
      <c r="X439" s="501"/>
      <c r="Y439" s="504"/>
      <c r="Z439" s="446" t="s">
        <v>481</v>
      </c>
      <c r="AA439" s="447">
        <f>'VISITA DE INSP.'!AQ31</f>
        <v>0</v>
      </c>
      <c r="AB439" s="448"/>
      <c r="AC439" s="449"/>
    </row>
    <row r="440" spans="1:30" ht="12" customHeight="1" thickTop="1" thickBot="1">
      <c r="A440" s="688"/>
      <c r="B440" s="4791" t="s">
        <v>484</v>
      </c>
      <c r="C440" s="4792"/>
      <c r="D440" s="4792"/>
      <c r="E440" s="4793"/>
      <c r="F440" s="625"/>
      <c r="G440" s="582">
        <f>VLOOKUP(F440,AE79:AF85,2,1)</f>
        <v>0</v>
      </c>
      <c r="H440" s="501"/>
      <c r="I440" s="501"/>
      <c r="J440" s="501"/>
      <c r="K440" s="501"/>
      <c r="L440" s="501"/>
      <c r="M440" s="504"/>
      <c r="N440" s="4783" t="s">
        <v>485</v>
      </c>
      <c r="O440" s="4786"/>
      <c r="P440" s="4786"/>
      <c r="Q440" s="4787"/>
      <c r="R440" s="625"/>
      <c r="S440" s="553"/>
      <c r="T440" s="511"/>
      <c r="U440" s="512"/>
      <c r="V440" s="511"/>
      <c r="W440" s="511"/>
      <c r="X440" s="511"/>
      <c r="Y440" s="513"/>
      <c r="Z440" s="4773" t="s">
        <v>486</v>
      </c>
      <c r="AA440" s="4774"/>
      <c r="AB440" s="4774"/>
      <c r="AC440" s="4775"/>
    </row>
    <row r="441" spans="1:30" ht="12" hidden="1" customHeight="1" thickTop="1" thickBot="1">
      <c r="A441" s="688"/>
      <c r="B441" s="4811" t="s">
        <v>488</v>
      </c>
      <c r="C441" s="4812"/>
      <c r="D441" s="4812"/>
      <c r="E441" s="4812"/>
      <c r="F441" s="4812"/>
      <c r="G441" s="4812"/>
      <c r="H441" s="4812"/>
      <c r="I441" s="4812"/>
      <c r="J441" s="4794" t="s">
        <v>488</v>
      </c>
      <c r="K441" s="4795"/>
      <c r="L441" s="4795"/>
      <c r="M441" s="4795"/>
      <c r="N441" s="4795"/>
      <c r="O441" s="4795"/>
      <c r="P441" s="4795"/>
      <c r="Q441" s="4796"/>
      <c r="R441" s="4811" t="s">
        <v>488</v>
      </c>
      <c r="S441" s="4812"/>
      <c r="T441" s="4812"/>
      <c r="U441" s="4812"/>
      <c r="V441" s="4812"/>
      <c r="W441" s="4812"/>
      <c r="X441" s="4812"/>
      <c r="Y441" s="4812"/>
      <c r="Z441" s="446" t="s">
        <v>489</v>
      </c>
      <c r="AA441" s="447"/>
      <c r="AB441" s="448"/>
      <c r="AC441" s="449"/>
    </row>
    <row r="442" spans="1:30" ht="12" hidden="1" customHeight="1" thickTop="1" thickBot="1">
      <c r="A442" s="688"/>
      <c r="B442" s="586"/>
      <c r="C442" s="587"/>
      <c r="D442" s="588"/>
      <c r="E442" s="4797"/>
      <c r="F442" s="4797"/>
      <c r="G442" s="589"/>
      <c r="H442" s="590"/>
      <c r="I442" s="591"/>
      <c r="J442" s="592" t="s">
        <v>491</v>
      </c>
      <c r="K442" s="515" t="s">
        <v>491</v>
      </c>
      <c r="L442" s="516" t="s">
        <v>492</v>
      </c>
      <c r="M442" s="4797"/>
      <c r="N442" s="4797"/>
      <c r="O442" s="517" t="s">
        <v>418</v>
      </c>
      <c r="P442" s="518" t="s">
        <v>493</v>
      </c>
      <c r="Q442" s="520"/>
      <c r="R442" s="593"/>
      <c r="S442" s="594"/>
      <c r="T442" s="595"/>
      <c r="U442" s="4797"/>
      <c r="V442" s="4797"/>
      <c r="W442" s="596"/>
      <c r="X442" s="594"/>
      <c r="Y442" s="597"/>
      <c r="Z442" s="4773" t="s">
        <v>494</v>
      </c>
      <c r="AA442" s="4774"/>
      <c r="AB442" s="4774"/>
      <c r="AC442" s="4775"/>
    </row>
    <row r="443" spans="1:30" ht="12" hidden="1" customHeight="1" thickTop="1">
      <c r="A443" s="688"/>
      <c r="B443" s="586"/>
      <c r="C443" s="587"/>
      <c r="D443" s="588"/>
      <c r="E443" s="4813" t="s">
        <v>621</v>
      </c>
      <c r="F443" s="4814"/>
      <c r="G443" s="590"/>
      <c r="H443" s="590"/>
      <c r="I443" s="591"/>
      <c r="J443" s="523"/>
      <c r="K443" s="522"/>
      <c r="L443" s="4798" t="s">
        <v>496</v>
      </c>
      <c r="M443" s="4799"/>
      <c r="N443" s="4799"/>
      <c r="O443" s="4800"/>
      <c r="P443" s="515"/>
      <c r="Q443" s="520"/>
      <c r="R443" s="593"/>
      <c r="S443" s="594"/>
      <c r="T443" s="598"/>
      <c r="U443" s="4815" t="s">
        <v>622</v>
      </c>
      <c r="V443" s="4816"/>
      <c r="W443" s="596"/>
      <c r="X443" s="594"/>
      <c r="Y443" s="597"/>
      <c r="Z443" s="446"/>
      <c r="AA443" s="524">
        <f>VLOOKUP(Z443,BE24:BF34,2,2)</f>
        <v>0</v>
      </c>
      <c r="AB443" s="448"/>
      <c r="AC443" s="449"/>
    </row>
    <row r="444" spans="1:30" ht="12" hidden="1" customHeight="1">
      <c r="A444" s="688"/>
      <c r="B444" s="586"/>
      <c r="C444" s="587"/>
      <c r="D444" s="588"/>
      <c r="E444" s="599"/>
      <c r="F444" s="590"/>
      <c r="G444" s="590"/>
      <c r="H444" s="590"/>
      <c r="I444" s="591"/>
      <c r="J444" s="526" t="s">
        <v>498</v>
      </c>
      <c r="K444" s="527" t="s">
        <v>499</v>
      </c>
      <c r="L444" s="527" t="s">
        <v>500</v>
      </c>
      <c r="M444" s="527" t="s">
        <v>501</v>
      </c>
      <c r="N444" s="527" t="s">
        <v>502</v>
      </c>
      <c r="O444" s="527" t="s">
        <v>503</v>
      </c>
      <c r="P444" s="527" t="s">
        <v>504</v>
      </c>
      <c r="Q444" s="600"/>
      <c r="R444" s="4752" t="str">
        <f>'VISITA DE INSP.'!D31</f>
        <v>ARGUELLES GARCIA * MAYRA LUCELY</v>
      </c>
      <c r="S444" s="4753"/>
      <c r="T444" s="4753"/>
      <c r="U444" s="4753"/>
      <c r="V444" s="4753"/>
      <c r="W444" s="4753"/>
      <c r="X444" s="4753"/>
      <c r="Y444" s="4754"/>
      <c r="Z444" s="4801" t="s">
        <v>506</v>
      </c>
      <c r="AA444" s="4802"/>
      <c r="AB444" s="4802"/>
      <c r="AC444" s="4803"/>
    </row>
    <row r="445" spans="1:30" ht="12" hidden="1" customHeight="1">
      <c r="A445" s="688"/>
      <c r="B445" s="586"/>
      <c r="C445" s="587"/>
      <c r="D445" s="588"/>
      <c r="E445" s="599"/>
      <c r="F445" s="590"/>
      <c r="G445" s="590"/>
      <c r="H445" s="590"/>
      <c r="I445" s="591"/>
      <c r="J445" s="534"/>
      <c r="K445" s="531" t="s">
        <v>491</v>
      </c>
      <c r="L445" s="532" t="s">
        <v>491</v>
      </c>
      <c r="M445" s="533"/>
      <c r="N445" s="532"/>
      <c r="O445" s="532"/>
      <c r="P445" s="532"/>
      <c r="Q445" s="520"/>
      <c r="R445" s="682"/>
      <c r="S445" s="4758" t="str">
        <f>'VISITA DE INSP.'!AN31</f>
        <v>AUGM7601167K6</v>
      </c>
      <c r="T445" s="4759"/>
      <c r="U445" s="4759"/>
      <c r="V445" s="4759"/>
      <c r="W445" s="4759"/>
      <c r="X445" s="4760"/>
      <c r="Y445" s="683"/>
      <c r="Z445" s="446"/>
      <c r="AA445" s="524" t="e">
        <f>VLOOKUP(Z445,AW174:AX189,2,2)</f>
        <v>#N/A</v>
      </c>
      <c r="AB445" s="448"/>
      <c r="AC445" s="449"/>
    </row>
    <row r="446" spans="1:30" ht="12" hidden="1" customHeight="1">
      <c r="A446" s="688"/>
      <c r="B446" s="586"/>
      <c r="C446" s="587"/>
      <c r="D446" s="588"/>
      <c r="E446" s="599"/>
      <c r="F446" s="590"/>
      <c r="G446" s="590"/>
      <c r="H446" s="590"/>
      <c r="I446" s="591"/>
      <c r="J446" s="538"/>
      <c r="K446" s="537"/>
      <c r="L446" s="527"/>
      <c r="M446" s="527"/>
      <c r="N446" s="527"/>
      <c r="O446" s="527"/>
      <c r="P446" s="527"/>
      <c r="Q446" s="520"/>
      <c r="R446" s="682"/>
      <c r="S446" s="4758" t="str">
        <f>'VISITA DE INSP.'!AO31</f>
        <v>074823 E076302.0230140</v>
      </c>
      <c r="T446" s="4759"/>
      <c r="U446" s="4759"/>
      <c r="V446" s="4759"/>
      <c r="W446" s="4759"/>
      <c r="X446" s="4760"/>
      <c r="Y446" s="683"/>
      <c r="Z446" s="4773" t="s">
        <v>511</v>
      </c>
      <c r="AA446" s="4774"/>
      <c r="AB446" s="4774"/>
      <c r="AC446" s="4775"/>
    </row>
    <row r="447" spans="1:30" ht="12" hidden="1" customHeight="1">
      <c r="A447" s="688"/>
      <c r="B447" s="586"/>
      <c r="C447" s="587"/>
      <c r="D447" s="588"/>
      <c r="E447" s="599"/>
      <c r="F447" s="590"/>
      <c r="G447" s="590"/>
      <c r="H447" s="590"/>
      <c r="I447" s="591"/>
      <c r="J447" s="534"/>
      <c r="K447" s="537"/>
      <c r="L447" s="531"/>
      <c r="M447" s="533"/>
      <c r="N447" s="532"/>
      <c r="O447" s="532"/>
      <c r="P447" s="532"/>
      <c r="Q447" s="520"/>
      <c r="R447" s="682"/>
      <c r="S447" s="4827" t="str">
        <f>'VISITA DE INSP.'!AU31</f>
        <v>01-07-2010</v>
      </c>
      <c r="T447" s="4828"/>
      <c r="U447" s="4828"/>
      <c r="V447" s="4828"/>
      <c r="W447" s="4828"/>
      <c r="X447" s="4829"/>
      <c r="Y447" s="684"/>
      <c r="Z447" s="446"/>
      <c r="AA447" s="524" t="e">
        <f>VLOOKUP(Z447,BB174:BC184,2,2)</f>
        <v>#N/A</v>
      </c>
      <c r="AB447" s="448"/>
      <c r="AC447" s="449"/>
    </row>
    <row r="448" spans="1:30" ht="12" hidden="1" customHeight="1">
      <c r="A448" s="688"/>
      <c r="B448" s="586"/>
      <c r="C448" s="587"/>
      <c r="D448" s="588"/>
      <c r="E448" s="599"/>
      <c r="F448" s="590"/>
      <c r="G448" s="590"/>
      <c r="H448" s="590"/>
      <c r="I448" s="591"/>
      <c r="J448" s="534"/>
      <c r="K448" s="522"/>
      <c r="L448" s="539"/>
      <c r="M448" s="540"/>
      <c r="N448" s="515"/>
      <c r="O448" s="515"/>
      <c r="P448" s="515"/>
      <c r="Q448" s="520"/>
      <c r="R448" s="682"/>
      <c r="S448" s="4758">
        <f>'VISITA DE INSP.'!AT31</f>
        <v>10</v>
      </c>
      <c r="T448" s="4759"/>
      <c r="U448" s="4759"/>
      <c r="V448" s="4759"/>
      <c r="W448" s="4759"/>
      <c r="X448" s="4760"/>
      <c r="Y448" s="684"/>
      <c r="Z448" s="4773" t="s">
        <v>520</v>
      </c>
      <c r="AA448" s="4774"/>
      <c r="AB448" s="4774"/>
      <c r="AC448" s="4775"/>
    </row>
    <row r="449" spans="1:30" ht="12" hidden="1" customHeight="1">
      <c r="A449" s="688"/>
      <c r="B449" s="586"/>
      <c r="C449" s="587"/>
      <c r="D449" s="588"/>
      <c r="E449" s="599"/>
      <c r="F449" s="590"/>
      <c r="G449" s="590"/>
      <c r="H449" s="590"/>
      <c r="I449" s="591"/>
      <c r="J449" s="534"/>
      <c r="K449" s="541"/>
      <c r="L449" s="541"/>
      <c r="M449" s="541"/>
      <c r="N449" s="541"/>
      <c r="O449" s="541"/>
      <c r="P449" s="541"/>
      <c r="Q449" s="520"/>
      <c r="R449" s="682"/>
      <c r="S449" s="4830">
        <f>'VISITA DE INSP.'!AS31</f>
        <v>0</v>
      </c>
      <c r="T449" s="4831"/>
      <c r="U449" s="4831"/>
      <c r="V449" s="4831"/>
      <c r="W449" s="4831"/>
      <c r="X449" s="4832"/>
      <c r="Y449" s="684"/>
      <c r="Z449" s="446" t="s">
        <v>396</v>
      </c>
      <c r="AA449" s="447" t="str">
        <f>J433</f>
        <v xml:space="preserve">  COL-</v>
      </c>
      <c r="AB449" s="448"/>
      <c r="AC449" s="449"/>
    </row>
    <row r="450" spans="1:30" ht="12" hidden="1" customHeight="1">
      <c r="A450" s="688"/>
      <c r="B450" s="586"/>
      <c r="C450" s="603" t="str">
        <f>Y425</f>
        <v xml:space="preserve">       </v>
      </c>
      <c r="D450" s="604"/>
      <c r="E450" s="604"/>
      <c r="F450" s="604"/>
      <c r="G450" s="604"/>
      <c r="H450" s="605"/>
      <c r="I450" s="591"/>
      <c r="J450" s="606" t="str">
        <f>J434</f>
        <v xml:space="preserve">  C.P.-</v>
      </c>
      <c r="K450" s="603" t="str">
        <f>C450</f>
        <v xml:space="preserve">       </v>
      </c>
      <c r="L450" s="604"/>
      <c r="M450" s="604"/>
      <c r="N450" s="604"/>
      <c r="O450" s="604"/>
      <c r="P450" s="605"/>
      <c r="Q450" s="597"/>
      <c r="R450" s="593"/>
      <c r="S450" s="607" t="str">
        <f>K450</f>
        <v xml:space="preserve">       </v>
      </c>
      <c r="T450" s="608"/>
      <c r="U450" s="608"/>
      <c r="V450" s="608"/>
      <c r="W450" s="608"/>
      <c r="X450" s="609"/>
      <c r="Y450" s="597"/>
      <c r="Z450" s="4773" t="s">
        <v>529</v>
      </c>
      <c r="AA450" s="4774"/>
      <c r="AB450" s="4774"/>
      <c r="AC450" s="4775"/>
    </row>
    <row r="451" spans="1:30" ht="12" hidden="1" customHeight="1" thickBot="1">
      <c r="A451" s="688"/>
      <c r="B451" s="610"/>
      <c r="C451" s="4817" t="s">
        <v>534</v>
      </c>
      <c r="D451" s="4818"/>
      <c r="E451" s="4818"/>
      <c r="F451" s="4818"/>
      <c r="G451" s="4818"/>
      <c r="H451" s="4819"/>
      <c r="I451" s="611"/>
      <c r="J451" s="612"/>
      <c r="K451" s="4820" t="s">
        <v>534</v>
      </c>
      <c r="L451" s="4821"/>
      <c r="M451" s="4821"/>
      <c r="N451" s="4821"/>
      <c r="O451" s="4821"/>
      <c r="P451" s="4822"/>
      <c r="Q451" s="613"/>
      <c r="R451" s="614"/>
      <c r="S451" s="4817" t="s">
        <v>534</v>
      </c>
      <c r="T451" s="4818"/>
      <c r="U451" s="4818"/>
      <c r="V451" s="4818"/>
      <c r="W451" s="4818"/>
      <c r="X451" s="4819"/>
      <c r="Y451" s="615"/>
      <c r="Z451" s="446" t="s">
        <v>396</v>
      </c>
      <c r="AA451" s="447" t="str">
        <f>J434</f>
        <v xml:space="preserve">  C.P.-</v>
      </c>
      <c r="AB451" s="448"/>
      <c r="AC451" s="449"/>
    </row>
    <row r="452" spans="1:30" ht="12" customHeight="1" thickTop="1" thickBot="1">
      <c r="A452" s="688"/>
      <c r="B452" s="4783" t="s">
        <v>538</v>
      </c>
      <c r="C452" s="4784"/>
      <c r="D452" s="4784"/>
      <c r="E452" s="4784"/>
      <c r="F452" s="552"/>
      <c r="G452" s="551">
        <f>VLOOKUP(F452,BE38:BG72,2,2)</f>
        <v>0</v>
      </c>
      <c r="H452" s="511"/>
      <c r="I452" s="513"/>
      <c r="J452" s="4783" t="s">
        <v>539</v>
      </c>
      <c r="K452" s="4784"/>
      <c r="L452" s="4784"/>
      <c r="M452" s="4784"/>
      <c r="N452" s="552" t="s">
        <v>540</v>
      </c>
      <c r="O452" s="628"/>
      <c r="P452" s="629"/>
      <c r="Q452" s="630"/>
      <c r="R452" s="4783" t="s">
        <v>541</v>
      </c>
      <c r="S452" s="4784"/>
      <c r="T452" s="4784"/>
      <c r="U452" s="4785"/>
      <c r="V452" s="508" t="s">
        <v>396</v>
      </c>
      <c r="W452" s="553">
        <f>O425</f>
        <v>0</v>
      </c>
      <c r="X452" s="554">
        <f>R425</f>
        <v>0</v>
      </c>
      <c r="Y452" s="555">
        <f>U425</f>
        <v>0</v>
      </c>
      <c r="Z452" s="4773" t="s">
        <v>542</v>
      </c>
      <c r="AA452" s="4774"/>
      <c r="AB452" s="4774"/>
      <c r="AC452" s="4775"/>
    </row>
    <row r="453" spans="1:30" ht="12" customHeight="1" thickTop="1" thickBot="1">
      <c r="A453" s="688"/>
      <c r="B453" s="651"/>
      <c r="C453" s="652"/>
      <c r="D453" s="652"/>
      <c r="E453" s="652"/>
      <c r="F453" s="652"/>
      <c r="G453" s="652"/>
      <c r="H453" s="652"/>
      <c r="I453" s="652"/>
      <c r="J453" s="652"/>
      <c r="K453" s="652"/>
      <c r="L453" s="652"/>
      <c r="M453" s="652"/>
      <c r="N453" s="652"/>
      <c r="O453" s="652"/>
      <c r="P453" s="652"/>
      <c r="Q453" s="652"/>
      <c r="R453" s="652"/>
      <c r="S453" s="652"/>
      <c r="T453" s="652"/>
      <c r="U453" s="652"/>
      <c r="V453" s="652"/>
      <c r="W453" s="652"/>
      <c r="X453" s="652"/>
      <c r="Y453" s="674"/>
      <c r="Z453" s="558" t="s">
        <v>396</v>
      </c>
      <c r="AA453" s="559" t="e">
        <f>W433</f>
        <v>#REF!</v>
      </c>
      <c r="AB453" s="560"/>
      <c r="AC453" s="561"/>
    </row>
    <row r="454" spans="1:30" ht="12" customHeight="1" thickTop="1">
      <c r="A454" s="688"/>
      <c r="B454" s="4761" t="s">
        <v>386</v>
      </c>
      <c r="C454" s="4762"/>
      <c r="D454" s="4762"/>
      <c r="E454" s="4762"/>
      <c r="F454" s="4762"/>
      <c r="G454" s="4762"/>
      <c r="H454" s="4762"/>
      <c r="I454" s="4763"/>
      <c r="J454" s="562">
        <f>COUNTA(I459:I460)</f>
        <v>1</v>
      </c>
      <c r="K454" s="563" t="s">
        <v>387</v>
      </c>
      <c r="L454" s="564"/>
      <c r="M454" s="564"/>
      <c r="N454" s="564"/>
      <c r="O454" s="564"/>
      <c r="P454" s="564"/>
      <c r="Q454" s="564"/>
      <c r="R454" s="564"/>
      <c r="S454" s="564"/>
      <c r="T454" s="564"/>
      <c r="U454" s="564"/>
      <c r="V454" s="564"/>
      <c r="W454" s="564"/>
      <c r="X454" s="564"/>
      <c r="Y454" s="441"/>
      <c r="Z454" s="4770" t="s">
        <v>388</v>
      </c>
      <c r="AA454" s="4771"/>
      <c r="AB454" s="4771"/>
      <c r="AC454" s="4772"/>
    </row>
    <row r="455" spans="1:30" ht="12" customHeight="1">
      <c r="A455" s="688"/>
      <c r="B455" s="4764"/>
      <c r="C455" s="4765"/>
      <c r="D455" s="4765"/>
      <c r="E455" s="4765"/>
      <c r="F455" s="4765"/>
      <c r="G455" s="4765"/>
      <c r="H455" s="4765"/>
      <c r="I455" s="4766"/>
      <c r="J455" s="565" t="str">
        <f>CONCATENATE(O455,J472,R455,K472,U455,L472)</f>
        <v xml:space="preserve">       </v>
      </c>
      <c r="K455" s="699" t="s">
        <v>395</v>
      </c>
      <c r="L455" s="700"/>
      <c r="M455" s="539"/>
      <c r="N455" s="539"/>
      <c r="O455" s="701"/>
      <c r="P455" s="573"/>
      <c r="R455" s="701"/>
      <c r="S455" s="573"/>
      <c r="U455" s="701"/>
      <c r="V455" s="702"/>
      <c r="W455" s="703"/>
      <c r="X455" s="641"/>
      <c r="Y455" s="445" t="str">
        <f>CONCATENATE(U455,K472,O455,J472,R455,L472)</f>
        <v xml:space="preserve">       </v>
      </c>
      <c r="Z455" s="446" t="s">
        <v>396</v>
      </c>
      <c r="AA455" s="447" t="str">
        <f>J455</f>
        <v xml:space="preserve">       </v>
      </c>
      <c r="AB455" s="448"/>
      <c r="AC455" s="449"/>
    </row>
    <row r="456" spans="1:30" ht="12" customHeight="1" thickBot="1">
      <c r="A456" s="688"/>
      <c r="B456" s="4767"/>
      <c r="C456" s="4768"/>
      <c r="D456" s="4768"/>
      <c r="E456" s="4768"/>
      <c r="F456" s="4768"/>
      <c r="G456" s="4768"/>
      <c r="H456" s="4768"/>
      <c r="I456" s="4769"/>
      <c r="J456" s="565"/>
      <c r="K456" s="539">
        <f>'VISITA DE INSP.'!D32</f>
        <v>0</v>
      </c>
      <c r="L456" s="539"/>
      <c r="M456" s="539"/>
      <c r="N456" s="539"/>
      <c r="P456" s="704"/>
      <c r="Q456" s="705"/>
      <c r="S456" s="704"/>
      <c r="T456" s="705"/>
      <c r="U456" s="706"/>
      <c r="V456" s="706"/>
      <c r="W456" s="706"/>
      <c r="X456" s="706"/>
      <c r="Y456" s="450" t="str">
        <f>CONCATENATE(V457,L472,W457)</f>
        <v>11007831200.0   0</v>
      </c>
      <c r="Z456" s="4773" t="s">
        <v>400</v>
      </c>
      <c r="AA456" s="4774"/>
      <c r="AB456" s="4774"/>
      <c r="AC456" s="4775"/>
    </row>
    <row r="457" spans="1:30" ht="12" customHeight="1" thickTop="1">
      <c r="A457" s="688"/>
      <c r="B457" s="452">
        <v>1</v>
      </c>
      <c r="C457" s="453" t="s">
        <v>406</v>
      </c>
      <c r="D457" s="454" t="s">
        <v>407</v>
      </c>
      <c r="E457" s="455" t="s">
        <v>408</v>
      </c>
      <c r="F457" s="456" t="s">
        <v>409</v>
      </c>
      <c r="G457" s="457" t="e">
        <f>G427</f>
        <v>#REF!</v>
      </c>
      <c r="H457" s="458"/>
      <c r="I457" s="459"/>
      <c r="J457" s="565" t="str">
        <f>CONCATENATE(N457,K472,O457)</f>
        <v xml:space="preserve">0  </v>
      </c>
      <c r="K457" s="699" t="s">
        <v>410</v>
      </c>
      <c r="L457" s="700"/>
      <c r="M457" s="707"/>
      <c r="N457" s="708" t="str">
        <f>MID('VISITA DE INSP.'!AN32,1,10)</f>
        <v>0</v>
      </c>
      <c r="O457" s="701" t="str">
        <f>MID('VISITA DE INSP.'!AN32,12,15)</f>
        <v/>
      </c>
      <c r="P457" s="641"/>
      <c r="Q457" s="700"/>
      <c r="R457" s="709"/>
      <c r="T457" s="710" t="s">
        <v>411</v>
      </c>
      <c r="U457" s="641"/>
      <c r="V457" s="711" t="s">
        <v>179</v>
      </c>
      <c r="W457" s="712">
        <f>'VISITA DE INSP.'!AO32</f>
        <v>0</v>
      </c>
      <c r="X457" s="713"/>
      <c r="Y457" s="460" t="str">
        <f>CONCATENATE(V457,K472,W457)</f>
        <v>11007831200.0  0</v>
      </c>
      <c r="Z457" s="446" t="s">
        <v>396</v>
      </c>
      <c r="AA457" s="447" t="str">
        <f>Y455</f>
        <v xml:space="preserve">       </v>
      </c>
      <c r="AB457" s="448"/>
      <c r="AC457" s="449"/>
    </row>
    <row r="458" spans="1:30" ht="12" customHeight="1">
      <c r="A458" s="688"/>
      <c r="B458" s="462" t="s">
        <v>416</v>
      </c>
      <c r="C458" s="463"/>
      <c r="D458" s="464"/>
      <c r="E458" s="465">
        <f t="shared" ref="E458:E463" si="23">C458+D458</f>
        <v>0</v>
      </c>
      <c r="F458" s="466" t="s">
        <v>417</v>
      </c>
      <c r="G458" s="467" t="e">
        <f>G428</f>
        <v>#REF!</v>
      </c>
      <c r="H458" s="468" t="e">
        <f>H428</f>
        <v>#REF!</v>
      </c>
      <c r="I458" s="469"/>
      <c r="J458" s="565"/>
      <c r="K458" s="714"/>
      <c r="L458" s="715"/>
      <c r="M458" s="716"/>
      <c r="O458" s="716"/>
      <c r="P458" s="716"/>
      <c r="Q458" s="717" t="s">
        <v>418</v>
      </c>
      <c r="R458" s="714"/>
      <c r="S458" s="540"/>
      <c r="T458" s="540"/>
      <c r="U458" s="716"/>
      <c r="V458" s="716"/>
      <c r="W458" s="716"/>
      <c r="X458" s="718"/>
      <c r="Y458" s="450" t="str">
        <f>MID(W457,1,5)</f>
        <v>0</v>
      </c>
      <c r="Z458" s="4773" t="s">
        <v>419</v>
      </c>
      <c r="AA458" s="4774"/>
      <c r="AB458" s="4774"/>
      <c r="AC458" s="4775"/>
    </row>
    <row r="459" spans="1:30" ht="12" customHeight="1">
      <c r="A459" s="688"/>
      <c r="B459" s="470" t="s">
        <v>423</v>
      </c>
      <c r="C459" s="463"/>
      <c r="D459" s="464"/>
      <c r="E459" s="465">
        <f t="shared" si="23"/>
        <v>0</v>
      </c>
      <c r="F459" s="692" t="s">
        <v>3</v>
      </c>
      <c r="G459" s="463">
        <f>'VISITA DE INSP.'!B32</f>
        <v>0</v>
      </c>
      <c r="H459" s="471" t="s">
        <v>406</v>
      </c>
      <c r="I459" s="480" t="s">
        <v>78</v>
      </c>
      <c r="J459" s="568">
        <f>COUNTA(I459,I489,I519,I549,I579,I609,I639,I669,I699,I729)</f>
        <v>1</v>
      </c>
      <c r="K459" s="522" t="s">
        <v>424</v>
      </c>
      <c r="L459" s="539"/>
      <c r="M459" s="539"/>
      <c r="N459" s="539"/>
      <c r="O459" s="712">
        <f>'VISITA DE INSP.'!AU32</f>
        <v>0</v>
      </c>
      <c r="P459" s="719"/>
      <c r="Q459" s="720"/>
      <c r="R459" s="714"/>
      <c r="S459" s="714"/>
      <c r="T459" s="714"/>
      <c r="U459" s="574" t="s">
        <v>425</v>
      </c>
      <c r="V459" s="721">
        <f>'VISITA DE INSP.'!AT32</f>
        <v>0</v>
      </c>
      <c r="W459" s="722">
        <f>Y459</f>
        <v>0</v>
      </c>
      <c r="X459" s="723"/>
      <c r="Y459" s="473">
        <f>VLOOKUP(V459,AH2:AI14,2)</f>
        <v>0</v>
      </c>
      <c r="Z459" s="446" t="s">
        <v>396</v>
      </c>
      <c r="AA459" s="447" t="str">
        <f>J457</f>
        <v xml:space="preserve">0  </v>
      </c>
      <c r="AB459" s="448"/>
      <c r="AC459" s="449"/>
    </row>
    <row r="460" spans="1:30" ht="12" customHeight="1">
      <c r="A460" s="688"/>
      <c r="B460" s="470" t="s">
        <v>408</v>
      </c>
      <c r="C460" s="463"/>
      <c r="D460" s="464"/>
      <c r="E460" s="465">
        <f t="shared" si="23"/>
        <v>0</v>
      </c>
      <c r="F460" s="692" t="s">
        <v>4</v>
      </c>
      <c r="G460" s="463">
        <f>'VISITA DE INSP.'!C32</f>
        <v>0</v>
      </c>
      <c r="H460" s="475" t="s">
        <v>407</v>
      </c>
      <c r="I460" s="623"/>
      <c r="J460" s="568">
        <f>COUNTA(I460,I490,I520,I550,I580,I610,I640,I670,I700,I730)</f>
        <v>0</v>
      </c>
      <c r="K460" s="717"/>
      <c r="L460" s="717"/>
      <c r="M460" s="539"/>
      <c r="N460" s="714"/>
      <c r="O460" s="716"/>
      <c r="P460" s="716"/>
      <c r="Q460" s="716"/>
      <c r="R460" s="539"/>
      <c r="S460" s="539"/>
      <c r="T460" s="714"/>
      <c r="U460" s="714"/>
      <c r="V460" s="724"/>
      <c r="W460" s="724"/>
      <c r="X460" s="716"/>
      <c r="Y460" s="476"/>
      <c r="Z460" s="4773" t="s">
        <v>429</v>
      </c>
      <c r="AA460" s="4774"/>
      <c r="AB460" s="4774"/>
      <c r="AC460" s="4775"/>
    </row>
    <row r="461" spans="1:30" ht="12" customHeight="1">
      <c r="A461" s="688"/>
      <c r="B461" s="470" t="s">
        <v>434</v>
      </c>
      <c r="C461" s="463"/>
      <c r="D461" s="464"/>
      <c r="E461" s="465">
        <f t="shared" si="23"/>
        <v>0</v>
      </c>
      <c r="F461" s="4776" t="s">
        <v>435</v>
      </c>
      <c r="G461" s="4777"/>
      <c r="H461" s="4777" t="s">
        <v>436</v>
      </c>
      <c r="I461" s="4778"/>
      <c r="J461" s="568">
        <f>SUM(J459,J460)</f>
        <v>1</v>
      </c>
      <c r="K461" s="522" t="s">
        <v>437</v>
      </c>
      <c r="L461" s="539"/>
      <c r="M461" s="725"/>
      <c r="N461" s="725"/>
      <c r="O461" s="725"/>
      <c r="P461" s="725"/>
      <c r="Q461" s="725"/>
      <c r="R461" s="726"/>
      <c r="S461" s="725"/>
      <c r="T461" s="727"/>
      <c r="U461" s="725"/>
      <c r="V461" s="574" t="s">
        <v>438</v>
      </c>
      <c r="W461" s="728"/>
      <c r="X461" s="723"/>
      <c r="Y461" s="445" t="str">
        <f>CONCATENATE(O474,S461)</f>
        <v xml:space="preserve">  COL-</v>
      </c>
      <c r="Z461" s="446" t="s">
        <v>396</v>
      </c>
      <c r="AA461" s="447" t="str">
        <f>Y457</f>
        <v>11007831200.0  0</v>
      </c>
      <c r="AB461" s="448"/>
      <c r="AC461" s="449"/>
      <c r="AD461" s="662" t="s">
        <v>79</v>
      </c>
    </row>
    <row r="462" spans="1:30" ht="12" customHeight="1">
      <c r="A462" s="688"/>
      <c r="B462" s="470" t="s">
        <v>443</v>
      </c>
      <c r="C462" s="463"/>
      <c r="D462" s="464"/>
      <c r="E462" s="465">
        <f t="shared" si="23"/>
        <v>0</v>
      </c>
      <c r="F462" s="478" t="s">
        <v>444</v>
      </c>
      <c r="G462" s="624">
        <v>16</v>
      </c>
      <c r="H462" s="479" t="e">
        <f>H432</f>
        <v>#REF!</v>
      </c>
      <c r="I462" s="480" t="e">
        <f>H462+1</f>
        <v>#REF!</v>
      </c>
      <c r="J462" s="569" t="str">
        <f>CONCATENATE(J474,M461,K474,N461,L474,O461,M474,P461,N474,Q461,O474,S461)</f>
        <v>RG-  SM-  MZA-  LTE-  CALLE-  COL-</v>
      </c>
      <c r="K462" s="729"/>
      <c r="L462" s="539"/>
      <c r="M462" s="492"/>
      <c r="N462" s="492"/>
      <c r="O462" s="492"/>
      <c r="P462" s="492"/>
      <c r="Q462" s="492"/>
      <c r="R462" s="730"/>
      <c r="S462" s="731" t="s">
        <v>503</v>
      </c>
      <c r="T462" s="731"/>
      <c r="U462" s="731" t="s">
        <v>504</v>
      </c>
      <c r="V462" s="533"/>
      <c r="W462" s="732"/>
      <c r="X462" s="733"/>
      <c r="Y462" s="450" t="str">
        <f>CONCATENATE(K472,P474,U461)</f>
        <v xml:space="preserve">    C.P.-</v>
      </c>
      <c r="Z462" s="4779" t="s">
        <v>445</v>
      </c>
      <c r="AA462" s="4780"/>
      <c r="AB462" s="4780"/>
      <c r="AC462" s="4781"/>
    </row>
    <row r="463" spans="1:30" ht="12" customHeight="1">
      <c r="A463" s="688"/>
      <c r="B463" s="470" t="s">
        <v>450</v>
      </c>
      <c r="C463" s="463"/>
      <c r="D463" s="464"/>
      <c r="E463" s="465">
        <f t="shared" si="23"/>
        <v>0</v>
      </c>
      <c r="F463" s="692" t="s">
        <v>373</v>
      </c>
      <c r="G463" s="4782" t="s">
        <v>451</v>
      </c>
      <c r="H463" s="4777"/>
      <c r="I463" s="4778"/>
      <c r="J463" s="565" t="str">
        <f>CONCATENATE(O474,S461)</f>
        <v xml:space="preserve">  COL-</v>
      </c>
      <c r="K463" s="522" t="s">
        <v>452</v>
      </c>
      <c r="L463" s="539"/>
      <c r="M463" s="539"/>
      <c r="N463" s="572" t="e">
        <f>#REF!</f>
        <v>#REF!</v>
      </c>
      <c r="O463" s="573"/>
      <c r="P463" s="573"/>
      <c r="Q463" s="573"/>
      <c r="R463" s="573"/>
      <c r="S463" s="574" t="s">
        <v>453</v>
      </c>
      <c r="T463" s="572" t="e">
        <f>#REF!</f>
        <v>#REF!</v>
      </c>
      <c r="U463" s="575"/>
      <c r="V463" s="574" t="s">
        <v>454</v>
      </c>
      <c r="W463" s="576" t="e">
        <f>#REF!</f>
        <v>#REF!</v>
      </c>
      <c r="X463" s="575"/>
      <c r="Y463" s="445"/>
      <c r="Z463" s="446" t="s">
        <v>396</v>
      </c>
      <c r="AA463" s="482">
        <f>O459</f>
        <v>0</v>
      </c>
      <c r="AB463" s="673"/>
      <c r="AC463" s="483"/>
    </row>
    <row r="464" spans="1:30" ht="12" customHeight="1" thickBot="1">
      <c r="A464" s="688"/>
      <c r="B464" s="484" t="s">
        <v>456</v>
      </c>
      <c r="C464" s="485"/>
      <c r="D464" s="486"/>
      <c r="E464" s="465">
        <f>E462-E463</f>
        <v>0</v>
      </c>
      <c r="F464" s="577">
        <f>F434</f>
        <v>1</v>
      </c>
      <c r="G464" s="578" t="e">
        <f>G434</f>
        <v>#REF!</v>
      </c>
      <c r="H464" s="578" t="e">
        <f>H434</f>
        <v>#REF!</v>
      </c>
      <c r="I464" s="579" t="e">
        <f>I434</f>
        <v>#REF!</v>
      </c>
      <c r="J464" s="580" t="str">
        <f>CONCATENATE(,P474,U461)</f>
        <v xml:space="preserve">  C.P.-</v>
      </c>
      <c r="K464" s="490"/>
      <c r="L464" s="491"/>
      <c r="M464" s="492"/>
      <c r="N464" s="492"/>
      <c r="O464" s="492"/>
      <c r="P464" s="492"/>
      <c r="Q464" s="492"/>
      <c r="R464" s="492"/>
      <c r="S464" s="492"/>
      <c r="T464" s="493"/>
      <c r="V464" s="494"/>
      <c r="W464" s="495"/>
      <c r="X464" s="496"/>
      <c r="Y464" s="497"/>
      <c r="Z464" s="4773" t="s">
        <v>457</v>
      </c>
      <c r="AA464" s="4774"/>
      <c r="AB464" s="4774"/>
      <c r="AC464" s="4775"/>
    </row>
    <row r="465" spans="1:30" ht="12" customHeight="1" thickTop="1" thickBot="1">
      <c r="A465" s="688"/>
      <c r="B465" s="4783" t="s">
        <v>460</v>
      </c>
      <c r="C465" s="4784"/>
      <c r="D465" s="4784"/>
      <c r="E465" s="4785"/>
      <c r="F465" s="498" t="s">
        <v>396</v>
      </c>
      <c r="G465" s="647" t="str">
        <f>G435</f>
        <v>CERVANTES BENITEZ * ANTONIA</v>
      </c>
      <c r="H465" s="500"/>
      <c r="I465" s="500"/>
      <c r="J465" s="501"/>
      <c r="K465" s="501"/>
      <c r="L465" s="501"/>
      <c r="M465" s="504"/>
      <c r="N465" s="4783" t="s">
        <v>461</v>
      </c>
      <c r="O465" s="4786"/>
      <c r="P465" s="4786"/>
      <c r="Q465" s="4787"/>
      <c r="R465" s="625" t="s">
        <v>406</v>
      </c>
      <c r="S465" s="499" t="str">
        <f>VLOOKUP(R465,AE1:AF16,2,1)</f>
        <v>INTENDENTE</v>
      </c>
      <c r="T465" s="501"/>
      <c r="U465" s="501"/>
      <c r="V465" s="501"/>
      <c r="W465" s="501"/>
      <c r="X465" s="501"/>
      <c r="Y465" s="504"/>
      <c r="Z465" s="446" t="s">
        <v>396</v>
      </c>
      <c r="AA465" s="461">
        <f>Y459</f>
        <v>0</v>
      </c>
      <c r="AB465" s="448"/>
      <c r="AC465" s="505">
        <f>V459</f>
        <v>0</v>
      </c>
    </row>
    <row r="466" spans="1:30" ht="12" customHeight="1" thickTop="1" thickBot="1">
      <c r="A466" s="688"/>
      <c r="B466" s="4783" t="s">
        <v>465</v>
      </c>
      <c r="C466" s="4786"/>
      <c r="D466" s="4786"/>
      <c r="E466" s="4787"/>
      <c r="F466" s="506" t="s">
        <v>396</v>
      </c>
      <c r="G466" s="648" t="str">
        <f>G436</f>
        <v>JESUS MARTIN RICALDE CASTRO</v>
      </c>
      <c r="H466" s="501"/>
      <c r="I466" s="501"/>
      <c r="J466" s="501"/>
      <c r="K466" s="501"/>
      <c r="L466" s="501"/>
      <c r="M466" s="504"/>
      <c r="N466" s="4783" t="s">
        <v>466</v>
      </c>
      <c r="O466" s="4786"/>
      <c r="P466" s="4786"/>
      <c r="Q466" s="4787"/>
      <c r="R466" s="625">
        <v>1</v>
      </c>
      <c r="S466" s="499" t="str">
        <f>VLOOKUP(R466,AE17:AF22,2,2)</f>
        <v>BASE</v>
      </c>
      <c r="T466" s="501"/>
      <c r="U466" s="501"/>
      <c r="V466" s="501"/>
      <c r="W466" s="501"/>
      <c r="X466" s="501"/>
      <c r="Y466" s="507" t="str">
        <f>CONCATENATE(M462,M461,N462,N461,O462,O461,P462,P461)</f>
        <v/>
      </c>
      <c r="Z466" s="4773" t="s">
        <v>467</v>
      </c>
      <c r="AA466" s="4774"/>
      <c r="AB466" s="4774"/>
      <c r="AC466" s="4775"/>
    </row>
    <row r="467" spans="1:30" ht="12" customHeight="1" thickTop="1" thickBot="1">
      <c r="A467" s="688"/>
      <c r="B467" s="4788" t="s">
        <v>471</v>
      </c>
      <c r="C467" s="4789"/>
      <c r="D467" s="4789"/>
      <c r="E467" s="4790"/>
      <c r="F467" s="506" t="s">
        <v>396</v>
      </c>
      <c r="G467" s="648" t="e">
        <f>G437</f>
        <v>#REF!</v>
      </c>
      <c r="H467" s="501"/>
      <c r="I467" s="501"/>
      <c r="J467" s="501"/>
      <c r="K467" s="501"/>
      <c r="L467" s="501"/>
      <c r="M467" s="501"/>
      <c r="N467" s="4783" t="s">
        <v>472</v>
      </c>
      <c r="O467" s="4786"/>
      <c r="P467" s="4786"/>
      <c r="Q467" s="4787"/>
      <c r="R467" s="625">
        <v>4</v>
      </c>
      <c r="S467" s="499" t="str">
        <f>VLOOKUP(R467,AE25:AF34,2,2)</f>
        <v>ALTA DEFINITIVA. (Si la persona se da de alta en al escuela)</v>
      </c>
      <c r="T467" s="501"/>
      <c r="U467" s="501"/>
      <c r="V467" s="501"/>
      <c r="W467" s="501"/>
      <c r="X467" s="501"/>
      <c r="Y467" s="504"/>
      <c r="Z467" s="446" t="s">
        <v>396</v>
      </c>
      <c r="AA467" s="447" t="str">
        <f>J462</f>
        <v>RG-  SM-  MZA-  LTE-  CALLE-  COL-</v>
      </c>
      <c r="AB467" s="448"/>
      <c r="AC467" s="449"/>
      <c r="AD467" s="662" t="s">
        <v>79</v>
      </c>
    </row>
    <row r="468" spans="1:30" ht="12" customHeight="1" thickTop="1" thickBot="1">
      <c r="A468" s="688"/>
      <c r="B468" s="4788" t="s">
        <v>475</v>
      </c>
      <c r="C468" s="4789"/>
      <c r="D468" s="4789"/>
      <c r="E468" s="4790"/>
      <c r="F468" s="508"/>
      <c r="G468" s="648"/>
      <c r="H468" s="501"/>
      <c r="I468" s="501"/>
      <c r="J468" s="501"/>
      <c r="K468" s="501"/>
      <c r="L468" s="501"/>
      <c r="M468" s="501"/>
      <c r="N468" s="4783" t="s">
        <v>476</v>
      </c>
      <c r="O468" s="4786"/>
      <c r="P468" s="4786"/>
      <c r="Q468" s="4787"/>
      <c r="R468" s="625">
        <v>2</v>
      </c>
      <c r="S468" s="499" t="str">
        <f>VLOOKUP(R468,AE35:AF43,2,2)</f>
        <v>FEDERAL TRANFERIDA  (18 de mayo de 2005 )</v>
      </c>
      <c r="T468" s="501"/>
      <c r="U468" s="501"/>
      <c r="V468" s="501"/>
      <c r="W468" s="501"/>
      <c r="X468" s="501"/>
      <c r="Y468" s="504"/>
      <c r="Z468" s="4773" t="s">
        <v>477</v>
      </c>
      <c r="AA468" s="4774"/>
      <c r="AB468" s="4774"/>
      <c r="AC468" s="4775"/>
    </row>
    <row r="469" spans="1:30" ht="12" customHeight="1" thickTop="1" thickBot="1">
      <c r="A469" s="688"/>
      <c r="B469" s="4791" t="s">
        <v>479</v>
      </c>
      <c r="C469" s="4792"/>
      <c r="D469" s="4792"/>
      <c r="E469" s="4793"/>
      <c r="F469" s="625"/>
      <c r="G469" s="582">
        <f>VLOOKUP(F469,AE69:AF78,2,1)</f>
        <v>0</v>
      </c>
      <c r="H469" s="501"/>
      <c r="I469" s="501"/>
      <c r="J469" s="501"/>
      <c r="K469" s="501"/>
      <c r="L469" s="584"/>
      <c r="M469" s="619">
        <f>COUNTA(F469,F587,F707,F827)</f>
        <v>1</v>
      </c>
      <c r="N469" s="4783" t="s">
        <v>480</v>
      </c>
      <c r="O469" s="4786"/>
      <c r="P469" s="4786"/>
      <c r="Q469" s="4787"/>
      <c r="R469" s="625"/>
      <c r="S469" s="499">
        <f>VLOOKUP(R469,AE44:AF68,2,2)</f>
        <v>0</v>
      </c>
      <c r="T469" s="501"/>
      <c r="U469" s="501"/>
      <c r="V469" s="501"/>
      <c r="W469" s="501"/>
      <c r="X469" s="501"/>
      <c r="Y469" s="504"/>
      <c r="Z469" s="446" t="s">
        <v>481</v>
      </c>
      <c r="AA469" s="447">
        <f>'VISITA DE INSP.'!AQ32</f>
        <v>0</v>
      </c>
      <c r="AB469" s="448"/>
      <c r="AC469" s="449"/>
    </row>
    <row r="470" spans="1:30" ht="12" customHeight="1" thickTop="1" thickBot="1">
      <c r="A470" s="688"/>
      <c r="B470" s="4791" t="s">
        <v>484</v>
      </c>
      <c r="C470" s="4792"/>
      <c r="D470" s="4792"/>
      <c r="E470" s="4793"/>
      <c r="F470" s="625"/>
      <c r="G470" s="582">
        <f>VLOOKUP(F470,AE79:AF85,2,1)</f>
        <v>0</v>
      </c>
      <c r="H470" s="501"/>
      <c r="I470" s="501"/>
      <c r="J470" s="501"/>
      <c r="K470" s="501"/>
      <c r="L470" s="501"/>
      <c r="M470" s="504"/>
      <c r="N470" s="4783" t="s">
        <v>485</v>
      </c>
      <c r="O470" s="4786"/>
      <c r="P470" s="4786"/>
      <c r="Q470" s="4787"/>
      <c r="R470" s="625"/>
      <c r="S470" s="553"/>
      <c r="T470" s="511"/>
      <c r="U470" s="512"/>
      <c r="V470" s="511"/>
      <c r="W470" s="511"/>
      <c r="X470" s="511"/>
      <c r="Y470" s="513"/>
      <c r="Z470" s="4773" t="s">
        <v>486</v>
      </c>
      <c r="AA470" s="4774"/>
      <c r="AB470" s="4774"/>
      <c r="AC470" s="4775"/>
    </row>
    <row r="471" spans="1:30" ht="12" hidden="1" customHeight="1" thickTop="1" thickBot="1">
      <c r="A471" s="688"/>
      <c r="B471" s="4811" t="s">
        <v>488</v>
      </c>
      <c r="C471" s="4812"/>
      <c r="D471" s="4812"/>
      <c r="E471" s="4812"/>
      <c r="F471" s="4812"/>
      <c r="G471" s="4812"/>
      <c r="H471" s="4812"/>
      <c r="I471" s="4812"/>
      <c r="J471" s="4794" t="s">
        <v>488</v>
      </c>
      <c r="K471" s="4795"/>
      <c r="L471" s="4795"/>
      <c r="M471" s="4795"/>
      <c r="N471" s="4795"/>
      <c r="O471" s="4795"/>
      <c r="P471" s="4795"/>
      <c r="Q471" s="4796"/>
      <c r="R471" s="4811" t="s">
        <v>488</v>
      </c>
      <c r="S471" s="4812"/>
      <c r="T471" s="4812"/>
      <c r="U471" s="4812"/>
      <c r="V471" s="4812"/>
      <c r="W471" s="4812"/>
      <c r="X471" s="4812"/>
      <c r="Y471" s="4812"/>
      <c r="Z471" s="446" t="s">
        <v>489</v>
      </c>
      <c r="AA471" s="447"/>
      <c r="AB471" s="448"/>
      <c r="AC471" s="449"/>
    </row>
    <row r="472" spans="1:30" ht="12" hidden="1" customHeight="1" thickTop="1" thickBot="1">
      <c r="A472" s="688"/>
      <c r="B472" s="586"/>
      <c r="C472" s="587"/>
      <c r="D472" s="588"/>
      <c r="E472" s="4797"/>
      <c r="F472" s="4797"/>
      <c r="G472" s="589"/>
      <c r="H472" s="590"/>
      <c r="I472" s="591"/>
      <c r="J472" s="592" t="s">
        <v>491</v>
      </c>
      <c r="K472" s="515" t="s">
        <v>491</v>
      </c>
      <c r="L472" s="516" t="s">
        <v>492</v>
      </c>
      <c r="M472" s="4797"/>
      <c r="N472" s="4797"/>
      <c r="O472" s="517" t="s">
        <v>418</v>
      </c>
      <c r="P472" s="518" t="s">
        <v>493</v>
      </c>
      <c r="Q472" s="520"/>
      <c r="R472" s="593"/>
      <c r="S472" s="594"/>
      <c r="T472" s="595"/>
      <c r="U472" s="4797"/>
      <c r="V472" s="4797"/>
      <c r="W472" s="596"/>
      <c r="X472" s="594"/>
      <c r="Y472" s="597"/>
      <c r="Z472" s="4773" t="s">
        <v>494</v>
      </c>
      <c r="AA472" s="4774"/>
      <c r="AB472" s="4774"/>
      <c r="AC472" s="4775"/>
    </row>
    <row r="473" spans="1:30" ht="12" hidden="1" customHeight="1" thickTop="1">
      <c r="A473" s="688"/>
      <c r="B473" s="586"/>
      <c r="C473" s="587"/>
      <c r="D473" s="588"/>
      <c r="E473" s="4813" t="s">
        <v>621</v>
      </c>
      <c r="F473" s="4814"/>
      <c r="G473" s="590"/>
      <c r="H473" s="590"/>
      <c r="I473" s="591"/>
      <c r="J473" s="523"/>
      <c r="K473" s="522"/>
      <c r="L473" s="4798" t="s">
        <v>496</v>
      </c>
      <c r="M473" s="4799"/>
      <c r="N473" s="4799"/>
      <c r="O473" s="4800"/>
      <c r="P473" s="515"/>
      <c r="Q473" s="520"/>
      <c r="R473" s="593"/>
      <c r="S473" s="594"/>
      <c r="T473" s="598"/>
      <c r="U473" s="4815" t="s">
        <v>622</v>
      </c>
      <c r="V473" s="4816"/>
      <c r="W473" s="596"/>
      <c r="X473" s="594"/>
      <c r="Y473" s="597"/>
      <c r="Z473" s="446"/>
      <c r="AA473" s="524">
        <f>VLOOKUP(Z473,BE24:BF34,2,2)</f>
        <v>0</v>
      </c>
      <c r="AB473" s="448"/>
      <c r="AC473" s="449"/>
    </row>
    <row r="474" spans="1:30" ht="12" hidden="1" customHeight="1">
      <c r="A474" s="688"/>
      <c r="B474" s="586"/>
      <c r="C474" s="587"/>
      <c r="D474" s="588"/>
      <c r="E474" s="599"/>
      <c r="F474" s="590"/>
      <c r="G474" s="590"/>
      <c r="H474" s="590"/>
      <c r="I474" s="591"/>
      <c r="J474" s="526" t="s">
        <v>498</v>
      </c>
      <c r="K474" s="527" t="s">
        <v>499</v>
      </c>
      <c r="L474" s="527" t="s">
        <v>500</v>
      </c>
      <c r="M474" s="527" t="s">
        <v>501</v>
      </c>
      <c r="N474" s="527" t="s">
        <v>502</v>
      </c>
      <c r="O474" s="527" t="s">
        <v>503</v>
      </c>
      <c r="P474" s="527" t="s">
        <v>504</v>
      </c>
      <c r="Q474" s="600"/>
      <c r="R474" s="4752">
        <f>'VISITA DE INSP.'!D32</f>
        <v>0</v>
      </c>
      <c r="S474" s="4753"/>
      <c r="T474" s="4753"/>
      <c r="U474" s="4753"/>
      <c r="V474" s="4753"/>
      <c r="W474" s="4753"/>
      <c r="X474" s="4753"/>
      <c r="Y474" s="4754"/>
      <c r="Z474" s="4801" t="s">
        <v>506</v>
      </c>
      <c r="AA474" s="4802"/>
      <c r="AB474" s="4802"/>
      <c r="AC474" s="4803"/>
    </row>
    <row r="475" spans="1:30" ht="12" hidden="1" customHeight="1">
      <c r="A475" s="688"/>
      <c r="B475" s="586"/>
      <c r="C475" s="587"/>
      <c r="D475" s="588"/>
      <c r="E475" s="599"/>
      <c r="F475" s="590"/>
      <c r="G475" s="590"/>
      <c r="H475" s="590"/>
      <c r="I475" s="591"/>
      <c r="J475" s="534"/>
      <c r="K475" s="531" t="s">
        <v>491</v>
      </c>
      <c r="L475" s="532" t="s">
        <v>491</v>
      </c>
      <c r="M475" s="533"/>
      <c r="N475" s="532"/>
      <c r="O475" s="532"/>
      <c r="P475" s="532"/>
      <c r="Q475" s="520"/>
      <c r="R475" s="682"/>
      <c r="S475" s="4758">
        <f>'VISITA DE INSP.'!AN32</f>
        <v>0</v>
      </c>
      <c r="T475" s="4759"/>
      <c r="U475" s="4759"/>
      <c r="V475" s="4759"/>
      <c r="W475" s="4759"/>
      <c r="X475" s="4760"/>
      <c r="Y475" s="683"/>
      <c r="Z475" s="446"/>
      <c r="AA475" s="524" t="e">
        <f>VLOOKUP(Z475,AW204:AX219,2,2)</f>
        <v>#N/A</v>
      </c>
      <c r="AB475" s="448"/>
      <c r="AC475" s="449"/>
    </row>
    <row r="476" spans="1:30" ht="12" hidden="1" customHeight="1">
      <c r="A476" s="688"/>
      <c r="B476" s="586"/>
      <c r="C476" s="587"/>
      <c r="D476" s="588"/>
      <c r="E476" s="599"/>
      <c r="F476" s="590"/>
      <c r="G476" s="590"/>
      <c r="H476" s="590"/>
      <c r="I476" s="591"/>
      <c r="J476" s="538"/>
      <c r="K476" s="537"/>
      <c r="L476" s="527"/>
      <c r="M476" s="527"/>
      <c r="N476" s="527"/>
      <c r="O476" s="527"/>
      <c r="P476" s="527"/>
      <c r="Q476" s="520"/>
      <c r="R476" s="682"/>
      <c r="S476" s="4758">
        <f>'VISITA DE INSP.'!AO32</f>
        <v>0</v>
      </c>
      <c r="T476" s="4759"/>
      <c r="U476" s="4759"/>
      <c r="V476" s="4759"/>
      <c r="W476" s="4759"/>
      <c r="X476" s="4760"/>
      <c r="Y476" s="683"/>
      <c r="Z476" s="4773" t="s">
        <v>511</v>
      </c>
      <c r="AA476" s="4774"/>
      <c r="AB476" s="4774"/>
      <c r="AC476" s="4775"/>
    </row>
    <row r="477" spans="1:30" ht="12" hidden="1" customHeight="1">
      <c r="A477" s="688"/>
      <c r="B477" s="586"/>
      <c r="C477" s="587"/>
      <c r="D477" s="588"/>
      <c r="E477" s="599"/>
      <c r="F477" s="590"/>
      <c r="G477" s="590"/>
      <c r="H477" s="590"/>
      <c r="I477" s="591"/>
      <c r="J477" s="534"/>
      <c r="K477" s="537"/>
      <c r="L477" s="531"/>
      <c r="M477" s="533"/>
      <c r="N477" s="532"/>
      <c r="O477" s="532"/>
      <c r="P477" s="532"/>
      <c r="Q477" s="520"/>
      <c r="R477" s="682"/>
      <c r="S477" s="4827">
        <f>'VISITA DE INSP.'!AU32</f>
        <v>0</v>
      </c>
      <c r="T477" s="4828"/>
      <c r="U477" s="4828"/>
      <c r="V477" s="4828"/>
      <c r="W477" s="4828"/>
      <c r="X477" s="4829"/>
      <c r="Y477" s="684"/>
      <c r="Z477" s="446"/>
      <c r="AA477" s="524" t="e">
        <f>VLOOKUP(Z477,BB204:BC214,2,2)</f>
        <v>#N/A</v>
      </c>
      <c r="AB477" s="448"/>
      <c r="AC477" s="449"/>
    </row>
    <row r="478" spans="1:30" ht="12" hidden="1" customHeight="1">
      <c r="A478" s="688"/>
      <c r="B478" s="586"/>
      <c r="C478" s="587"/>
      <c r="D478" s="588"/>
      <c r="E478" s="599"/>
      <c r="F478" s="590"/>
      <c r="G478" s="590"/>
      <c r="H478" s="590"/>
      <c r="I478" s="591"/>
      <c r="J478" s="534"/>
      <c r="K478" s="522"/>
      <c r="L478" s="539"/>
      <c r="M478" s="540"/>
      <c r="N478" s="515"/>
      <c r="O478" s="515"/>
      <c r="P478" s="515"/>
      <c r="Q478" s="520"/>
      <c r="R478" s="682"/>
      <c r="S478" s="4758">
        <f>'VISITA DE INSP.'!AT32</f>
        <v>0</v>
      </c>
      <c r="T478" s="4759"/>
      <c r="U478" s="4759"/>
      <c r="V478" s="4759"/>
      <c r="W478" s="4759"/>
      <c r="X478" s="4760"/>
      <c r="Y478" s="684"/>
      <c r="Z478" s="4773" t="s">
        <v>520</v>
      </c>
      <c r="AA478" s="4774"/>
      <c r="AB478" s="4774"/>
      <c r="AC478" s="4775"/>
    </row>
    <row r="479" spans="1:30" ht="12" hidden="1" customHeight="1">
      <c r="A479" s="688"/>
      <c r="B479" s="586"/>
      <c r="C479" s="587"/>
      <c r="D479" s="588"/>
      <c r="E479" s="599"/>
      <c r="F479" s="590"/>
      <c r="G479" s="590"/>
      <c r="H479" s="590"/>
      <c r="I479" s="591"/>
      <c r="J479" s="534"/>
      <c r="K479" s="541"/>
      <c r="L479" s="541"/>
      <c r="M479" s="541"/>
      <c r="N479" s="541"/>
      <c r="O479" s="541"/>
      <c r="P479" s="541"/>
      <c r="Q479" s="520"/>
      <c r="R479" s="682"/>
      <c r="S479" s="4830">
        <f>'VISITA DE INSP.'!AS32</f>
        <v>0</v>
      </c>
      <c r="T479" s="4831"/>
      <c r="U479" s="4831"/>
      <c r="V479" s="4831"/>
      <c r="W479" s="4831"/>
      <c r="X479" s="4832"/>
      <c r="Y479" s="684"/>
      <c r="Z479" s="446" t="s">
        <v>396</v>
      </c>
      <c r="AA479" s="447" t="str">
        <f>J463</f>
        <v xml:space="preserve">  COL-</v>
      </c>
      <c r="AB479" s="448"/>
      <c r="AC479" s="449"/>
    </row>
    <row r="480" spans="1:30" ht="12" hidden="1" customHeight="1">
      <c r="A480" s="688"/>
      <c r="B480" s="586"/>
      <c r="C480" s="603" t="str">
        <f>Y455</f>
        <v xml:space="preserve">       </v>
      </c>
      <c r="D480" s="604"/>
      <c r="E480" s="604"/>
      <c r="F480" s="604"/>
      <c r="G480" s="604"/>
      <c r="H480" s="605"/>
      <c r="I480" s="591"/>
      <c r="J480" s="606" t="str">
        <f>J464</f>
        <v xml:space="preserve">  C.P.-</v>
      </c>
      <c r="K480" s="603" t="str">
        <f>C480</f>
        <v xml:space="preserve">       </v>
      </c>
      <c r="L480" s="604"/>
      <c r="M480" s="604"/>
      <c r="N480" s="604"/>
      <c r="O480" s="604"/>
      <c r="P480" s="605"/>
      <c r="Q480" s="597"/>
      <c r="R480" s="593"/>
      <c r="S480" s="607" t="str">
        <f>K480</f>
        <v xml:space="preserve">       </v>
      </c>
      <c r="T480" s="608"/>
      <c r="U480" s="608"/>
      <c r="V480" s="608"/>
      <c r="W480" s="608"/>
      <c r="X480" s="609"/>
      <c r="Y480" s="597"/>
      <c r="Z480" s="4773" t="s">
        <v>529</v>
      </c>
      <c r="AA480" s="4774"/>
      <c r="AB480" s="4774"/>
      <c r="AC480" s="4775"/>
    </row>
    <row r="481" spans="1:29" ht="12" hidden="1" customHeight="1" thickBot="1">
      <c r="A481" s="688"/>
      <c r="B481" s="610"/>
      <c r="C481" s="4817" t="s">
        <v>534</v>
      </c>
      <c r="D481" s="4818"/>
      <c r="E481" s="4818"/>
      <c r="F481" s="4818"/>
      <c r="G481" s="4818"/>
      <c r="H481" s="4819"/>
      <c r="I481" s="611"/>
      <c r="J481" s="612"/>
      <c r="K481" s="4820" t="s">
        <v>534</v>
      </c>
      <c r="L481" s="4821"/>
      <c r="M481" s="4821"/>
      <c r="N481" s="4821"/>
      <c r="O481" s="4821"/>
      <c r="P481" s="4822"/>
      <c r="Q481" s="613"/>
      <c r="R481" s="614"/>
      <c r="S481" s="4817" t="s">
        <v>534</v>
      </c>
      <c r="T481" s="4818"/>
      <c r="U481" s="4818"/>
      <c r="V481" s="4818"/>
      <c r="W481" s="4818"/>
      <c r="X481" s="4819"/>
      <c r="Y481" s="615"/>
      <c r="Z481" s="446" t="s">
        <v>396</v>
      </c>
      <c r="AA481" s="447" t="str">
        <f>J464</f>
        <v xml:space="preserve">  C.P.-</v>
      </c>
      <c r="AB481" s="448"/>
      <c r="AC481" s="449"/>
    </row>
    <row r="482" spans="1:29" ht="12" customHeight="1" thickTop="1" thickBot="1">
      <c r="A482" s="688"/>
      <c r="B482" s="4783" t="s">
        <v>538</v>
      </c>
      <c r="C482" s="4784"/>
      <c r="D482" s="4784"/>
      <c r="E482" s="4784"/>
      <c r="F482" s="552"/>
      <c r="G482" s="551">
        <f>VLOOKUP(F482,BE38:BG72,2,2)</f>
        <v>0</v>
      </c>
      <c r="H482" s="511"/>
      <c r="I482" s="513"/>
      <c r="J482" s="4783" t="s">
        <v>539</v>
      </c>
      <c r="K482" s="4784"/>
      <c r="L482" s="4784"/>
      <c r="M482" s="4784"/>
      <c r="N482" s="552" t="s">
        <v>540</v>
      </c>
      <c r="O482" s="628"/>
      <c r="P482" s="629"/>
      <c r="Q482" s="630"/>
      <c r="R482" s="4783" t="s">
        <v>541</v>
      </c>
      <c r="S482" s="4784"/>
      <c r="T482" s="4784"/>
      <c r="U482" s="4785"/>
      <c r="V482" s="508" t="s">
        <v>396</v>
      </c>
      <c r="W482" s="553">
        <f>O455</f>
        <v>0</v>
      </c>
      <c r="X482" s="554">
        <f>R455</f>
        <v>0</v>
      </c>
      <c r="Y482" s="555">
        <f>U455</f>
        <v>0</v>
      </c>
      <c r="Z482" s="4773" t="s">
        <v>542</v>
      </c>
      <c r="AA482" s="4774"/>
      <c r="AB482" s="4774"/>
      <c r="AC482" s="4775"/>
    </row>
    <row r="483" spans="1:29" ht="12" customHeight="1" thickTop="1" thickBot="1">
      <c r="A483" s="688"/>
      <c r="B483" s="651"/>
      <c r="C483" s="652"/>
      <c r="D483" s="652"/>
      <c r="E483" s="652"/>
      <c r="F483" s="652"/>
      <c r="G483" s="652"/>
      <c r="H483" s="652"/>
      <c r="I483" s="652"/>
      <c r="J483" s="652"/>
      <c r="K483" s="652"/>
      <c r="L483" s="652"/>
      <c r="M483" s="652"/>
      <c r="N483" s="652"/>
      <c r="O483" s="652"/>
      <c r="P483" s="652"/>
      <c r="Q483" s="652"/>
      <c r="R483" s="652"/>
      <c r="S483" s="652"/>
      <c r="T483" s="652"/>
      <c r="U483" s="652"/>
      <c r="V483" s="652"/>
      <c r="W483" s="652"/>
      <c r="X483" s="652"/>
      <c r="Y483" s="674"/>
      <c r="Z483" s="558" t="s">
        <v>396</v>
      </c>
      <c r="AA483" s="559" t="e">
        <f>W463</f>
        <v>#REF!</v>
      </c>
      <c r="AB483" s="560"/>
      <c r="AC483" s="561"/>
    </row>
    <row r="484" spans="1:29" ht="12" customHeight="1" thickTop="1">
      <c r="A484" s="688"/>
      <c r="B484" s="4761" t="s">
        <v>386</v>
      </c>
      <c r="C484" s="4762"/>
      <c r="D484" s="4762"/>
      <c r="E484" s="4762"/>
      <c r="F484" s="4762"/>
      <c r="G484" s="4762"/>
      <c r="H484" s="4762"/>
      <c r="I484" s="4763"/>
      <c r="J484" s="562">
        <f>COUNTA(I489:I490)</f>
        <v>0</v>
      </c>
      <c r="K484" s="563" t="s">
        <v>387</v>
      </c>
      <c r="L484" s="564"/>
      <c r="M484" s="564"/>
      <c r="N484" s="564"/>
      <c r="O484" s="564"/>
      <c r="P484" s="564"/>
      <c r="Q484" s="564"/>
      <c r="R484" s="564"/>
      <c r="S484" s="564"/>
      <c r="T484" s="564"/>
      <c r="U484" s="564"/>
      <c r="V484" s="564"/>
      <c r="W484" s="564"/>
      <c r="X484" s="564"/>
      <c r="Y484" s="441"/>
      <c r="Z484" s="4770" t="s">
        <v>388</v>
      </c>
      <c r="AA484" s="4771"/>
      <c r="AB484" s="4771"/>
      <c r="AC484" s="4772"/>
    </row>
    <row r="485" spans="1:29" ht="12" customHeight="1">
      <c r="A485" s="688"/>
      <c r="B485" s="4764"/>
      <c r="C485" s="4765"/>
      <c r="D485" s="4765"/>
      <c r="E485" s="4765"/>
      <c r="F485" s="4765"/>
      <c r="G485" s="4765"/>
      <c r="H485" s="4765"/>
      <c r="I485" s="4766"/>
      <c r="J485" s="565" t="str">
        <f>CONCATENATE(O485,J502,R485,K502,U485,L502)</f>
        <v xml:space="preserve">       </v>
      </c>
      <c r="K485" s="699" t="s">
        <v>395</v>
      </c>
      <c r="L485" s="700"/>
      <c r="M485" s="539"/>
      <c r="N485" s="539"/>
      <c r="O485" s="701"/>
      <c r="P485" s="573"/>
      <c r="R485" s="701"/>
      <c r="S485" s="573"/>
      <c r="U485" s="701"/>
      <c r="V485" s="702"/>
      <c r="W485" s="703"/>
      <c r="X485" s="641"/>
      <c r="Y485" s="445" t="str">
        <f>CONCATENATE(U485,K502,O485,J502,R485,L502)</f>
        <v xml:space="preserve">       </v>
      </c>
      <c r="Z485" s="446" t="s">
        <v>396</v>
      </c>
      <c r="AA485" s="447" t="str">
        <f>J485</f>
        <v xml:space="preserve">       </v>
      </c>
      <c r="AB485" s="448"/>
      <c r="AC485" s="449"/>
    </row>
    <row r="486" spans="1:29" ht="12" customHeight="1" thickBot="1">
      <c r="A486" s="688"/>
      <c r="B486" s="4767"/>
      <c r="C486" s="4768"/>
      <c r="D486" s="4768"/>
      <c r="E486" s="4768"/>
      <c r="F486" s="4768"/>
      <c r="G486" s="4768"/>
      <c r="H486" s="4768"/>
      <c r="I486" s="4769"/>
      <c r="J486" s="565"/>
      <c r="K486" s="539">
        <f>'VISITA DE INSP.'!D33</f>
        <v>0</v>
      </c>
      <c r="L486" s="539"/>
      <c r="M486" s="539"/>
      <c r="N486" s="539"/>
      <c r="P486" s="704"/>
      <c r="Q486" s="705"/>
      <c r="S486" s="704"/>
      <c r="T486" s="705"/>
      <c r="U486" s="706"/>
      <c r="V486" s="706"/>
      <c r="W486" s="706"/>
      <c r="X486" s="706"/>
      <c r="Y486" s="450" t="str">
        <f>CONCATENATE(V487,L502,W487)</f>
        <v>11007831200.0   0</v>
      </c>
      <c r="Z486" s="4773" t="s">
        <v>400</v>
      </c>
      <c r="AA486" s="4774"/>
      <c r="AB486" s="4774"/>
      <c r="AC486" s="4775"/>
    </row>
    <row r="487" spans="1:29" ht="12" customHeight="1" thickTop="1">
      <c r="A487" s="688"/>
      <c r="B487" s="452">
        <v>1</v>
      </c>
      <c r="C487" s="453" t="s">
        <v>406</v>
      </c>
      <c r="D487" s="454" t="s">
        <v>407</v>
      </c>
      <c r="E487" s="455" t="s">
        <v>408</v>
      </c>
      <c r="F487" s="456" t="s">
        <v>409</v>
      </c>
      <c r="G487" s="457" t="e">
        <f>G457</f>
        <v>#REF!</v>
      </c>
      <c r="H487" s="458"/>
      <c r="I487" s="459"/>
      <c r="J487" s="565" t="str">
        <f>CONCATENATE(N487,K502,O487)</f>
        <v xml:space="preserve">0  </v>
      </c>
      <c r="K487" s="699" t="s">
        <v>410</v>
      </c>
      <c r="L487" s="700"/>
      <c r="M487" s="707"/>
      <c r="N487" s="708" t="str">
        <f>MID('VISITA DE INSP.'!AN33,1,10)</f>
        <v>0</v>
      </c>
      <c r="O487" s="701" t="str">
        <f>MID('VISITA DE INSP.'!AN33,12,15)</f>
        <v/>
      </c>
      <c r="P487" s="641"/>
      <c r="Q487" s="700"/>
      <c r="R487" s="709"/>
      <c r="T487" s="710" t="s">
        <v>411</v>
      </c>
      <c r="U487" s="641"/>
      <c r="V487" s="711" t="s">
        <v>179</v>
      </c>
      <c r="W487" s="712">
        <f>'VISITA DE INSP.'!AO33</f>
        <v>0</v>
      </c>
      <c r="X487" s="713"/>
      <c r="Y487" s="460" t="str">
        <f>CONCATENATE(V487,K502,W487)</f>
        <v>11007831200.0  0</v>
      </c>
      <c r="Z487" s="446" t="s">
        <v>396</v>
      </c>
      <c r="AA487" s="447" t="str">
        <f>Y485</f>
        <v xml:space="preserve">       </v>
      </c>
      <c r="AB487" s="448"/>
      <c r="AC487" s="449"/>
    </row>
    <row r="488" spans="1:29" ht="12" customHeight="1">
      <c r="A488" s="688"/>
      <c r="B488" s="462" t="s">
        <v>416</v>
      </c>
      <c r="C488" s="463"/>
      <c r="D488" s="464"/>
      <c r="E488" s="465">
        <f t="shared" ref="E488:E493" si="24">C488+D488</f>
        <v>0</v>
      </c>
      <c r="F488" s="466" t="s">
        <v>417</v>
      </c>
      <c r="G488" s="467" t="e">
        <f>G458</f>
        <v>#REF!</v>
      </c>
      <c r="H488" s="468" t="e">
        <f>H458</f>
        <v>#REF!</v>
      </c>
      <c r="I488" s="469"/>
      <c r="J488" s="565"/>
      <c r="K488" s="714"/>
      <c r="L488" s="715"/>
      <c r="M488" s="716"/>
      <c r="O488" s="716"/>
      <c r="P488" s="716"/>
      <c r="Q488" s="717" t="s">
        <v>418</v>
      </c>
      <c r="R488" s="714"/>
      <c r="S488" s="540"/>
      <c r="T488" s="540"/>
      <c r="U488" s="716"/>
      <c r="V488" s="716"/>
      <c r="W488" s="716"/>
      <c r="X488" s="718"/>
      <c r="Y488" s="450" t="str">
        <f>MID(W487,1,5)</f>
        <v>0</v>
      </c>
      <c r="Z488" s="4773" t="s">
        <v>419</v>
      </c>
      <c r="AA488" s="4774"/>
      <c r="AB488" s="4774"/>
      <c r="AC488" s="4775"/>
    </row>
    <row r="489" spans="1:29" ht="12" customHeight="1">
      <c r="A489" s="688"/>
      <c r="B489" s="470" t="s">
        <v>423</v>
      </c>
      <c r="C489" s="463"/>
      <c r="D489" s="464"/>
      <c r="E489" s="465">
        <f t="shared" si="24"/>
        <v>0</v>
      </c>
      <c r="F489" s="692" t="s">
        <v>3</v>
      </c>
      <c r="G489" s="463">
        <f>'VISITA DE INSP.'!B33</f>
        <v>0</v>
      </c>
      <c r="H489" s="471" t="s">
        <v>406</v>
      </c>
      <c r="I489" s="480"/>
      <c r="J489" s="568">
        <f>COUNTA(I489,I519,I549,I579,I609,I639,I669,I699,I729,I759)</f>
        <v>0</v>
      </c>
      <c r="K489" s="522" t="s">
        <v>424</v>
      </c>
      <c r="L489" s="539"/>
      <c r="M489" s="539"/>
      <c r="N489" s="539"/>
      <c r="O489" s="712">
        <f>'VISITA DE INSP.'!AU33</f>
        <v>0</v>
      </c>
      <c r="P489" s="719"/>
      <c r="Q489" s="720"/>
      <c r="R489" s="714"/>
      <c r="S489" s="714"/>
      <c r="T489" s="714"/>
      <c r="U489" s="574" t="s">
        <v>425</v>
      </c>
      <c r="V489" s="721">
        <f>'VISITA DE INSP.'!AT33</f>
        <v>0</v>
      </c>
      <c r="W489" s="753">
        <f>Y489</f>
        <v>0</v>
      </c>
      <c r="X489" s="723"/>
      <c r="Y489" s="473">
        <f>VLOOKUP(V489,AH2:AI14,2)</f>
        <v>0</v>
      </c>
      <c r="Z489" s="446" t="s">
        <v>396</v>
      </c>
      <c r="AA489" s="447" t="str">
        <f>J487</f>
        <v xml:space="preserve">0  </v>
      </c>
      <c r="AB489" s="448"/>
      <c r="AC489" s="449"/>
    </row>
    <row r="490" spans="1:29" ht="12" customHeight="1">
      <c r="A490" s="688"/>
      <c r="B490" s="470" t="s">
        <v>408</v>
      </c>
      <c r="C490" s="463"/>
      <c r="D490" s="464"/>
      <c r="E490" s="465">
        <f t="shared" si="24"/>
        <v>0</v>
      </c>
      <c r="F490" s="692" t="s">
        <v>4</v>
      </c>
      <c r="G490" s="463">
        <f>'VISITA DE INSP.'!C33</f>
        <v>0</v>
      </c>
      <c r="H490" s="475" t="s">
        <v>407</v>
      </c>
      <c r="I490" s="623"/>
      <c r="J490" s="568">
        <f>COUNTA(I490,I520,I550,I580,I610,I640,I670,I700,I730,I760)</f>
        <v>0</v>
      </c>
      <c r="K490" s="717"/>
      <c r="L490" s="717"/>
      <c r="M490" s="539"/>
      <c r="N490" s="714"/>
      <c r="O490" s="716"/>
      <c r="P490" s="716"/>
      <c r="Q490" s="716"/>
      <c r="R490" s="539"/>
      <c r="S490" s="539"/>
      <c r="T490" s="714"/>
      <c r="U490" s="714"/>
      <c r="V490" s="724"/>
      <c r="W490" s="724"/>
      <c r="X490" s="716"/>
      <c r="Y490" s="476"/>
      <c r="Z490" s="4773" t="s">
        <v>429</v>
      </c>
      <c r="AA490" s="4774"/>
      <c r="AB490" s="4774"/>
      <c r="AC490" s="4775"/>
    </row>
    <row r="491" spans="1:29" ht="12" customHeight="1">
      <c r="A491" s="688"/>
      <c r="B491" s="470" t="s">
        <v>434</v>
      </c>
      <c r="C491" s="463"/>
      <c r="D491" s="464"/>
      <c r="E491" s="465">
        <f t="shared" si="24"/>
        <v>0</v>
      </c>
      <c r="F491" s="4776" t="s">
        <v>435</v>
      </c>
      <c r="G491" s="4777"/>
      <c r="H491" s="4777" t="s">
        <v>436</v>
      </c>
      <c r="I491" s="4778"/>
      <c r="J491" s="568">
        <f>SUM(J489,J490)</f>
        <v>0</v>
      </c>
      <c r="K491" s="522" t="s">
        <v>437</v>
      </c>
      <c r="L491" s="539"/>
      <c r="M491" s="725"/>
      <c r="N491" s="725"/>
      <c r="O491" s="725"/>
      <c r="P491" s="725"/>
      <c r="Q491" s="725"/>
      <c r="R491" s="726"/>
      <c r="S491" s="725"/>
      <c r="T491" s="727"/>
      <c r="U491" s="725"/>
      <c r="V491" s="574" t="s">
        <v>438</v>
      </c>
      <c r="W491" s="728"/>
      <c r="X491" s="723"/>
      <c r="Y491" s="445" t="str">
        <f>CONCATENATE(O504,S491)</f>
        <v xml:space="preserve">  COL-</v>
      </c>
      <c r="Z491" s="446" t="s">
        <v>396</v>
      </c>
      <c r="AA491" s="447" t="str">
        <f>Y487</f>
        <v>11007831200.0  0</v>
      </c>
      <c r="AB491" s="448"/>
      <c r="AC491" s="449"/>
    </row>
    <row r="492" spans="1:29" ht="12" customHeight="1">
      <c r="A492" s="688"/>
      <c r="B492" s="470" t="s">
        <v>443</v>
      </c>
      <c r="C492" s="463"/>
      <c r="D492" s="464"/>
      <c r="E492" s="465">
        <f t="shared" si="24"/>
        <v>0</v>
      </c>
      <c r="F492" s="478" t="s">
        <v>444</v>
      </c>
      <c r="G492" s="624">
        <v>17</v>
      </c>
      <c r="H492" s="479" t="e">
        <f>H462</f>
        <v>#REF!</v>
      </c>
      <c r="I492" s="480" t="e">
        <f>H492+1</f>
        <v>#REF!</v>
      </c>
      <c r="J492" s="569" t="str">
        <f>CONCATENATE(J504,M491,K504,N491,L504,O491,M504,P491,N504,Q491,O504,S491)</f>
        <v>RG-  SM-  MZA-  LTE-  CALLE-  COL-</v>
      </c>
      <c r="K492" s="729"/>
      <c r="L492" s="539"/>
      <c r="M492" s="492"/>
      <c r="N492" s="492"/>
      <c r="O492" s="492"/>
      <c r="P492" s="492"/>
      <c r="Q492" s="492"/>
      <c r="R492" s="730"/>
      <c r="S492" s="731" t="s">
        <v>503</v>
      </c>
      <c r="T492" s="731"/>
      <c r="U492" s="731" t="s">
        <v>504</v>
      </c>
      <c r="V492" s="533"/>
      <c r="W492" s="732"/>
      <c r="X492" s="733"/>
      <c r="Y492" s="450" t="str">
        <f>CONCATENATE(K502,P504,U491)</f>
        <v xml:space="preserve">    C.P.-</v>
      </c>
      <c r="Z492" s="4779" t="s">
        <v>445</v>
      </c>
      <c r="AA492" s="4780"/>
      <c r="AB492" s="4780"/>
      <c r="AC492" s="4781"/>
    </row>
    <row r="493" spans="1:29" ht="12" customHeight="1">
      <c r="A493" s="688"/>
      <c r="B493" s="470" t="s">
        <v>450</v>
      </c>
      <c r="C493" s="463"/>
      <c r="D493" s="464"/>
      <c r="E493" s="465">
        <f t="shared" si="24"/>
        <v>0</v>
      </c>
      <c r="F493" s="692" t="s">
        <v>373</v>
      </c>
      <c r="G493" s="4782" t="s">
        <v>451</v>
      </c>
      <c r="H493" s="4777"/>
      <c r="I493" s="4778"/>
      <c r="J493" s="565" t="str">
        <f>CONCATENATE(O504,S491)</f>
        <v xml:space="preserve">  COL-</v>
      </c>
      <c r="K493" s="522" t="s">
        <v>452</v>
      </c>
      <c r="L493" s="539"/>
      <c r="M493" s="539"/>
      <c r="N493" s="572" t="e">
        <f>#REF!</f>
        <v>#REF!</v>
      </c>
      <c r="O493" s="573"/>
      <c r="P493" s="573"/>
      <c r="Q493" s="573"/>
      <c r="R493" s="573"/>
      <c r="S493" s="574" t="s">
        <v>453</v>
      </c>
      <c r="T493" s="572" t="e">
        <f>#REF!</f>
        <v>#REF!</v>
      </c>
      <c r="U493" s="575"/>
      <c r="V493" s="574" t="s">
        <v>454</v>
      </c>
      <c r="W493" s="576" t="e">
        <f>#REF!</f>
        <v>#REF!</v>
      </c>
      <c r="X493" s="575"/>
      <c r="Y493" s="445"/>
      <c r="Z493" s="446" t="s">
        <v>396</v>
      </c>
      <c r="AA493" s="482">
        <f>O489</f>
        <v>0</v>
      </c>
      <c r="AB493" s="673"/>
      <c r="AC493" s="483"/>
    </row>
    <row r="494" spans="1:29" ht="12" customHeight="1" thickBot="1">
      <c r="A494" s="688"/>
      <c r="B494" s="484" t="s">
        <v>456</v>
      </c>
      <c r="C494" s="485"/>
      <c r="D494" s="486"/>
      <c r="E494" s="465">
        <f>E492-E493</f>
        <v>0</v>
      </c>
      <c r="F494" s="577">
        <f>F464</f>
        <v>1</v>
      </c>
      <c r="G494" s="578" t="e">
        <f>G464</f>
        <v>#REF!</v>
      </c>
      <c r="H494" s="578" t="e">
        <f>H464</f>
        <v>#REF!</v>
      </c>
      <c r="I494" s="579" t="e">
        <f>I464</f>
        <v>#REF!</v>
      </c>
      <c r="J494" s="580" t="str">
        <f>CONCATENATE(,P504,U491)</f>
        <v xml:space="preserve">  C.P.-</v>
      </c>
      <c r="K494" s="490"/>
      <c r="L494" s="491"/>
      <c r="M494" s="492"/>
      <c r="N494" s="492"/>
      <c r="O494" s="492"/>
      <c r="P494" s="492"/>
      <c r="Q494" s="492"/>
      <c r="R494" s="492"/>
      <c r="S494" s="492"/>
      <c r="T494" s="493"/>
      <c r="V494" s="494"/>
      <c r="W494" s="495"/>
      <c r="X494" s="496"/>
      <c r="Y494" s="497"/>
      <c r="Z494" s="4773" t="s">
        <v>457</v>
      </c>
      <c r="AA494" s="4774"/>
      <c r="AB494" s="4774"/>
      <c r="AC494" s="4775"/>
    </row>
    <row r="495" spans="1:29" ht="12" customHeight="1" thickTop="1" thickBot="1">
      <c r="A495" s="688"/>
      <c r="B495" s="4783" t="s">
        <v>460</v>
      </c>
      <c r="C495" s="4784"/>
      <c r="D495" s="4784"/>
      <c r="E495" s="4785"/>
      <c r="F495" s="498" t="s">
        <v>396</v>
      </c>
      <c r="G495" s="647" t="str">
        <f>G465</f>
        <v>CERVANTES BENITEZ * ANTONIA</v>
      </c>
      <c r="H495" s="500"/>
      <c r="I495" s="500"/>
      <c r="J495" s="501"/>
      <c r="K495" s="501"/>
      <c r="L495" s="501"/>
      <c r="M495" s="504"/>
      <c r="N495" s="4783" t="s">
        <v>461</v>
      </c>
      <c r="O495" s="4786"/>
      <c r="P495" s="4786"/>
      <c r="Q495" s="4787"/>
      <c r="R495" s="625"/>
      <c r="S495" s="499">
        <f>VLOOKUP(R495,AE1:AF16,2,1)</f>
        <v>0</v>
      </c>
      <c r="T495" s="501"/>
      <c r="U495" s="501"/>
      <c r="V495" s="501"/>
      <c r="W495" s="501"/>
      <c r="X495" s="501"/>
      <c r="Y495" s="504"/>
      <c r="Z495" s="446" t="s">
        <v>396</v>
      </c>
      <c r="AA495" s="461">
        <f>Y489</f>
        <v>0</v>
      </c>
      <c r="AB495" s="448"/>
      <c r="AC495" s="505">
        <f>V489</f>
        <v>0</v>
      </c>
    </row>
    <row r="496" spans="1:29" ht="12" customHeight="1" thickTop="1" thickBot="1">
      <c r="A496" s="688"/>
      <c r="B496" s="4783" t="s">
        <v>465</v>
      </c>
      <c r="C496" s="4786"/>
      <c r="D496" s="4786"/>
      <c r="E496" s="4787"/>
      <c r="F496" s="506" t="s">
        <v>396</v>
      </c>
      <c r="G496" s="648" t="str">
        <f>G466</f>
        <v>JESUS MARTIN RICALDE CASTRO</v>
      </c>
      <c r="H496" s="501"/>
      <c r="I496" s="501"/>
      <c r="J496" s="501"/>
      <c r="K496" s="501"/>
      <c r="L496" s="501"/>
      <c r="M496" s="504"/>
      <c r="N496" s="4783" t="s">
        <v>466</v>
      </c>
      <c r="O496" s="4786"/>
      <c r="P496" s="4786"/>
      <c r="Q496" s="4787"/>
      <c r="R496" s="625"/>
      <c r="S496" s="499">
        <f>VLOOKUP(R496,AE17:AF22,2,2)</f>
        <v>0</v>
      </c>
      <c r="T496" s="501"/>
      <c r="U496" s="501"/>
      <c r="V496" s="501"/>
      <c r="W496" s="501"/>
      <c r="X496" s="501"/>
      <c r="Y496" s="507" t="str">
        <f>CONCATENATE(M492,M491,N492,N491,O492,O491,P492,P491)</f>
        <v/>
      </c>
      <c r="Z496" s="4773" t="s">
        <v>467</v>
      </c>
      <c r="AA496" s="4774"/>
      <c r="AB496" s="4774"/>
      <c r="AC496" s="4775"/>
    </row>
    <row r="497" spans="1:30" ht="12" customHeight="1" thickTop="1" thickBot="1">
      <c r="A497" s="688"/>
      <c r="B497" s="4788" t="s">
        <v>471</v>
      </c>
      <c r="C497" s="4789"/>
      <c r="D497" s="4789"/>
      <c r="E497" s="4790"/>
      <c r="F497" s="506" t="s">
        <v>396</v>
      </c>
      <c r="G497" s="648" t="e">
        <f>G467</f>
        <v>#REF!</v>
      </c>
      <c r="H497" s="501"/>
      <c r="I497" s="501"/>
      <c r="J497" s="501"/>
      <c r="K497" s="501"/>
      <c r="L497" s="501"/>
      <c r="M497" s="501"/>
      <c r="N497" s="4783" t="s">
        <v>472</v>
      </c>
      <c r="O497" s="4786"/>
      <c r="P497" s="4786"/>
      <c r="Q497" s="4787"/>
      <c r="R497" s="625"/>
      <c r="S497" s="499">
        <f>VLOOKUP(R497,AE25:AF34,2,2)</f>
        <v>0</v>
      </c>
      <c r="T497" s="501"/>
      <c r="U497" s="501"/>
      <c r="V497" s="501"/>
      <c r="W497" s="501"/>
      <c r="X497" s="501"/>
      <c r="Y497" s="504"/>
      <c r="Z497" s="446" t="s">
        <v>396</v>
      </c>
      <c r="AA497" s="447" t="str">
        <f>J492</f>
        <v>RG-  SM-  MZA-  LTE-  CALLE-  COL-</v>
      </c>
      <c r="AB497" s="448"/>
      <c r="AC497" s="449"/>
      <c r="AD497" s="662" t="s">
        <v>79</v>
      </c>
    </row>
    <row r="498" spans="1:30" ht="12" customHeight="1" thickTop="1" thickBot="1">
      <c r="A498" s="688"/>
      <c r="B498" s="4788" t="s">
        <v>475</v>
      </c>
      <c r="C498" s="4789"/>
      <c r="D498" s="4789"/>
      <c r="E498" s="4790"/>
      <c r="F498" s="508"/>
      <c r="G498" s="648"/>
      <c r="H498" s="501"/>
      <c r="I498" s="501"/>
      <c r="J498" s="501"/>
      <c r="K498" s="501"/>
      <c r="L498" s="501"/>
      <c r="M498" s="501"/>
      <c r="N498" s="4783" t="s">
        <v>476</v>
      </c>
      <c r="O498" s="4786"/>
      <c r="P498" s="4786"/>
      <c r="Q498" s="4787"/>
      <c r="R498" s="625"/>
      <c r="S498" s="499">
        <f>VLOOKUP(R498,AE35:AF43,2,2)</f>
        <v>0</v>
      </c>
      <c r="T498" s="501"/>
      <c r="U498" s="501"/>
      <c r="V498" s="501"/>
      <c r="W498" s="501"/>
      <c r="X498" s="501"/>
      <c r="Y498" s="504"/>
      <c r="Z498" s="4773" t="s">
        <v>477</v>
      </c>
      <c r="AA498" s="4774"/>
      <c r="AB498" s="4774"/>
      <c r="AC498" s="4775"/>
    </row>
    <row r="499" spans="1:30" ht="12" customHeight="1" thickTop="1" thickBot="1">
      <c r="A499" s="688"/>
      <c r="B499" s="4791" t="s">
        <v>479</v>
      </c>
      <c r="C499" s="4792"/>
      <c r="D499" s="4792"/>
      <c r="E499" s="4793"/>
      <c r="F499" s="625"/>
      <c r="G499" s="582">
        <f>VLOOKUP(F499,AE69:AF78,2,1)</f>
        <v>0</v>
      </c>
      <c r="H499" s="501"/>
      <c r="I499" s="501"/>
      <c r="J499" s="501"/>
      <c r="K499" s="501"/>
      <c r="L499" s="584"/>
      <c r="M499" s="619">
        <f>COUNTA(F499,F617,F737,F857)</f>
        <v>0</v>
      </c>
      <c r="N499" s="4783" t="s">
        <v>480</v>
      </c>
      <c r="O499" s="4786"/>
      <c r="P499" s="4786"/>
      <c r="Q499" s="4787"/>
      <c r="R499" s="625"/>
      <c r="S499" s="499">
        <f>VLOOKUP(R499,AE44:AF68,2,2)</f>
        <v>0</v>
      </c>
      <c r="T499" s="501"/>
      <c r="U499" s="501"/>
      <c r="V499" s="501"/>
      <c r="W499" s="501"/>
      <c r="X499" s="501"/>
      <c r="Y499" s="504"/>
      <c r="Z499" s="446" t="s">
        <v>481</v>
      </c>
      <c r="AA499" s="447">
        <f>'VISITA DE INSP.'!AQ33</f>
        <v>0</v>
      </c>
      <c r="AB499" s="448"/>
      <c r="AC499" s="449"/>
    </row>
    <row r="500" spans="1:30" ht="12" customHeight="1" thickTop="1" thickBot="1">
      <c r="A500" s="688"/>
      <c r="B500" s="4791" t="s">
        <v>484</v>
      </c>
      <c r="C500" s="4792"/>
      <c r="D500" s="4792"/>
      <c r="E500" s="4793"/>
      <c r="F500" s="625"/>
      <c r="G500" s="582">
        <f>VLOOKUP(F500,AE79:AF85,2,1)</f>
        <v>0</v>
      </c>
      <c r="H500" s="501"/>
      <c r="I500" s="501"/>
      <c r="J500" s="501"/>
      <c r="K500" s="501"/>
      <c r="L500" s="501"/>
      <c r="M500" s="504"/>
      <c r="N500" s="4783" t="s">
        <v>485</v>
      </c>
      <c r="O500" s="4786"/>
      <c r="P500" s="4786"/>
      <c r="Q500" s="4787"/>
      <c r="R500" s="625"/>
      <c r="S500" s="553"/>
      <c r="T500" s="511"/>
      <c r="U500" s="512"/>
      <c r="V500" s="511"/>
      <c r="W500" s="511"/>
      <c r="X500" s="511"/>
      <c r="Y500" s="513"/>
      <c r="Z500" s="4773" t="s">
        <v>486</v>
      </c>
      <c r="AA500" s="4774"/>
      <c r="AB500" s="4774"/>
      <c r="AC500" s="4775"/>
    </row>
    <row r="501" spans="1:30" ht="12" hidden="1" customHeight="1" thickTop="1" thickBot="1">
      <c r="A501" s="688"/>
      <c r="B501" s="4811" t="s">
        <v>488</v>
      </c>
      <c r="C501" s="4812"/>
      <c r="D501" s="4812"/>
      <c r="E501" s="4812"/>
      <c r="F501" s="4812"/>
      <c r="G501" s="4812"/>
      <c r="H501" s="4812"/>
      <c r="I501" s="4812"/>
      <c r="J501" s="4794" t="s">
        <v>488</v>
      </c>
      <c r="K501" s="4795"/>
      <c r="L501" s="4795"/>
      <c r="M501" s="4795"/>
      <c r="N501" s="4795"/>
      <c r="O501" s="4795"/>
      <c r="P501" s="4795"/>
      <c r="Q501" s="4796"/>
      <c r="R501" s="4811" t="s">
        <v>488</v>
      </c>
      <c r="S501" s="4812"/>
      <c r="T501" s="4812"/>
      <c r="U501" s="4812"/>
      <c r="V501" s="4812"/>
      <c r="W501" s="4812"/>
      <c r="X501" s="4812"/>
      <c r="Y501" s="4812"/>
      <c r="Z501" s="446" t="s">
        <v>489</v>
      </c>
      <c r="AA501" s="447"/>
      <c r="AB501" s="448"/>
      <c r="AC501" s="449"/>
    </row>
    <row r="502" spans="1:30" ht="12" hidden="1" customHeight="1" thickTop="1" thickBot="1">
      <c r="A502" s="688"/>
      <c r="B502" s="586"/>
      <c r="C502" s="587"/>
      <c r="D502" s="588"/>
      <c r="E502" s="4797"/>
      <c r="F502" s="4797"/>
      <c r="G502" s="589"/>
      <c r="H502" s="590"/>
      <c r="I502" s="591"/>
      <c r="J502" s="592" t="s">
        <v>491</v>
      </c>
      <c r="K502" s="515" t="s">
        <v>491</v>
      </c>
      <c r="L502" s="516" t="s">
        <v>492</v>
      </c>
      <c r="M502" s="4797"/>
      <c r="N502" s="4797"/>
      <c r="O502" s="517" t="s">
        <v>418</v>
      </c>
      <c r="P502" s="518" t="s">
        <v>493</v>
      </c>
      <c r="Q502" s="520"/>
      <c r="R502" s="593"/>
      <c r="S502" s="594"/>
      <c r="T502" s="595"/>
      <c r="U502" s="4797"/>
      <c r="V502" s="4797"/>
      <c r="W502" s="596"/>
      <c r="X502" s="594"/>
      <c r="Y502" s="597"/>
      <c r="Z502" s="4773" t="s">
        <v>494</v>
      </c>
      <c r="AA502" s="4774"/>
      <c r="AB502" s="4774"/>
      <c r="AC502" s="4775"/>
    </row>
    <row r="503" spans="1:30" ht="12" hidden="1" customHeight="1" thickTop="1">
      <c r="A503" s="688"/>
      <c r="B503" s="586"/>
      <c r="C503" s="587"/>
      <c r="D503" s="588"/>
      <c r="E503" s="4813" t="s">
        <v>621</v>
      </c>
      <c r="F503" s="4814"/>
      <c r="G503" s="590"/>
      <c r="H503" s="590"/>
      <c r="I503" s="591"/>
      <c r="J503" s="523"/>
      <c r="K503" s="522"/>
      <c r="L503" s="4798" t="s">
        <v>496</v>
      </c>
      <c r="M503" s="4799"/>
      <c r="N503" s="4799"/>
      <c r="O503" s="4800"/>
      <c r="P503" s="515"/>
      <c r="Q503" s="520"/>
      <c r="R503" s="593"/>
      <c r="S503" s="594"/>
      <c r="T503" s="598"/>
      <c r="U503" s="4815" t="s">
        <v>622</v>
      </c>
      <c r="V503" s="4816"/>
      <c r="W503" s="596"/>
      <c r="X503" s="594"/>
      <c r="Y503" s="597"/>
      <c r="Z503" s="446"/>
      <c r="AA503" s="524">
        <f>VLOOKUP(Z503,BE24:BF34,2,2)</f>
        <v>0</v>
      </c>
      <c r="AB503" s="448"/>
      <c r="AC503" s="449"/>
    </row>
    <row r="504" spans="1:30" ht="12" hidden="1" customHeight="1">
      <c r="A504" s="688"/>
      <c r="B504" s="586"/>
      <c r="C504" s="587"/>
      <c r="D504" s="588"/>
      <c r="E504" s="599"/>
      <c r="F504" s="590"/>
      <c r="G504" s="590"/>
      <c r="H504" s="590"/>
      <c r="I504" s="591"/>
      <c r="J504" s="526" t="s">
        <v>498</v>
      </c>
      <c r="K504" s="527" t="s">
        <v>499</v>
      </c>
      <c r="L504" s="527" t="s">
        <v>500</v>
      </c>
      <c r="M504" s="527" t="s">
        <v>501</v>
      </c>
      <c r="N504" s="527" t="s">
        <v>502</v>
      </c>
      <c r="O504" s="527" t="s">
        <v>503</v>
      </c>
      <c r="P504" s="527" t="s">
        <v>504</v>
      </c>
      <c r="Q504" s="600"/>
      <c r="R504" s="4752">
        <f>'VISITA DE INSP.'!D33</f>
        <v>0</v>
      </c>
      <c r="S504" s="4753"/>
      <c r="T504" s="4753"/>
      <c r="U504" s="4753"/>
      <c r="V504" s="4753"/>
      <c r="W504" s="4753"/>
      <c r="X504" s="4753"/>
      <c r="Y504" s="4754"/>
      <c r="Z504" s="4801" t="s">
        <v>506</v>
      </c>
      <c r="AA504" s="4802"/>
      <c r="AB504" s="4802"/>
      <c r="AC504" s="4803"/>
    </row>
    <row r="505" spans="1:30" ht="12" hidden="1" customHeight="1">
      <c r="A505" s="688"/>
      <c r="B505" s="586"/>
      <c r="C505" s="587"/>
      <c r="D505" s="588"/>
      <c r="E505" s="599"/>
      <c r="F505" s="590"/>
      <c r="G505" s="590"/>
      <c r="H505" s="590"/>
      <c r="I505" s="591"/>
      <c r="J505" s="534"/>
      <c r="K505" s="531" t="s">
        <v>491</v>
      </c>
      <c r="L505" s="532" t="s">
        <v>491</v>
      </c>
      <c r="M505" s="533"/>
      <c r="N505" s="532"/>
      <c r="O505" s="532"/>
      <c r="P505" s="532"/>
      <c r="Q505" s="520"/>
      <c r="R505" s="682"/>
      <c r="S505" s="4758">
        <f>'VISITA DE INSP.'!AN33</f>
        <v>0</v>
      </c>
      <c r="T505" s="4759"/>
      <c r="U505" s="4759"/>
      <c r="V505" s="4759"/>
      <c r="W505" s="4759"/>
      <c r="X505" s="4760"/>
      <c r="Y505" s="683"/>
      <c r="Z505" s="446"/>
      <c r="AA505" s="524" t="e">
        <f>VLOOKUP(Z505,AW234:AX249,2,2)</f>
        <v>#N/A</v>
      </c>
      <c r="AB505" s="448"/>
      <c r="AC505" s="449"/>
    </row>
    <row r="506" spans="1:30" ht="12" hidden="1" customHeight="1">
      <c r="A506" s="688"/>
      <c r="B506" s="586"/>
      <c r="C506" s="587"/>
      <c r="D506" s="588"/>
      <c r="E506" s="599"/>
      <c r="F506" s="590"/>
      <c r="G506" s="590"/>
      <c r="H506" s="590"/>
      <c r="I506" s="591"/>
      <c r="J506" s="538"/>
      <c r="K506" s="537"/>
      <c r="L506" s="527"/>
      <c r="M506" s="527"/>
      <c r="N506" s="527"/>
      <c r="O506" s="527"/>
      <c r="P506" s="527"/>
      <c r="Q506" s="520"/>
      <c r="R506" s="682"/>
      <c r="S506" s="4758">
        <f>'VISITA DE INSP.'!AO33</f>
        <v>0</v>
      </c>
      <c r="T506" s="4759"/>
      <c r="U506" s="4759"/>
      <c r="V506" s="4759"/>
      <c r="W506" s="4759"/>
      <c r="X506" s="4760"/>
      <c r="Y506" s="683"/>
      <c r="Z506" s="4773" t="s">
        <v>511</v>
      </c>
      <c r="AA506" s="4774"/>
      <c r="AB506" s="4774"/>
      <c r="AC506" s="4775"/>
    </row>
    <row r="507" spans="1:30" ht="12" hidden="1" customHeight="1">
      <c r="A507" s="688"/>
      <c r="B507" s="586"/>
      <c r="C507" s="587"/>
      <c r="D507" s="588"/>
      <c r="E507" s="599"/>
      <c r="F507" s="590"/>
      <c r="G507" s="590"/>
      <c r="H507" s="590"/>
      <c r="I507" s="591"/>
      <c r="J507" s="534"/>
      <c r="K507" s="537"/>
      <c r="L507" s="531"/>
      <c r="M507" s="533"/>
      <c r="N507" s="532"/>
      <c r="O507" s="532"/>
      <c r="P507" s="532"/>
      <c r="Q507" s="520"/>
      <c r="R507" s="682"/>
      <c r="S507" s="4852">
        <f>'VISITA DE INSP.'!AU33</f>
        <v>0</v>
      </c>
      <c r="T507" s="4853"/>
      <c r="U507" s="4853"/>
      <c r="V507" s="4853"/>
      <c r="W507" s="4853"/>
      <c r="X507" s="4854"/>
      <c r="Y507" s="684"/>
      <c r="Z507" s="446"/>
      <c r="AA507" s="524" t="e">
        <f>VLOOKUP(Z507,BB234:BC244,2,2)</f>
        <v>#N/A</v>
      </c>
      <c r="AB507" s="448"/>
      <c r="AC507" s="449"/>
    </row>
    <row r="508" spans="1:30" ht="12" hidden="1" customHeight="1">
      <c r="A508" s="688"/>
      <c r="B508" s="586"/>
      <c r="C508" s="587"/>
      <c r="D508" s="588"/>
      <c r="E508" s="599"/>
      <c r="F508" s="590"/>
      <c r="G508" s="590"/>
      <c r="H508" s="590"/>
      <c r="I508" s="591"/>
      <c r="J508" s="534"/>
      <c r="K508" s="522"/>
      <c r="L508" s="539"/>
      <c r="M508" s="540"/>
      <c r="N508" s="515"/>
      <c r="O508" s="515"/>
      <c r="P508" s="515"/>
      <c r="Q508" s="520"/>
      <c r="R508" s="682"/>
      <c r="S508" s="4758">
        <f>'VISITA DE INSP.'!AT33</f>
        <v>0</v>
      </c>
      <c r="T508" s="4759"/>
      <c r="U508" s="4759"/>
      <c r="V508" s="4759"/>
      <c r="W508" s="4759"/>
      <c r="X508" s="4760"/>
      <c r="Y508" s="684"/>
      <c r="Z508" s="4773" t="s">
        <v>520</v>
      </c>
      <c r="AA508" s="4774"/>
      <c r="AB508" s="4774"/>
      <c r="AC508" s="4775"/>
    </row>
    <row r="509" spans="1:30" ht="12" hidden="1" customHeight="1">
      <c r="A509" s="688"/>
      <c r="B509" s="586"/>
      <c r="C509" s="587"/>
      <c r="D509" s="588"/>
      <c r="E509" s="599"/>
      <c r="F509" s="590"/>
      <c r="G509" s="590"/>
      <c r="H509" s="590"/>
      <c r="I509" s="591"/>
      <c r="J509" s="534"/>
      <c r="K509" s="541"/>
      <c r="L509" s="541"/>
      <c r="M509" s="541"/>
      <c r="N509" s="541"/>
      <c r="O509" s="541"/>
      <c r="P509" s="541"/>
      <c r="Q509" s="520"/>
      <c r="R509" s="682"/>
      <c r="S509" s="4830">
        <f>'VISITA DE INSP.'!AS33</f>
        <v>0</v>
      </c>
      <c r="T509" s="4831"/>
      <c r="U509" s="4831"/>
      <c r="V509" s="4831"/>
      <c r="W509" s="4831"/>
      <c r="X509" s="4832"/>
      <c r="Y509" s="684"/>
      <c r="Z509" s="446" t="s">
        <v>396</v>
      </c>
      <c r="AA509" s="447" t="str">
        <f>J493</f>
        <v xml:space="preserve">  COL-</v>
      </c>
      <c r="AB509" s="448"/>
      <c r="AC509" s="449"/>
    </row>
    <row r="510" spans="1:30" ht="12" hidden="1" customHeight="1">
      <c r="A510" s="688"/>
      <c r="B510" s="586"/>
      <c r="C510" s="603" t="str">
        <f>Y485</f>
        <v xml:space="preserve">       </v>
      </c>
      <c r="D510" s="604"/>
      <c r="E510" s="604"/>
      <c r="F510" s="604"/>
      <c r="G510" s="604"/>
      <c r="H510" s="605"/>
      <c r="I510" s="591"/>
      <c r="J510" s="606" t="str">
        <f>J494</f>
        <v xml:space="preserve">  C.P.-</v>
      </c>
      <c r="K510" s="603" t="str">
        <f>C510</f>
        <v xml:space="preserve">       </v>
      </c>
      <c r="L510" s="604"/>
      <c r="M510" s="604"/>
      <c r="N510" s="604"/>
      <c r="O510" s="604"/>
      <c r="P510" s="605"/>
      <c r="Q510" s="597"/>
      <c r="R510" s="593"/>
      <c r="S510" s="607" t="str">
        <f>K510</f>
        <v xml:space="preserve">       </v>
      </c>
      <c r="T510" s="608"/>
      <c r="U510" s="608"/>
      <c r="V510" s="608"/>
      <c r="W510" s="608"/>
      <c r="X510" s="609"/>
      <c r="Y510" s="597"/>
      <c r="Z510" s="4773" t="s">
        <v>529</v>
      </c>
      <c r="AA510" s="4774"/>
      <c r="AB510" s="4774"/>
      <c r="AC510" s="4775"/>
    </row>
    <row r="511" spans="1:30" ht="12" hidden="1" customHeight="1" thickBot="1">
      <c r="A511" s="688"/>
      <c r="B511" s="610"/>
      <c r="C511" s="4817" t="s">
        <v>534</v>
      </c>
      <c r="D511" s="4818"/>
      <c r="E511" s="4818"/>
      <c r="F511" s="4818"/>
      <c r="G511" s="4818"/>
      <c r="H511" s="4819"/>
      <c r="I511" s="611"/>
      <c r="J511" s="612"/>
      <c r="K511" s="4820" t="s">
        <v>534</v>
      </c>
      <c r="L511" s="4821"/>
      <c r="M511" s="4821"/>
      <c r="N511" s="4821"/>
      <c r="O511" s="4821"/>
      <c r="P511" s="4822"/>
      <c r="Q511" s="613"/>
      <c r="R511" s="614"/>
      <c r="S511" s="4817" t="s">
        <v>534</v>
      </c>
      <c r="T511" s="4818"/>
      <c r="U511" s="4818"/>
      <c r="V511" s="4818"/>
      <c r="W511" s="4818"/>
      <c r="X511" s="4819"/>
      <c r="Y511" s="615"/>
      <c r="Z511" s="446" t="s">
        <v>396</v>
      </c>
      <c r="AA511" s="447" t="str">
        <f>J494</f>
        <v xml:space="preserve">  C.P.-</v>
      </c>
      <c r="AB511" s="448"/>
      <c r="AC511" s="449"/>
    </row>
    <row r="512" spans="1:30" ht="12" customHeight="1" thickTop="1" thickBot="1">
      <c r="A512" s="688"/>
      <c r="B512" s="4783" t="s">
        <v>538</v>
      </c>
      <c r="C512" s="4784"/>
      <c r="D512" s="4784"/>
      <c r="E512" s="4784"/>
      <c r="F512" s="552"/>
      <c r="G512" s="551">
        <f>VLOOKUP(F512,BE38:BG72,2,2)</f>
        <v>0</v>
      </c>
      <c r="H512" s="511"/>
      <c r="I512" s="513"/>
      <c r="J512" s="4783" t="s">
        <v>539</v>
      </c>
      <c r="K512" s="4784"/>
      <c r="L512" s="4784"/>
      <c r="M512" s="4784"/>
      <c r="N512" s="552" t="s">
        <v>540</v>
      </c>
      <c r="O512" s="628"/>
      <c r="P512" s="629"/>
      <c r="Q512" s="630"/>
      <c r="R512" s="4783" t="s">
        <v>541</v>
      </c>
      <c r="S512" s="4784"/>
      <c r="T512" s="4784"/>
      <c r="U512" s="4785"/>
      <c r="V512" s="508" t="s">
        <v>396</v>
      </c>
      <c r="W512" s="553">
        <f>O485</f>
        <v>0</v>
      </c>
      <c r="X512" s="554">
        <f>R485</f>
        <v>0</v>
      </c>
      <c r="Y512" s="555">
        <f>U485</f>
        <v>0</v>
      </c>
      <c r="Z512" s="4773" t="s">
        <v>542</v>
      </c>
      <c r="AA512" s="4774"/>
      <c r="AB512" s="4774"/>
      <c r="AC512" s="4775"/>
    </row>
    <row r="513" spans="1:30" ht="12" customHeight="1" thickTop="1" thickBot="1">
      <c r="A513" s="688"/>
      <c r="B513" s="651"/>
      <c r="C513" s="652"/>
      <c r="D513" s="652"/>
      <c r="E513" s="652"/>
      <c r="F513" s="652"/>
      <c r="G513" s="652"/>
      <c r="H513" s="652"/>
      <c r="I513" s="652"/>
      <c r="J513" s="652"/>
      <c r="K513" s="652"/>
      <c r="L513" s="652"/>
      <c r="M513" s="652"/>
      <c r="N513" s="652"/>
      <c r="O513" s="652"/>
      <c r="P513" s="652"/>
      <c r="Q513" s="652"/>
      <c r="R513" s="652"/>
      <c r="S513" s="652"/>
      <c r="T513" s="652"/>
      <c r="U513" s="652"/>
      <c r="V513" s="652"/>
      <c r="W513" s="652"/>
      <c r="X513" s="652"/>
      <c r="Y513" s="674"/>
      <c r="Z513" s="558" t="s">
        <v>396</v>
      </c>
      <c r="AA513" s="559" t="e">
        <f>W493</f>
        <v>#REF!</v>
      </c>
      <c r="AB513" s="560"/>
      <c r="AC513" s="561"/>
    </row>
    <row r="514" spans="1:30" ht="12" customHeight="1" thickTop="1">
      <c r="A514" s="688"/>
      <c r="B514" s="4761" t="s">
        <v>386</v>
      </c>
      <c r="C514" s="4762"/>
      <c r="D514" s="4762"/>
      <c r="E514" s="4762"/>
      <c r="F514" s="4762"/>
      <c r="G514" s="4762"/>
      <c r="H514" s="4762"/>
      <c r="I514" s="4763"/>
      <c r="J514" s="562">
        <f>COUNTA(I519:I520)</f>
        <v>0</v>
      </c>
      <c r="K514" s="563" t="s">
        <v>387</v>
      </c>
      <c r="L514" s="564"/>
      <c r="M514" s="564"/>
      <c r="N514" s="564"/>
      <c r="O514" s="564"/>
      <c r="P514" s="564"/>
      <c r="Q514" s="564"/>
      <c r="R514" s="564"/>
      <c r="S514" s="564"/>
      <c r="T514" s="564"/>
      <c r="U514" s="564"/>
      <c r="V514" s="564"/>
      <c r="W514" s="564"/>
      <c r="X514" s="564"/>
      <c r="Y514" s="441"/>
      <c r="Z514" s="4770" t="s">
        <v>388</v>
      </c>
      <c r="AA514" s="4771"/>
      <c r="AB514" s="4771"/>
      <c r="AC514" s="4772"/>
    </row>
    <row r="515" spans="1:30" ht="12" customHeight="1">
      <c r="A515" s="688"/>
      <c r="B515" s="4764"/>
      <c r="C515" s="4765"/>
      <c r="D515" s="4765"/>
      <c r="E515" s="4765"/>
      <c r="F515" s="4765"/>
      <c r="G515" s="4765"/>
      <c r="H515" s="4765"/>
      <c r="I515" s="4766"/>
      <c r="J515" s="565" t="str">
        <f>CONCATENATE(O515,J532,R515,K532,U515,L532)</f>
        <v xml:space="preserve">       </v>
      </c>
      <c r="K515" s="699" t="s">
        <v>395</v>
      </c>
      <c r="L515" s="700"/>
      <c r="M515" s="539"/>
      <c r="N515" s="539"/>
      <c r="O515" s="701"/>
      <c r="P515" s="573"/>
      <c r="R515" s="701"/>
      <c r="S515" s="573"/>
      <c r="U515" s="701"/>
      <c r="V515" s="702"/>
      <c r="W515" s="703"/>
      <c r="X515" s="641"/>
      <c r="Y515" s="445" t="str">
        <f>CONCATENATE(U515,K532,O515,J532,R515,L532)</f>
        <v xml:space="preserve">       </v>
      </c>
      <c r="Z515" s="446" t="s">
        <v>396</v>
      </c>
      <c r="AA515" s="447" t="str">
        <f>J515</f>
        <v xml:space="preserve">       </v>
      </c>
      <c r="AB515" s="448"/>
      <c r="AC515" s="449"/>
    </row>
    <row r="516" spans="1:30" ht="12" customHeight="1" thickBot="1">
      <c r="A516" s="688"/>
      <c r="B516" s="4767"/>
      <c r="C516" s="4768"/>
      <c r="D516" s="4768"/>
      <c r="E516" s="4768"/>
      <c r="F516" s="4768"/>
      <c r="G516" s="4768"/>
      <c r="H516" s="4768"/>
      <c r="I516" s="4769"/>
      <c r="J516" s="565"/>
      <c r="K516" s="539" t="str">
        <f>'VISITA DE INSP.'!D34</f>
        <v>GARDUÑO CASTILLO * MERLI ROCIO</v>
      </c>
      <c r="L516" s="539"/>
      <c r="M516" s="539"/>
      <c r="N516" s="539"/>
      <c r="P516" s="704"/>
      <c r="Q516" s="705"/>
      <c r="S516" s="704"/>
      <c r="T516" s="705"/>
      <c r="U516" s="706"/>
      <c r="V516" s="706"/>
      <c r="W516" s="706"/>
      <c r="X516" s="706"/>
      <c r="Y516" s="450" t="str">
        <f>CONCATENATE(V517,L532,W517)</f>
        <v>11007831200.0   0</v>
      </c>
      <c r="Z516" s="4773" t="s">
        <v>400</v>
      </c>
      <c r="AA516" s="4774"/>
      <c r="AB516" s="4774"/>
      <c r="AC516" s="4775"/>
    </row>
    <row r="517" spans="1:30" ht="12" customHeight="1" thickTop="1">
      <c r="A517" s="688"/>
      <c r="B517" s="452">
        <v>1</v>
      </c>
      <c r="C517" s="453" t="s">
        <v>406</v>
      </c>
      <c r="D517" s="454" t="s">
        <v>407</v>
      </c>
      <c r="E517" s="455" t="s">
        <v>408</v>
      </c>
      <c r="F517" s="456" t="s">
        <v>409</v>
      </c>
      <c r="G517" s="457" t="e">
        <f>G487</f>
        <v>#REF!</v>
      </c>
      <c r="H517" s="458"/>
      <c r="I517" s="459"/>
      <c r="J517" s="565" t="str">
        <f>CONCATENATE(N517,K532,O517)</f>
        <v xml:space="preserve">0  </v>
      </c>
      <c r="K517" s="699" t="s">
        <v>410</v>
      </c>
      <c r="L517" s="700"/>
      <c r="M517" s="707"/>
      <c r="N517" s="708" t="str">
        <f>MID('VISITA DE INSP.'!AN34,1,10)</f>
        <v>0</v>
      </c>
      <c r="O517" s="701" t="str">
        <f>MID('VISITA DE INSP.'!AN34,12,15)</f>
        <v/>
      </c>
      <c r="P517" s="641"/>
      <c r="Q517" s="700"/>
      <c r="R517" s="709"/>
      <c r="T517" s="710" t="s">
        <v>411</v>
      </c>
      <c r="U517" s="641"/>
      <c r="V517" s="711" t="s">
        <v>179</v>
      </c>
      <c r="W517" s="712">
        <f>'VISITA DE INSP.'!AO34</f>
        <v>0</v>
      </c>
      <c r="X517" s="713"/>
      <c r="Y517" s="460" t="str">
        <f>CONCATENATE(V517,K532,W517)</f>
        <v>11007831200.0  0</v>
      </c>
      <c r="Z517" s="446" t="s">
        <v>396</v>
      </c>
      <c r="AA517" s="447" t="str">
        <f>Y515</f>
        <v xml:space="preserve">       </v>
      </c>
      <c r="AB517" s="448"/>
      <c r="AC517" s="449"/>
    </row>
    <row r="518" spans="1:30" ht="12" customHeight="1">
      <c r="A518" s="688"/>
      <c r="B518" s="462" t="s">
        <v>416</v>
      </c>
      <c r="C518" s="463"/>
      <c r="D518" s="464"/>
      <c r="E518" s="465">
        <f t="shared" ref="E518:E523" si="25">C518+D518</f>
        <v>0</v>
      </c>
      <c r="F518" s="466" t="s">
        <v>417</v>
      </c>
      <c r="G518" s="467" t="e">
        <f>G488</f>
        <v>#REF!</v>
      </c>
      <c r="H518" s="468" t="e">
        <f>H488</f>
        <v>#REF!</v>
      </c>
      <c r="I518" s="469"/>
      <c r="J518" s="565"/>
      <c r="K518" s="714"/>
      <c r="L518" s="715"/>
      <c r="M518" s="716"/>
      <c r="O518" s="716"/>
      <c r="P518" s="716"/>
      <c r="Q518" s="717" t="s">
        <v>418</v>
      </c>
      <c r="R518" s="714"/>
      <c r="S518" s="540"/>
      <c r="T518" s="540"/>
      <c r="U518" s="716"/>
      <c r="V518" s="716"/>
      <c r="W518" s="716"/>
      <c r="X518" s="718"/>
      <c r="Y518" s="450" t="str">
        <f>MID(W517,1,5)</f>
        <v>0</v>
      </c>
      <c r="Z518" s="4773" t="s">
        <v>419</v>
      </c>
      <c r="AA518" s="4774"/>
      <c r="AB518" s="4774"/>
      <c r="AC518" s="4775"/>
    </row>
    <row r="519" spans="1:30" ht="12" customHeight="1">
      <c r="A519" s="688"/>
      <c r="B519" s="470" t="s">
        <v>423</v>
      </c>
      <c r="C519" s="463"/>
      <c r="D519" s="464"/>
      <c r="E519" s="465">
        <f t="shared" si="25"/>
        <v>0</v>
      </c>
      <c r="F519" s="692" t="s">
        <v>3</v>
      </c>
      <c r="G519" s="463">
        <f>'VISITA DE INSP.'!B34</f>
        <v>0</v>
      </c>
      <c r="H519" s="471" t="s">
        <v>406</v>
      </c>
      <c r="I519" s="480"/>
      <c r="J519" s="568">
        <f>COUNTA(I519,I549,I579,I609,I639,I669,I699,I729,I759,I789)</f>
        <v>0</v>
      </c>
      <c r="K519" s="522" t="s">
        <v>424</v>
      </c>
      <c r="L519" s="539"/>
      <c r="M519" s="539"/>
      <c r="N519" s="539"/>
      <c r="O519" s="712">
        <f>'VISITA DE INSP.'!AU34</f>
        <v>0</v>
      </c>
      <c r="P519" s="719"/>
      <c r="Q519" s="720"/>
      <c r="R519" s="714"/>
      <c r="S519" s="714"/>
      <c r="T519" s="714"/>
      <c r="U519" s="574" t="s">
        <v>425</v>
      </c>
      <c r="V519" s="721">
        <f>'VISITA DE INSP.'!AT34</f>
        <v>0</v>
      </c>
      <c r="W519" s="753">
        <f>Y519</f>
        <v>0</v>
      </c>
      <c r="X519" s="723"/>
      <c r="Y519" s="473">
        <f>VLOOKUP(V519,AH2:AI14,2)</f>
        <v>0</v>
      </c>
      <c r="Z519" s="446" t="s">
        <v>396</v>
      </c>
      <c r="AA519" s="447" t="str">
        <f>J517</f>
        <v xml:space="preserve">0  </v>
      </c>
      <c r="AB519" s="448"/>
      <c r="AC519" s="449"/>
    </row>
    <row r="520" spans="1:30" ht="12" customHeight="1">
      <c r="A520" s="688"/>
      <c r="B520" s="470" t="s">
        <v>408</v>
      </c>
      <c r="C520" s="463"/>
      <c r="D520" s="464"/>
      <c r="E520" s="465">
        <f t="shared" si="25"/>
        <v>0</v>
      </c>
      <c r="F520" s="692" t="s">
        <v>4</v>
      </c>
      <c r="G520" s="463">
        <f>'VISITA DE INSP.'!C34</f>
        <v>0</v>
      </c>
      <c r="H520" s="475" t="s">
        <v>407</v>
      </c>
      <c r="I520" s="623"/>
      <c r="J520" s="568">
        <f>COUNTA(I520,I550,I580,I610,I640,I670,I700,I730,I760,I790)</f>
        <v>0</v>
      </c>
      <c r="K520" s="717"/>
      <c r="L520" s="717"/>
      <c r="M520" s="539"/>
      <c r="N520" s="714"/>
      <c r="O520" s="716"/>
      <c r="P520" s="716"/>
      <c r="Q520" s="716"/>
      <c r="R520" s="539"/>
      <c r="S520" s="539"/>
      <c r="T520" s="714"/>
      <c r="U520" s="714"/>
      <c r="V520" s="724"/>
      <c r="W520" s="724"/>
      <c r="X520" s="716"/>
      <c r="Y520" s="476"/>
      <c r="Z520" s="4773" t="s">
        <v>429</v>
      </c>
      <c r="AA520" s="4774"/>
      <c r="AB520" s="4774"/>
      <c r="AC520" s="4775"/>
    </row>
    <row r="521" spans="1:30" ht="12" customHeight="1">
      <c r="A521" s="688"/>
      <c r="B521" s="470" t="s">
        <v>434</v>
      </c>
      <c r="C521" s="463"/>
      <c r="D521" s="464"/>
      <c r="E521" s="465">
        <f t="shared" si="25"/>
        <v>0</v>
      </c>
      <c r="F521" s="4776" t="s">
        <v>435</v>
      </c>
      <c r="G521" s="4777"/>
      <c r="H521" s="4777" t="s">
        <v>436</v>
      </c>
      <c r="I521" s="4778"/>
      <c r="J521" s="568">
        <f>SUM(J519,J520)</f>
        <v>0</v>
      </c>
      <c r="K521" s="522" t="s">
        <v>437</v>
      </c>
      <c r="L521" s="539"/>
      <c r="M521" s="725"/>
      <c r="N521" s="725"/>
      <c r="O521" s="725"/>
      <c r="P521" s="725"/>
      <c r="Q521" s="725"/>
      <c r="R521" s="726"/>
      <c r="S521" s="725"/>
      <c r="T521" s="727"/>
      <c r="U521" s="725"/>
      <c r="V521" s="574" t="s">
        <v>438</v>
      </c>
      <c r="W521" s="728"/>
      <c r="X521" s="723"/>
      <c r="Y521" s="445" t="str">
        <f>CONCATENATE(O534,S521)</f>
        <v xml:space="preserve">  COL-</v>
      </c>
      <c r="Z521" s="446" t="s">
        <v>396</v>
      </c>
      <c r="AA521" s="447" t="str">
        <f>Y517</f>
        <v>11007831200.0  0</v>
      </c>
      <c r="AB521" s="448"/>
      <c r="AC521" s="449"/>
    </row>
    <row r="522" spans="1:30" ht="12" customHeight="1">
      <c r="A522" s="688"/>
      <c r="B522" s="470" t="s">
        <v>443</v>
      </c>
      <c r="C522" s="463"/>
      <c r="D522" s="464"/>
      <c r="E522" s="465">
        <f t="shared" si="25"/>
        <v>0</v>
      </c>
      <c r="F522" s="478" t="s">
        <v>444</v>
      </c>
      <c r="G522" s="624">
        <v>18</v>
      </c>
      <c r="H522" s="479" t="e">
        <f>H492</f>
        <v>#REF!</v>
      </c>
      <c r="I522" s="480" t="e">
        <f>H522+1</f>
        <v>#REF!</v>
      </c>
      <c r="J522" s="569" t="str">
        <f>CONCATENATE(J534,M521,K534,N521,L534,O521,M534,P521,N534,Q521,O534,S521)</f>
        <v>RG-  SM-  MZA-  LTE-  CALLE-  COL-</v>
      </c>
      <c r="K522" s="729"/>
      <c r="L522" s="539"/>
      <c r="M522" s="492"/>
      <c r="N522" s="492"/>
      <c r="O522" s="492"/>
      <c r="P522" s="492"/>
      <c r="Q522" s="492"/>
      <c r="R522" s="730"/>
      <c r="S522" s="731" t="s">
        <v>503</v>
      </c>
      <c r="T522" s="731"/>
      <c r="U522" s="731" t="s">
        <v>504</v>
      </c>
      <c r="V522" s="533"/>
      <c r="W522" s="732"/>
      <c r="X522" s="733"/>
      <c r="Y522" s="450" t="str">
        <f>CONCATENATE(K532,P534,U521)</f>
        <v xml:space="preserve">    C.P.-</v>
      </c>
      <c r="Z522" s="4779" t="s">
        <v>445</v>
      </c>
      <c r="AA522" s="4780"/>
      <c r="AB522" s="4780"/>
      <c r="AC522" s="4781"/>
    </row>
    <row r="523" spans="1:30" ht="12" customHeight="1">
      <c r="A523" s="688"/>
      <c r="B523" s="470" t="s">
        <v>450</v>
      </c>
      <c r="C523" s="463"/>
      <c r="D523" s="464"/>
      <c r="E523" s="465">
        <f t="shared" si="25"/>
        <v>0</v>
      </c>
      <c r="F523" s="692" t="s">
        <v>373</v>
      </c>
      <c r="G523" s="4782" t="s">
        <v>451</v>
      </c>
      <c r="H523" s="4777"/>
      <c r="I523" s="4778"/>
      <c r="J523" s="565" t="str">
        <f>CONCATENATE(O534,S521)</f>
        <v xml:space="preserve">  COL-</v>
      </c>
      <c r="K523" s="522" t="s">
        <v>452</v>
      </c>
      <c r="L523" s="539"/>
      <c r="M523" s="539"/>
      <c r="N523" s="572" t="e">
        <f>#REF!</f>
        <v>#REF!</v>
      </c>
      <c r="O523" s="573"/>
      <c r="P523" s="573"/>
      <c r="Q523" s="573"/>
      <c r="R523" s="573"/>
      <c r="S523" s="574" t="s">
        <v>453</v>
      </c>
      <c r="T523" s="572" t="e">
        <f>#REF!</f>
        <v>#REF!</v>
      </c>
      <c r="U523" s="575"/>
      <c r="V523" s="574" t="s">
        <v>454</v>
      </c>
      <c r="W523" s="576" t="e">
        <f>#REF!</f>
        <v>#REF!</v>
      </c>
      <c r="X523" s="575"/>
      <c r="Y523" s="445"/>
      <c r="Z523" s="446" t="s">
        <v>396</v>
      </c>
      <c r="AA523" s="482">
        <f>O519</f>
        <v>0</v>
      </c>
      <c r="AB523" s="673"/>
      <c r="AC523" s="483"/>
    </row>
    <row r="524" spans="1:30" ht="12" customHeight="1" thickBot="1">
      <c r="A524" s="688"/>
      <c r="B524" s="484" t="s">
        <v>456</v>
      </c>
      <c r="C524" s="485"/>
      <c r="D524" s="486"/>
      <c r="E524" s="465">
        <f>E522-E523</f>
        <v>0</v>
      </c>
      <c r="F524" s="577">
        <f>F494</f>
        <v>1</v>
      </c>
      <c r="G524" s="578" t="e">
        <f>G494</f>
        <v>#REF!</v>
      </c>
      <c r="H524" s="578" t="e">
        <f>H494</f>
        <v>#REF!</v>
      </c>
      <c r="I524" s="579" t="e">
        <f>I494</f>
        <v>#REF!</v>
      </c>
      <c r="J524" s="580" t="str">
        <f>CONCATENATE(,P534,U521)</f>
        <v xml:space="preserve">  C.P.-</v>
      </c>
      <c r="K524" s="490"/>
      <c r="L524" s="491"/>
      <c r="M524" s="492"/>
      <c r="N524" s="492"/>
      <c r="O524" s="492"/>
      <c r="P524" s="492"/>
      <c r="Q524" s="492"/>
      <c r="R524" s="492"/>
      <c r="S524" s="492"/>
      <c r="T524" s="493"/>
      <c r="V524" s="494"/>
      <c r="W524" s="495"/>
      <c r="X524" s="496"/>
      <c r="Y524" s="497"/>
      <c r="Z524" s="4773" t="s">
        <v>457</v>
      </c>
      <c r="AA524" s="4774"/>
      <c r="AB524" s="4774"/>
      <c r="AC524" s="4775"/>
    </row>
    <row r="525" spans="1:30" ht="12" customHeight="1" thickTop="1" thickBot="1">
      <c r="A525" s="688"/>
      <c r="B525" s="4783" t="s">
        <v>460</v>
      </c>
      <c r="C525" s="4784"/>
      <c r="D525" s="4784"/>
      <c r="E525" s="4785"/>
      <c r="F525" s="498" t="s">
        <v>396</v>
      </c>
      <c r="G525" s="647" t="str">
        <f>G495</f>
        <v>CERVANTES BENITEZ * ANTONIA</v>
      </c>
      <c r="H525" s="500"/>
      <c r="I525" s="500"/>
      <c r="J525" s="501"/>
      <c r="K525" s="501"/>
      <c r="L525" s="501"/>
      <c r="M525" s="504"/>
      <c r="N525" s="4783" t="s">
        <v>461</v>
      </c>
      <c r="O525" s="4786"/>
      <c r="P525" s="4786"/>
      <c r="Q525" s="4787"/>
      <c r="R525" s="625"/>
      <c r="S525" s="499">
        <f>VLOOKUP(R525,AE1:AF16,2,1)</f>
        <v>0</v>
      </c>
      <c r="T525" s="501"/>
      <c r="U525" s="501"/>
      <c r="V525" s="501"/>
      <c r="W525" s="501"/>
      <c r="X525" s="501"/>
      <c r="Y525" s="504"/>
      <c r="Z525" s="446" t="s">
        <v>396</v>
      </c>
      <c r="AA525" s="461">
        <f>Y519</f>
        <v>0</v>
      </c>
      <c r="AB525" s="448"/>
      <c r="AC525" s="505">
        <f>V519</f>
        <v>0</v>
      </c>
    </row>
    <row r="526" spans="1:30" ht="12" customHeight="1" thickTop="1" thickBot="1">
      <c r="A526" s="688"/>
      <c r="B526" s="4783" t="s">
        <v>465</v>
      </c>
      <c r="C526" s="4786"/>
      <c r="D526" s="4786"/>
      <c r="E526" s="4787"/>
      <c r="F526" s="506" t="s">
        <v>396</v>
      </c>
      <c r="G526" s="648" t="str">
        <f>G496</f>
        <v>JESUS MARTIN RICALDE CASTRO</v>
      </c>
      <c r="H526" s="501"/>
      <c r="I526" s="501"/>
      <c r="J526" s="501"/>
      <c r="K526" s="501"/>
      <c r="L526" s="501"/>
      <c r="M526" s="504"/>
      <c r="N526" s="4783" t="s">
        <v>466</v>
      </c>
      <c r="O526" s="4786"/>
      <c r="P526" s="4786"/>
      <c r="Q526" s="4787"/>
      <c r="R526" s="625"/>
      <c r="S526" s="499">
        <f>VLOOKUP(R526,AE17:AF22,2,2)</f>
        <v>0</v>
      </c>
      <c r="T526" s="501"/>
      <c r="U526" s="501"/>
      <c r="V526" s="501"/>
      <c r="W526" s="501"/>
      <c r="X526" s="501"/>
      <c r="Y526" s="507" t="str">
        <f>CONCATENATE(M522,M521,N522,N521,O522,O521,P522,P521)</f>
        <v/>
      </c>
      <c r="Z526" s="4773" t="s">
        <v>467</v>
      </c>
      <c r="AA526" s="4774"/>
      <c r="AB526" s="4774"/>
      <c r="AC526" s="4775"/>
    </row>
    <row r="527" spans="1:30" ht="12" customHeight="1" thickTop="1" thickBot="1">
      <c r="A527" s="688"/>
      <c r="B527" s="4788" t="s">
        <v>471</v>
      </c>
      <c r="C527" s="4789"/>
      <c r="D527" s="4789"/>
      <c r="E527" s="4790"/>
      <c r="F527" s="506" t="s">
        <v>396</v>
      </c>
      <c r="G527" s="648" t="e">
        <f>G497</f>
        <v>#REF!</v>
      </c>
      <c r="H527" s="501"/>
      <c r="I527" s="501"/>
      <c r="J527" s="501"/>
      <c r="K527" s="501"/>
      <c r="L527" s="501"/>
      <c r="M527" s="501"/>
      <c r="N527" s="4783" t="s">
        <v>472</v>
      </c>
      <c r="O527" s="4786"/>
      <c r="P527" s="4786"/>
      <c r="Q527" s="4787"/>
      <c r="R527" s="625"/>
      <c r="S527" s="499">
        <f>VLOOKUP(R527,AE25:AF34,2,2)</f>
        <v>0</v>
      </c>
      <c r="T527" s="501"/>
      <c r="U527" s="501"/>
      <c r="V527" s="501"/>
      <c r="W527" s="501"/>
      <c r="X527" s="501"/>
      <c r="Y527" s="504"/>
      <c r="Z527" s="446" t="s">
        <v>396</v>
      </c>
      <c r="AA527" s="447" t="str">
        <f>J522</f>
        <v>RG-  SM-  MZA-  LTE-  CALLE-  COL-</v>
      </c>
      <c r="AB527" s="448"/>
      <c r="AC527" s="449"/>
      <c r="AD527" s="662" t="s">
        <v>79</v>
      </c>
    </row>
    <row r="528" spans="1:30" ht="12" customHeight="1" thickTop="1" thickBot="1">
      <c r="A528" s="688"/>
      <c r="B528" s="4788" t="s">
        <v>475</v>
      </c>
      <c r="C528" s="4789"/>
      <c r="D528" s="4789"/>
      <c r="E528" s="4790"/>
      <c r="F528" s="508"/>
      <c r="G528" s="648"/>
      <c r="H528" s="501"/>
      <c r="I528" s="501"/>
      <c r="J528" s="501"/>
      <c r="K528" s="501"/>
      <c r="L528" s="501"/>
      <c r="M528" s="501"/>
      <c r="N528" s="4783" t="s">
        <v>476</v>
      </c>
      <c r="O528" s="4786"/>
      <c r="P528" s="4786"/>
      <c r="Q528" s="4787"/>
      <c r="R528" s="625"/>
      <c r="S528" s="499">
        <f>VLOOKUP(R528,AE35:AF43,2,2)</f>
        <v>0</v>
      </c>
      <c r="T528" s="501"/>
      <c r="U528" s="501"/>
      <c r="V528" s="501"/>
      <c r="W528" s="501"/>
      <c r="X528" s="501"/>
      <c r="Y528" s="504"/>
      <c r="Z528" s="4773" t="s">
        <v>477</v>
      </c>
      <c r="AA528" s="4774"/>
      <c r="AB528" s="4774"/>
      <c r="AC528" s="4775"/>
    </row>
    <row r="529" spans="1:29" ht="12" customHeight="1" thickTop="1" thickBot="1">
      <c r="A529" s="688"/>
      <c r="B529" s="4791" t="s">
        <v>479</v>
      </c>
      <c r="C529" s="4792"/>
      <c r="D529" s="4792"/>
      <c r="E529" s="4793"/>
      <c r="F529" s="625"/>
      <c r="G529" s="582">
        <f>VLOOKUP(F529,AE69:AF78,2,1)</f>
        <v>0</v>
      </c>
      <c r="H529" s="501"/>
      <c r="I529" s="501"/>
      <c r="J529" s="501"/>
      <c r="K529" s="501"/>
      <c r="L529" s="584"/>
      <c r="M529" s="619">
        <f>COUNTA(F529,F647,F767,F887)</f>
        <v>0</v>
      </c>
      <c r="N529" s="4783" t="s">
        <v>480</v>
      </c>
      <c r="O529" s="4786"/>
      <c r="P529" s="4786"/>
      <c r="Q529" s="4787"/>
      <c r="R529" s="625"/>
      <c r="S529" s="499">
        <f>VLOOKUP(R529,AE44:AF68,2,2)</f>
        <v>0</v>
      </c>
      <c r="T529" s="501"/>
      <c r="U529" s="501"/>
      <c r="V529" s="501"/>
      <c r="W529" s="501"/>
      <c r="X529" s="501"/>
      <c r="Y529" s="504"/>
      <c r="Z529" s="446" t="s">
        <v>481</v>
      </c>
      <c r="AA529" s="447">
        <f>'VISITA DE INSP.'!AQ34</f>
        <v>0</v>
      </c>
      <c r="AB529" s="448"/>
      <c r="AC529" s="449"/>
    </row>
    <row r="530" spans="1:29" ht="12" customHeight="1" thickTop="1" thickBot="1">
      <c r="A530" s="688"/>
      <c r="B530" s="4791" t="s">
        <v>484</v>
      </c>
      <c r="C530" s="4792"/>
      <c r="D530" s="4792"/>
      <c r="E530" s="4793"/>
      <c r="F530" s="625"/>
      <c r="G530" s="582">
        <f>VLOOKUP(F530,AE79:AF85,2,1)</f>
        <v>0</v>
      </c>
      <c r="H530" s="501"/>
      <c r="I530" s="501"/>
      <c r="J530" s="501"/>
      <c r="K530" s="501"/>
      <c r="L530" s="501"/>
      <c r="M530" s="504"/>
      <c r="N530" s="4783" t="s">
        <v>485</v>
      </c>
      <c r="O530" s="4786"/>
      <c r="P530" s="4786"/>
      <c r="Q530" s="4787"/>
      <c r="R530" s="625"/>
      <c r="S530" s="553"/>
      <c r="T530" s="511"/>
      <c r="U530" s="512"/>
      <c r="V530" s="511"/>
      <c r="W530" s="511"/>
      <c r="X530" s="511"/>
      <c r="Y530" s="513"/>
      <c r="Z530" s="4773" t="s">
        <v>486</v>
      </c>
      <c r="AA530" s="4774"/>
      <c r="AB530" s="4774"/>
      <c r="AC530" s="4775"/>
    </row>
    <row r="531" spans="1:29" ht="12" hidden="1" customHeight="1" thickTop="1" thickBot="1">
      <c r="A531" s="688"/>
      <c r="B531" s="4811" t="s">
        <v>488</v>
      </c>
      <c r="C531" s="4812"/>
      <c r="D531" s="4812"/>
      <c r="E531" s="4812"/>
      <c r="F531" s="4812"/>
      <c r="G531" s="4812"/>
      <c r="H531" s="4812"/>
      <c r="I531" s="4812"/>
      <c r="J531" s="4794" t="s">
        <v>488</v>
      </c>
      <c r="K531" s="4795"/>
      <c r="L531" s="4795"/>
      <c r="M531" s="4795"/>
      <c r="N531" s="4795"/>
      <c r="O531" s="4795"/>
      <c r="P531" s="4795"/>
      <c r="Q531" s="4796"/>
      <c r="R531" s="4811" t="s">
        <v>488</v>
      </c>
      <c r="S531" s="4812"/>
      <c r="T531" s="4812"/>
      <c r="U531" s="4812"/>
      <c r="V531" s="4812"/>
      <c r="W531" s="4812"/>
      <c r="X531" s="4812"/>
      <c r="Y531" s="4812"/>
      <c r="Z531" s="446" t="s">
        <v>489</v>
      </c>
      <c r="AA531" s="447"/>
      <c r="AB531" s="448"/>
      <c r="AC531" s="449"/>
    </row>
    <row r="532" spans="1:29" ht="12" hidden="1" customHeight="1" thickTop="1" thickBot="1">
      <c r="A532" s="688"/>
      <c r="B532" s="586"/>
      <c r="C532" s="587"/>
      <c r="D532" s="588"/>
      <c r="E532" s="4797"/>
      <c r="F532" s="4797"/>
      <c r="G532" s="589"/>
      <c r="H532" s="590"/>
      <c r="I532" s="591"/>
      <c r="J532" s="592" t="s">
        <v>491</v>
      </c>
      <c r="K532" s="515" t="s">
        <v>491</v>
      </c>
      <c r="L532" s="516" t="s">
        <v>492</v>
      </c>
      <c r="M532" s="4797"/>
      <c r="N532" s="4797"/>
      <c r="O532" s="517" t="s">
        <v>418</v>
      </c>
      <c r="P532" s="518" t="s">
        <v>493</v>
      </c>
      <c r="Q532" s="520"/>
      <c r="R532" s="593"/>
      <c r="S532" s="594"/>
      <c r="T532" s="595"/>
      <c r="U532" s="4797"/>
      <c r="V532" s="4797"/>
      <c r="W532" s="596"/>
      <c r="X532" s="594"/>
      <c r="Y532" s="597"/>
      <c r="Z532" s="4773" t="s">
        <v>494</v>
      </c>
      <c r="AA532" s="4774"/>
      <c r="AB532" s="4774"/>
      <c r="AC532" s="4775"/>
    </row>
    <row r="533" spans="1:29" ht="12" hidden="1" customHeight="1" thickTop="1">
      <c r="A533" s="688"/>
      <c r="B533" s="586"/>
      <c r="C533" s="587"/>
      <c r="D533" s="588"/>
      <c r="E533" s="4813" t="s">
        <v>621</v>
      </c>
      <c r="F533" s="4814"/>
      <c r="G533" s="590"/>
      <c r="H533" s="590"/>
      <c r="I533" s="591"/>
      <c r="J533" s="523"/>
      <c r="K533" s="522"/>
      <c r="L533" s="4798" t="s">
        <v>496</v>
      </c>
      <c r="M533" s="4799"/>
      <c r="N533" s="4799"/>
      <c r="O533" s="4800"/>
      <c r="P533" s="515"/>
      <c r="Q533" s="520"/>
      <c r="R533" s="593"/>
      <c r="S533" s="594"/>
      <c r="T533" s="598"/>
      <c r="U533" s="4815" t="s">
        <v>622</v>
      </c>
      <c r="V533" s="4816"/>
      <c r="W533" s="596"/>
      <c r="X533" s="594"/>
      <c r="Y533" s="597"/>
      <c r="Z533" s="446"/>
      <c r="AA533" s="524">
        <f>VLOOKUP(Z533,BE24:BF34,2,2)</f>
        <v>0</v>
      </c>
      <c r="AB533" s="448"/>
      <c r="AC533" s="449"/>
    </row>
    <row r="534" spans="1:29" ht="12" hidden="1" customHeight="1">
      <c r="A534" s="688"/>
      <c r="B534" s="586"/>
      <c r="C534" s="587"/>
      <c r="D534" s="588"/>
      <c r="E534" s="599"/>
      <c r="F534" s="590"/>
      <c r="G534" s="590"/>
      <c r="H534" s="590"/>
      <c r="I534" s="591"/>
      <c r="J534" s="526" t="s">
        <v>498</v>
      </c>
      <c r="K534" s="527" t="s">
        <v>499</v>
      </c>
      <c r="L534" s="527" t="s">
        <v>500</v>
      </c>
      <c r="M534" s="527" t="s">
        <v>501</v>
      </c>
      <c r="N534" s="527" t="s">
        <v>502</v>
      </c>
      <c r="O534" s="527" t="s">
        <v>503</v>
      </c>
      <c r="P534" s="527" t="s">
        <v>504</v>
      </c>
      <c r="Q534" s="600"/>
      <c r="R534" s="4752" t="str">
        <f>'VISITA DE INSP.'!D34</f>
        <v>GARDUÑO CASTILLO * MERLI ROCIO</v>
      </c>
      <c r="S534" s="4753"/>
      <c r="T534" s="4753"/>
      <c r="U534" s="4753"/>
      <c r="V534" s="4753"/>
      <c r="W534" s="4753"/>
      <c r="X534" s="4753"/>
      <c r="Y534" s="4754"/>
      <c r="Z534" s="4801" t="s">
        <v>506</v>
      </c>
      <c r="AA534" s="4802"/>
      <c r="AB534" s="4802"/>
      <c r="AC534" s="4803"/>
    </row>
    <row r="535" spans="1:29" ht="12" hidden="1" customHeight="1">
      <c r="A535" s="688"/>
      <c r="B535" s="586"/>
      <c r="C535" s="587"/>
      <c r="D535" s="588"/>
      <c r="E535" s="599"/>
      <c r="F535" s="590"/>
      <c r="G535" s="590"/>
      <c r="H535" s="590"/>
      <c r="I535" s="591"/>
      <c r="J535" s="534"/>
      <c r="K535" s="531" t="s">
        <v>491</v>
      </c>
      <c r="L535" s="532" t="s">
        <v>491</v>
      </c>
      <c r="M535" s="533"/>
      <c r="N535" s="532"/>
      <c r="O535" s="532"/>
      <c r="P535" s="532"/>
      <c r="Q535" s="520"/>
      <c r="R535" s="682"/>
      <c r="S535" s="4758">
        <f>'VISITA DE INSP.'!AN34</f>
        <v>0</v>
      </c>
      <c r="T535" s="4759"/>
      <c r="U535" s="4759"/>
      <c r="V535" s="4759"/>
      <c r="W535" s="4759"/>
      <c r="X535" s="4760"/>
      <c r="Y535" s="683"/>
      <c r="Z535" s="446"/>
      <c r="AA535" s="524" t="e">
        <f>VLOOKUP(Z535,AW264:AX279,2,2)</f>
        <v>#N/A</v>
      </c>
      <c r="AB535" s="448"/>
      <c r="AC535" s="449"/>
    </row>
    <row r="536" spans="1:29" ht="12" hidden="1" customHeight="1">
      <c r="A536" s="688"/>
      <c r="B536" s="586"/>
      <c r="C536" s="587"/>
      <c r="D536" s="588"/>
      <c r="E536" s="599"/>
      <c r="F536" s="590"/>
      <c r="G536" s="590"/>
      <c r="H536" s="590"/>
      <c r="I536" s="591"/>
      <c r="J536" s="538"/>
      <c r="K536" s="537"/>
      <c r="L536" s="527"/>
      <c r="M536" s="527"/>
      <c r="N536" s="527"/>
      <c r="O536" s="527"/>
      <c r="P536" s="527"/>
      <c r="Q536" s="520"/>
      <c r="R536" s="682"/>
      <c r="S536" s="4758">
        <f>'VISITA DE INSP.'!AO34</f>
        <v>0</v>
      </c>
      <c r="T536" s="4759"/>
      <c r="U536" s="4759"/>
      <c r="V536" s="4759"/>
      <c r="W536" s="4759"/>
      <c r="X536" s="4760"/>
      <c r="Y536" s="683"/>
      <c r="Z536" s="4773" t="s">
        <v>511</v>
      </c>
      <c r="AA536" s="4774"/>
      <c r="AB536" s="4774"/>
      <c r="AC536" s="4775"/>
    </row>
    <row r="537" spans="1:29" ht="12" hidden="1" customHeight="1">
      <c r="A537" s="688"/>
      <c r="B537" s="586"/>
      <c r="C537" s="587"/>
      <c r="D537" s="588"/>
      <c r="E537" s="599"/>
      <c r="F537" s="590"/>
      <c r="G537" s="590"/>
      <c r="H537" s="590"/>
      <c r="I537" s="591"/>
      <c r="J537" s="534"/>
      <c r="K537" s="537"/>
      <c r="L537" s="531"/>
      <c r="M537" s="533"/>
      <c r="N537" s="532"/>
      <c r="O537" s="532"/>
      <c r="P537" s="532"/>
      <c r="Q537" s="520"/>
      <c r="R537" s="682"/>
      <c r="S537" s="4852">
        <f>'VISITA DE INSP.'!AU34</f>
        <v>0</v>
      </c>
      <c r="T537" s="4853"/>
      <c r="U537" s="4853"/>
      <c r="V537" s="4853"/>
      <c r="W537" s="4853"/>
      <c r="X537" s="4854"/>
      <c r="Y537" s="684"/>
      <c r="Z537" s="446"/>
      <c r="AA537" s="524" t="e">
        <f>VLOOKUP(Z537,BB264:BC274,2,2)</f>
        <v>#N/A</v>
      </c>
      <c r="AB537" s="448"/>
      <c r="AC537" s="449"/>
    </row>
    <row r="538" spans="1:29" ht="12" hidden="1" customHeight="1">
      <c r="A538" s="688"/>
      <c r="B538" s="586"/>
      <c r="C538" s="587"/>
      <c r="D538" s="588"/>
      <c r="E538" s="599"/>
      <c r="F538" s="590"/>
      <c r="G538" s="590"/>
      <c r="H538" s="590"/>
      <c r="I538" s="591"/>
      <c r="J538" s="534"/>
      <c r="K538" s="522"/>
      <c r="L538" s="539"/>
      <c r="M538" s="540"/>
      <c r="N538" s="515"/>
      <c r="O538" s="515"/>
      <c r="P538" s="515"/>
      <c r="Q538" s="520"/>
      <c r="R538" s="682"/>
      <c r="S538" s="4758">
        <f>'VISITA DE INSP.'!AT34</f>
        <v>0</v>
      </c>
      <c r="T538" s="4759"/>
      <c r="U538" s="4759"/>
      <c r="V538" s="4759"/>
      <c r="W538" s="4759"/>
      <c r="X538" s="4760"/>
      <c r="Y538" s="684"/>
      <c r="Z538" s="4773" t="s">
        <v>520</v>
      </c>
      <c r="AA538" s="4774"/>
      <c r="AB538" s="4774"/>
      <c r="AC538" s="4775"/>
    </row>
    <row r="539" spans="1:29" ht="12" hidden="1" customHeight="1">
      <c r="A539" s="688"/>
      <c r="B539" s="586"/>
      <c r="C539" s="587"/>
      <c r="D539" s="588"/>
      <c r="E539" s="599"/>
      <c r="F539" s="590"/>
      <c r="G539" s="590"/>
      <c r="H539" s="590"/>
      <c r="I539" s="591"/>
      <c r="J539" s="534"/>
      <c r="K539" s="541"/>
      <c r="L539" s="541"/>
      <c r="M539" s="541"/>
      <c r="N539" s="541"/>
      <c r="O539" s="541"/>
      <c r="P539" s="541"/>
      <c r="Q539" s="520"/>
      <c r="R539" s="682"/>
      <c r="S539" s="4830">
        <f>'VISITA DE INSP.'!AS34</f>
        <v>0</v>
      </c>
      <c r="T539" s="4831"/>
      <c r="U539" s="4831"/>
      <c r="V539" s="4831"/>
      <c r="W539" s="4831"/>
      <c r="X539" s="4832"/>
      <c r="Y539" s="684"/>
      <c r="Z539" s="446" t="s">
        <v>396</v>
      </c>
      <c r="AA539" s="447" t="str">
        <f>J523</f>
        <v xml:space="preserve">  COL-</v>
      </c>
      <c r="AB539" s="448"/>
      <c r="AC539" s="449"/>
    </row>
    <row r="540" spans="1:29" ht="12" hidden="1" customHeight="1">
      <c r="A540" s="688"/>
      <c r="B540" s="586"/>
      <c r="C540" s="603" t="str">
        <f>Y515</f>
        <v xml:space="preserve">       </v>
      </c>
      <c r="D540" s="604"/>
      <c r="E540" s="604"/>
      <c r="F540" s="604"/>
      <c r="G540" s="604"/>
      <c r="H540" s="605"/>
      <c r="I540" s="591"/>
      <c r="J540" s="606" t="str">
        <f>J524</f>
        <v xml:space="preserve">  C.P.-</v>
      </c>
      <c r="K540" s="603" t="str">
        <f>C540</f>
        <v xml:space="preserve">       </v>
      </c>
      <c r="L540" s="604"/>
      <c r="M540" s="604"/>
      <c r="N540" s="604"/>
      <c r="O540" s="604"/>
      <c r="P540" s="605"/>
      <c r="Q540" s="597"/>
      <c r="R540" s="593"/>
      <c r="S540" s="607" t="str">
        <f>K540</f>
        <v xml:space="preserve">       </v>
      </c>
      <c r="T540" s="608"/>
      <c r="U540" s="608"/>
      <c r="V540" s="608"/>
      <c r="W540" s="608"/>
      <c r="X540" s="609"/>
      <c r="Y540" s="597"/>
      <c r="Z540" s="4773" t="s">
        <v>529</v>
      </c>
      <c r="AA540" s="4774"/>
      <c r="AB540" s="4774"/>
      <c r="AC540" s="4775"/>
    </row>
    <row r="541" spans="1:29" ht="12" hidden="1" customHeight="1" thickBot="1">
      <c r="A541" s="688"/>
      <c r="B541" s="610"/>
      <c r="C541" s="4817" t="s">
        <v>534</v>
      </c>
      <c r="D541" s="4818"/>
      <c r="E541" s="4818"/>
      <c r="F541" s="4818"/>
      <c r="G541" s="4818"/>
      <c r="H541" s="4819"/>
      <c r="I541" s="611"/>
      <c r="J541" s="612"/>
      <c r="K541" s="4820" t="s">
        <v>534</v>
      </c>
      <c r="L541" s="4821"/>
      <c r="M541" s="4821"/>
      <c r="N541" s="4821"/>
      <c r="O541" s="4821"/>
      <c r="P541" s="4822"/>
      <c r="Q541" s="613"/>
      <c r="R541" s="614"/>
      <c r="S541" s="4817" t="s">
        <v>534</v>
      </c>
      <c r="T541" s="4818"/>
      <c r="U541" s="4818"/>
      <c r="V541" s="4818"/>
      <c r="W541" s="4818"/>
      <c r="X541" s="4819"/>
      <c r="Y541" s="615"/>
      <c r="Z541" s="446" t="s">
        <v>396</v>
      </c>
      <c r="AA541" s="447" t="str">
        <f>J524</f>
        <v xml:space="preserve">  C.P.-</v>
      </c>
      <c r="AB541" s="448"/>
      <c r="AC541" s="449"/>
    </row>
    <row r="542" spans="1:29" ht="12" customHeight="1" thickTop="1" thickBot="1">
      <c r="A542" s="688"/>
      <c r="B542" s="4783" t="s">
        <v>538</v>
      </c>
      <c r="C542" s="4784"/>
      <c r="D542" s="4784"/>
      <c r="E542" s="4784"/>
      <c r="F542" s="552"/>
      <c r="G542" s="551">
        <f>VLOOKUP(F542,BE38:BG72,2,2)</f>
        <v>0</v>
      </c>
      <c r="H542" s="511"/>
      <c r="I542" s="513"/>
      <c r="J542" s="4783" t="s">
        <v>539</v>
      </c>
      <c r="K542" s="4784"/>
      <c r="L542" s="4784"/>
      <c r="M542" s="4784"/>
      <c r="N542" s="552" t="s">
        <v>540</v>
      </c>
      <c r="O542" s="628"/>
      <c r="P542" s="629"/>
      <c r="Q542" s="630"/>
      <c r="R542" s="4783" t="s">
        <v>541</v>
      </c>
      <c r="S542" s="4784"/>
      <c r="T542" s="4784"/>
      <c r="U542" s="4785"/>
      <c r="V542" s="508" t="s">
        <v>396</v>
      </c>
      <c r="W542" s="553">
        <f>O515</f>
        <v>0</v>
      </c>
      <c r="X542" s="554">
        <f>R515</f>
        <v>0</v>
      </c>
      <c r="Y542" s="555">
        <f>U515</f>
        <v>0</v>
      </c>
      <c r="Z542" s="4773" t="s">
        <v>542</v>
      </c>
      <c r="AA542" s="4774"/>
      <c r="AB542" s="4774"/>
      <c r="AC542" s="4775"/>
    </row>
    <row r="543" spans="1:29" ht="12" customHeight="1" thickTop="1" thickBot="1">
      <c r="A543" s="688"/>
      <c r="B543" s="651"/>
      <c r="C543" s="652"/>
      <c r="D543" s="652"/>
      <c r="E543" s="652"/>
      <c r="F543" s="652"/>
      <c r="G543" s="652"/>
      <c r="H543" s="652"/>
      <c r="I543" s="652"/>
      <c r="J543" s="652"/>
      <c r="K543" s="652"/>
      <c r="L543" s="652"/>
      <c r="M543" s="652"/>
      <c r="N543" s="652"/>
      <c r="O543" s="652"/>
      <c r="P543" s="652"/>
      <c r="Q543" s="652"/>
      <c r="R543" s="652"/>
      <c r="S543" s="652"/>
      <c r="T543" s="652"/>
      <c r="U543" s="652"/>
      <c r="V543" s="652"/>
      <c r="W543" s="652"/>
      <c r="X543" s="652"/>
      <c r="Y543" s="674"/>
      <c r="Z543" s="558" t="s">
        <v>396</v>
      </c>
      <c r="AA543" s="559" t="e">
        <f>W523</f>
        <v>#REF!</v>
      </c>
      <c r="AB543" s="560"/>
      <c r="AC543" s="561"/>
    </row>
    <row r="544" spans="1:29" ht="12" customHeight="1" thickTop="1">
      <c r="A544" s="688"/>
      <c r="B544" s="4761" t="s">
        <v>386</v>
      </c>
      <c r="C544" s="4762"/>
      <c r="D544" s="4762"/>
      <c r="E544" s="4762"/>
      <c r="F544" s="4762"/>
      <c r="G544" s="4762"/>
      <c r="H544" s="4762"/>
      <c r="I544" s="4763"/>
      <c r="J544" s="562">
        <f>COUNTA(I549:I550)</f>
        <v>0</v>
      </c>
      <c r="K544" s="563" t="s">
        <v>387</v>
      </c>
      <c r="L544" s="564"/>
      <c r="M544" s="564"/>
      <c r="N544" s="564"/>
      <c r="O544" s="564"/>
      <c r="P544" s="564"/>
      <c r="Q544" s="564"/>
      <c r="R544" s="564"/>
      <c r="S544" s="564"/>
      <c r="T544" s="564"/>
      <c r="U544" s="564"/>
      <c r="V544" s="564"/>
      <c r="W544" s="564"/>
      <c r="X544" s="564"/>
      <c r="Y544" s="441"/>
      <c r="Z544" s="4770" t="s">
        <v>388</v>
      </c>
      <c r="AA544" s="4771"/>
      <c r="AB544" s="4771"/>
      <c r="AC544" s="4772"/>
    </row>
    <row r="545" spans="1:30" ht="12" customHeight="1">
      <c r="A545" s="688"/>
      <c r="B545" s="4764"/>
      <c r="C545" s="4765"/>
      <c r="D545" s="4765"/>
      <c r="E545" s="4765"/>
      <c r="F545" s="4765"/>
      <c r="G545" s="4765"/>
      <c r="H545" s="4765"/>
      <c r="I545" s="4766"/>
      <c r="J545" s="565" t="str">
        <f>CONCATENATE(O545,J562,R545,K562,U545,L562)</f>
        <v xml:space="preserve">       </v>
      </c>
      <c r="K545" s="699" t="s">
        <v>395</v>
      </c>
      <c r="L545" s="700"/>
      <c r="M545" s="539"/>
      <c r="N545" s="539"/>
      <c r="O545" s="701"/>
      <c r="P545" s="573"/>
      <c r="R545" s="701"/>
      <c r="S545" s="573"/>
      <c r="U545" s="701"/>
      <c r="V545" s="702"/>
      <c r="W545" s="703"/>
      <c r="X545" s="641"/>
      <c r="Y545" s="445" t="str">
        <f>CONCATENATE(U545,K562,O545,J562,R545,L562)</f>
        <v xml:space="preserve">       </v>
      </c>
      <c r="Z545" s="446" t="s">
        <v>396</v>
      </c>
      <c r="AA545" s="447" t="str">
        <f>J545</f>
        <v xml:space="preserve">       </v>
      </c>
      <c r="AB545" s="448"/>
      <c r="AC545" s="449"/>
    </row>
    <row r="546" spans="1:30" ht="12" customHeight="1" thickBot="1">
      <c r="A546" s="688"/>
      <c r="B546" s="4767"/>
      <c r="C546" s="4768"/>
      <c r="D546" s="4768"/>
      <c r="E546" s="4768"/>
      <c r="F546" s="4768"/>
      <c r="G546" s="4768"/>
      <c r="H546" s="4768"/>
      <c r="I546" s="4769"/>
      <c r="J546" s="565"/>
      <c r="K546" s="539" t="str">
        <f>'VISITA DE INSP.'!D35</f>
        <v>POOT QUEB *LUIS ARMANDO</v>
      </c>
      <c r="L546" s="539"/>
      <c r="M546" s="539"/>
      <c r="N546" s="539"/>
      <c r="P546" s="704"/>
      <c r="Q546" s="705"/>
      <c r="S546" s="704"/>
      <c r="T546" s="705"/>
      <c r="U546" s="706"/>
      <c r="V546" s="706"/>
      <c r="W546" s="706"/>
      <c r="X546" s="706"/>
      <c r="Y546" s="450" t="str">
        <f>CONCATENATE(V547,L562,W547)</f>
        <v>11007831200.0   0</v>
      </c>
      <c r="Z546" s="4773" t="s">
        <v>400</v>
      </c>
      <c r="AA546" s="4774"/>
      <c r="AB546" s="4774"/>
      <c r="AC546" s="4775"/>
    </row>
    <row r="547" spans="1:30" ht="12" customHeight="1" thickTop="1">
      <c r="A547" s="688"/>
      <c r="B547" s="452">
        <v>1</v>
      </c>
      <c r="C547" s="453" t="s">
        <v>406</v>
      </c>
      <c r="D547" s="454" t="s">
        <v>407</v>
      </c>
      <c r="E547" s="455" t="s">
        <v>408</v>
      </c>
      <c r="F547" s="456" t="s">
        <v>409</v>
      </c>
      <c r="G547" s="457" t="e">
        <f>G517</f>
        <v>#REF!</v>
      </c>
      <c r="H547" s="458"/>
      <c r="I547" s="459"/>
      <c r="J547" s="565" t="str">
        <f>CONCATENATE(N547,K562,O547)</f>
        <v xml:space="preserve">0  </v>
      </c>
      <c r="K547" s="699" t="s">
        <v>410</v>
      </c>
      <c r="L547" s="700"/>
      <c r="M547" s="707"/>
      <c r="N547" s="708" t="str">
        <f>MID('VISITA DE INSP.'!AN35,1,10)</f>
        <v>0</v>
      </c>
      <c r="O547" s="701" t="str">
        <f>MID('VISITA DE INSP.'!AN35,12,15)</f>
        <v/>
      </c>
      <c r="P547" s="641"/>
      <c r="Q547" s="700"/>
      <c r="R547" s="709"/>
      <c r="T547" s="710" t="s">
        <v>411</v>
      </c>
      <c r="U547" s="641"/>
      <c r="V547" s="711" t="s">
        <v>179</v>
      </c>
      <c r="W547" s="712">
        <f>'VISITA DE INSP.'!AO35</f>
        <v>0</v>
      </c>
      <c r="X547" s="713"/>
      <c r="Y547" s="460" t="str">
        <f>CONCATENATE(V547,K562,W547)</f>
        <v>11007831200.0  0</v>
      </c>
      <c r="Z547" s="446" t="s">
        <v>396</v>
      </c>
      <c r="AA547" s="447" t="str">
        <f>Y545</f>
        <v xml:space="preserve">       </v>
      </c>
      <c r="AB547" s="448"/>
      <c r="AC547" s="449"/>
    </row>
    <row r="548" spans="1:30" ht="12" customHeight="1">
      <c r="A548" s="688"/>
      <c r="B548" s="462" t="s">
        <v>416</v>
      </c>
      <c r="C548" s="463"/>
      <c r="D548" s="464"/>
      <c r="E548" s="465">
        <f t="shared" ref="E548:E553" si="26">C548+D548</f>
        <v>0</v>
      </c>
      <c r="F548" s="466" t="s">
        <v>417</v>
      </c>
      <c r="G548" s="467" t="e">
        <f>G518</f>
        <v>#REF!</v>
      </c>
      <c r="H548" s="468" t="e">
        <f>H518</f>
        <v>#REF!</v>
      </c>
      <c r="I548" s="469"/>
      <c r="J548" s="565"/>
      <c r="K548" s="714"/>
      <c r="L548" s="715"/>
      <c r="M548" s="716"/>
      <c r="O548" s="716"/>
      <c r="P548" s="716"/>
      <c r="Q548" s="717" t="s">
        <v>418</v>
      </c>
      <c r="R548" s="714"/>
      <c r="S548" s="540"/>
      <c r="T548" s="540"/>
      <c r="U548" s="716"/>
      <c r="V548" s="716"/>
      <c r="W548" s="716"/>
      <c r="X548" s="718"/>
      <c r="Y548" s="450" t="str">
        <f>MID(W547,1,5)</f>
        <v>0</v>
      </c>
      <c r="Z548" s="4773" t="s">
        <v>419</v>
      </c>
      <c r="AA548" s="4774"/>
      <c r="AB548" s="4774"/>
      <c r="AC548" s="4775"/>
    </row>
    <row r="549" spans="1:30" ht="12" customHeight="1">
      <c r="A549" s="688"/>
      <c r="B549" s="470" t="s">
        <v>423</v>
      </c>
      <c r="C549" s="463"/>
      <c r="D549" s="464"/>
      <c r="E549" s="465">
        <f t="shared" si="26"/>
        <v>0</v>
      </c>
      <c r="F549" s="692" t="s">
        <v>3</v>
      </c>
      <c r="G549" s="463">
        <f>'VISITA DE INSP.'!B35</f>
        <v>0</v>
      </c>
      <c r="H549" s="471" t="s">
        <v>406</v>
      </c>
      <c r="I549" s="480"/>
      <c r="J549" s="568">
        <f>COUNTA(I549,I579,I609,I639,I669,I699,I729,I759,I789,I819)</f>
        <v>0</v>
      </c>
      <c r="K549" s="522" t="s">
        <v>424</v>
      </c>
      <c r="L549" s="539"/>
      <c r="M549" s="539"/>
      <c r="N549" s="539"/>
      <c r="O549" s="712">
        <f>'VISITA DE INSP.'!AU35</f>
        <v>0</v>
      </c>
      <c r="P549" s="719"/>
      <c r="Q549" s="720"/>
      <c r="R549" s="714"/>
      <c r="S549" s="714"/>
      <c r="T549" s="714"/>
      <c r="U549" s="574" t="s">
        <v>425</v>
      </c>
      <c r="V549" s="721">
        <f>'VISITA DE INSP.'!AT35</f>
        <v>0</v>
      </c>
      <c r="W549" s="753">
        <f>Y549</f>
        <v>0</v>
      </c>
      <c r="X549" s="723"/>
      <c r="Y549" s="473">
        <f>VLOOKUP(V549,AH2:AI14,2)</f>
        <v>0</v>
      </c>
      <c r="Z549" s="446" t="s">
        <v>396</v>
      </c>
      <c r="AA549" s="447" t="str">
        <f>J547</f>
        <v xml:space="preserve">0  </v>
      </c>
      <c r="AB549" s="448"/>
      <c r="AC549" s="449"/>
    </row>
    <row r="550" spans="1:30" ht="12" customHeight="1">
      <c r="A550" s="688"/>
      <c r="B550" s="470" t="s">
        <v>408</v>
      </c>
      <c r="C550" s="463"/>
      <c r="D550" s="464"/>
      <c r="E550" s="465">
        <f t="shared" si="26"/>
        <v>0</v>
      </c>
      <c r="F550" s="692" t="s">
        <v>4</v>
      </c>
      <c r="G550" s="463">
        <f>'VISITA DE INSP.'!C35</f>
        <v>0</v>
      </c>
      <c r="H550" s="475" t="s">
        <v>407</v>
      </c>
      <c r="I550" s="623"/>
      <c r="J550" s="568">
        <f>COUNTA(I550,I580,I610,I640,I670,I700,I730,I760,I790,I820)</f>
        <v>0</v>
      </c>
      <c r="K550" s="717"/>
      <c r="L550" s="717"/>
      <c r="M550" s="539"/>
      <c r="N550" s="714"/>
      <c r="O550" s="716"/>
      <c r="P550" s="716"/>
      <c r="Q550" s="716"/>
      <c r="R550" s="539"/>
      <c r="S550" s="539"/>
      <c r="T550" s="714"/>
      <c r="U550" s="714"/>
      <c r="V550" s="724"/>
      <c r="W550" s="724"/>
      <c r="X550" s="716"/>
      <c r="Y550" s="476"/>
      <c r="Z550" s="4773" t="s">
        <v>429</v>
      </c>
      <c r="AA550" s="4774"/>
      <c r="AB550" s="4774"/>
      <c r="AC550" s="4775"/>
    </row>
    <row r="551" spans="1:30" ht="12" customHeight="1">
      <c r="A551" s="688"/>
      <c r="B551" s="470" t="s">
        <v>434</v>
      </c>
      <c r="C551" s="463"/>
      <c r="D551" s="464"/>
      <c r="E551" s="465">
        <f t="shared" si="26"/>
        <v>0</v>
      </c>
      <c r="F551" s="4776" t="s">
        <v>435</v>
      </c>
      <c r="G551" s="4777"/>
      <c r="H551" s="4777" t="s">
        <v>436</v>
      </c>
      <c r="I551" s="4778"/>
      <c r="J551" s="568">
        <f>SUM(J549,J550)</f>
        <v>0</v>
      </c>
      <c r="K551" s="522" t="s">
        <v>437</v>
      </c>
      <c r="L551" s="539"/>
      <c r="M551" s="725"/>
      <c r="N551" s="725"/>
      <c r="O551" s="725"/>
      <c r="P551" s="725"/>
      <c r="Q551" s="725"/>
      <c r="R551" s="726"/>
      <c r="S551" s="725"/>
      <c r="T551" s="727"/>
      <c r="U551" s="725"/>
      <c r="V551" s="574" t="s">
        <v>438</v>
      </c>
      <c r="W551" s="728"/>
      <c r="X551" s="723"/>
      <c r="Y551" s="445" t="str">
        <f>CONCATENATE(O564,S551)</f>
        <v xml:space="preserve">  COL-</v>
      </c>
      <c r="Z551" s="446" t="s">
        <v>396</v>
      </c>
      <c r="AA551" s="447" t="str">
        <f>Y547</f>
        <v>11007831200.0  0</v>
      </c>
      <c r="AB551" s="448"/>
      <c r="AC551" s="449"/>
    </row>
    <row r="552" spans="1:30" ht="12" customHeight="1">
      <c r="A552" s="688"/>
      <c r="B552" s="470" t="s">
        <v>443</v>
      </c>
      <c r="C552" s="463"/>
      <c r="D552" s="464"/>
      <c r="E552" s="465">
        <f t="shared" si="26"/>
        <v>0</v>
      </c>
      <c r="F552" s="478" t="s">
        <v>444</v>
      </c>
      <c r="G552" s="624">
        <v>19</v>
      </c>
      <c r="H552" s="479" t="e">
        <f>H522</f>
        <v>#REF!</v>
      </c>
      <c r="I552" s="480" t="e">
        <f>H552+1</f>
        <v>#REF!</v>
      </c>
      <c r="J552" s="569" t="str">
        <f>CONCATENATE(J564,M551,K564,N551,L564,O551,M564,P551,N564,Q551,O564,S551)</f>
        <v>RG-  SM-  MZA-  LTE-  CALLE-  COL-</v>
      </c>
      <c r="K552" s="729"/>
      <c r="L552" s="539"/>
      <c r="M552" s="492"/>
      <c r="N552" s="492"/>
      <c r="O552" s="492"/>
      <c r="P552" s="492"/>
      <c r="Q552" s="492"/>
      <c r="R552" s="730"/>
      <c r="S552" s="731" t="s">
        <v>503</v>
      </c>
      <c r="T552" s="731"/>
      <c r="U552" s="731" t="s">
        <v>504</v>
      </c>
      <c r="V552" s="533"/>
      <c r="W552" s="732"/>
      <c r="X552" s="733"/>
      <c r="Y552" s="450" t="str">
        <f>CONCATENATE(K562,P564,U551)</f>
        <v xml:space="preserve">    C.P.-</v>
      </c>
      <c r="Z552" s="4779" t="s">
        <v>445</v>
      </c>
      <c r="AA552" s="4780"/>
      <c r="AB552" s="4780"/>
      <c r="AC552" s="4781"/>
    </row>
    <row r="553" spans="1:30" ht="12" customHeight="1">
      <c r="A553" s="688"/>
      <c r="B553" s="470" t="s">
        <v>450</v>
      </c>
      <c r="C553" s="463"/>
      <c r="D553" s="464"/>
      <c r="E553" s="465">
        <f t="shared" si="26"/>
        <v>0</v>
      </c>
      <c r="F553" s="692" t="s">
        <v>373</v>
      </c>
      <c r="G553" s="4782" t="s">
        <v>451</v>
      </c>
      <c r="H553" s="4777"/>
      <c r="I553" s="4778"/>
      <c r="J553" s="565" t="str">
        <f>CONCATENATE(O564,S551)</f>
        <v xml:space="preserve">  COL-</v>
      </c>
      <c r="K553" s="522" t="s">
        <v>452</v>
      </c>
      <c r="L553" s="539"/>
      <c r="M553" s="539"/>
      <c r="N553" s="572" t="e">
        <f>#REF!</f>
        <v>#REF!</v>
      </c>
      <c r="O553" s="573"/>
      <c r="P553" s="573"/>
      <c r="Q553" s="573"/>
      <c r="R553" s="573"/>
      <c r="S553" s="574" t="s">
        <v>453</v>
      </c>
      <c r="T553" s="572" t="e">
        <f>#REF!</f>
        <v>#REF!</v>
      </c>
      <c r="U553" s="575"/>
      <c r="V553" s="574" t="s">
        <v>454</v>
      </c>
      <c r="W553" s="576" t="e">
        <f>#REF!</f>
        <v>#REF!</v>
      </c>
      <c r="X553" s="575"/>
      <c r="Y553" s="445"/>
      <c r="Z553" s="446" t="s">
        <v>396</v>
      </c>
      <c r="AA553" s="482">
        <f>O549</f>
        <v>0</v>
      </c>
      <c r="AB553" s="673"/>
      <c r="AC553" s="483"/>
    </row>
    <row r="554" spans="1:30" ht="12" customHeight="1" thickBot="1">
      <c r="A554" s="688"/>
      <c r="B554" s="484" t="s">
        <v>456</v>
      </c>
      <c r="C554" s="485"/>
      <c r="D554" s="486"/>
      <c r="E554" s="465">
        <f>E552-E553</f>
        <v>0</v>
      </c>
      <c r="F554" s="577">
        <f>F524</f>
        <v>1</v>
      </c>
      <c r="G554" s="578" t="e">
        <f>G524</f>
        <v>#REF!</v>
      </c>
      <c r="H554" s="578" t="e">
        <f>H524</f>
        <v>#REF!</v>
      </c>
      <c r="I554" s="579" t="e">
        <f>I524</f>
        <v>#REF!</v>
      </c>
      <c r="J554" s="580" t="str">
        <f>CONCATENATE(,P564,U551)</f>
        <v xml:space="preserve">  C.P.-</v>
      </c>
      <c r="K554" s="490"/>
      <c r="L554" s="491"/>
      <c r="M554" s="492"/>
      <c r="N554" s="492"/>
      <c r="O554" s="492"/>
      <c r="P554" s="492"/>
      <c r="Q554" s="492"/>
      <c r="R554" s="492"/>
      <c r="S554" s="492"/>
      <c r="T554" s="493"/>
      <c r="V554" s="494"/>
      <c r="W554" s="495"/>
      <c r="X554" s="496"/>
      <c r="Y554" s="497"/>
      <c r="Z554" s="4773" t="s">
        <v>457</v>
      </c>
      <c r="AA554" s="4774"/>
      <c r="AB554" s="4774"/>
      <c r="AC554" s="4775"/>
    </row>
    <row r="555" spans="1:30" ht="12" customHeight="1" thickTop="1" thickBot="1">
      <c r="A555" s="688"/>
      <c r="B555" s="4783" t="s">
        <v>460</v>
      </c>
      <c r="C555" s="4784"/>
      <c r="D555" s="4784"/>
      <c r="E555" s="4785"/>
      <c r="F555" s="498" t="s">
        <v>396</v>
      </c>
      <c r="G555" s="647" t="str">
        <f>G525</f>
        <v>CERVANTES BENITEZ * ANTONIA</v>
      </c>
      <c r="H555" s="500"/>
      <c r="I555" s="500"/>
      <c r="J555" s="501"/>
      <c r="K555" s="501"/>
      <c r="L555" s="501"/>
      <c r="M555" s="504"/>
      <c r="N555" s="4783" t="s">
        <v>461</v>
      </c>
      <c r="O555" s="4786"/>
      <c r="P555" s="4786"/>
      <c r="Q555" s="4787"/>
      <c r="R555" s="625"/>
      <c r="S555" s="499">
        <f>VLOOKUP(R555,AE1:AF16,2,1)</f>
        <v>0</v>
      </c>
      <c r="T555" s="501"/>
      <c r="U555" s="501"/>
      <c r="V555" s="501"/>
      <c r="W555" s="501"/>
      <c r="X555" s="501"/>
      <c r="Y555" s="504"/>
      <c r="Z555" s="446" t="s">
        <v>396</v>
      </c>
      <c r="AA555" s="461">
        <f>Y549</f>
        <v>0</v>
      </c>
      <c r="AB555" s="448"/>
      <c r="AC555" s="505">
        <f>V549</f>
        <v>0</v>
      </c>
    </row>
    <row r="556" spans="1:30" ht="12" customHeight="1" thickTop="1" thickBot="1">
      <c r="A556" s="688"/>
      <c r="B556" s="4783" t="s">
        <v>465</v>
      </c>
      <c r="C556" s="4786"/>
      <c r="D556" s="4786"/>
      <c r="E556" s="4787"/>
      <c r="F556" s="506" t="s">
        <v>396</v>
      </c>
      <c r="G556" s="648" t="str">
        <f>G526</f>
        <v>JESUS MARTIN RICALDE CASTRO</v>
      </c>
      <c r="H556" s="501"/>
      <c r="I556" s="501"/>
      <c r="J556" s="501"/>
      <c r="K556" s="501"/>
      <c r="L556" s="501"/>
      <c r="M556" s="504"/>
      <c r="N556" s="4783" t="s">
        <v>466</v>
      </c>
      <c r="O556" s="4786"/>
      <c r="P556" s="4786"/>
      <c r="Q556" s="4787"/>
      <c r="R556" s="625"/>
      <c r="S556" s="499">
        <f>VLOOKUP(R556,AE17:AF22,2,2)</f>
        <v>0</v>
      </c>
      <c r="T556" s="501"/>
      <c r="U556" s="501"/>
      <c r="V556" s="501"/>
      <c r="W556" s="501"/>
      <c r="X556" s="501"/>
      <c r="Y556" s="507" t="str">
        <f>CONCATENATE(M552,M551,N552,N551,O552,O551,P552,P551)</f>
        <v/>
      </c>
      <c r="Z556" s="4773" t="s">
        <v>467</v>
      </c>
      <c r="AA556" s="4774"/>
      <c r="AB556" s="4774"/>
      <c r="AC556" s="4775"/>
    </row>
    <row r="557" spans="1:30" ht="12" customHeight="1" thickTop="1" thickBot="1">
      <c r="A557" s="688"/>
      <c r="B557" s="4788" t="s">
        <v>471</v>
      </c>
      <c r="C557" s="4789"/>
      <c r="D557" s="4789"/>
      <c r="E557" s="4790"/>
      <c r="F557" s="506" t="s">
        <v>396</v>
      </c>
      <c r="G557" s="648" t="e">
        <f>G527</f>
        <v>#REF!</v>
      </c>
      <c r="H557" s="501"/>
      <c r="I557" s="501"/>
      <c r="J557" s="501"/>
      <c r="K557" s="501"/>
      <c r="L557" s="501"/>
      <c r="M557" s="501"/>
      <c r="N557" s="4783" t="s">
        <v>472</v>
      </c>
      <c r="O557" s="4786"/>
      <c r="P557" s="4786"/>
      <c r="Q557" s="4787"/>
      <c r="R557" s="625"/>
      <c r="S557" s="499">
        <f>VLOOKUP(R557,AE25:AF34,2,2)</f>
        <v>0</v>
      </c>
      <c r="T557" s="501"/>
      <c r="U557" s="501"/>
      <c r="V557" s="501"/>
      <c r="W557" s="501"/>
      <c r="X557" s="501"/>
      <c r="Y557" s="504"/>
      <c r="Z557" s="446" t="s">
        <v>396</v>
      </c>
      <c r="AA557" s="447" t="str">
        <f>J552</f>
        <v>RG-  SM-  MZA-  LTE-  CALLE-  COL-</v>
      </c>
      <c r="AB557" s="448"/>
      <c r="AC557" s="449"/>
      <c r="AD557" s="662" t="s">
        <v>79</v>
      </c>
    </row>
    <row r="558" spans="1:30" ht="12" customHeight="1" thickTop="1" thickBot="1">
      <c r="A558" s="688"/>
      <c r="B558" s="4788" t="s">
        <v>475</v>
      </c>
      <c r="C558" s="4789"/>
      <c r="D558" s="4789"/>
      <c r="E558" s="4790"/>
      <c r="F558" s="508"/>
      <c r="G558" s="648"/>
      <c r="H558" s="501"/>
      <c r="I558" s="501"/>
      <c r="J558" s="501"/>
      <c r="K558" s="501"/>
      <c r="L558" s="501"/>
      <c r="M558" s="501"/>
      <c r="N558" s="4783" t="s">
        <v>476</v>
      </c>
      <c r="O558" s="4786"/>
      <c r="P558" s="4786"/>
      <c r="Q558" s="4787"/>
      <c r="R558" s="625"/>
      <c r="S558" s="499">
        <f>VLOOKUP(R558,AE35:AF43,2,2)</f>
        <v>0</v>
      </c>
      <c r="T558" s="501"/>
      <c r="U558" s="501"/>
      <c r="V558" s="501"/>
      <c r="W558" s="501"/>
      <c r="X558" s="501"/>
      <c r="Y558" s="504"/>
      <c r="Z558" s="4773" t="s">
        <v>477</v>
      </c>
      <c r="AA558" s="4774"/>
      <c r="AB558" s="4774"/>
      <c r="AC558" s="4775"/>
    </row>
    <row r="559" spans="1:30" ht="12" customHeight="1" thickTop="1" thickBot="1">
      <c r="A559" s="688"/>
      <c r="B559" s="4791" t="s">
        <v>479</v>
      </c>
      <c r="C559" s="4792"/>
      <c r="D559" s="4792"/>
      <c r="E559" s="4793"/>
      <c r="F559" s="625"/>
      <c r="G559" s="582">
        <f>VLOOKUP(F559,AE69:AF78,2,1)</f>
        <v>0</v>
      </c>
      <c r="H559" s="501"/>
      <c r="I559" s="501"/>
      <c r="J559" s="501"/>
      <c r="K559" s="501"/>
      <c r="L559" s="584"/>
      <c r="M559" s="585">
        <f>COUNTA(F559,F677,F797,F917)</f>
        <v>0</v>
      </c>
      <c r="N559" s="4783" t="s">
        <v>480</v>
      </c>
      <c r="O559" s="4786"/>
      <c r="P559" s="4786"/>
      <c r="Q559" s="4787"/>
      <c r="R559" s="625"/>
      <c r="S559" s="499">
        <f>VLOOKUP(R559,AE44:AF68,2,2)</f>
        <v>0</v>
      </c>
      <c r="T559" s="501"/>
      <c r="U559" s="501"/>
      <c r="V559" s="501"/>
      <c r="W559" s="501"/>
      <c r="X559" s="501"/>
      <c r="Y559" s="504"/>
      <c r="Z559" s="446" t="s">
        <v>481</v>
      </c>
      <c r="AA559" s="447">
        <f>'VISITA DE INSP.'!AQ35</f>
        <v>0</v>
      </c>
      <c r="AB559" s="448"/>
      <c r="AC559" s="449"/>
    </row>
    <row r="560" spans="1:30" ht="12" customHeight="1" thickTop="1" thickBot="1">
      <c r="A560" s="688"/>
      <c r="B560" s="4791" t="s">
        <v>484</v>
      </c>
      <c r="C560" s="4792"/>
      <c r="D560" s="4792"/>
      <c r="E560" s="4793"/>
      <c r="F560" s="625"/>
      <c r="G560" s="582">
        <f>VLOOKUP(F560,AE79:AF85,2,1)</f>
        <v>0</v>
      </c>
      <c r="H560" s="501"/>
      <c r="I560" s="501"/>
      <c r="J560" s="501"/>
      <c r="K560" s="501"/>
      <c r="L560" s="501"/>
      <c r="M560" s="504"/>
      <c r="N560" s="4783" t="s">
        <v>485</v>
      </c>
      <c r="O560" s="4786"/>
      <c r="P560" s="4786"/>
      <c r="Q560" s="4787"/>
      <c r="R560" s="625"/>
      <c r="S560" s="553"/>
      <c r="T560" s="511"/>
      <c r="U560" s="512"/>
      <c r="V560" s="511"/>
      <c r="W560" s="511"/>
      <c r="X560" s="511"/>
      <c r="Y560" s="513"/>
      <c r="Z560" s="4773" t="s">
        <v>486</v>
      </c>
      <c r="AA560" s="4774"/>
      <c r="AB560" s="4774"/>
      <c r="AC560" s="4775"/>
    </row>
    <row r="561" spans="1:29" ht="12" hidden="1" customHeight="1" thickTop="1" thickBot="1">
      <c r="A561" s="688"/>
      <c r="B561" s="4811" t="s">
        <v>488</v>
      </c>
      <c r="C561" s="4812"/>
      <c r="D561" s="4812"/>
      <c r="E561" s="4812"/>
      <c r="F561" s="4812"/>
      <c r="G561" s="4812"/>
      <c r="H561" s="4812"/>
      <c r="I561" s="4812"/>
      <c r="J561" s="4794" t="s">
        <v>488</v>
      </c>
      <c r="K561" s="4795"/>
      <c r="L561" s="4795"/>
      <c r="M561" s="4795"/>
      <c r="N561" s="4795"/>
      <c r="O561" s="4795"/>
      <c r="P561" s="4795"/>
      <c r="Q561" s="4796"/>
      <c r="R561" s="4811" t="s">
        <v>488</v>
      </c>
      <c r="S561" s="4812"/>
      <c r="T561" s="4812"/>
      <c r="U561" s="4812"/>
      <c r="V561" s="4812"/>
      <c r="W561" s="4812"/>
      <c r="X561" s="4812"/>
      <c r="Y561" s="4812"/>
      <c r="Z561" s="446" t="s">
        <v>489</v>
      </c>
      <c r="AA561" s="447"/>
      <c r="AB561" s="448"/>
      <c r="AC561" s="449"/>
    </row>
    <row r="562" spans="1:29" ht="12" hidden="1" customHeight="1" thickTop="1" thickBot="1">
      <c r="A562" s="688"/>
      <c r="B562" s="586"/>
      <c r="C562" s="587"/>
      <c r="D562" s="588"/>
      <c r="E562" s="4797"/>
      <c r="F562" s="4797"/>
      <c r="G562" s="589"/>
      <c r="H562" s="590"/>
      <c r="I562" s="591"/>
      <c r="J562" s="592" t="s">
        <v>491</v>
      </c>
      <c r="K562" s="515" t="s">
        <v>491</v>
      </c>
      <c r="L562" s="516" t="s">
        <v>492</v>
      </c>
      <c r="M562" s="4797"/>
      <c r="N562" s="4797"/>
      <c r="O562" s="517" t="s">
        <v>418</v>
      </c>
      <c r="P562" s="518" t="s">
        <v>493</v>
      </c>
      <c r="Q562" s="520"/>
      <c r="R562" s="593"/>
      <c r="S562" s="594"/>
      <c r="T562" s="595"/>
      <c r="U562" s="4797"/>
      <c r="V562" s="4797"/>
      <c r="W562" s="596"/>
      <c r="X562" s="594"/>
      <c r="Y562" s="597"/>
      <c r="Z562" s="4773" t="s">
        <v>494</v>
      </c>
      <c r="AA562" s="4774"/>
      <c r="AB562" s="4774"/>
      <c r="AC562" s="4775"/>
    </row>
    <row r="563" spans="1:29" ht="12" hidden="1" customHeight="1" thickTop="1">
      <c r="A563" s="688"/>
      <c r="B563" s="586"/>
      <c r="C563" s="587"/>
      <c r="D563" s="588"/>
      <c r="E563" s="4813" t="s">
        <v>621</v>
      </c>
      <c r="F563" s="4814"/>
      <c r="G563" s="590"/>
      <c r="H563" s="590"/>
      <c r="I563" s="591"/>
      <c r="J563" s="523"/>
      <c r="K563" s="522"/>
      <c r="L563" s="4798" t="s">
        <v>496</v>
      </c>
      <c r="M563" s="4799"/>
      <c r="N563" s="4799"/>
      <c r="O563" s="4800"/>
      <c r="P563" s="515"/>
      <c r="Q563" s="520"/>
      <c r="R563" s="593"/>
      <c r="S563" s="594"/>
      <c r="T563" s="598"/>
      <c r="U563" s="4815" t="s">
        <v>622</v>
      </c>
      <c r="V563" s="4816"/>
      <c r="W563" s="596"/>
      <c r="X563" s="594"/>
      <c r="Y563" s="597"/>
      <c r="Z563" s="446"/>
      <c r="AA563" s="524">
        <f>VLOOKUP(Z563,BE24:BF34,2,2)</f>
        <v>0</v>
      </c>
      <c r="AB563" s="448"/>
      <c r="AC563" s="449"/>
    </row>
    <row r="564" spans="1:29" ht="12" hidden="1" customHeight="1">
      <c r="A564" s="688"/>
      <c r="B564" s="586"/>
      <c r="C564" s="587"/>
      <c r="D564" s="588"/>
      <c r="E564" s="599"/>
      <c r="F564" s="590"/>
      <c r="G564" s="590"/>
      <c r="H564" s="590"/>
      <c r="I564" s="591"/>
      <c r="J564" s="526" t="s">
        <v>498</v>
      </c>
      <c r="K564" s="527" t="s">
        <v>499</v>
      </c>
      <c r="L564" s="527" t="s">
        <v>500</v>
      </c>
      <c r="M564" s="527" t="s">
        <v>501</v>
      </c>
      <c r="N564" s="527" t="s">
        <v>502</v>
      </c>
      <c r="O564" s="527" t="s">
        <v>503</v>
      </c>
      <c r="P564" s="527" t="s">
        <v>504</v>
      </c>
      <c r="Q564" s="600"/>
      <c r="R564" s="4752" t="str">
        <f>'VISITA DE INSP.'!D35</f>
        <v>POOT QUEB *LUIS ARMANDO</v>
      </c>
      <c r="S564" s="4753"/>
      <c r="T564" s="4753"/>
      <c r="U564" s="4753"/>
      <c r="V564" s="4753"/>
      <c r="W564" s="4753"/>
      <c r="X564" s="4753"/>
      <c r="Y564" s="4754"/>
      <c r="Z564" s="4801" t="s">
        <v>506</v>
      </c>
      <c r="AA564" s="4802"/>
      <c r="AB564" s="4802"/>
      <c r="AC564" s="4803"/>
    </row>
    <row r="565" spans="1:29" ht="12" hidden="1" customHeight="1">
      <c r="A565" s="688"/>
      <c r="B565" s="586"/>
      <c r="C565" s="587"/>
      <c r="D565" s="588"/>
      <c r="E565" s="599"/>
      <c r="F565" s="590"/>
      <c r="G565" s="590"/>
      <c r="H565" s="590"/>
      <c r="I565" s="591"/>
      <c r="J565" s="534"/>
      <c r="K565" s="531" t="s">
        <v>491</v>
      </c>
      <c r="L565" s="532" t="s">
        <v>491</v>
      </c>
      <c r="M565" s="533"/>
      <c r="N565" s="532"/>
      <c r="O565" s="532"/>
      <c r="P565" s="532"/>
      <c r="Q565" s="520"/>
      <c r="R565" s="682"/>
      <c r="S565" s="4758">
        <f>'VISITA DE INSP.'!AN35</f>
        <v>0</v>
      </c>
      <c r="T565" s="4759"/>
      <c r="U565" s="4759"/>
      <c r="V565" s="4759"/>
      <c r="W565" s="4759"/>
      <c r="X565" s="4760"/>
      <c r="Y565" s="683"/>
      <c r="Z565" s="446"/>
      <c r="AA565" s="524" t="e">
        <f>VLOOKUP(Z565,AW294:AX309,2,2)</f>
        <v>#N/A</v>
      </c>
      <c r="AB565" s="448"/>
      <c r="AC565" s="449"/>
    </row>
    <row r="566" spans="1:29" ht="12" hidden="1" customHeight="1">
      <c r="A566" s="688"/>
      <c r="B566" s="586"/>
      <c r="C566" s="587"/>
      <c r="D566" s="588"/>
      <c r="E566" s="599"/>
      <c r="F566" s="590"/>
      <c r="G566" s="590"/>
      <c r="H566" s="590"/>
      <c r="I566" s="591"/>
      <c r="J566" s="538"/>
      <c r="K566" s="537"/>
      <c r="L566" s="527"/>
      <c r="M566" s="527"/>
      <c r="N566" s="527"/>
      <c r="O566" s="527"/>
      <c r="P566" s="527"/>
      <c r="Q566" s="520"/>
      <c r="R566" s="682"/>
      <c r="S566" s="4758">
        <f>'VISITA DE INSP.'!AO35</f>
        <v>0</v>
      </c>
      <c r="T566" s="4759"/>
      <c r="U566" s="4759"/>
      <c r="V566" s="4759"/>
      <c r="W566" s="4759"/>
      <c r="X566" s="4760"/>
      <c r="Y566" s="683"/>
      <c r="Z566" s="4773" t="s">
        <v>511</v>
      </c>
      <c r="AA566" s="4774"/>
      <c r="AB566" s="4774"/>
      <c r="AC566" s="4775"/>
    </row>
    <row r="567" spans="1:29" ht="12" hidden="1" customHeight="1">
      <c r="A567" s="688"/>
      <c r="B567" s="586"/>
      <c r="C567" s="587"/>
      <c r="D567" s="588"/>
      <c r="E567" s="599"/>
      <c r="F567" s="590"/>
      <c r="G567" s="590"/>
      <c r="H567" s="590"/>
      <c r="I567" s="591"/>
      <c r="J567" s="534"/>
      <c r="K567" s="537"/>
      <c r="L567" s="531"/>
      <c r="M567" s="533"/>
      <c r="N567" s="532"/>
      <c r="O567" s="532"/>
      <c r="P567" s="532"/>
      <c r="Q567" s="520"/>
      <c r="R567" s="682"/>
      <c r="S567" s="4852">
        <f>'VISITA DE INSP.'!AU35</f>
        <v>0</v>
      </c>
      <c r="T567" s="4853"/>
      <c r="U567" s="4853"/>
      <c r="V567" s="4853"/>
      <c r="W567" s="4853"/>
      <c r="X567" s="4854"/>
      <c r="Y567" s="684"/>
      <c r="Z567" s="446"/>
      <c r="AA567" s="524" t="e">
        <f>VLOOKUP(Z567,BB294:BC304,2,2)</f>
        <v>#N/A</v>
      </c>
      <c r="AB567" s="448"/>
      <c r="AC567" s="449"/>
    </row>
    <row r="568" spans="1:29" ht="12" hidden="1" customHeight="1">
      <c r="A568" s="688"/>
      <c r="B568" s="586"/>
      <c r="C568" s="587"/>
      <c r="D568" s="588"/>
      <c r="E568" s="599"/>
      <c r="F568" s="590"/>
      <c r="G568" s="590"/>
      <c r="H568" s="590"/>
      <c r="I568" s="591"/>
      <c r="J568" s="534"/>
      <c r="K568" s="522"/>
      <c r="L568" s="539"/>
      <c r="M568" s="540"/>
      <c r="N568" s="515"/>
      <c r="O568" s="515"/>
      <c r="P568" s="515"/>
      <c r="Q568" s="520"/>
      <c r="R568" s="682"/>
      <c r="S568" s="4758">
        <f>'VISITA DE INSP.'!AT35</f>
        <v>0</v>
      </c>
      <c r="T568" s="4759"/>
      <c r="U568" s="4759"/>
      <c r="V568" s="4759"/>
      <c r="W568" s="4759"/>
      <c r="X568" s="4760"/>
      <c r="Y568" s="684"/>
      <c r="Z568" s="4773" t="s">
        <v>520</v>
      </c>
      <c r="AA568" s="4774"/>
      <c r="AB568" s="4774"/>
      <c r="AC568" s="4775"/>
    </row>
    <row r="569" spans="1:29" ht="12" hidden="1" customHeight="1">
      <c r="A569" s="688"/>
      <c r="B569" s="586"/>
      <c r="C569" s="587"/>
      <c r="D569" s="588"/>
      <c r="E569" s="599"/>
      <c r="F569" s="590"/>
      <c r="G569" s="590"/>
      <c r="H569" s="590"/>
      <c r="I569" s="591"/>
      <c r="J569" s="534"/>
      <c r="K569" s="541"/>
      <c r="L569" s="541"/>
      <c r="M569" s="541"/>
      <c r="N569" s="541"/>
      <c r="O569" s="541"/>
      <c r="P569" s="541"/>
      <c r="Q569" s="520"/>
      <c r="R569" s="682"/>
      <c r="S569" s="4830">
        <f>'VISITA DE INSP.'!AS35</f>
        <v>0</v>
      </c>
      <c r="T569" s="4831"/>
      <c r="U569" s="4831"/>
      <c r="V569" s="4831"/>
      <c r="W569" s="4831"/>
      <c r="X569" s="4832"/>
      <c r="Y569" s="684"/>
      <c r="Z569" s="446" t="s">
        <v>396</v>
      </c>
      <c r="AA569" s="447" t="str">
        <f>J553</f>
        <v xml:space="preserve">  COL-</v>
      </c>
      <c r="AB569" s="448"/>
      <c r="AC569" s="449"/>
    </row>
    <row r="570" spans="1:29" ht="12" hidden="1" customHeight="1">
      <c r="A570" s="688"/>
      <c r="B570" s="586"/>
      <c r="C570" s="603" t="str">
        <f>Y545</f>
        <v xml:space="preserve">       </v>
      </c>
      <c r="D570" s="604"/>
      <c r="E570" s="604"/>
      <c r="F570" s="604"/>
      <c r="G570" s="604"/>
      <c r="H570" s="605"/>
      <c r="I570" s="591"/>
      <c r="J570" s="606" t="str">
        <f>J554</f>
        <v xml:space="preserve">  C.P.-</v>
      </c>
      <c r="K570" s="603" t="str">
        <f>C570</f>
        <v xml:space="preserve">       </v>
      </c>
      <c r="L570" s="604"/>
      <c r="M570" s="604"/>
      <c r="N570" s="604"/>
      <c r="O570" s="604"/>
      <c r="P570" s="605"/>
      <c r="Q570" s="597"/>
      <c r="R570" s="593"/>
      <c r="S570" s="607" t="str">
        <f>K570</f>
        <v xml:space="preserve">       </v>
      </c>
      <c r="T570" s="608"/>
      <c r="U570" s="608"/>
      <c r="V570" s="608"/>
      <c r="W570" s="608"/>
      <c r="X570" s="609"/>
      <c r="Y570" s="597"/>
      <c r="Z570" s="4773" t="s">
        <v>529</v>
      </c>
      <c r="AA570" s="4774"/>
      <c r="AB570" s="4774"/>
      <c r="AC570" s="4775"/>
    </row>
    <row r="571" spans="1:29" ht="12" hidden="1" customHeight="1" thickBot="1">
      <c r="A571" s="688"/>
      <c r="B571" s="610"/>
      <c r="C571" s="4817" t="s">
        <v>534</v>
      </c>
      <c r="D571" s="4818"/>
      <c r="E571" s="4818"/>
      <c r="F571" s="4818"/>
      <c r="G571" s="4818"/>
      <c r="H571" s="4819"/>
      <c r="I571" s="611"/>
      <c r="J571" s="612"/>
      <c r="K571" s="4820" t="s">
        <v>534</v>
      </c>
      <c r="L571" s="4821"/>
      <c r="M571" s="4821"/>
      <c r="N571" s="4821"/>
      <c r="O571" s="4821"/>
      <c r="P571" s="4822"/>
      <c r="Q571" s="613"/>
      <c r="R571" s="614"/>
      <c r="S571" s="4817" t="s">
        <v>534</v>
      </c>
      <c r="T571" s="4818"/>
      <c r="U571" s="4818"/>
      <c r="V571" s="4818"/>
      <c r="W571" s="4818"/>
      <c r="X571" s="4819"/>
      <c r="Y571" s="615"/>
      <c r="Z571" s="446" t="s">
        <v>396</v>
      </c>
      <c r="AA571" s="447" t="str">
        <f>J554</f>
        <v xml:space="preserve">  C.P.-</v>
      </c>
      <c r="AB571" s="448"/>
      <c r="AC571" s="449"/>
    </row>
    <row r="572" spans="1:29" ht="12" customHeight="1" thickTop="1" thickBot="1">
      <c r="A572" s="688"/>
      <c r="B572" s="4783" t="s">
        <v>538</v>
      </c>
      <c r="C572" s="4784"/>
      <c r="D572" s="4784"/>
      <c r="E572" s="4784"/>
      <c r="F572" s="552"/>
      <c r="G572" s="551">
        <f>VLOOKUP(F572,BE38:BG72,2,2)</f>
        <v>0</v>
      </c>
      <c r="H572" s="511"/>
      <c r="I572" s="513"/>
      <c r="J572" s="4783" t="s">
        <v>539</v>
      </c>
      <c r="K572" s="4784"/>
      <c r="L572" s="4784"/>
      <c r="M572" s="4784"/>
      <c r="N572" s="552" t="s">
        <v>540</v>
      </c>
      <c r="O572" s="628"/>
      <c r="P572" s="629"/>
      <c r="Q572" s="630"/>
      <c r="R572" s="4783" t="s">
        <v>541</v>
      </c>
      <c r="S572" s="4784"/>
      <c r="T572" s="4784"/>
      <c r="U572" s="4785"/>
      <c r="V572" s="508" t="s">
        <v>396</v>
      </c>
      <c r="W572" s="553">
        <f>O545</f>
        <v>0</v>
      </c>
      <c r="X572" s="554">
        <f>R545</f>
        <v>0</v>
      </c>
      <c r="Y572" s="555">
        <f>U545</f>
        <v>0</v>
      </c>
      <c r="Z572" s="4773" t="s">
        <v>542</v>
      </c>
      <c r="AA572" s="4774"/>
      <c r="AB572" s="4774"/>
      <c r="AC572" s="4775"/>
    </row>
    <row r="573" spans="1:29" ht="12" customHeight="1" thickTop="1" thickBot="1">
      <c r="A573" s="688"/>
      <c r="B573" s="651"/>
      <c r="C573" s="652"/>
      <c r="D573" s="652"/>
      <c r="E573" s="652"/>
      <c r="F573" s="652"/>
      <c r="G573" s="652"/>
      <c r="H573" s="652"/>
      <c r="I573" s="652"/>
      <c r="J573" s="652"/>
      <c r="K573" s="652"/>
      <c r="L573" s="652"/>
      <c r="M573" s="652"/>
      <c r="N573" s="652"/>
      <c r="O573" s="652"/>
      <c r="P573" s="652"/>
      <c r="Q573" s="652"/>
      <c r="R573" s="652"/>
      <c r="S573" s="652"/>
      <c r="T573" s="652"/>
      <c r="U573" s="652"/>
      <c r="V573" s="652"/>
      <c r="W573" s="652"/>
      <c r="X573" s="652"/>
      <c r="Y573" s="674"/>
      <c r="Z573" s="558" t="s">
        <v>396</v>
      </c>
      <c r="AA573" s="559" t="e">
        <f>W553</f>
        <v>#REF!</v>
      </c>
      <c r="AB573" s="560"/>
      <c r="AC573" s="561"/>
    </row>
    <row r="574" spans="1:29" ht="12" customHeight="1" thickTop="1">
      <c r="A574" s="688"/>
      <c r="B574" s="4761" t="s">
        <v>386</v>
      </c>
      <c r="C574" s="4762"/>
      <c r="D574" s="4762"/>
      <c r="E574" s="4762"/>
      <c r="F574" s="4762"/>
      <c r="G574" s="4762"/>
      <c r="H574" s="4762"/>
      <c r="I574" s="4763"/>
      <c r="J574" s="562">
        <f>COUNTA(I579:I580)</f>
        <v>0</v>
      </c>
      <c r="K574" s="563" t="s">
        <v>387</v>
      </c>
      <c r="L574" s="564"/>
      <c r="M574" s="564"/>
      <c r="N574" s="564"/>
      <c r="O574" s="564"/>
      <c r="P574" s="564"/>
      <c r="Q574" s="564"/>
      <c r="R574" s="564"/>
      <c r="S574" s="564"/>
      <c r="T574" s="564"/>
      <c r="U574" s="564"/>
      <c r="V574" s="564"/>
      <c r="W574" s="564"/>
      <c r="X574" s="564"/>
      <c r="Y574" s="441"/>
      <c r="Z574" s="4770" t="s">
        <v>388</v>
      </c>
      <c r="AA574" s="4771"/>
      <c r="AB574" s="4771"/>
      <c r="AC574" s="4772"/>
    </row>
    <row r="575" spans="1:29" ht="12" customHeight="1">
      <c r="A575" s="688"/>
      <c r="B575" s="4764"/>
      <c r="C575" s="4765"/>
      <c r="D575" s="4765"/>
      <c r="E575" s="4765"/>
      <c r="F575" s="4765"/>
      <c r="G575" s="4765"/>
      <c r="H575" s="4765"/>
      <c r="I575" s="4766"/>
      <c r="J575" s="565" t="str">
        <f>CONCATENATE(O575,J592,R575,K592,U575,L592)</f>
        <v xml:space="preserve">       </v>
      </c>
      <c r="K575" s="699" t="s">
        <v>395</v>
      </c>
      <c r="L575" s="700"/>
      <c r="M575" s="539"/>
      <c r="N575" s="539"/>
      <c r="O575" s="701"/>
      <c r="P575" s="573"/>
      <c r="R575" s="701"/>
      <c r="S575" s="573"/>
      <c r="U575" s="701"/>
      <c r="V575" s="702"/>
      <c r="W575" s="703"/>
      <c r="X575" s="641"/>
      <c r="Y575" s="445" t="str">
        <f>CONCATENATE(U575,K592,O575,J592,R575,L592)</f>
        <v xml:space="preserve">       </v>
      </c>
      <c r="Z575" s="446" t="s">
        <v>396</v>
      </c>
      <c r="AA575" s="447" t="str">
        <f>J575</f>
        <v xml:space="preserve">       </v>
      </c>
      <c r="AB575" s="448"/>
      <c r="AC575" s="449"/>
    </row>
    <row r="576" spans="1:29" ht="12" customHeight="1" thickBot="1">
      <c r="A576" s="688"/>
      <c r="B576" s="4767"/>
      <c r="C576" s="4768"/>
      <c r="D576" s="4768"/>
      <c r="E576" s="4768"/>
      <c r="F576" s="4768"/>
      <c r="G576" s="4768"/>
      <c r="H576" s="4768"/>
      <c r="I576" s="4769"/>
      <c r="J576" s="565"/>
      <c r="K576" s="539">
        <f>'VISITA DE INSP.'!D36</f>
        <v>0</v>
      </c>
      <c r="L576" s="539"/>
      <c r="M576" s="539"/>
      <c r="N576" s="539"/>
      <c r="P576" s="704"/>
      <c r="Q576" s="705"/>
      <c r="S576" s="704"/>
      <c r="T576" s="705"/>
      <c r="U576" s="706"/>
      <c r="V576" s="706"/>
      <c r="W576" s="706"/>
      <c r="X576" s="706"/>
      <c r="Y576" s="450" t="str">
        <f>CONCATENATE(V577,L592,W577)</f>
        <v>11007831200.0   0</v>
      </c>
      <c r="Z576" s="4773" t="s">
        <v>400</v>
      </c>
      <c r="AA576" s="4774"/>
      <c r="AB576" s="4774"/>
      <c r="AC576" s="4775"/>
    </row>
    <row r="577" spans="1:30" ht="12" customHeight="1" thickTop="1">
      <c r="A577" s="688"/>
      <c r="B577" s="452">
        <v>1</v>
      </c>
      <c r="C577" s="453" t="s">
        <v>406</v>
      </c>
      <c r="D577" s="454" t="s">
        <v>407</v>
      </c>
      <c r="E577" s="455" t="s">
        <v>408</v>
      </c>
      <c r="F577" s="456" t="s">
        <v>409</v>
      </c>
      <c r="G577" s="457" t="e">
        <f>G547</f>
        <v>#REF!</v>
      </c>
      <c r="H577" s="458"/>
      <c r="I577" s="459"/>
      <c r="J577" s="565" t="str">
        <f>CONCATENATE(N577,K592,O577)</f>
        <v xml:space="preserve">0  </v>
      </c>
      <c r="K577" s="699" t="s">
        <v>410</v>
      </c>
      <c r="L577" s="700"/>
      <c r="M577" s="707"/>
      <c r="N577" s="708" t="str">
        <f>MID('VISITA DE INSP.'!AN36,1,10)</f>
        <v>0</v>
      </c>
      <c r="O577" s="701" t="str">
        <f>MID('VISITA DE INSP.'!AN36,12,15)</f>
        <v/>
      </c>
      <c r="P577" s="641"/>
      <c r="Q577" s="700"/>
      <c r="R577" s="709"/>
      <c r="T577" s="710" t="s">
        <v>411</v>
      </c>
      <c r="U577" s="641"/>
      <c r="V577" s="711" t="s">
        <v>179</v>
      </c>
      <c r="W577" s="712">
        <f>'VISITA DE INSP.'!AO36</f>
        <v>0</v>
      </c>
      <c r="X577" s="713"/>
      <c r="Y577" s="460" t="str">
        <f>CONCATENATE(V577,K592,W577)</f>
        <v>11007831200.0  0</v>
      </c>
      <c r="Z577" s="446" t="s">
        <v>396</v>
      </c>
      <c r="AA577" s="447" t="str">
        <f>Y575</f>
        <v xml:space="preserve">       </v>
      </c>
      <c r="AB577" s="448"/>
      <c r="AC577" s="449"/>
    </row>
    <row r="578" spans="1:30" ht="12" customHeight="1">
      <c r="A578" s="688"/>
      <c r="B578" s="462" t="s">
        <v>416</v>
      </c>
      <c r="C578" s="463"/>
      <c r="D578" s="464"/>
      <c r="E578" s="465">
        <f t="shared" ref="E578:E583" si="27">C578+D578</f>
        <v>0</v>
      </c>
      <c r="F578" s="466" t="s">
        <v>417</v>
      </c>
      <c r="G578" s="467" t="e">
        <f>G548</f>
        <v>#REF!</v>
      </c>
      <c r="H578" s="468" t="e">
        <f>H548</f>
        <v>#REF!</v>
      </c>
      <c r="I578" s="469"/>
      <c r="J578" s="565"/>
      <c r="K578" s="714"/>
      <c r="L578" s="715"/>
      <c r="M578" s="716"/>
      <c r="O578" s="716"/>
      <c r="P578" s="716"/>
      <c r="Q578" s="717" t="s">
        <v>418</v>
      </c>
      <c r="R578" s="714"/>
      <c r="S578" s="540"/>
      <c r="T578" s="540"/>
      <c r="U578" s="716"/>
      <c r="V578" s="716"/>
      <c r="W578" s="716"/>
      <c r="X578" s="718"/>
      <c r="Y578" s="450" t="str">
        <f>MID(W577,1,5)</f>
        <v>0</v>
      </c>
      <c r="Z578" s="4773" t="s">
        <v>419</v>
      </c>
      <c r="AA578" s="4774"/>
      <c r="AB578" s="4774"/>
      <c r="AC578" s="4775"/>
    </row>
    <row r="579" spans="1:30" ht="12" customHeight="1">
      <c r="A579" s="688"/>
      <c r="B579" s="470" t="s">
        <v>423</v>
      </c>
      <c r="C579" s="463"/>
      <c r="D579" s="464"/>
      <c r="E579" s="465">
        <f t="shared" si="27"/>
        <v>0</v>
      </c>
      <c r="F579" s="692" t="s">
        <v>3</v>
      </c>
      <c r="G579" s="463">
        <f>'VISITA DE INSP.'!B36</f>
        <v>0</v>
      </c>
      <c r="H579" s="471" t="s">
        <v>406</v>
      </c>
      <c r="I579" s="480"/>
      <c r="J579" s="568">
        <f>COUNTA(I579,I609,I639,I669,I699,I729,I759,I789,I819,I849)</f>
        <v>0</v>
      </c>
      <c r="K579" s="522" t="s">
        <v>424</v>
      </c>
      <c r="L579" s="539"/>
      <c r="M579" s="539"/>
      <c r="N579" s="539"/>
      <c r="O579" s="712">
        <f>'VISITA DE INSP.'!AU36</f>
        <v>0</v>
      </c>
      <c r="P579" s="719"/>
      <c r="Q579" s="720"/>
      <c r="R579" s="714"/>
      <c r="S579" s="714"/>
      <c r="T579" s="714"/>
      <c r="U579" s="574" t="s">
        <v>425</v>
      </c>
      <c r="V579" s="721">
        <f>'VISITA DE INSP.'!AT36</f>
        <v>0</v>
      </c>
      <c r="W579" s="753">
        <f>Y579</f>
        <v>0</v>
      </c>
      <c r="X579" s="723"/>
      <c r="Y579" s="473">
        <f>VLOOKUP(V579,AH2:AI14,2)</f>
        <v>0</v>
      </c>
      <c r="Z579" s="446" t="s">
        <v>396</v>
      </c>
      <c r="AA579" s="447" t="str">
        <f>J577</f>
        <v xml:space="preserve">0  </v>
      </c>
      <c r="AB579" s="448"/>
      <c r="AC579" s="449"/>
    </row>
    <row r="580" spans="1:30" ht="12" customHeight="1">
      <c r="A580" s="688"/>
      <c r="B580" s="470" t="s">
        <v>408</v>
      </c>
      <c r="C580" s="463"/>
      <c r="D580" s="464"/>
      <c r="E580" s="465">
        <f t="shared" si="27"/>
        <v>0</v>
      </c>
      <c r="F580" s="692" t="s">
        <v>4</v>
      </c>
      <c r="G580" s="463">
        <f>'VISITA DE INSP.'!C36</f>
        <v>0</v>
      </c>
      <c r="H580" s="475" t="s">
        <v>407</v>
      </c>
      <c r="I580" s="623"/>
      <c r="J580" s="568">
        <f>COUNTA(I580,I610,I640,I670,I700,I730,I760,I790,I820,I850)</f>
        <v>0</v>
      </c>
      <c r="K580" s="717"/>
      <c r="L580" s="717"/>
      <c r="M580" s="539"/>
      <c r="N580" s="714"/>
      <c r="O580" s="716"/>
      <c r="P580" s="716"/>
      <c r="Q580" s="716"/>
      <c r="R580" s="539"/>
      <c r="S580" s="539"/>
      <c r="T580" s="714"/>
      <c r="U580" s="714"/>
      <c r="V580" s="724"/>
      <c r="W580" s="724"/>
      <c r="X580" s="716"/>
      <c r="Y580" s="476"/>
      <c r="Z580" s="4773" t="s">
        <v>429</v>
      </c>
      <c r="AA580" s="4774"/>
      <c r="AB580" s="4774"/>
      <c r="AC580" s="4775"/>
    </row>
    <row r="581" spans="1:30" ht="12" customHeight="1">
      <c r="A581" s="688"/>
      <c r="B581" s="470" t="s">
        <v>434</v>
      </c>
      <c r="C581" s="463"/>
      <c r="D581" s="464"/>
      <c r="E581" s="465">
        <f t="shared" si="27"/>
        <v>0</v>
      </c>
      <c r="F581" s="4777" t="s">
        <v>435</v>
      </c>
      <c r="G581" s="4777"/>
      <c r="H581" s="4777" t="s">
        <v>436</v>
      </c>
      <c r="I581" s="4778"/>
      <c r="J581" s="568">
        <f>SUM(J579,J580)</f>
        <v>0</v>
      </c>
      <c r="K581" s="522" t="s">
        <v>437</v>
      </c>
      <c r="L581" s="539"/>
      <c r="M581" s="725"/>
      <c r="N581" s="725"/>
      <c r="O581" s="725"/>
      <c r="P581" s="725"/>
      <c r="Q581" s="725"/>
      <c r="R581" s="726"/>
      <c r="S581" s="725"/>
      <c r="T581" s="727"/>
      <c r="U581" s="725"/>
      <c r="V581" s="574" t="s">
        <v>438</v>
      </c>
      <c r="W581" s="728"/>
      <c r="X581" s="723"/>
      <c r="Y581" s="445" t="str">
        <f>CONCATENATE(O594,S581)</f>
        <v xml:space="preserve">  COL-</v>
      </c>
      <c r="Z581" s="446" t="s">
        <v>396</v>
      </c>
      <c r="AA581" s="447" t="str">
        <f>Y577</f>
        <v>11007831200.0  0</v>
      </c>
      <c r="AB581" s="448"/>
      <c r="AC581" s="449"/>
    </row>
    <row r="582" spans="1:30" ht="12" customHeight="1">
      <c r="A582" s="688"/>
      <c r="B582" s="470" t="s">
        <v>443</v>
      </c>
      <c r="C582" s="463"/>
      <c r="D582" s="464"/>
      <c r="E582" s="465">
        <f t="shared" si="27"/>
        <v>0</v>
      </c>
      <c r="F582" s="478" t="s">
        <v>444</v>
      </c>
      <c r="G582" s="624">
        <v>20</v>
      </c>
      <c r="H582" s="479" t="e">
        <f>H552</f>
        <v>#REF!</v>
      </c>
      <c r="I582" s="480" t="e">
        <f>H582+1</f>
        <v>#REF!</v>
      </c>
      <c r="J582" s="569" t="str">
        <f>CONCATENATE(J594,M581,K594,N581,L594,O581,M594,P581,N594,Q581,O594,S581)</f>
        <v>RG-  SM-  MZA-  LTE-  CALLE-  COL-</v>
      </c>
      <c r="K582" s="729"/>
      <c r="L582" s="539"/>
      <c r="M582" s="492"/>
      <c r="N582" s="492"/>
      <c r="O582" s="492"/>
      <c r="P582" s="492"/>
      <c r="Q582" s="492"/>
      <c r="R582" s="730"/>
      <c r="S582" s="731" t="s">
        <v>503</v>
      </c>
      <c r="T582" s="731"/>
      <c r="U582" s="731" t="s">
        <v>504</v>
      </c>
      <c r="V582" s="533"/>
      <c r="W582" s="732"/>
      <c r="X582" s="733"/>
      <c r="Y582" s="450" t="str">
        <f>CONCATENATE(K592,P594,U581)</f>
        <v xml:space="preserve">    C.P.-</v>
      </c>
      <c r="Z582" s="4779" t="s">
        <v>445</v>
      </c>
      <c r="AA582" s="4780"/>
      <c r="AB582" s="4780"/>
      <c r="AC582" s="4781"/>
    </row>
    <row r="583" spans="1:30" ht="12" customHeight="1">
      <c r="A583" s="688"/>
      <c r="B583" s="470" t="s">
        <v>450</v>
      </c>
      <c r="C583" s="463"/>
      <c r="D583" s="464"/>
      <c r="E583" s="465">
        <f t="shared" si="27"/>
        <v>0</v>
      </c>
      <c r="F583" s="692" t="s">
        <v>373</v>
      </c>
      <c r="G583" s="4782" t="s">
        <v>451</v>
      </c>
      <c r="H583" s="4777"/>
      <c r="I583" s="4778"/>
      <c r="J583" s="565" t="str">
        <f>CONCATENATE(O594,S581)</f>
        <v xml:space="preserve">  COL-</v>
      </c>
      <c r="K583" s="522" t="s">
        <v>452</v>
      </c>
      <c r="L583" s="539"/>
      <c r="M583" s="539"/>
      <c r="N583" s="572" t="e">
        <f>#REF!</f>
        <v>#REF!</v>
      </c>
      <c r="O583" s="573"/>
      <c r="P583" s="573"/>
      <c r="Q583" s="573"/>
      <c r="R583" s="573"/>
      <c r="S583" s="574" t="s">
        <v>453</v>
      </c>
      <c r="T583" s="572" t="e">
        <f>#REF!</f>
        <v>#REF!</v>
      </c>
      <c r="U583" s="575"/>
      <c r="V583" s="574" t="s">
        <v>454</v>
      </c>
      <c r="W583" s="576" t="e">
        <f>#REF!</f>
        <v>#REF!</v>
      </c>
      <c r="X583" s="575"/>
      <c r="Y583" s="445"/>
      <c r="Z583" s="446" t="s">
        <v>396</v>
      </c>
      <c r="AA583" s="482">
        <f>O579</f>
        <v>0</v>
      </c>
      <c r="AB583" s="673"/>
      <c r="AC583" s="483"/>
    </row>
    <row r="584" spans="1:30" ht="12" customHeight="1" thickBot="1">
      <c r="A584" s="688"/>
      <c r="B584" s="484" t="s">
        <v>456</v>
      </c>
      <c r="C584" s="485"/>
      <c r="D584" s="486"/>
      <c r="E584" s="465">
        <f>E582-E583</f>
        <v>0</v>
      </c>
      <c r="F584" s="577">
        <f>F554</f>
        <v>1</v>
      </c>
      <c r="G584" s="578" t="e">
        <f>G554</f>
        <v>#REF!</v>
      </c>
      <c r="H584" s="578" t="e">
        <f>H554</f>
        <v>#REF!</v>
      </c>
      <c r="I584" s="579" t="e">
        <f>I554</f>
        <v>#REF!</v>
      </c>
      <c r="J584" s="580" t="str">
        <f>CONCATENATE(,P594,U581)</f>
        <v xml:space="preserve">  C.P.-</v>
      </c>
      <c r="K584" s="490"/>
      <c r="L584" s="491"/>
      <c r="M584" s="492"/>
      <c r="N584" s="492"/>
      <c r="O584" s="492"/>
      <c r="P584" s="492"/>
      <c r="Q584" s="492"/>
      <c r="R584" s="492"/>
      <c r="S584" s="492"/>
      <c r="T584" s="493"/>
      <c r="V584" s="494"/>
      <c r="W584" s="495"/>
      <c r="X584" s="496"/>
      <c r="Y584" s="497"/>
      <c r="Z584" s="4773" t="s">
        <v>457</v>
      </c>
      <c r="AA584" s="4774"/>
      <c r="AB584" s="4774"/>
      <c r="AC584" s="4775"/>
    </row>
    <row r="585" spans="1:30" ht="12" customHeight="1" thickTop="1" thickBot="1">
      <c r="A585" s="688"/>
      <c r="B585" s="4783" t="s">
        <v>460</v>
      </c>
      <c r="C585" s="4784"/>
      <c r="D585" s="4784"/>
      <c r="E585" s="4785"/>
      <c r="F585" s="498" t="s">
        <v>396</v>
      </c>
      <c r="G585" s="647" t="str">
        <f>G555</f>
        <v>CERVANTES BENITEZ * ANTONIA</v>
      </c>
      <c r="H585" s="500"/>
      <c r="I585" s="500"/>
      <c r="J585" s="501"/>
      <c r="K585" s="501"/>
      <c r="L585" s="501"/>
      <c r="M585" s="504"/>
      <c r="N585" s="4783" t="s">
        <v>461</v>
      </c>
      <c r="O585" s="4786"/>
      <c r="P585" s="4786"/>
      <c r="Q585" s="4787"/>
      <c r="R585" s="625"/>
      <c r="S585" s="499">
        <f>VLOOKUP(R585,AE1:AF16,2,1)</f>
        <v>0</v>
      </c>
      <c r="T585" s="501"/>
      <c r="U585" s="501"/>
      <c r="V585" s="501"/>
      <c r="W585" s="501"/>
      <c r="X585" s="501"/>
      <c r="Y585" s="504"/>
      <c r="Z585" s="446" t="s">
        <v>396</v>
      </c>
      <c r="AA585" s="461">
        <f>Y579</f>
        <v>0</v>
      </c>
      <c r="AB585" s="448"/>
      <c r="AC585" s="505">
        <f>V579</f>
        <v>0</v>
      </c>
    </row>
    <row r="586" spans="1:30" ht="12" customHeight="1" thickTop="1" thickBot="1">
      <c r="A586" s="688"/>
      <c r="B586" s="4783" t="s">
        <v>465</v>
      </c>
      <c r="C586" s="4786"/>
      <c r="D586" s="4786"/>
      <c r="E586" s="4787"/>
      <c r="F586" s="506" t="s">
        <v>396</v>
      </c>
      <c r="G586" s="648" t="str">
        <f>G556</f>
        <v>JESUS MARTIN RICALDE CASTRO</v>
      </c>
      <c r="H586" s="501"/>
      <c r="I586" s="501"/>
      <c r="J586" s="501"/>
      <c r="K586" s="501"/>
      <c r="L586" s="501"/>
      <c r="M586" s="504"/>
      <c r="N586" s="4783" t="s">
        <v>466</v>
      </c>
      <c r="O586" s="4786"/>
      <c r="P586" s="4786"/>
      <c r="Q586" s="4787"/>
      <c r="R586" s="625"/>
      <c r="S586" s="499">
        <f>VLOOKUP(R586,AE17:AF22,2,2)</f>
        <v>0</v>
      </c>
      <c r="T586" s="501"/>
      <c r="U586" s="501"/>
      <c r="V586" s="501"/>
      <c r="W586" s="501"/>
      <c r="X586" s="501"/>
      <c r="Y586" s="507" t="str">
        <f>CONCATENATE(M582,M581,N582,N581,O582,O581,P582,P581)</f>
        <v/>
      </c>
      <c r="Z586" s="4773" t="s">
        <v>467</v>
      </c>
      <c r="AA586" s="4774"/>
      <c r="AB586" s="4774"/>
      <c r="AC586" s="4775"/>
    </row>
    <row r="587" spans="1:30" ht="12" customHeight="1" thickTop="1" thickBot="1">
      <c r="A587" s="688"/>
      <c r="B587" s="4788" t="s">
        <v>471</v>
      </c>
      <c r="C587" s="4789"/>
      <c r="D587" s="4789"/>
      <c r="E587" s="4790"/>
      <c r="F587" s="506" t="s">
        <v>396</v>
      </c>
      <c r="G587" s="648" t="e">
        <f>G557</f>
        <v>#REF!</v>
      </c>
      <c r="H587" s="501"/>
      <c r="I587" s="501"/>
      <c r="J587" s="501"/>
      <c r="K587" s="501"/>
      <c r="L587" s="501"/>
      <c r="M587" s="501"/>
      <c r="N587" s="4783" t="s">
        <v>472</v>
      </c>
      <c r="O587" s="4786"/>
      <c r="P587" s="4786"/>
      <c r="Q587" s="4787"/>
      <c r="R587" s="625"/>
      <c r="S587" s="499">
        <f>VLOOKUP(R587,AE25:AF34,2,2)</f>
        <v>0</v>
      </c>
      <c r="T587" s="501"/>
      <c r="U587" s="501"/>
      <c r="V587" s="501"/>
      <c r="W587" s="501"/>
      <c r="X587" s="501"/>
      <c r="Y587" s="504"/>
      <c r="Z587" s="446" t="s">
        <v>396</v>
      </c>
      <c r="AA587" s="447" t="str">
        <f>J582</f>
        <v>RG-  SM-  MZA-  LTE-  CALLE-  COL-</v>
      </c>
      <c r="AB587" s="448"/>
      <c r="AC587" s="449"/>
      <c r="AD587" s="662" t="s">
        <v>79</v>
      </c>
    </row>
    <row r="588" spans="1:30" ht="12" customHeight="1" thickTop="1" thickBot="1">
      <c r="A588" s="688"/>
      <c r="B588" s="4788" t="s">
        <v>475</v>
      </c>
      <c r="C588" s="4789"/>
      <c r="D588" s="4789"/>
      <c r="E588" s="4790"/>
      <c r="F588" s="508"/>
      <c r="G588" s="648"/>
      <c r="H588" s="501"/>
      <c r="I588" s="501"/>
      <c r="J588" s="501"/>
      <c r="K588" s="501"/>
      <c r="L588" s="501"/>
      <c r="M588" s="501"/>
      <c r="N588" s="4783" t="s">
        <v>476</v>
      </c>
      <c r="O588" s="4786"/>
      <c r="P588" s="4786"/>
      <c r="Q588" s="4787"/>
      <c r="R588" s="625"/>
      <c r="S588" s="499">
        <f>VLOOKUP(R588,AE35:AF43,2,2)</f>
        <v>0</v>
      </c>
      <c r="T588" s="501"/>
      <c r="U588" s="501"/>
      <c r="V588" s="501"/>
      <c r="W588" s="501"/>
      <c r="X588" s="501"/>
      <c r="Y588" s="504"/>
      <c r="Z588" s="4773" t="s">
        <v>477</v>
      </c>
      <c r="AA588" s="4774"/>
      <c r="AB588" s="4774"/>
      <c r="AC588" s="4775"/>
    </row>
    <row r="589" spans="1:30" ht="12" customHeight="1" thickTop="1" thickBot="1">
      <c r="A589" s="688"/>
      <c r="B589" s="4791" t="s">
        <v>479</v>
      </c>
      <c r="C589" s="4792"/>
      <c r="D589" s="4792"/>
      <c r="E589" s="4793"/>
      <c r="F589" s="625"/>
      <c r="G589" s="582">
        <f>VLOOKUP(F589,AE69:AF78,2,1)</f>
        <v>0</v>
      </c>
      <c r="H589" s="501"/>
      <c r="I589" s="501"/>
      <c r="J589" s="501"/>
      <c r="K589" s="501"/>
      <c r="L589" s="584"/>
      <c r="M589" s="585">
        <f>COUNTA(F589,F707,F827,F947)</f>
        <v>0</v>
      </c>
      <c r="N589" s="4783" t="s">
        <v>480</v>
      </c>
      <c r="O589" s="4786"/>
      <c r="P589" s="4786"/>
      <c r="Q589" s="4787"/>
      <c r="R589" s="625"/>
      <c r="S589" s="499">
        <f>VLOOKUP(R589,AE44:AF68,2,2)</f>
        <v>0</v>
      </c>
      <c r="T589" s="501"/>
      <c r="U589" s="501"/>
      <c r="V589" s="501"/>
      <c r="W589" s="501"/>
      <c r="X589" s="501"/>
      <c r="Y589" s="504"/>
      <c r="Z589" s="446" t="s">
        <v>481</v>
      </c>
      <c r="AA589" s="447">
        <f>'VISITA DE INSP.'!AQ36</f>
        <v>0</v>
      </c>
      <c r="AB589" s="448"/>
      <c r="AC589" s="449"/>
    </row>
    <row r="590" spans="1:30" ht="12" customHeight="1" thickTop="1" thickBot="1">
      <c r="A590" s="688"/>
      <c r="B590" s="4791" t="s">
        <v>484</v>
      </c>
      <c r="C590" s="4792"/>
      <c r="D590" s="4792"/>
      <c r="E590" s="4793"/>
      <c r="F590" s="625"/>
      <c r="G590" s="582">
        <f>VLOOKUP(F590,AE79:AF85,2,1)</f>
        <v>0</v>
      </c>
      <c r="H590" s="501"/>
      <c r="I590" s="501"/>
      <c r="J590" s="501"/>
      <c r="K590" s="501"/>
      <c r="L590" s="501"/>
      <c r="M590" s="504"/>
      <c r="N590" s="4783" t="s">
        <v>485</v>
      </c>
      <c r="O590" s="4786"/>
      <c r="P590" s="4786"/>
      <c r="Q590" s="4787"/>
      <c r="R590" s="625"/>
      <c r="S590" s="553"/>
      <c r="T590" s="511"/>
      <c r="U590" s="512"/>
      <c r="V590" s="511"/>
      <c r="W590" s="511"/>
      <c r="X590" s="511"/>
      <c r="Y590" s="513"/>
      <c r="Z590" s="4773" t="s">
        <v>486</v>
      </c>
      <c r="AA590" s="4774"/>
      <c r="AB590" s="4774"/>
      <c r="AC590" s="4775"/>
    </row>
    <row r="591" spans="1:30" ht="12" hidden="1" customHeight="1" thickTop="1" thickBot="1">
      <c r="A591" s="688"/>
      <c r="B591" s="4811" t="s">
        <v>488</v>
      </c>
      <c r="C591" s="4812"/>
      <c r="D591" s="4812"/>
      <c r="E591" s="4812"/>
      <c r="F591" s="4812"/>
      <c r="G591" s="4812"/>
      <c r="H591" s="4812"/>
      <c r="I591" s="4812"/>
      <c r="J591" s="4794" t="s">
        <v>488</v>
      </c>
      <c r="K591" s="4795"/>
      <c r="L591" s="4795"/>
      <c r="M591" s="4795"/>
      <c r="N591" s="4795"/>
      <c r="O591" s="4795"/>
      <c r="P591" s="4795"/>
      <c r="Q591" s="4796"/>
      <c r="R591" s="4811" t="s">
        <v>488</v>
      </c>
      <c r="S591" s="4812"/>
      <c r="T591" s="4812"/>
      <c r="U591" s="4812"/>
      <c r="V591" s="4812"/>
      <c r="W591" s="4812"/>
      <c r="X591" s="4812"/>
      <c r="Y591" s="4812"/>
      <c r="Z591" s="446" t="s">
        <v>489</v>
      </c>
      <c r="AA591" s="447"/>
      <c r="AB591" s="448"/>
      <c r="AC591" s="449"/>
    </row>
    <row r="592" spans="1:30" ht="12" hidden="1" customHeight="1" thickTop="1" thickBot="1">
      <c r="A592" s="688"/>
      <c r="B592" s="586"/>
      <c r="C592" s="587"/>
      <c r="D592" s="588"/>
      <c r="E592" s="4797"/>
      <c r="F592" s="4797"/>
      <c r="G592" s="589"/>
      <c r="H592" s="590"/>
      <c r="I592" s="591"/>
      <c r="J592" s="592" t="s">
        <v>491</v>
      </c>
      <c r="K592" s="515" t="s">
        <v>491</v>
      </c>
      <c r="L592" s="516" t="s">
        <v>492</v>
      </c>
      <c r="M592" s="4797"/>
      <c r="N592" s="4797"/>
      <c r="O592" s="517" t="s">
        <v>418</v>
      </c>
      <c r="P592" s="518" t="s">
        <v>493</v>
      </c>
      <c r="Q592" s="520"/>
      <c r="R592" s="593"/>
      <c r="S592" s="594"/>
      <c r="T592" s="595"/>
      <c r="U592" s="4797"/>
      <c r="V592" s="4797"/>
      <c r="W592" s="596"/>
      <c r="X592" s="594"/>
      <c r="Y592" s="597"/>
      <c r="Z592" s="4773" t="s">
        <v>494</v>
      </c>
      <c r="AA592" s="4774"/>
      <c r="AB592" s="4774"/>
      <c r="AC592" s="4775"/>
    </row>
    <row r="593" spans="1:29" ht="12" hidden="1" customHeight="1" thickTop="1">
      <c r="A593" s="688"/>
      <c r="B593" s="586"/>
      <c r="C593" s="587"/>
      <c r="D593" s="588"/>
      <c r="E593" s="4813" t="s">
        <v>621</v>
      </c>
      <c r="F593" s="4814"/>
      <c r="G593" s="590"/>
      <c r="H593" s="590"/>
      <c r="I593" s="591"/>
      <c r="J593" s="523"/>
      <c r="K593" s="522"/>
      <c r="L593" s="4798" t="s">
        <v>496</v>
      </c>
      <c r="M593" s="4799"/>
      <c r="N593" s="4799"/>
      <c r="O593" s="4800"/>
      <c r="P593" s="515"/>
      <c r="Q593" s="520"/>
      <c r="R593" s="593"/>
      <c r="S593" s="594"/>
      <c r="T593" s="598"/>
      <c r="U593" s="4815" t="s">
        <v>622</v>
      </c>
      <c r="V593" s="4816"/>
      <c r="W593" s="596"/>
      <c r="X593" s="594"/>
      <c r="Y593" s="597"/>
      <c r="Z593" s="446"/>
      <c r="AA593" s="524">
        <f>VLOOKUP(Z593,BE24:BF34,2,2)</f>
        <v>0</v>
      </c>
      <c r="AB593" s="448"/>
      <c r="AC593" s="449"/>
    </row>
    <row r="594" spans="1:29" ht="12" hidden="1" customHeight="1">
      <c r="A594" s="688"/>
      <c r="B594" s="586"/>
      <c r="C594" s="587"/>
      <c r="D594" s="588"/>
      <c r="E594" s="599"/>
      <c r="F594" s="590"/>
      <c r="G594" s="590"/>
      <c r="H594" s="590"/>
      <c r="I594" s="591"/>
      <c r="J594" s="526" t="s">
        <v>498</v>
      </c>
      <c r="K594" s="527" t="s">
        <v>499</v>
      </c>
      <c r="L594" s="527" t="s">
        <v>500</v>
      </c>
      <c r="M594" s="527" t="s">
        <v>501</v>
      </c>
      <c r="N594" s="527" t="s">
        <v>502</v>
      </c>
      <c r="O594" s="527" t="s">
        <v>503</v>
      </c>
      <c r="P594" s="527" t="s">
        <v>504</v>
      </c>
      <c r="Q594" s="600"/>
      <c r="R594" s="4752">
        <f>'VISITA DE INSP.'!D36</f>
        <v>0</v>
      </c>
      <c r="S594" s="4753"/>
      <c r="T594" s="4753"/>
      <c r="U594" s="4753"/>
      <c r="V594" s="4753"/>
      <c r="W594" s="4753"/>
      <c r="X594" s="4753"/>
      <c r="Y594" s="4754"/>
      <c r="Z594" s="4801" t="s">
        <v>506</v>
      </c>
      <c r="AA594" s="4802"/>
      <c r="AB594" s="4802"/>
      <c r="AC594" s="4803"/>
    </row>
    <row r="595" spans="1:29" ht="12" hidden="1" customHeight="1">
      <c r="A595" s="688"/>
      <c r="B595" s="586"/>
      <c r="C595" s="587"/>
      <c r="D595" s="588"/>
      <c r="E595" s="599"/>
      <c r="F595" s="590"/>
      <c r="G595" s="590"/>
      <c r="H595" s="590"/>
      <c r="I595" s="591"/>
      <c r="J595" s="534"/>
      <c r="K595" s="531" t="s">
        <v>491</v>
      </c>
      <c r="L595" s="532" t="s">
        <v>491</v>
      </c>
      <c r="M595" s="533"/>
      <c r="N595" s="532"/>
      <c r="O595" s="532"/>
      <c r="P595" s="532"/>
      <c r="Q595" s="520"/>
      <c r="R595" s="682"/>
      <c r="S595" s="4758">
        <f>'VISITA DE INSP.'!AN36</f>
        <v>0</v>
      </c>
      <c r="T595" s="4759"/>
      <c r="U595" s="4759"/>
      <c r="V595" s="4759"/>
      <c r="W595" s="4759"/>
      <c r="X595" s="4760"/>
      <c r="Y595" s="683"/>
      <c r="Z595" s="446"/>
      <c r="AA595" s="524" t="e">
        <f>VLOOKUP(Z595,AW324:AX339,2,2)</f>
        <v>#N/A</v>
      </c>
      <c r="AB595" s="448"/>
      <c r="AC595" s="449"/>
    </row>
    <row r="596" spans="1:29" ht="12" hidden="1" customHeight="1">
      <c r="A596" s="688"/>
      <c r="B596" s="586"/>
      <c r="C596" s="587"/>
      <c r="D596" s="588"/>
      <c r="E596" s="599"/>
      <c r="F596" s="590"/>
      <c r="G596" s="590"/>
      <c r="H596" s="590"/>
      <c r="I596" s="591"/>
      <c r="J596" s="538"/>
      <c r="K596" s="537"/>
      <c r="L596" s="527"/>
      <c r="M596" s="527"/>
      <c r="N596" s="527"/>
      <c r="O596" s="527"/>
      <c r="P596" s="527"/>
      <c r="Q596" s="520"/>
      <c r="R596" s="682"/>
      <c r="S596" s="4758">
        <f>'VISITA DE INSP.'!AO36</f>
        <v>0</v>
      </c>
      <c r="T596" s="4759"/>
      <c r="U596" s="4759"/>
      <c r="V596" s="4759"/>
      <c r="W596" s="4759"/>
      <c r="X596" s="4760"/>
      <c r="Y596" s="683"/>
      <c r="Z596" s="4773" t="s">
        <v>511</v>
      </c>
      <c r="AA596" s="4774"/>
      <c r="AB596" s="4774"/>
      <c r="AC596" s="4775"/>
    </row>
    <row r="597" spans="1:29" ht="12" hidden="1" customHeight="1">
      <c r="A597" s="688"/>
      <c r="B597" s="586"/>
      <c r="C597" s="587"/>
      <c r="D597" s="588"/>
      <c r="E597" s="599"/>
      <c r="F597" s="590"/>
      <c r="G597" s="590"/>
      <c r="H597" s="590"/>
      <c r="I597" s="591"/>
      <c r="J597" s="534"/>
      <c r="K597" s="537"/>
      <c r="L597" s="531"/>
      <c r="M597" s="533"/>
      <c r="N597" s="532"/>
      <c r="O597" s="532"/>
      <c r="P597" s="532"/>
      <c r="Q597" s="520"/>
      <c r="R597" s="682"/>
      <c r="S597" s="4852">
        <f>'VISITA DE INSP.'!AU36</f>
        <v>0</v>
      </c>
      <c r="T597" s="4853"/>
      <c r="U597" s="4853"/>
      <c r="V597" s="4853"/>
      <c r="W597" s="4853"/>
      <c r="X597" s="4854"/>
      <c r="Y597" s="684"/>
      <c r="Z597" s="446"/>
      <c r="AA597" s="524" t="e">
        <f>VLOOKUP(Z597,BB324:BC334,2,2)</f>
        <v>#N/A</v>
      </c>
      <c r="AB597" s="448"/>
      <c r="AC597" s="449"/>
    </row>
    <row r="598" spans="1:29" ht="12" hidden="1" customHeight="1">
      <c r="A598" s="688"/>
      <c r="B598" s="586"/>
      <c r="C598" s="587"/>
      <c r="D598" s="588"/>
      <c r="E598" s="599"/>
      <c r="F598" s="590"/>
      <c r="G598" s="590"/>
      <c r="H598" s="590"/>
      <c r="I598" s="591"/>
      <c r="J598" s="534"/>
      <c r="K598" s="522"/>
      <c r="L598" s="539"/>
      <c r="M598" s="540"/>
      <c r="N598" s="515"/>
      <c r="O598" s="515"/>
      <c r="P598" s="515"/>
      <c r="Q598" s="520"/>
      <c r="R598" s="682"/>
      <c r="S598" s="4758">
        <f>'VISITA DE INSP.'!AT36</f>
        <v>0</v>
      </c>
      <c r="T598" s="4759"/>
      <c r="U598" s="4759"/>
      <c r="V598" s="4759"/>
      <c r="W598" s="4759"/>
      <c r="X598" s="4760"/>
      <c r="Y598" s="684"/>
      <c r="Z598" s="4773" t="s">
        <v>520</v>
      </c>
      <c r="AA598" s="4774"/>
      <c r="AB598" s="4774"/>
      <c r="AC598" s="4775"/>
    </row>
    <row r="599" spans="1:29" ht="12" hidden="1" customHeight="1">
      <c r="A599" s="688"/>
      <c r="B599" s="586"/>
      <c r="C599" s="587"/>
      <c r="D599" s="588"/>
      <c r="E599" s="599"/>
      <c r="F599" s="590"/>
      <c r="G599" s="590"/>
      <c r="H599" s="590"/>
      <c r="I599" s="591"/>
      <c r="J599" s="534"/>
      <c r="K599" s="541"/>
      <c r="L599" s="541"/>
      <c r="M599" s="541"/>
      <c r="N599" s="541"/>
      <c r="O599" s="541"/>
      <c r="P599" s="541"/>
      <c r="Q599" s="520"/>
      <c r="R599" s="682"/>
      <c r="S599" s="4830">
        <f>'VISITA DE INSP.'!AS36</f>
        <v>0</v>
      </c>
      <c r="T599" s="4831"/>
      <c r="U599" s="4831"/>
      <c r="V599" s="4831"/>
      <c r="W599" s="4831"/>
      <c r="X599" s="4832"/>
      <c r="Y599" s="684"/>
      <c r="Z599" s="446" t="s">
        <v>396</v>
      </c>
      <c r="AA599" s="447" t="str">
        <f>J583</f>
        <v xml:space="preserve">  COL-</v>
      </c>
      <c r="AB599" s="448"/>
      <c r="AC599" s="449"/>
    </row>
    <row r="600" spans="1:29" ht="12" hidden="1" customHeight="1">
      <c r="A600" s="688"/>
      <c r="B600" s="586"/>
      <c r="C600" s="603" t="str">
        <f>Y575</f>
        <v xml:space="preserve">       </v>
      </c>
      <c r="D600" s="604"/>
      <c r="E600" s="604"/>
      <c r="F600" s="604"/>
      <c r="G600" s="604"/>
      <c r="H600" s="605"/>
      <c r="I600" s="591"/>
      <c r="J600" s="606" t="str">
        <f>J584</f>
        <v xml:space="preserve">  C.P.-</v>
      </c>
      <c r="K600" s="603" t="str">
        <f>C600</f>
        <v xml:space="preserve">       </v>
      </c>
      <c r="L600" s="604"/>
      <c r="M600" s="604"/>
      <c r="N600" s="604"/>
      <c r="O600" s="604"/>
      <c r="P600" s="605"/>
      <c r="Q600" s="597"/>
      <c r="R600" s="593"/>
      <c r="S600" s="607" t="str">
        <f>K600</f>
        <v xml:space="preserve">       </v>
      </c>
      <c r="T600" s="608"/>
      <c r="U600" s="608"/>
      <c r="V600" s="608"/>
      <c r="W600" s="608"/>
      <c r="X600" s="609"/>
      <c r="Y600" s="597"/>
      <c r="Z600" s="4773" t="s">
        <v>529</v>
      </c>
      <c r="AA600" s="4774"/>
      <c r="AB600" s="4774"/>
      <c r="AC600" s="4775"/>
    </row>
    <row r="601" spans="1:29" ht="12" hidden="1" customHeight="1" thickBot="1">
      <c r="A601" s="688"/>
      <c r="B601" s="610"/>
      <c r="C601" s="4817" t="s">
        <v>534</v>
      </c>
      <c r="D601" s="4818"/>
      <c r="E601" s="4818"/>
      <c r="F601" s="4818"/>
      <c r="G601" s="4818"/>
      <c r="H601" s="4819"/>
      <c r="I601" s="611"/>
      <c r="J601" s="612"/>
      <c r="K601" s="4820" t="s">
        <v>534</v>
      </c>
      <c r="L601" s="4821"/>
      <c r="M601" s="4821"/>
      <c r="N601" s="4821"/>
      <c r="O601" s="4821"/>
      <c r="P601" s="4822"/>
      <c r="Q601" s="613"/>
      <c r="R601" s="614"/>
      <c r="S601" s="4817" t="s">
        <v>534</v>
      </c>
      <c r="T601" s="4818"/>
      <c r="U601" s="4818"/>
      <c r="V601" s="4818"/>
      <c r="W601" s="4818"/>
      <c r="X601" s="4819"/>
      <c r="Y601" s="615"/>
      <c r="Z601" s="446" t="s">
        <v>396</v>
      </c>
      <c r="AA601" s="447" t="str">
        <f>J584</f>
        <v xml:space="preserve">  C.P.-</v>
      </c>
      <c r="AB601" s="448"/>
      <c r="AC601" s="449"/>
    </row>
    <row r="602" spans="1:29" ht="12" customHeight="1" thickTop="1" thickBot="1">
      <c r="A602" s="688"/>
      <c r="B602" s="4783" t="s">
        <v>538</v>
      </c>
      <c r="C602" s="4784"/>
      <c r="D602" s="4784"/>
      <c r="E602" s="4784"/>
      <c r="F602" s="552"/>
      <c r="G602" s="551">
        <f>VLOOKUP(F602,BE38:BG72,2,2)</f>
        <v>0</v>
      </c>
      <c r="H602" s="511"/>
      <c r="I602" s="513"/>
      <c r="J602" s="4783" t="s">
        <v>539</v>
      </c>
      <c r="K602" s="4784"/>
      <c r="L602" s="4784"/>
      <c r="M602" s="4784"/>
      <c r="N602" s="552" t="s">
        <v>540</v>
      </c>
      <c r="O602" s="628"/>
      <c r="P602" s="629"/>
      <c r="Q602" s="630"/>
      <c r="R602" s="4783" t="s">
        <v>541</v>
      </c>
      <c r="S602" s="4784"/>
      <c r="T602" s="4784"/>
      <c r="U602" s="4785"/>
      <c r="V602" s="508" t="s">
        <v>396</v>
      </c>
      <c r="W602" s="553">
        <f>O575</f>
        <v>0</v>
      </c>
      <c r="X602" s="554">
        <f>R575</f>
        <v>0</v>
      </c>
      <c r="Y602" s="555">
        <f>U575</f>
        <v>0</v>
      </c>
      <c r="Z602" s="4773" t="s">
        <v>542</v>
      </c>
      <c r="AA602" s="4774"/>
      <c r="AB602" s="4774"/>
      <c r="AC602" s="4775"/>
    </row>
    <row r="603" spans="1:29" ht="12" customHeight="1" thickTop="1" thickBot="1">
      <c r="A603" s="688"/>
      <c r="B603" s="651"/>
      <c r="C603" s="652"/>
      <c r="D603" s="652"/>
      <c r="E603" s="652"/>
      <c r="F603" s="652"/>
      <c r="G603" s="652"/>
      <c r="H603" s="652"/>
      <c r="I603" s="652"/>
      <c r="J603" s="652"/>
      <c r="K603" s="652"/>
      <c r="L603" s="652"/>
      <c r="M603" s="652"/>
      <c r="N603" s="652"/>
      <c r="O603" s="652"/>
      <c r="P603" s="652"/>
      <c r="Q603" s="652"/>
      <c r="R603" s="652"/>
      <c r="S603" s="652"/>
      <c r="T603" s="652"/>
      <c r="U603" s="652"/>
      <c r="V603" s="652"/>
      <c r="W603" s="652"/>
      <c r="X603" s="652"/>
      <c r="Y603" s="674"/>
      <c r="Z603" s="558" t="s">
        <v>396</v>
      </c>
      <c r="AA603" s="559" t="e">
        <f>W583</f>
        <v>#REF!</v>
      </c>
      <c r="AB603" s="560"/>
      <c r="AC603" s="561"/>
    </row>
    <row r="604" spans="1:29" ht="13.5" thickTop="1"/>
  </sheetData>
  <sheetProtection selectLockedCells="1"/>
  <mergeCells count="1041">
    <mergeCell ref="C601:H601"/>
    <mergeCell ref="K601:P601"/>
    <mergeCell ref="S601:X601"/>
    <mergeCell ref="S597:X597"/>
    <mergeCell ref="S598:X598"/>
    <mergeCell ref="S599:X599"/>
    <mergeCell ref="B602:E602"/>
    <mergeCell ref="J602:M602"/>
    <mergeCell ref="R602:U602"/>
    <mergeCell ref="Z602:AC602"/>
    <mergeCell ref="S25:X25"/>
    <mergeCell ref="S26:X26"/>
    <mergeCell ref="S27:X27"/>
    <mergeCell ref="S28:X28"/>
    <mergeCell ref="S29:X29"/>
    <mergeCell ref="S57:X57"/>
    <mergeCell ref="S119:X119"/>
    <mergeCell ref="S145:X145"/>
    <mergeCell ref="S146:X146"/>
    <mergeCell ref="R144:Y144"/>
    <mergeCell ref="S175:X175"/>
    <mergeCell ref="S176:X176"/>
    <mergeCell ref="S177:X177"/>
    <mergeCell ref="S178:X178"/>
    <mergeCell ref="S179:X179"/>
    <mergeCell ref="S207:X207"/>
    <mergeCell ref="S208:X208"/>
    <mergeCell ref="S209:X209"/>
    <mergeCell ref="S234:X234"/>
    <mergeCell ref="S235:X235"/>
    <mergeCell ref="S236:X236"/>
    <mergeCell ref="S267:X267"/>
    <mergeCell ref="B590:E590"/>
    <mergeCell ref="N590:Q590"/>
    <mergeCell ref="Z590:AC590"/>
    <mergeCell ref="B591:I591"/>
    <mergeCell ref="J591:Q591"/>
    <mergeCell ref="R591:Y591"/>
    <mergeCell ref="E592:F592"/>
    <mergeCell ref="M592:N592"/>
    <mergeCell ref="U592:V592"/>
    <mergeCell ref="Z592:AC592"/>
    <mergeCell ref="E593:F593"/>
    <mergeCell ref="L593:O593"/>
    <mergeCell ref="U593:V593"/>
    <mergeCell ref="Z594:AC594"/>
    <mergeCell ref="Z596:AC596"/>
    <mergeCell ref="Z598:AC598"/>
    <mergeCell ref="Z600:AC600"/>
    <mergeCell ref="S595:X595"/>
    <mergeCell ref="S596:X596"/>
    <mergeCell ref="R594:Y594"/>
    <mergeCell ref="F581:G581"/>
    <mergeCell ref="H581:I581"/>
    <mergeCell ref="Z582:AC582"/>
    <mergeCell ref="G583:I583"/>
    <mergeCell ref="Z584:AC584"/>
    <mergeCell ref="B585:E585"/>
    <mergeCell ref="N585:Q585"/>
    <mergeCell ref="B586:E586"/>
    <mergeCell ref="N586:Q586"/>
    <mergeCell ref="Z586:AC586"/>
    <mergeCell ref="B587:E587"/>
    <mergeCell ref="N587:Q587"/>
    <mergeCell ref="B588:E588"/>
    <mergeCell ref="N588:Q588"/>
    <mergeCell ref="Z588:AC588"/>
    <mergeCell ref="B589:E589"/>
    <mergeCell ref="N589:Q589"/>
    <mergeCell ref="Z568:AC568"/>
    <mergeCell ref="Z570:AC570"/>
    <mergeCell ref="C571:H571"/>
    <mergeCell ref="K571:P571"/>
    <mergeCell ref="S571:X571"/>
    <mergeCell ref="S565:X565"/>
    <mergeCell ref="S566:X566"/>
    <mergeCell ref="S569:X569"/>
    <mergeCell ref="B572:E572"/>
    <mergeCell ref="J572:M572"/>
    <mergeCell ref="R572:U572"/>
    <mergeCell ref="Z572:AC572"/>
    <mergeCell ref="B574:I576"/>
    <mergeCell ref="Z574:AC574"/>
    <mergeCell ref="Z576:AC576"/>
    <mergeCell ref="Z578:AC578"/>
    <mergeCell ref="Z580:AC580"/>
    <mergeCell ref="S567:X567"/>
    <mergeCell ref="S568:X568"/>
    <mergeCell ref="B559:E559"/>
    <mergeCell ref="N559:Q559"/>
    <mergeCell ref="B560:E560"/>
    <mergeCell ref="N560:Q560"/>
    <mergeCell ref="Z560:AC560"/>
    <mergeCell ref="B561:I561"/>
    <mergeCell ref="J561:Q561"/>
    <mergeCell ref="R561:Y561"/>
    <mergeCell ref="E562:F562"/>
    <mergeCell ref="M562:N562"/>
    <mergeCell ref="U562:V562"/>
    <mergeCell ref="Z562:AC562"/>
    <mergeCell ref="E563:F563"/>
    <mergeCell ref="L563:O563"/>
    <mergeCell ref="U563:V563"/>
    <mergeCell ref="Z564:AC564"/>
    <mergeCell ref="Z566:AC566"/>
    <mergeCell ref="R564:Y564"/>
    <mergeCell ref="Z548:AC548"/>
    <mergeCell ref="Z550:AC550"/>
    <mergeCell ref="F551:G551"/>
    <mergeCell ref="H551:I551"/>
    <mergeCell ref="Z552:AC552"/>
    <mergeCell ref="G553:I553"/>
    <mergeCell ref="Z554:AC554"/>
    <mergeCell ref="B555:E555"/>
    <mergeCell ref="N555:Q555"/>
    <mergeCell ref="B556:E556"/>
    <mergeCell ref="N556:Q556"/>
    <mergeCell ref="Z556:AC556"/>
    <mergeCell ref="B557:E557"/>
    <mergeCell ref="N557:Q557"/>
    <mergeCell ref="B558:E558"/>
    <mergeCell ref="N558:Q558"/>
    <mergeCell ref="Z558:AC558"/>
    <mergeCell ref="Z534:AC534"/>
    <mergeCell ref="Z536:AC536"/>
    <mergeCell ref="Z538:AC538"/>
    <mergeCell ref="Z540:AC540"/>
    <mergeCell ref="C541:H541"/>
    <mergeCell ref="K541:P541"/>
    <mergeCell ref="S541:X541"/>
    <mergeCell ref="S537:X537"/>
    <mergeCell ref="S538:X538"/>
    <mergeCell ref="S539:X539"/>
    <mergeCell ref="B542:E542"/>
    <mergeCell ref="J542:M542"/>
    <mergeCell ref="R542:U542"/>
    <mergeCell ref="Z542:AC542"/>
    <mergeCell ref="B544:I546"/>
    <mergeCell ref="Z544:AC544"/>
    <mergeCell ref="Z546:AC546"/>
    <mergeCell ref="S535:X535"/>
    <mergeCell ref="S536:X536"/>
    <mergeCell ref="R534:Y534"/>
    <mergeCell ref="B528:E528"/>
    <mergeCell ref="N528:Q528"/>
    <mergeCell ref="Z528:AC528"/>
    <mergeCell ref="B529:E529"/>
    <mergeCell ref="N529:Q529"/>
    <mergeCell ref="B530:E530"/>
    <mergeCell ref="N530:Q530"/>
    <mergeCell ref="Z530:AC530"/>
    <mergeCell ref="B531:I531"/>
    <mergeCell ref="J531:Q531"/>
    <mergeCell ref="R531:Y531"/>
    <mergeCell ref="E532:F532"/>
    <mergeCell ref="M532:N532"/>
    <mergeCell ref="U532:V532"/>
    <mergeCell ref="Z532:AC532"/>
    <mergeCell ref="E533:F533"/>
    <mergeCell ref="L533:O533"/>
    <mergeCell ref="U533:V533"/>
    <mergeCell ref="B514:I516"/>
    <mergeCell ref="Z514:AC514"/>
    <mergeCell ref="Z516:AC516"/>
    <mergeCell ref="Z518:AC518"/>
    <mergeCell ref="Z520:AC520"/>
    <mergeCell ref="F521:G521"/>
    <mergeCell ref="H521:I521"/>
    <mergeCell ref="Z522:AC522"/>
    <mergeCell ref="G523:I523"/>
    <mergeCell ref="Z524:AC524"/>
    <mergeCell ref="B525:E525"/>
    <mergeCell ref="N525:Q525"/>
    <mergeCell ref="B526:E526"/>
    <mergeCell ref="N526:Q526"/>
    <mergeCell ref="Z526:AC526"/>
    <mergeCell ref="B527:E527"/>
    <mergeCell ref="N527:Q527"/>
    <mergeCell ref="E503:F503"/>
    <mergeCell ref="L503:O503"/>
    <mergeCell ref="U503:V503"/>
    <mergeCell ref="Z504:AC504"/>
    <mergeCell ref="Z506:AC506"/>
    <mergeCell ref="Z508:AC508"/>
    <mergeCell ref="Z510:AC510"/>
    <mergeCell ref="C511:H511"/>
    <mergeCell ref="K511:P511"/>
    <mergeCell ref="S511:X511"/>
    <mergeCell ref="S505:X505"/>
    <mergeCell ref="S506:X506"/>
    <mergeCell ref="S507:X507"/>
    <mergeCell ref="B512:E512"/>
    <mergeCell ref="J512:M512"/>
    <mergeCell ref="R512:U512"/>
    <mergeCell ref="Z512:AC512"/>
    <mergeCell ref="S508:X508"/>
    <mergeCell ref="S509:X509"/>
    <mergeCell ref="R504:Y504"/>
    <mergeCell ref="B497:E497"/>
    <mergeCell ref="N497:Q497"/>
    <mergeCell ref="B498:E498"/>
    <mergeCell ref="N498:Q498"/>
    <mergeCell ref="Z498:AC498"/>
    <mergeCell ref="B499:E499"/>
    <mergeCell ref="N499:Q499"/>
    <mergeCell ref="B500:E500"/>
    <mergeCell ref="N500:Q500"/>
    <mergeCell ref="Z500:AC500"/>
    <mergeCell ref="B501:I501"/>
    <mergeCell ref="J501:Q501"/>
    <mergeCell ref="R501:Y501"/>
    <mergeCell ref="E502:F502"/>
    <mergeCell ref="M502:N502"/>
    <mergeCell ref="U502:V502"/>
    <mergeCell ref="Z502:AC502"/>
    <mergeCell ref="B482:E482"/>
    <mergeCell ref="J482:M482"/>
    <mergeCell ref="R482:U482"/>
    <mergeCell ref="Z482:AC482"/>
    <mergeCell ref="B484:I486"/>
    <mergeCell ref="Z484:AC484"/>
    <mergeCell ref="Z486:AC486"/>
    <mergeCell ref="Z488:AC488"/>
    <mergeCell ref="Z490:AC490"/>
    <mergeCell ref="F491:G491"/>
    <mergeCell ref="H491:I491"/>
    <mergeCell ref="Z492:AC492"/>
    <mergeCell ref="G493:I493"/>
    <mergeCell ref="Z494:AC494"/>
    <mergeCell ref="B495:E495"/>
    <mergeCell ref="N495:Q495"/>
    <mergeCell ref="B496:E496"/>
    <mergeCell ref="N496:Q496"/>
    <mergeCell ref="Z496:AC496"/>
    <mergeCell ref="B471:I471"/>
    <mergeCell ref="J471:Q471"/>
    <mergeCell ref="R471:Y471"/>
    <mergeCell ref="E472:F472"/>
    <mergeCell ref="M472:N472"/>
    <mergeCell ref="U472:V472"/>
    <mergeCell ref="Z472:AC472"/>
    <mergeCell ref="E473:F473"/>
    <mergeCell ref="L473:O473"/>
    <mergeCell ref="U473:V473"/>
    <mergeCell ref="Z474:AC474"/>
    <mergeCell ref="Z476:AC476"/>
    <mergeCell ref="Z478:AC478"/>
    <mergeCell ref="Z480:AC480"/>
    <mergeCell ref="C481:H481"/>
    <mergeCell ref="K481:P481"/>
    <mergeCell ref="S481:X481"/>
    <mergeCell ref="S477:X477"/>
    <mergeCell ref="S478:X478"/>
    <mergeCell ref="S479:X479"/>
    <mergeCell ref="S475:X475"/>
    <mergeCell ref="S476:X476"/>
    <mergeCell ref="R474:Y474"/>
    <mergeCell ref="G463:I463"/>
    <mergeCell ref="Z464:AC464"/>
    <mergeCell ref="B465:E465"/>
    <mergeCell ref="N465:Q465"/>
    <mergeCell ref="B466:E466"/>
    <mergeCell ref="N466:Q466"/>
    <mergeCell ref="Z466:AC466"/>
    <mergeCell ref="B467:E467"/>
    <mergeCell ref="N467:Q467"/>
    <mergeCell ref="B468:E468"/>
    <mergeCell ref="N468:Q468"/>
    <mergeCell ref="Z468:AC468"/>
    <mergeCell ref="B469:E469"/>
    <mergeCell ref="N469:Q469"/>
    <mergeCell ref="B470:E470"/>
    <mergeCell ref="N470:Q470"/>
    <mergeCell ref="Z470:AC470"/>
    <mergeCell ref="C451:H451"/>
    <mergeCell ref="K451:P451"/>
    <mergeCell ref="S451:X451"/>
    <mergeCell ref="S445:X445"/>
    <mergeCell ref="S446:X446"/>
    <mergeCell ref="B452:E452"/>
    <mergeCell ref="J452:M452"/>
    <mergeCell ref="R452:U452"/>
    <mergeCell ref="Z452:AC452"/>
    <mergeCell ref="B454:I456"/>
    <mergeCell ref="Z454:AC454"/>
    <mergeCell ref="Z456:AC456"/>
    <mergeCell ref="Z458:AC458"/>
    <mergeCell ref="Z460:AC460"/>
    <mergeCell ref="F461:G461"/>
    <mergeCell ref="H461:I461"/>
    <mergeCell ref="Z462:AC462"/>
    <mergeCell ref="S447:X447"/>
    <mergeCell ref="S448:X448"/>
    <mergeCell ref="S449:X449"/>
    <mergeCell ref="B440:E440"/>
    <mergeCell ref="N440:Q440"/>
    <mergeCell ref="Z440:AC440"/>
    <mergeCell ref="B441:I441"/>
    <mergeCell ref="J441:Q441"/>
    <mergeCell ref="R441:Y441"/>
    <mergeCell ref="E442:F442"/>
    <mergeCell ref="M442:N442"/>
    <mergeCell ref="U442:V442"/>
    <mergeCell ref="Z442:AC442"/>
    <mergeCell ref="E443:F443"/>
    <mergeCell ref="L443:O443"/>
    <mergeCell ref="U443:V443"/>
    <mergeCell ref="Z444:AC444"/>
    <mergeCell ref="Z446:AC446"/>
    <mergeCell ref="Z448:AC448"/>
    <mergeCell ref="Z450:AC450"/>
    <mergeCell ref="R444:Y444"/>
    <mergeCell ref="F431:G431"/>
    <mergeCell ref="H431:I431"/>
    <mergeCell ref="Z432:AC432"/>
    <mergeCell ref="G433:I433"/>
    <mergeCell ref="Z434:AC434"/>
    <mergeCell ref="B435:E435"/>
    <mergeCell ref="N435:Q435"/>
    <mergeCell ref="B436:E436"/>
    <mergeCell ref="N436:Q436"/>
    <mergeCell ref="Z436:AC436"/>
    <mergeCell ref="B437:E437"/>
    <mergeCell ref="N437:Q437"/>
    <mergeCell ref="B438:E438"/>
    <mergeCell ref="N438:Q438"/>
    <mergeCell ref="Z438:AC438"/>
    <mergeCell ref="B439:E439"/>
    <mergeCell ref="N439:Q439"/>
    <mergeCell ref="Z418:AC418"/>
    <mergeCell ref="Z420:AC420"/>
    <mergeCell ref="C421:H421"/>
    <mergeCell ref="K421:P421"/>
    <mergeCell ref="S421:X421"/>
    <mergeCell ref="S417:X417"/>
    <mergeCell ref="S418:X418"/>
    <mergeCell ref="S419:X419"/>
    <mergeCell ref="B422:E422"/>
    <mergeCell ref="J422:M422"/>
    <mergeCell ref="R422:U422"/>
    <mergeCell ref="Z422:AC422"/>
    <mergeCell ref="B424:I426"/>
    <mergeCell ref="Z424:AC424"/>
    <mergeCell ref="Z426:AC426"/>
    <mergeCell ref="Z428:AC428"/>
    <mergeCell ref="Z430:AC430"/>
    <mergeCell ref="B409:E409"/>
    <mergeCell ref="N409:Q409"/>
    <mergeCell ref="B410:E410"/>
    <mergeCell ref="N410:Q410"/>
    <mergeCell ref="Z410:AC410"/>
    <mergeCell ref="B411:I411"/>
    <mergeCell ref="J411:Q411"/>
    <mergeCell ref="R411:Y411"/>
    <mergeCell ref="E412:F412"/>
    <mergeCell ref="M412:N412"/>
    <mergeCell ref="U412:V412"/>
    <mergeCell ref="Z412:AC412"/>
    <mergeCell ref="E413:F413"/>
    <mergeCell ref="L413:O413"/>
    <mergeCell ref="U413:V413"/>
    <mergeCell ref="Z414:AC414"/>
    <mergeCell ref="Z416:AC416"/>
    <mergeCell ref="S415:X415"/>
    <mergeCell ref="S416:X416"/>
    <mergeCell ref="R414:Y414"/>
    <mergeCell ref="Z398:AC398"/>
    <mergeCell ref="Z400:AC400"/>
    <mergeCell ref="F401:G401"/>
    <mergeCell ref="H401:I401"/>
    <mergeCell ref="Z402:AC402"/>
    <mergeCell ref="G403:I403"/>
    <mergeCell ref="Z404:AC404"/>
    <mergeCell ref="B405:E405"/>
    <mergeCell ref="N405:Q405"/>
    <mergeCell ref="B406:E406"/>
    <mergeCell ref="N406:Q406"/>
    <mergeCell ref="Z406:AC406"/>
    <mergeCell ref="B407:E407"/>
    <mergeCell ref="N407:Q407"/>
    <mergeCell ref="B408:E408"/>
    <mergeCell ref="N408:Q408"/>
    <mergeCell ref="Z408:AC408"/>
    <mergeCell ref="E383:F383"/>
    <mergeCell ref="L383:O383"/>
    <mergeCell ref="U383:V383"/>
    <mergeCell ref="Z384:AC384"/>
    <mergeCell ref="Z386:AC386"/>
    <mergeCell ref="Z388:AC388"/>
    <mergeCell ref="Z390:AC390"/>
    <mergeCell ref="C391:H391"/>
    <mergeCell ref="K391:P391"/>
    <mergeCell ref="S391:X391"/>
    <mergeCell ref="S385:X385"/>
    <mergeCell ref="S386:X386"/>
    <mergeCell ref="B392:E392"/>
    <mergeCell ref="J392:M392"/>
    <mergeCell ref="R392:U392"/>
    <mergeCell ref="Z392:AC392"/>
    <mergeCell ref="B394:I396"/>
    <mergeCell ref="Z394:AC394"/>
    <mergeCell ref="Z396:AC396"/>
    <mergeCell ref="S387:X387"/>
    <mergeCell ref="S388:X388"/>
    <mergeCell ref="S389:X389"/>
    <mergeCell ref="R384:Y384"/>
    <mergeCell ref="B377:E377"/>
    <mergeCell ref="N377:Q377"/>
    <mergeCell ref="B378:E378"/>
    <mergeCell ref="N378:Q378"/>
    <mergeCell ref="Z378:AC378"/>
    <mergeCell ref="B379:E379"/>
    <mergeCell ref="N379:Q379"/>
    <mergeCell ref="B380:E380"/>
    <mergeCell ref="N380:Q380"/>
    <mergeCell ref="Z380:AC380"/>
    <mergeCell ref="B381:I381"/>
    <mergeCell ref="J381:Q381"/>
    <mergeCell ref="R381:Y381"/>
    <mergeCell ref="E382:F382"/>
    <mergeCell ref="M382:N382"/>
    <mergeCell ref="U382:V382"/>
    <mergeCell ref="Z382:AC382"/>
    <mergeCell ref="B362:E362"/>
    <mergeCell ref="J362:M362"/>
    <mergeCell ref="R362:U362"/>
    <mergeCell ref="Z362:AC362"/>
    <mergeCell ref="B364:I366"/>
    <mergeCell ref="Z364:AC364"/>
    <mergeCell ref="Z366:AC366"/>
    <mergeCell ref="Z368:AC368"/>
    <mergeCell ref="Z370:AC370"/>
    <mergeCell ref="F371:G371"/>
    <mergeCell ref="H371:I371"/>
    <mergeCell ref="Z372:AC372"/>
    <mergeCell ref="G373:I373"/>
    <mergeCell ref="Z374:AC374"/>
    <mergeCell ref="B375:E375"/>
    <mergeCell ref="N375:Q375"/>
    <mergeCell ref="B376:E376"/>
    <mergeCell ref="N376:Q376"/>
    <mergeCell ref="Z376:AC376"/>
    <mergeCell ref="B351:I351"/>
    <mergeCell ref="J351:Q351"/>
    <mergeCell ref="R351:Y351"/>
    <mergeCell ref="E352:F352"/>
    <mergeCell ref="M352:N352"/>
    <mergeCell ref="U352:V352"/>
    <mergeCell ref="Z352:AC352"/>
    <mergeCell ref="E353:F353"/>
    <mergeCell ref="L353:O353"/>
    <mergeCell ref="U353:V353"/>
    <mergeCell ref="Z354:AC354"/>
    <mergeCell ref="Z356:AC356"/>
    <mergeCell ref="Z358:AC358"/>
    <mergeCell ref="Z360:AC360"/>
    <mergeCell ref="C361:H361"/>
    <mergeCell ref="K361:P361"/>
    <mergeCell ref="S361:X361"/>
    <mergeCell ref="S357:X357"/>
    <mergeCell ref="S358:X358"/>
    <mergeCell ref="S359:X359"/>
    <mergeCell ref="S355:X355"/>
    <mergeCell ref="S356:X356"/>
    <mergeCell ref="R354:Y354"/>
    <mergeCell ref="G343:I343"/>
    <mergeCell ref="Z344:AC344"/>
    <mergeCell ref="B345:E345"/>
    <mergeCell ref="N345:Q345"/>
    <mergeCell ref="B346:E346"/>
    <mergeCell ref="N346:Q346"/>
    <mergeCell ref="Z346:AC346"/>
    <mergeCell ref="B347:E347"/>
    <mergeCell ref="N347:Q347"/>
    <mergeCell ref="B348:E348"/>
    <mergeCell ref="N348:Q348"/>
    <mergeCell ref="Z348:AC348"/>
    <mergeCell ref="B349:E349"/>
    <mergeCell ref="N349:Q349"/>
    <mergeCell ref="B350:E350"/>
    <mergeCell ref="N350:Q350"/>
    <mergeCell ref="Z350:AC350"/>
    <mergeCell ref="C331:H331"/>
    <mergeCell ref="K331:P331"/>
    <mergeCell ref="S331:X331"/>
    <mergeCell ref="S325:X325"/>
    <mergeCell ref="S326:X326"/>
    <mergeCell ref="B332:E332"/>
    <mergeCell ref="J332:M332"/>
    <mergeCell ref="R332:U332"/>
    <mergeCell ref="Z332:AC332"/>
    <mergeCell ref="B334:I336"/>
    <mergeCell ref="Z334:AC334"/>
    <mergeCell ref="Z336:AC336"/>
    <mergeCell ref="Z338:AC338"/>
    <mergeCell ref="Z340:AC340"/>
    <mergeCell ref="F341:G341"/>
    <mergeCell ref="H341:I341"/>
    <mergeCell ref="Z342:AC342"/>
    <mergeCell ref="S327:X327"/>
    <mergeCell ref="S328:X328"/>
    <mergeCell ref="S329:X329"/>
    <mergeCell ref="B320:E320"/>
    <mergeCell ref="N320:Q320"/>
    <mergeCell ref="Z320:AC320"/>
    <mergeCell ref="B321:I321"/>
    <mergeCell ref="J321:Q321"/>
    <mergeCell ref="R321:Y321"/>
    <mergeCell ref="E322:F322"/>
    <mergeCell ref="M322:N322"/>
    <mergeCell ref="U322:V322"/>
    <mergeCell ref="Z322:AC322"/>
    <mergeCell ref="E323:F323"/>
    <mergeCell ref="L323:O323"/>
    <mergeCell ref="U323:V323"/>
    <mergeCell ref="Z324:AC324"/>
    <mergeCell ref="Z326:AC326"/>
    <mergeCell ref="Z328:AC328"/>
    <mergeCell ref="Z330:AC330"/>
    <mergeCell ref="R324:Y324"/>
    <mergeCell ref="F311:G311"/>
    <mergeCell ref="H311:I311"/>
    <mergeCell ref="Z312:AC312"/>
    <mergeCell ref="G313:I313"/>
    <mergeCell ref="Z314:AC314"/>
    <mergeCell ref="B315:E315"/>
    <mergeCell ref="N315:Q315"/>
    <mergeCell ref="B316:E316"/>
    <mergeCell ref="N316:Q316"/>
    <mergeCell ref="Z316:AC316"/>
    <mergeCell ref="B317:E317"/>
    <mergeCell ref="N317:Q317"/>
    <mergeCell ref="B318:E318"/>
    <mergeCell ref="N318:Q318"/>
    <mergeCell ref="Z318:AC318"/>
    <mergeCell ref="B319:E319"/>
    <mergeCell ref="N319:Q319"/>
    <mergeCell ref="Z298:AC298"/>
    <mergeCell ref="Z300:AC300"/>
    <mergeCell ref="C301:H301"/>
    <mergeCell ref="K301:P301"/>
    <mergeCell ref="S301:X301"/>
    <mergeCell ref="S297:X297"/>
    <mergeCell ref="S298:X298"/>
    <mergeCell ref="S299:X299"/>
    <mergeCell ref="B302:E302"/>
    <mergeCell ref="J302:M302"/>
    <mergeCell ref="R302:U302"/>
    <mergeCell ref="Z302:AC302"/>
    <mergeCell ref="B304:I306"/>
    <mergeCell ref="Z304:AC304"/>
    <mergeCell ref="Z306:AC306"/>
    <mergeCell ref="Z308:AC308"/>
    <mergeCell ref="Z310:AC310"/>
    <mergeCell ref="B290:E290"/>
    <mergeCell ref="N290:Q290"/>
    <mergeCell ref="Z290:AC290"/>
    <mergeCell ref="B291:I291"/>
    <mergeCell ref="J291:Q291"/>
    <mergeCell ref="R291:Y291"/>
    <mergeCell ref="E292:F292"/>
    <mergeCell ref="M292:N292"/>
    <mergeCell ref="U292:V292"/>
    <mergeCell ref="Z292:AC292"/>
    <mergeCell ref="E293:F293"/>
    <mergeCell ref="L293:O293"/>
    <mergeCell ref="U293:V293"/>
    <mergeCell ref="Z294:AC294"/>
    <mergeCell ref="Z296:AC296"/>
    <mergeCell ref="S295:X295"/>
    <mergeCell ref="S296:X296"/>
    <mergeCell ref="R294:Y294"/>
    <mergeCell ref="Z280:AC280"/>
    <mergeCell ref="F281:G281"/>
    <mergeCell ref="H281:I281"/>
    <mergeCell ref="Z282:AC282"/>
    <mergeCell ref="G283:I283"/>
    <mergeCell ref="Z284:AC284"/>
    <mergeCell ref="B285:E285"/>
    <mergeCell ref="N285:Q285"/>
    <mergeCell ref="B286:E286"/>
    <mergeCell ref="N286:Q286"/>
    <mergeCell ref="Z286:AC286"/>
    <mergeCell ref="B287:E287"/>
    <mergeCell ref="N287:Q287"/>
    <mergeCell ref="B288:E288"/>
    <mergeCell ref="N288:Q288"/>
    <mergeCell ref="Z288:AC288"/>
    <mergeCell ref="B289:E289"/>
    <mergeCell ref="N289:Q289"/>
    <mergeCell ref="Z268:AC268"/>
    <mergeCell ref="Z270:AC270"/>
    <mergeCell ref="C271:H271"/>
    <mergeCell ref="K271:P271"/>
    <mergeCell ref="S271:X271"/>
    <mergeCell ref="S265:X265"/>
    <mergeCell ref="S266:X266"/>
    <mergeCell ref="B272:E272"/>
    <mergeCell ref="J272:M272"/>
    <mergeCell ref="R272:U272"/>
    <mergeCell ref="Z272:AC272"/>
    <mergeCell ref="B274:I276"/>
    <mergeCell ref="Z274:AC274"/>
    <mergeCell ref="Z276:AC276"/>
    <mergeCell ref="S268:X268"/>
    <mergeCell ref="S269:X269"/>
    <mergeCell ref="Z278:AC278"/>
    <mergeCell ref="B259:E259"/>
    <mergeCell ref="N259:Q259"/>
    <mergeCell ref="B260:E260"/>
    <mergeCell ref="N260:Q260"/>
    <mergeCell ref="Z260:AC260"/>
    <mergeCell ref="B261:I261"/>
    <mergeCell ref="J261:Q261"/>
    <mergeCell ref="R261:Y261"/>
    <mergeCell ref="E262:F262"/>
    <mergeCell ref="M262:N262"/>
    <mergeCell ref="U262:V262"/>
    <mergeCell ref="Z262:AC262"/>
    <mergeCell ref="E263:F263"/>
    <mergeCell ref="L263:O263"/>
    <mergeCell ref="U263:V263"/>
    <mergeCell ref="Z264:AC264"/>
    <mergeCell ref="Z266:AC266"/>
    <mergeCell ref="Z248:AC248"/>
    <mergeCell ref="Z250:AC250"/>
    <mergeCell ref="F251:G251"/>
    <mergeCell ref="H251:I251"/>
    <mergeCell ref="Z252:AC252"/>
    <mergeCell ref="G253:I253"/>
    <mergeCell ref="Z254:AC254"/>
    <mergeCell ref="B255:E255"/>
    <mergeCell ref="N255:Q255"/>
    <mergeCell ref="B256:E256"/>
    <mergeCell ref="N256:Q256"/>
    <mergeCell ref="Z256:AC256"/>
    <mergeCell ref="B257:E257"/>
    <mergeCell ref="N257:Q257"/>
    <mergeCell ref="B258:E258"/>
    <mergeCell ref="N258:Q258"/>
    <mergeCell ref="Z258:AC258"/>
    <mergeCell ref="Z234:AC234"/>
    <mergeCell ref="Z236:AC236"/>
    <mergeCell ref="Z238:AC238"/>
    <mergeCell ref="Z240:AC240"/>
    <mergeCell ref="C241:H241"/>
    <mergeCell ref="K241:P241"/>
    <mergeCell ref="S241:X241"/>
    <mergeCell ref="S237:X237"/>
    <mergeCell ref="S238:X238"/>
    <mergeCell ref="S239:X239"/>
    <mergeCell ref="B242:E242"/>
    <mergeCell ref="J242:M242"/>
    <mergeCell ref="R242:U242"/>
    <mergeCell ref="Z242:AC242"/>
    <mergeCell ref="B244:I246"/>
    <mergeCell ref="Z244:AC244"/>
    <mergeCell ref="Z246:AC246"/>
    <mergeCell ref="B228:E228"/>
    <mergeCell ref="N228:Q228"/>
    <mergeCell ref="Z228:AC228"/>
    <mergeCell ref="B229:E229"/>
    <mergeCell ref="N229:Q229"/>
    <mergeCell ref="B230:E230"/>
    <mergeCell ref="N230:Q230"/>
    <mergeCell ref="Z230:AC230"/>
    <mergeCell ref="B231:I231"/>
    <mergeCell ref="J231:Q231"/>
    <mergeCell ref="R231:Y231"/>
    <mergeCell ref="E232:F232"/>
    <mergeCell ref="M232:N232"/>
    <mergeCell ref="U232:V232"/>
    <mergeCell ref="Z232:AC232"/>
    <mergeCell ref="E233:F233"/>
    <mergeCell ref="L233:O233"/>
    <mergeCell ref="U233:V233"/>
    <mergeCell ref="B214:I216"/>
    <mergeCell ref="Z214:AC214"/>
    <mergeCell ref="Z216:AC216"/>
    <mergeCell ref="Z218:AC218"/>
    <mergeCell ref="Z220:AC220"/>
    <mergeCell ref="F221:G221"/>
    <mergeCell ref="H221:I221"/>
    <mergeCell ref="Z222:AC222"/>
    <mergeCell ref="G223:I223"/>
    <mergeCell ref="Z224:AC224"/>
    <mergeCell ref="B225:E225"/>
    <mergeCell ref="N225:Q225"/>
    <mergeCell ref="B226:E226"/>
    <mergeCell ref="N226:Q226"/>
    <mergeCell ref="Z226:AC226"/>
    <mergeCell ref="B227:E227"/>
    <mergeCell ref="N227:Q227"/>
    <mergeCell ref="E202:F202"/>
    <mergeCell ref="M202:N202"/>
    <mergeCell ref="U202:V202"/>
    <mergeCell ref="Z202:AC202"/>
    <mergeCell ref="E203:F203"/>
    <mergeCell ref="L203:O203"/>
    <mergeCell ref="U203:V203"/>
    <mergeCell ref="Z204:AC204"/>
    <mergeCell ref="Z206:AC206"/>
    <mergeCell ref="Z208:AC208"/>
    <mergeCell ref="Z210:AC210"/>
    <mergeCell ref="C211:H211"/>
    <mergeCell ref="K211:P211"/>
    <mergeCell ref="S211:X211"/>
    <mergeCell ref="S205:X205"/>
    <mergeCell ref="S206:X206"/>
    <mergeCell ref="B212:E212"/>
    <mergeCell ref="J212:M212"/>
    <mergeCell ref="R212:U212"/>
    <mergeCell ref="Z212:AC212"/>
    <mergeCell ref="B195:E195"/>
    <mergeCell ref="N195:Q195"/>
    <mergeCell ref="B196:E196"/>
    <mergeCell ref="N196:Q196"/>
    <mergeCell ref="Z196:AC196"/>
    <mergeCell ref="B197:E197"/>
    <mergeCell ref="N197:Q197"/>
    <mergeCell ref="B198:E198"/>
    <mergeCell ref="N198:Q198"/>
    <mergeCell ref="Z198:AC198"/>
    <mergeCell ref="B199:E199"/>
    <mergeCell ref="N199:Q199"/>
    <mergeCell ref="B200:E200"/>
    <mergeCell ref="N200:Q200"/>
    <mergeCell ref="Z200:AC200"/>
    <mergeCell ref="B201:I201"/>
    <mergeCell ref="J201:Q201"/>
    <mergeCell ref="R201:Y201"/>
    <mergeCell ref="B171:I171"/>
    <mergeCell ref="J171:Q171"/>
    <mergeCell ref="R171:Y171"/>
    <mergeCell ref="E172:F172"/>
    <mergeCell ref="M172:N172"/>
    <mergeCell ref="U172:V172"/>
    <mergeCell ref="Z172:AC172"/>
    <mergeCell ref="AD172:AD199"/>
    <mergeCell ref="E173:F173"/>
    <mergeCell ref="L173:O173"/>
    <mergeCell ref="U173:V173"/>
    <mergeCell ref="Z174:AC174"/>
    <mergeCell ref="Z176:AC176"/>
    <mergeCell ref="Z178:AC178"/>
    <mergeCell ref="Z180:AC180"/>
    <mergeCell ref="C181:H181"/>
    <mergeCell ref="K181:P181"/>
    <mergeCell ref="S181:X181"/>
    <mergeCell ref="B182:E182"/>
    <mergeCell ref="J182:M182"/>
    <mergeCell ref="R182:U182"/>
    <mergeCell ref="Z182:AC182"/>
    <mergeCell ref="B184:I186"/>
    <mergeCell ref="Z184:AC184"/>
    <mergeCell ref="Z186:AC186"/>
    <mergeCell ref="Z188:AC188"/>
    <mergeCell ref="Z190:AC190"/>
    <mergeCell ref="F191:G191"/>
    <mergeCell ref="H191:I191"/>
    <mergeCell ref="Z192:AC192"/>
    <mergeCell ref="G193:I193"/>
    <mergeCell ref="Z194:AC194"/>
    <mergeCell ref="Z162:AC162"/>
    <mergeCell ref="G163:I163"/>
    <mergeCell ref="Z164:AC164"/>
    <mergeCell ref="B165:E165"/>
    <mergeCell ref="N165:Q165"/>
    <mergeCell ref="B166:E166"/>
    <mergeCell ref="N166:Q166"/>
    <mergeCell ref="Z166:AC166"/>
    <mergeCell ref="B167:E167"/>
    <mergeCell ref="N167:Q167"/>
    <mergeCell ref="B168:E168"/>
    <mergeCell ref="N168:Q168"/>
    <mergeCell ref="Z168:AC168"/>
    <mergeCell ref="B169:E169"/>
    <mergeCell ref="N169:Q169"/>
    <mergeCell ref="B170:E170"/>
    <mergeCell ref="N170:Q170"/>
    <mergeCell ref="Z170:AC170"/>
    <mergeCell ref="C151:H151"/>
    <mergeCell ref="K151:P151"/>
    <mergeCell ref="S151:X151"/>
    <mergeCell ref="S147:X147"/>
    <mergeCell ref="S148:X148"/>
    <mergeCell ref="S149:X149"/>
    <mergeCell ref="B152:E152"/>
    <mergeCell ref="J152:M152"/>
    <mergeCell ref="R152:U152"/>
    <mergeCell ref="Z152:AC152"/>
    <mergeCell ref="B154:I156"/>
    <mergeCell ref="Z154:AC154"/>
    <mergeCell ref="Z156:AC156"/>
    <mergeCell ref="Z158:AC158"/>
    <mergeCell ref="Z160:AC160"/>
    <mergeCell ref="F161:G161"/>
    <mergeCell ref="H161:I161"/>
    <mergeCell ref="B140:E140"/>
    <mergeCell ref="N140:Q140"/>
    <mergeCell ref="Z140:AC140"/>
    <mergeCell ref="B141:I141"/>
    <mergeCell ref="J141:Q141"/>
    <mergeCell ref="R141:Y141"/>
    <mergeCell ref="E142:F142"/>
    <mergeCell ref="M142:N142"/>
    <mergeCell ref="U142:V142"/>
    <mergeCell ref="Z142:AC142"/>
    <mergeCell ref="E143:F143"/>
    <mergeCell ref="L143:O143"/>
    <mergeCell ref="U143:V143"/>
    <mergeCell ref="Z144:AC144"/>
    <mergeCell ref="Z146:AC146"/>
    <mergeCell ref="Z148:AC148"/>
    <mergeCell ref="Z150:AC150"/>
    <mergeCell ref="Z130:AC130"/>
    <mergeCell ref="F131:G131"/>
    <mergeCell ref="H131:I131"/>
    <mergeCell ref="Z132:AC132"/>
    <mergeCell ref="G133:I133"/>
    <mergeCell ref="Z134:AC134"/>
    <mergeCell ref="B135:E135"/>
    <mergeCell ref="N135:Q135"/>
    <mergeCell ref="B136:E136"/>
    <mergeCell ref="N136:Q136"/>
    <mergeCell ref="Z136:AC136"/>
    <mergeCell ref="B137:E137"/>
    <mergeCell ref="N137:Q137"/>
    <mergeCell ref="B138:E138"/>
    <mergeCell ref="N138:Q138"/>
    <mergeCell ref="Z138:AC138"/>
    <mergeCell ref="B139:E139"/>
    <mergeCell ref="N139:Q139"/>
    <mergeCell ref="Z118:AC118"/>
    <mergeCell ref="Z120:AC120"/>
    <mergeCell ref="C121:H121"/>
    <mergeCell ref="K121:P121"/>
    <mergeCell ref="S121:X121"/>
    <mergeCell ref="S115:X115"/>
    <mergeCell ref="S116:X116"/>
    <mergeCell ref="S117:X117"/>
    <mergeCell ref="B122:E122"/>
    <mergeCell ref="J122:M122"/>
    <mergeCell ref="R122:U122"/>
    <mergeCell ref="Z122:AC122"/>
    <mergeCell ref="R114:Y114"/>
    <mergeCell ref="B124:I126"/>
    <mergeCell ref="Z124:AC124"/>
    <mergeCell ref="Z126:AC126"/>
    <mergeCell ref="Z128:AC128"/>
    <mergeCell ref="B109:E109"/>
    <mergeCell ref="N109:Q109"/>
    <mergeCell ref="B110:E110"/>
    <mergeCell ref="N110:Q110"/>
    <mergeCell ref="Z110:AC110"/>
    <mergeCell ref="B111:I111"/>
    <mergeCell ref="J111:Q111"/>
    <mergeCell ref="R111:Y111"/>
    <mergeCell ref="E112:F112"/>
    <mergeCell ref="M112:N112"/>
    <mergeCell ref="U112:V112"/>
    <mergeCell ref="Z112:AC112"/>
    <mergeCell ref="E113:F113"/>
    <mergeCell ref="L113:O113"/>
    <mergeCell ref="U113:V113"/>
    <mergeCell ref="Z114:AC114"/>
    <mergeCell ref="Z116:AC116"/>
    <mergeCell ref="Z98:AC98"/>
    <mergeCell ref="Z100:AC100"/>
    <mergeCell ref="F101:G101"/>
    <mergeCell ref="H101:I101"/>
    <mergeCell ref="Z102:AC102"/>
    <mergeCell ref="G103:I103"/>
    <mergeCell ref="Z104:AC104"/>
    <mergeCell ref="B105:E105"/>
    <mergeCell ref="N105:Q105"/>
    <mergeCell ref="B106:E106"/>
    <mergeCell ref="N106:Q106"/>
    <mergeCell ref="Z106:AC106"/>
    <mergeCell ref="B107:E107"/>
    <mergeCell ref="N107:Q107"/>
    <mergeCell ref="B108:E108"/>
    <mergeCell ref="N108:Q108"/>
    <mergeCell ref="Z108:AC108"/>
    <mergeCell ref="Z84:AC84"/>
    <mergeCell ref="Z86:AC86"/>
    <mergeCell ref="Z88:AC88"/>
    <mergeCell ref="Z90:AC90"/>
    <mergeCell ref="C91:H91"/>
    <mergeCell ref="K91:P91"/>
    <mergeCell ref="S91:X91"/>
    <mergeCell ref="S87:X87"/>
    <mergeCell ref="S88:X88"/>
    <mergeCell ref="S89:X89"/>
    <mergeCell ref="R84:Y84"/>
    <mergeCell ref="B92:E92"/>
    <mergeCell ref="J92:M92"/>
    <mergeCell ref="R92:U92"/>
    <mergeCell ref="Z92:AC92"/>
    <mergeCell ref="B94:I96"/>
    <mergeCell ref="Z94:AC94"/>
    <mergeCell ref="Z96:AC96"/>
    <mergeCell ref="B78:E78"/>
    <mergeCell ref="N78:Q78"/>
    <mergeCell ref="Z78:AC78"/>
    <mergeCell ref="B79:E79"/>
    <mergeCell ref="N79:Q79"/>
    <mergeCell ref="B80:E80"/>
    <mergeCell ref="N80:Q80"/>
    <mergeCell ref="Z80:AC80"/>
    <mergeCell ref="B81:I81"/>
    <mergeCell ref="J81:Q81"/>
    <mergeCell ref="R81:Y81"/>
    <mergeCell ref="E82:F82"/>
    <mergeCell ref="M82:N82"/>
    <mergeCell ref="U82:V82"/>
    <mergeCell ref="Z82:AC82"/>
    <mergeCell ref="E83:F83"/>
    <mergeCell ref="L83:O83"/>
    <mergeCell ref="U83:V83"/>
    <mergeCell ref="B64:I66"/>
    <mergeCell ref="Z64:AC64"/>
    <mergeCell ref="Z66:AC66"/>
    <mergeCell ref="Z68:AC68"/>
    <mergeCell ref="Z70:AC70"/>
    <mergeCell ref="F71:G71"/>
    <mergeCell ref="H71:I71"/>
    <mergeCell ref="Z72:AC72"/>
    <mergeCell ref="G73:I73"/>
    <mergeCell ref="Z74:AC74"/>
    <mergeCell ref="B75:E75"/>
    <mergeCell ref="N75:Q75"/>
    <mergeCell ref="B76:E76"/>
    <mergeCell ref="N76:Q76"/>
    <mergeCell ref="Z76:AC76"/>
    <mergeCell ref="B77:E77"/>
    <mergeCell ref="N77:Q77"/>
    <mergeCell ref="E53:F53"/>
    <mergeCell ref="L53:O53"/>
    <mergeCell ref="U53:V53"/>
    <mergeCell ref="Z54:AC54"/>
    <mergeCell ref="Z56:AC56"/>
    <mergeCell ref="Z58:AC58"/>
    <mergeCell ref="Z60:AC60"/>
    <mergeCell ref="R54:Y54"/>
    <mergeCell ref="C61:H61"/>
    <mergeCell ref="K61:P61"/>
    <mergeCell ref="S61:X61"/>
    <mergeCell ref="S55:X55"/>
    <mergeCell ref="S56:X56"/>
    <mergeCell ref="S58:X58"/>
    <mergeCell ref="B62:E62"/>
    <mergeCell ref="J62:M62"/>
    <mergeCell ref="R62:U62"/>
    <mergeCell ref="Z62:AC62"/>
    <mergeCell ref="B47:E47"/>
    <mergeCell ref="N47:Q47"/>
    <mergeCell ref="B48:E48"/>
    <mergeCell ref="N48:Q48"/>
    <mergeCell ref="Z48:AC48"/>
    <mergeCell ref="B49:E49"/>
    <mergeCell ref="N49:Q49"/>
    <mergeCell ref="B50:E50"/>
    <mergeCell ref="N50:Q50"/>
    <mergeCell ref="Z50:AC50"/>
    <mergeCell ref="B51:I51"/>
    <mergeCell ref="J51:Q51"/>
    <mergeCell ref="R51:Y51"/>
    <mergeCell ref="E52:F52"/>
    <mergeCell ref="M52:N52"/>
    <mergeCell ref="U52:V52"/>
    <mergeCell ref="Z52:AC52"/>
    <mergeCell ref="B32:E32"/>
    <mergeCell ref="J32:M32"/>
    <mergeCell ref="R32:U32"/>
    <mergeCell ref="Z32:AC32"/>
    <mergeCell ref="B34:I36"/>
    <mergeCell ref="Z34:AC34"/>
    <mergeCell ref="Z36:AC36"/>
    <mergeCell ref="Z38:AC38"/>
    <mergeCell ref="Z40:AC40"/>
    <mergeCell ref="F41:G41"/>
    <mergeCell ref="H41:I41"/>
    <mergeCell ref="Z42:AC42"/>
    <mergeCell ref="G43:I43"/>
    <mergeCell ref="Z44:AC44"/>
    <mergeCell ref="B45:E45"/>
    <mergeCell ref="N45:Q45"/>
    <mergeCell ref="B46:E46"/>
    <mergeCell ref="N46:Q46"/>
    <mergeCell ref="Z46:AC46"/>
    <mergeCell ref="B21:I21"/>
    <mergeCell ref="J21:Q21"/>
    <mergeCell ref="R21:Y21"/>
    <mergeCell ref="E22:F22"/>
    <mergeCell ref="M22:N22"/>
    <mergeCell ref="U22:V22"/>
    <mergeCell ref="Z22:AC22"/>
    <mergeCell ref="D23:G23"/>
    <mergeCell ref="L23:O23"/>
    <mergeCell ref="T23:W23"/>
    <mergeCell ref="Z24:AC24"/>
    <mergeCell ref="Z26:AC26"/>
    <mergeCell ref="Z28:AC28"/>
    <mergeCell ref="Z30:AC30"/>
    <mergeCell ref="C31:H31"/>
    <mergeCell ref="K31:P31"/>
    <mergeCell ref="S31:X31"/>
    <mergeCell ref="R24:Y24"/>
    <mergeCell ref="R174:Y174"/>
    <mergeCell ref="R204:Y204"/>
    <mergeCell ref="R264:Y264"/>
    <mergeCell ref="S59:X59"/>
    <mergeCell ref="S85:X85"/>
    <mergeCell ref="S86:X86"/>
    <mergeCell ref="S118:X118"/>
    <mergeCell ref="B4:I6"/>
    <mergeCell ref="Z4:AC4"/>
    <mergeCell ref="Z6:AC6"/>
    <mergeCell ref="Z8:AC8"/>
    <mergeCell ref="Z10:AC10"/>
    <mergeCell ref="F11:G11"/>
    <mergeCell ref="H11:I11"/>
    <mergeCell ref="Z12:AC12"/>
    <mergeCell ref="G13:I13"/>
    <mergeCell ref="Z14:AC14"/>
    <mergeCell ref="B15:E15"/>
    <mergeCell ref="N15:Q15"/>
    <mergeCell ref="B16:E16"/>
    <mergeCell ref="N16:Q16"/>
    <mergeCell ref="Z16:AC16"/>
    <mergeCell ref="B17:E17"/>
    <mergeCell ref="N17:Q17"/>
    <mergeCell ref="B18:E18"/>
    <mergeCell ref="N18:Q18"/>
    <mergeCell ref="Z18:AC18"/>
    <mergeCell ref="B19:E19"/>
    <mergeCell ref="N19:Q19"/>
    <mergeCell ref="B20:E20"/>
    <mergeCell ref="N20:Q20"/>
    <mergeCell ref="Z20:AC20"/>
  </mergeCells>
  <conditionalFormatting sqref="H12 H40 H68 H96 H124 H152 H180 H208 H236 H264">
    <cfRule type="cellIs" dxfId="783" priority="253" stopIfTrue="1" operator="lessThan">
      <formula>G$12</formula>
    </cfRule>
  </conditionalFormatting>
  <conditionalFormatting sqref="H259 G35:G36 H35 G259:G260 G7:H7 G91:G92 H91 G119:G120 H119 G147:G148 H147 G175:G176 H175 G203:G204 H203 G231:G232 H231 G64">
    <cfRule type="cellIs" dxfId="782" priority="251" stopIfTrue="1" operator="lessThan">
      <formula>F$12</formula>
    </cfRule>
    <cfRule type="cellIs" dxfId="781" priority="252" stopIfTrue="1" operator="equal">
      <formula>0</formula>
    </cfRule>
  </conditionalFormatting>
  <conditionalFormatting sqref="H8 H36 H64 H92 H120 H148 H176 H204 H232 H260">
    <cfRule type="cellIs" dxfId="780" priority="249" stopIfTrue="1" operator="lessThan">
      <formula>G$12</formula>
    </cfRule>
    <cfRule type="cellIs" dxfId="779" priority="250" stopIfTrue="1" operator="equal">
      <formula>0</formula>
    </cfRule>
  </conditionalFormatting>
  <conditionalFormatting sqref="L22 X13 N13:R13 T13:V13 F98:I98 L191:V191 Y63 N179 U67:V67 C65:C66 D64:D66 C84:H84 K84:P84 F128:G130 F42:I42 K28:P28 L280:P280 O37:P37 F70:I70 F72:G74 L161:V161 U39:V39 C56:H56 E148:E154 L71:V71 K56:P56 G279:G280 G103:J103 V252:X252 O65:P65 O93:P93 F126:I126 N67 Y91 U95:V95 C93:C94 D92:D94 C112:H112 S112:X112 I35 O121:P121 R100:S101 N95 Y119 F100:G102 U123:V123 C140:H140 G62 E120:E126 O149:P149 F154:I154 R156:S160 N123 Y147 U151:V151 C149:C150 D148:D150 C152:D153 K168:P168 O177:P177 F156:G158 N151 Y175 F184:G186 K224:P224 C177:C178 D176:D178 C180:D181 K196:P196 E176:E182 X33 X61 G159:G160 Y215 Y217 X173 L221:V221 N207 R185:S188 O205:P205 Y203 N223:V223 C205:C206 D204:D206 S224:X224 E204:E210 X201 G243:M243 N235 R215:S216 O233:P233 F238:I238 Y231 X223 C233:C234 D232:D234 C236:D237 C252:H252 L215:M215 R128:S131 E232:E238 G271:M271 F266:I266 O261:P261 X249 U263:V263 C261:C262 D260:D262 C264:D265 C280:H280 L251:V251 S280:X280 E260:E266 N263 F268:G270 K90:P90 S90:X90 X71 F16:G18 C9:C10 D8:D10 C12:D13 C30:H30 K30:P30 S30:X30 K60:P60 S60:X60 K120:P120 S120:X120 I37 I67 K14 K150:P150 S150:X150 I7 K180:P180 S180:X180 K210:P210 S210:X210 C224:I224 K240:P240 S240:X240 K270:P270 T270:X270 K300:P300 S300:X300 F14:I14 F44:I44 H74:I74 F104:I104 F134:I134 F164:I164 F194:I194 F254:I254 F284:I284 R15:S20 T15:Y19 H17:M17 F49:M50 R44:S50 F79:M80 F109:M110 R135:S140 F169:M170 R169:S170 F199:M200 R197:S200 F229:M230 R225:S230 F289:M290 R285:S290 F259:M260 R255:S260 Y7 AA299 AA27 AA25 AA23 AA15 AA21 AA13 AA11 AA9 AA5 AA19 AA7 AA31 AA33 AA17 AA29 AA57 AA55 AA53 AA45 AA51 AA43 AA41 AA39 AA35 AA49 AA37 AA61 AA63 AA47 AA59 AA87 AA85 AA83 AA75 AA81 AA73 AA71 AA69 AA65 AA79 AA67 AA91 AA93 AA77 AA89 AA117 AA115 AA113 AA105 AA111 AA103 AA101 AA99 AA95 AA109 AA97 AA121 AA123 AA107 AA119 AA177 AA175 AA173 AA165 AA171 AA163 AA161 AA159 AA155 AA169 AA157 AA181 AA183 AA167 AA179 AA147 AA145 AA143 AA135 AA141 AA133 AA131 AA129 AA125 AA139 AA127 AA151 AA153 AA137 AA149 AA207 AA205 AA203 AA195 AA201 AA193 AA191 AA189 AA185 AA199 AA187 AA211 AA213 AA197 AA209 AA237 AA235 AA233 AA225 AA231 AA223 AA221 AA219 AA215 AA229 AA217 AA241 AA243 AA227 AA239 AA267 AA265 AA263 AA255 AA261 AA253 AA251 AA249 AA245 AA259 AA247 AA271 AA273 AA257 AA269 AA297 AA295 AA293 AA285 AA291 AA283 AA281 AA279 AA275 AA289 AA277 AA301 AA303 AA287 F77:M77 F76:G76 F78:G78 F107:M107 F106:G106 F108:G108 F137:M137 F136:G136 F138:G138 F167:M167 F166:G166 C168:H168 F197:M197 C196:H196 F198:G198 F227:M227 F226:G226 F228:G228 F257:M257 F256:G256 F258:G258 F287:M287 F286:G286 F288:G288 F15 F47:M47 F45:G46 F48:G48 F75:M75 F105 F135 F165 F195 F225 F255 F285 K134 Y5 O9:P9 X9 U260 X129 O32 V32 G32 O92 V92 G92 O122 V122 G122 O152 V152 G152 O182 V182 F182:I182 O212 R104:S110 X281 X131 L101:M101 X161 L131:Q131 T131:V131 X191 L159:M159 X221 L187:M187 X251 G131:J131 G159:J159 G187:J187 C60:H60 C90:H90 C120:D125 F120:H120 F150:H150 F180:H180 C208:D210 F210:I210 C240:H240 C270:E270 H270 C300:H300 N133:V133 Y272 E8:E14 R212:S213 S241:S243 R240:R243 Y127 L252 T45:Y49 R73:S80 T75:Y79 T105:Y109 T135:Y139 R165:Y168 T169:Y169 R195:Y196 T197:Y199 T225:Y229 T255:Y259 T285:Y289 C37:C40 D36:D40 C41:D43 E36:E44 C68:D70 C72:D73 E68:E74 C96:D100 C102:D103 E98:E104 C158:D160 C162:D163 E158:E164 C188:D190 C192:D193 E188:E194 F19:M20 C218:D220 C222:D223 E218:E223 C248:D249 U20 U50 U80 U110 T140:X140 U170 U200 U230 M54 K112:P112 X43 N43:R43 T43:V43 K44 Y37 Y35 X39 X73 N73:Q73 T73:V73 K74 X67:Y67 Y65 X69 X103 N103:V103 K104 Y97 Y95 X99 X283 N283:V283 K284 Y277 Y275 X279 X253 N253:V253 K254 Y247 Y245 R268:R272 S270:S272 N39:P39 O69:P69 O99:P99 O129:P129 O249:P249 O279:P279 L310:P310 C310:H310 S310:X310 K330:P330 S330:X330 F314:I314 F319:M320 R315:S320 AA329 AA327 AA325 AA323 AA315 AA321">
    <cfRule type="cellIs" dxfId="778" priority="248" stopIfTrue="1" operator="equal">
      <formula>0</formula>
    </cfRule>
  </conditionalFormatting>
  <conditionalFormatting sqref="C176 C148 C36 C120 C64 C92 C204 C232 C260 C8 C38 C68 C98 C158 C188 C218 C248 C278 C128 C308 C338 C368 C398 C428 C458 C488 C518 C548 C578">
    <cfRule type="cellIs" dxfId="777" priority="247" stopIfTrue="1" operator="equal">
      <formula>0</formula>
    </cfRule>
  </conditionalFormatting>
  <conditionalFormatting sqref="C67:D67 C39:D39 C95:D95 C123:D123 C151:D151 C179:D179 C207:D207 C235:D235 C263:D263 C11:D11 C41:D41 C71:D71 C101:D101 C161:D161 C191:D191 C221:D221 C251:D251 C281:D281 C131:D131 C311:D311 C341:D341 C371:D371 C401:D401 C431:D431 C461:D461 C491:D491 C521:D521 C551:D551 C581:D581">
    <cfRule type="cellIs" dxfId="776" priority="246" stopIfTrue="1" operator="equal">
      <formula>0</formula>
    </cfRule>
  </conditionalFormatting>
  <conditionalFormatting sqref="C70:D70 C42:D42 C98:D98 C126:D126 C154:D154 C182:D182 C210:D210 C238:D238 C266:D266 C14:D14 C44:D44 C74:D74 C100:D100 C104:D104 C160:D160 C164:D164 C190:D190 C194:D194 C220:D220 C224:D224 C250:D250 C254:D254 C280:D280 C284:D284 C130:D130 C134:D134 C310:D310 C314:D314 C340:D340 C344:D344 C370:D370 C374:D374 C400:D400 C404:D404 C430:D430 C434:D434 C460:D460 C464:D464 C490:D490 C494:D494 C520:D520 C524:D524 C550:D550 C554:D554 C580:D580 C584:D584">
    <cfRule type="cellIs" dxfId="775" priority="245" stopIfTrue="1" operator="equal">
      <formula>0</formula>
    </cfRule>
  </conditionalFormatting>
  <conditionalFormatting sqref="H12 H42 H72 H102 H132 H162 H192 H222 H252 H282">
    <cfRule type="cellIs" dxfId="774" priority="244" stopIfTrue="1" operator="lessThan">
      <formula>G$12</formula>
    </cfRule>
  </conditionalFormatting>
  <conditionalFormatting sqref="I9:I10 I39:I40 I69:I70 I99:I100 I129:I130 I159:I160 I189:I190 I219:I220 I249:I250 I279:I280 I309:I310 I339:I340 I369:I370 I399:I400 I429:I430 I459:I460 I489:I490 I519:I520 I549:I550 I579:I580">
    <cfRule type="cellIs" dxfId="773" priority="242" stopIfTrue="1" operator="equal">
      <formula>0</formula>
    </cfRule>
    <cfRule type="cellIs" dxfId="772" priority="243" stopIfTrue="1" operator="equal">
      <formula>#N/A</formula>
    </cfRule>
  </conditionalFormatting>
  <conditionalFormatting sqref="Y129 Y9 K19 K49 K79 K109 K139 K169 K199 K229 K289 K259 N37:O37 N67:O67 N97:O97 N127:O127 N157:O157 N187:O187 N217:O217 N247:O247 N277:O277 G302 W71 G92 W32:Y32 W62:Y62 W92:Y92 W122:Y122 W152:Y152 W182:Y182 W212:Y212 W242:Y242 W272:Y272 W302:Y302 AC15 AC45 AC135 AC165 AC195 AC225 AC285 G259:G260 G242 W131 W161 W191 W221 W251 W281 AC255 G212 G139 AC105 AC75 Y39 Y99 Y279 Y249 Y219 Y189 Y159 Y69 K319 N307:O307 G332 W332:Y332 AC315 W311 Y309 K349 N337:O337 G362 W362:Y362 AC345 W341 Y339 K379 N367:O367 G392 W392:Y392 AC375 W371 Y369 K409 N397:O397 G422 W422:Y422 AC405 W401 Y399 K439 N427:O427 G452 W452:Y452 AC435 W431 Y429 K469 N457:O457 G482 W482:Y482 AC465 W461 Y459 K499 N487:O487 G512 W512:Y512 AC495 W491 Y489 K529 N517:O517 G542 W542:Y542 AC525 W521 Y519 K559 N547:O547 G572 W572:Y572 AC555 W551 Y549 K589 N577:O577 G602 W602:Y602 AC585 W581 Y579">
    <cfRule type="cellIs" dxfId="771" priority="241" stopIfTrue="1" operator="equal">
      <formula>0</formula>
    </cfRule>
  </conditionalFormatting>
  <conditionalFormatting sqref="Y69">
    <cfRule type="cellIs" dxfId="770" priority="238" stopIfTrue="1" operator="equal">
      <formula>0</formula>
    </cfRule>
    <cfRule type="cellIs" dxfId="769" priority="239" stopIfTrue="1" operator="equal">
      <formula>0</formula>
    </cfRule>
    <cfRule type="cellIs" dxfId="768" priority="240" stopIfTrue="1" operator="equal">
      <formula>0</formula>
    </cfRule>
  </conditionalFormatting>
  <conditionalFormatting sqref="H12 H42 H72 H102 H132 H162 H192 H222 H252 H282">
    <cfRule type="cellIs" dxfId="767" priority="237" stopIfTrue="1" operator="lessThan">
      <formula>G$12</formula>
    </cfRule>
  </conditionalFormatting>
  <conditionalFormatting sqref="AC285 AC225 AC165 AC135 AC75 AC45 AC15 AC315 AC345 AC375 AC405 AC435 AC465 AC495 AC525 AC555 AC585">
    <cfRule type="cellIs" dxfId="766" priority="236" stopIfTrue="1" operator="equal">
      <formula>5</formula>
    </cfRule>
  </conditionalFormatting>
  <conditionalFormatting sqref="O5 R5 U5 V7:W7 N7:O7 V9 Y9 O9 W11 U11 S11 M11:Q11 W13 T13 N13 S20 V20 AA19 AA21 G37:G40 H38 I39:I40 G42:H42 G44:I44 S50 V50 AA49 AA51 AA79 G67:G70 H68 I69:I70 G72:H72 G74:I74 S80 V80 AA81 G97:G100 H98 I99:I100 G102:H102 G104:I104 S110 V110 U112:V112 E112:F112 AA111 AA109 Y129 W131 U131 S131 M131:Q131 N133 T133 W133 H128 I129:I130 G132:H132 G134:I134 S140 V140 AA139 AA141 G7:G10 H8 I9:I10 G12:H12 G14:I14 O125 R125 U125 E172:F172 U172:V172 E52:F52 U52:V52 E82:F82 U82:V82 E142:F142 U142:V142 E202:F202 U202:V202 E232:F232 U232:V232 E262:F262 U262:V262 E292:F292 U292:V292 M22:N22 M112:N112 O35 R35 U35 Y39 W41 U41 S41 M41:Q41 W43 T43 N43 O65 R65 U65 Y69 W71 U71 S71 M71:Q71 W73 T73 N73 O95 R95 U95 Y99 W101 U101 S101 M101:Q101 W103 T103 N103 O275 R275 U275 Y279 W281 U281 S281 M281:Q281 W283 T283 N283 O245 R245 U245 Y249 W251 U251 S251 M251:Q251 W253 T253 N253 O215 R215 U215 Y219 W221 U221 S221 M221:Q221 W223 T223 N223 O185 R185 U185 Y189 W191 U191 S191 M191:Q191 W193 T193 N193 O155 R155 U155 Y159 W161 U161 S161 M161:Q161 W163 T163 N163 E22:F22 U22:V22 M52:N52 M82:N82 M142:N142 M172:N172 M202:N202 M232:N232 M262:N262 M292:N292 G127:G130 O39 O69 O99 O129 O159 O189 O219 O249 O279 N37:O37 N67:O67 N97:O97 N127:O127 N157:O157 N187:O187 N217:O217 N247:O247 N277:O277 V37:W37 V67:W67 V97:W97 V127:W127 V157:W157 V187:W187 V217:W217 V247:W247 V277:W277 V39 V69 V99 V129 V159 V189 V219 V249 V279 E322:F322 U322:V322 O305 R305 U305 Y309 W311 U311 S311 M311:Q311 W313 T313 N313 M322:N322 E352:F352 U352:V352 O335 R335 U335 Y339 W341 U341 S341 M341:Q341 W343 T343 N343 M352:N352 E382:F382 U382:V382 O365 R365 U365 Y369 W371 U371 S371 M371:Q371 W373 T373 N373 M382:N382 E412:F412 U412:V412 O395 R395 U395 Y399 W401 U401 S401 M401:Q401 W403 T403 N403 M412:N412 E442:F442 U442:V442 O425 R425 U425 Y429 W431 U431 S431 M431:Q431 W433 T433 N433 M442:N442 E472:F472 U472:V472 O455 R455 U455 Y459 W461 U461 S461 M461:Q461 W463 T463 N463 M472:N472 E502:F502 U502:V502 O485 R485 U485 Y489 W491 U491 S491 M491:Q491 W493 T493 N493 M502:N502 E532:F532 U532:V532 O515 R515 U515 Y519 W521 U521 S521 M521:Q521 W523 T523 N523 M532:N532 E562:F562 U562:V562 O545 R545 U545 Y549 W551 U551 S551 M551:Q551 W553 T553 N553 M562:N562 E592:F592 U592:V592 O575 R575 U575 Y579 W581 U581 S581 M581:Q581 W583 T583 N583 M592:N592 G159:G160 G189:G190 G219:G220 G249:G250 G279:G280 G309:G310 G339:G340 G369:G370 G399:G400 G429:G430 G459:G460 G489:G490 G519:G520 G549:G550 G579:G580 O309 O339 O369 O399 O429 O459 O489 O519 O549 O579 N307:O307 N337:O337 N367:O367 N397:O397 N427:O427 N457:O457 N487:O487 N517:O517 N547:O547 N577:O577 V307:W307 V337:W337 V367:W367 V397:W397 V427:W427 V457:W457 V487:W487 V517:W517 V547:W547 V577:W577 V309 V339 V369 V399 V429 V459 V489 V519 V549 V579">
    <cfRule type="cellIs" dxfId="765" priority="235" stopIfTrue="1" operator="equal">
      <formula>0</formula>
    </cfRule>
  </conditionalFormatting>
  <conditionalFormatting sqref="Y129 Y9 O185 R185 U185 M191:Q191 S191 U191 W191 G187 G189:G190 G188:H188 I189:I190 G192:H192 G194:I194 S200 V200 U202:V202 M202:N202 E202:F202 AA199 AA201 O275 R275 U275 W281 U281 S281 M281:Q281 G277:G280 H278 I279:I280 G282:H282 G284:I284 S290 V290 U292:V292 M292:N292 E292:F292 AA291 AA289 O245 R245 U245 M251:Q251 S251 U251 W251 G247:G250 H248 I249:I250 G252:H252 G254:I254 S260 V260 U262:V262 M262:N262 E262:F262 AA261 AA259 O215 R215 U215 W221 U221 S221 M221:Q221 G217:G220 H218 I219:I220 G222:H222 G224:I224 S230 V230 U232:V232 M232:N232 E232:F232 AA229 AA231 G127 G128:H128 N133 T133 W133 H132 G134:I134 H102 G97 G98:H98 G104:I104 G67 G68:H68 H72 G74:I74 G44:I44 H42 G37 G38:H38 G7 G8:H8 H12 G14:I14 N13 T13 W13 Y39 N43 T43 W43 Y69 N73 T73 W73 Y99 N103 T103 W103 Y279 N283 T283 W283 Y249 N253 T253 W253 Y219 N223 T223 W223 Y189 N193 T193 W193 Y159 N163 T163 W163 C8:D13 C38:D43 C68:D73 C98:D103 C128:D133 C158:D163 C188:D193 C218:D223 C248:D253 C278:D283 O305 R305 U305 W311 U311 S311 M311:Q311 G307:G310 H308 I309:I310 G312:H312 G314:I314 S320 V320 U322:V322 M322:N322 E322:F322 AA321 AA319 Y309 N313 T313 W313 C308:D313 O335 R335 U335 W341 U341 S341 M341:Q341 G337:G340 H338 I339:I340 G342:H342 G344:I344 S350 V350 U352:V352 M352:N352 E352:F352 AA351 AA349 Y339 N343 T343 W343 C338:D343 O365 R365 U365 W371 U371 S371 M371:Q371 G367:G370 H368 I369:I370 G372:H372 G374:I374 S380 V380 U382:V382 M382:N382 E382:F382 AA381 AA379 Y369 N373 T373 W373 C368:D373 O395 R395 U395 W401 U401 S401 M401:Q401 G397:G400 H398 I399:I400 G402:H402 G404:I404 S410 V410 U412:V412 M412:N412 E412:F412 AA411 AA409 Y399 N403 T403 W403 C398:D403 O425 R425 U425 W431 U431 S431 M431:Q431 G427:G430 H428 I429:I430 G432:H432 G434:I434 S440 V440 U442:V442 M442:N442 E442:F442 AA441 AA439 Y429 N433 T433 W433 C428:D433 O455 R455 U455 W461 U461 S461 M461:Q461 G457:G460 H458 I459:I460 G462:H462 G464:I464 S470 V470 U472:V472 M472:N472 E472:F472 AA471 AA469 Y459 N463 T463 W463 C458:D463 O485 R485 U485 W491 U491 S491 M491:Q491 G487:G490 H488 I489:I490 G492:H492 G494:I494 S500 V500 U502:V502 M502:N502 E502:F502 AA501 AA499 Y489 N493 T493 W493 C488:D493 O515 R515 U515 W521 U521 S521 M521:Q521 G517:G520 H518 I519:I520 G522:H522 G524:I524 S530 V530 U532:V532 M532:N532 E532:F532 AA531 AA529 Y519 N523 T523 W523 C518:D523 O545 R545 U545 W551 U551 S551 M551:Q551 G547:G550 H548 I549:I550 G552:H552 G554:I554 S560 V560 U562:V562 M562:N562 E562:F562 AA561 AA559 Y549 N553 T553 W553 C548:D553 O575 R575 U575 W581 U581 S581 M581:Q581 G577:G580 H578 I579:I580 G582:H582 G584:I584 S590 V590 U592:V592 M592:N592 E592:F592 AA591 AA589 Y579 N583 T583 W583 C578:D583 O9 O39 O69 O99 O129 O159 O189 O219 O249 O279 O309 O339 O369 O399 O429 O459 O489 N577:O577 O579 V577:W577 V579:W579 N547:O547 O549 V547:W547 V549:W549 O519 V517:W517 V519:W519 N487:O487 V487:W487 V489:W489 N457:O457 V457:W457 V459:W459 N427:O427 V427:W427 V429:W429 N397:O397 V397:W397 V399:W399 N367:O367 V367:W367 V369:W369 N337:O337 V337:W337 V339:W339 N307:O307 V307:W307 V309:W309 N277:O277 V277:W277 V279:W279 N247:O247 V247:W247 V249:W249 N217:O217 V217:W217 V219:W219 N187:O187 V187:W187 V189:W189 N157:O157 V157:W157 V159:W159 N127:O127 V127:W127 V129:W129 N97:O97 V97:W97 V99:W99 N67:O67 V67:W67 V69:W69 N37:O37 V37:W37 V39:W39 N7:O7 V7:W7 V9:W9 N517:O517">
    <cfRule type="cellIs" dxfId="764" priority="234" stopIfTrue="1" operator="equal">
      <formula>0</formula>
    </cfRule>
  </conditionalFormatting>
  <conditionalFormatting sqref="O155 R155 U155 V157:W157 V159 Y159 N157:O157 O159 M161:Q161 S161 U161 W161 W163 T163 N163 G157 G159:G160 G158:H158 I159:I160 G162:H162 G164:I164 S170 V170 E172:F172 M172:N172 U172:V172 AA169 AA171">
    <cfRule type="cellIs" dxfId="763" priority="233" stopIfTrue="1" operator="equal">
      <formula>0</formula>
    </cfRule>
  </conditionalFormatting>
  <conditionalFormatting sqref="Y9 Y129 Y39 Y69 Y99 Y279 Y249 Y219 Y189 Y159 Y309 Y339 Y369 Y399 Y429 Y459 Y489 Y519 Y549 Y579">
    <cfRule type="cellIs" dxfId="762" priority="232" stopIfTrue="1" operator="equal">
      <formula>0</formula>
    </cfRule>
  </conditionalFormatting>
  <conditionalFormatting sqref="E278:E284 E248:E254 E308:E314 E338:E344 E368:E374 E398:E404 E428:E434 E458:E464 E488:E494 E518:E524 E548:E554 E578:E584">
    <cfRule type="cellIs" dxfId="761" priority="231" stopIfTrue="1" operator="equal">
      <formula>0</formula>
    </cfRule>
  </conditionalFormatting>
  <conditionalFormatting sqref="H312">
    <cfRule type="cellIs" dxfId="760" priority="226" stopIfTrue="1" operator="lessThan">
      <formula>G$12</formula>
    </cfRule>
  </conditionalFormatting>
  <conditionalFormatting sqref="H312">
    <cfRule type="cellIs" dxfId="759" priority="222" stopIfTrue="1" operator="lessThan">
      <formula>G$12</formula>
    </cfRule>
  </conditionalFormatting>
  <conditionalFormatting sqref="H342">
    <cfRule type="cellIs" dxfId="758" priority="212" stopIfTrue="1" operator="lessThan">
      <formula>G$12</formula>
    </cfRule>
  </conditionalFormatting>
  <conditionalFormatting sqref="H342">
    <cfRule type="cellIs" dxfId="757" priority="208" stopIfTrue="1" operator="lessThan">
      <formula>G$12</formula>
    </cfRule>
  </conditionalFormatting>
  <conditionalFormatting sqref="H372">
    <cfRule type="cellIs" dxfId="756" priority="198" stopIfTrue="1" operator="lessThan">
      <formula>G$12</formula>
    </cfRule>
  </conditionalFormatting>
  <conditionalFormatting sqref="H372">
    <cfRule type="cellIs" dxfId="755" priority="194" stopIfTrue="1" operator="lessThan">
      <formula>G$12</formula>
    </cfRule>
  </conditionalFormatting>
  <conditionalFormatting sqref="H402">
    <cfRule type="cellIs" dxfId="754" priority="184" stopIfTrue="1" operator="lessThan">
      <formula>G$12</formula>
    </cfRule>
  </conditionalFormatting>
  <conditionalFormatting sqref="H402">
    <cfRule type="cellIs" dxfId="753" priority="180" stopIfTrue="1" operator="lessThan">
      <formula>G$12</formula>
    </cfRule>
  </conditionalFormatting>
  <conditionalFormatting sqref="H432">
    <cfRule type="cellIs" dxfId="752" priority="170" stopIfTrue="1" operator="lessThan">
      <formula>G$12</formula>
    </cfRule>
  </conditionalFormatting>
  <conditionalFormatting sqref="H432">
    <cfRule type="cellIs" dxfId="751" priority="166" stopIfTrue="1" operator="lessThan">
      <formula>G$12</formula>
    </cfRule>
  </conditionalFormatting>
  <conditionalFormatting sqref="H462">
    <cfRule type="cellIs" dxfId="750" priority="156" stopIfTrue="1" operator="lessThan">
      <formula>G$12</formula>
    </cfRule>
  </conditionalFormatting>
  <conditionalFormatting sqref="H462">
    <cfRule type="cellIs" dxfId="749" priority="152" stopIfTrue="1" operator="lessThan">
      <formula>G$12</formula>
    </cfRule>
  </conditionalFormatting>
  <conditionalFormatting sqref="H492">
    <cfRule type="cellIs" dxfId="748" priority="142" stopIfTrue="1" operator="lessThan">
      <formula>G$12</formula>
    </cfRule>
  </conditionalFormatting>
  <conditionalFormatting sqref="H492">
    <cfRule type="cellIs" dxfId="747" priority="138" stopIfTrue="1" operator="lessThan">
      <formula>G$12</formula>
    </cfRule>
  </conditionalFormatting>
  <conditionalFormatting sqref="H522">
    <cfRule type="cellIs" dxfId="746" priority="128" stopIfTrue="1" operator="lessThan">
      <formula>G$12</formula>
    </cfRule>
  </conditionalFormatting>
  <conditionalFormatting sqref="H522">
    <cfRule type="cellIs" dxfId="745" priority="124" stopIfTrue="1" operator="lessThan">
      <formula>G$12</formula>
    </cfRule>
  </conditionalFormatting>
  <conditionalFormatting sqref="H552">
    <cfRule type="cellIs" dxfId="744" priority="114" stopIfTrue="1" operator="lessThan">
      <formula>G$12</formula>
    </cfRule>
  </conditionalFormatting>
  <conditionalFormatting sqref="H552">
    <cfRule type="cellIs" dxfId="743" priority="110" stopIfTrue="1" operator="lessThan">
      <formula>G$12</formula>
    </cfRule>
  </conditionalFormatting>
  <conditionalFormatting sqref="H582">
    <cfRule type="cellIs" dxfId="742" priority="100" stopIfTrue="1" operator="lessThan">
      <formula>G$12</formula>
    </cfRule>
  </conditionalFormatting>
  <conditionalFormatting sqref="H582">
    <cfRule type="cellIs" dxfId="741" priority="96" stopIfTrue="1" operator="lessThan">
      <formula>G$12</formula>
    </cfRule>
  </conditionalFormatting>
  <conditionalFormatting sqref="N37:O37">
    <cfRule type="cellIs" dxfId="740" priority="1" stopIfTrue="1" operator="equal">
      <formula>0</formula>
    </cfRule>
  </conditionalFormatting>
  <pageMargins left="0.7" right="0.7" top="0.75" bottom="0.75" header="0.3" footer="0.3"/>
  <pageSetup orientation="landscape" horizontalDpi="300" verticalDpi="300" r:id="rId1"/>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BM94"/>
  <sheetViews>
    <sheetView view="pageBreakPreview" topLeftCell="A28" zoomScaleSheetLayoutView="100" workbookViewId="0">
      <selection activeCell="Q23" sqref="Q23:S26"/>
    </sheetView>
  </sheetViews>
  <sheetFormatPr baseColWidth="10" defaultRowHeight="12.75"/>
  <cols>
    <col min="1" max="1" width="0.7109375" style="17" customWidth="1"/>
    <col min="2" max="2" width="1.140625" style="17" customWidth="1"/>
    <col min="3" max="3" width="3.28515625" style="17" customWidth="1"/>
    <col min="4" max="4" width="3.140625" style="17" customWidth="1"/>
    <col min="5" max="5" width="4" style="17" customWidth="1"/>
    <col min="6" max="6" width="1.85546875" style="17" customWidth="1"/>
    <col min="7" max="7" width="5" style="17" customWidth="1"/>
    <col min="8" max="8" width="3.7109375" style="17" customWidth="1"/>
    <col min="9" max="9" width="3.140625" style="17" customWidth="1"/>
    <col min="10" max="10" width="0.85546875" style="17" customWidth="1"/>
    <col min="11" max="28" width="2.5703125" style="17" customWidth="1"/>
    <col min="29" max="29" width="2.28515625" style="17" customWidth="1"/>
    <col min="30" max="38" width="2.85546875" style="17" customWidth="1"/>
    <col min="39" max="56" width="2.42578125" style="17" customWidth="1"/>
    <col min="57" max="57" width="2.85546875" style="17" customWidth="1"/>
    <col min="58" max="58" width="2.140625" style="17" customWidth="1"/>
    <col min="59" max="59" width="2.5703125" style="17" customWidth="1"/>
    <col min="60" max="60" width="1" style="17" customWidth="1"/>
    <col min="61" max="61" width="0.5703125" style="17" customWidth="1"/>
    <col min="62" max="63" width="2.7109375" style="17" customWidth="1"/>
    <col min="64" max="16384" width="11.42578125" style="17"/>
  </cols>
  <sheetData>
    <row r="1" spans="1:65" ht="6" customHeight="1">
      <c r="A1" s="793"/>
      <c r="B1" s="794"/>
      <c r="C1" s="794"/>
      <c r="D1" s="794"/>
      <c r="E1" s="794"/>
      <c r="F1" s="794"/>
      <c r="G1" s="794"/>
      <c r="H1" s="794"/>
      <c r="I1" s="794"/>
      <c r="J1" s="794"/>
      <c r="K1" s="794"/>
      <c r="L1" s="794"/>
      <c r="M1" s="794"/>
      <c r="N1" s="794"/>
      <c r="O1" s="794"/>
      <c r="P1" s="794"/>
      <c r="Q1" s="794"/>
      <c r="R1" s="794"/>
      <c r="S1" s="794"/>
      <c r="T1" s="794"/>
      <c r="U1" s="794"/>
      <c r="V1" s="794"/>
      <c r="W1" s="795"/>
      <c r="X1" s="794"/>
      <c r="Y1" s="794"/>
      <c r="Z1" s="794"/>
      <c r="AA1" s="796"/>
      <c r="AB1" s="794"/>
      <c r="AC1" s="796"/>
      <c r="AD1" s="794"/>
      <c r="AE1" s="797" t="s">
        <v>763</v>
      </c>
      <c r="AF1" s="794"/>
      <c r="AG1" s="794"/>
      <c r="AH1" s="794"/>
      <c r="AI1" s="794"/>
      <c r="AJ1" s="794"/>
      <c r="AK1" s="794"/>
      <c r="AL1" s="794"/>
      <c r="AM1" s="794"/>
      <c r="AN1" s="794"/>
      <c r="AO1" s="794"/>
      <c r="AP1" s="794"/>
      <c r="AQ1" s="1792"/>
      <c r="AR1" s="1792"/>
      <c r="AS1" s="1792"/>
      <c r="AT1" s="1792"/>
      <c r="AU1" s="1792"/>
      <c r="AV1" s="1792"/>
      <c r="AW1" s="1792"/>
      <c r="AX1" s="1792"/>
      <c r="AY1" s="794"/>
      <c r="AZ1" s="794"/>
      <c r="BA1" s="794"/>
      <c r="BB1" s="794"/>
      <c r="BC1" s="794"/>
      <c r="BD1" s="794"/>
      <c r="BE1" s="794"/>
      <c r="BF1" s="794"/>
      <c r="BG1" s="794"/>
      <c r="BH1" s="794"/>
      <c r="BI1" s="44"/>
      <c r="BL1" s="27"/>
      <c r="BM1" s="27"/>
    </row>
    <row r="2" spans="1:65" s="417" customFormat="1" ht="12" customHeight="1">
      <c r="A2" s="798"/>
      <c r="B2" s="799"/>
      <c r="C2" s="799"/>
      <c r="D2" s="799"/>
      <c r="E2" s="799"/>
      <c r="F2" s="799"/>
      <c r="G2" s="799"/>
      <c r="H2" s="799"/>
      <c r="I2" s="799"/>
      <c r="J2" s="799"/>
      <c r="K2" s="799"/>
      <c r="L2" s="799"/>
      <c r="M2" s="799"/>
      <c r="N2" s="799"/>
      <c r="O2" s="799"/>
      <c r="P2" s="799"/>
      <c r="Q2" s="799"/>
      <c r="R2" s="799"/>
      <c r="S2" s="799"/>
      <c r="T2" s="799"/>
      <c r="U2" s="799"/>
      <c r="V2" s="799"/>
      <c r="W2" s="800"/>
      <c r="X2" s="799"/>
      <c r="Y2" s="799"/>
      <c r="Z2" s="799"/>
      <c r="AA2" s="801"/>
      <c r="AB2" s="799"/>
      <c r="AC2" s="801"/>
      <c r="AD2" s="799"/>
      <c r="AE2" s="802" t="s">
        <v>1683</v>
      </c>
      <c r="AF2" s="799"/>
      <c r="AG2" s="799"/>
      <c r="AH2" s="799"/>
      <c r="AI2" s="799"/>
      <c r="AJ2" s="799"/>
      <c r="AK2" s="799"/>
      <c r="AL2" s="799"/>
      <c r="AM2" s="799"/>
      <c r="AN2" s="799"/>
      <c r="AO2" s="799"/>
      <c r="AP2" s="799"/>
      <c r="AQ2" s="1793"/>
      <c r="AR2" s="1793"/>
      <c r="AS2" s="2078" t="s">
        <v>69</v>
      </c>
      <c r="AT2" s="2078" t="s">
        <v>78</v>
      </c>
      <c r="AU2" s="2078" t="s">
        <v>69</v>
      </c>
      <c r="AV2" s="2078">
        <v>0</v>
      </c>
      <c r="AW2" s="2079"/>
      <c r="AX2" s="2079"/>
      <c r="AY2" s="2079"/>
      <c r="AZ2" s="2079"/>
      <c r="BA2" s="2080" t="str">
        <f>'VISITA DE INSP.'!AE6</f>
        <v>VESPERTINO</v>
      </c>
      <c r="BB2" s="799"/>
      <c r="BC2" s="799"/>
      <c r="BD2" s="799"/>
      <c r="BE2" s="799"/>
      <c r="BF2" s="2571"/>
      <c r="BG2" s="2570" t="s">
        <v>1778</v>
      </c>
      <c r="BH2" s="2572"/>
      <c r="BI2" s="163"/>
      <c r="BL2" s="1441"/>
      <c r="BM2" s="1441"/>
    </row>
    <row r="3" spans="1:65" s="417" customFormat="1" ht="12" customHeight="1">
      <c r="A3" s="798"/>
      <c r="B3" s="799"/>
      <c r="C3" s="799"/>
      <c r="D3" s="799"/>
      <c r="E3" s="799"/>
      <c r="F3" s="799"/>
      <c r="G3" s="799"/>
      <c r="H3" s="799"/>
      <c r="I3" s="799"/>
      <c r="J3" s="799"/>
      <c r="K3" s="799"/>
      <c r="L3" s="799"/>
      <c r="M3" s="799"/>
      <c r="N3" s="799"/>
      <c r="O3" s="799"/>
      <c r="P3" s="799"/>
      <c r="Q3" s="799"/>
      <c r="R3" s="799"/>
      <c r="S3" s="799"/>
      <c r="T3" s="799"/>
      <c r="U3" s="799"/>
      <c r="V3" s="799"/>
      <c r="W3" s="800"/>
      <c r="X3" s="799"/>
      <c r="Y3" s="799"/>
      <c r="Z3" s="799"/>
      <c r="AA3" s="801"/>
      <c r="AB3" s="799"/>
      <c r="AC3" s="801"/>
      <c r="AD3" s="799"/>
      <c r="AE3" s="803" t="s">
        <v>824</v>
      </c>
      <c r="AF3" s="799"/>
      <c r="AG3" s="799"/>
      <c r="AH3" s="799"/>
      <c r="AI3" s="799"/>
      <c r="AJ3" s="799"/>
      <c r="AK3" s="799"/>
      <c r="AL3" s="799"/>
      <c r="AM3" s="799"/>
      <c r="AN3" s="799"/>
      <c r="AO3" s="799"/>
      <c r="AP3" s="799"/>
      <c r="AQ3" s="1793"/>
      <c r="AR3" s="1793"/>
      <c r="AS3" s="2078" t="s">
        <v>77</v>
      </c>
      <c r="AT3" s="2078">
        <v>0</v>
      </c>
      <c r="AU3" s="2078" t="s">
        <v>77</v>
      </c>
      <c r="AV3" s="2078" t="s">
        <v>78</v>
      </c>
      <c r="AW3" s="2079"/>
      <c r="AX3" s="2079"/>
      <c r="AY3" s="2079"/>
      <c r="AZ3" s="2079"/>
      <c r="BA3" s="2080" t="str">
        <f>'VISITA DE INSP.'!AE7</f>
        <v>MATUTINO</v>
      </c>
      <c r="BB3" s="3970"/>
      <c r="BC3" s="3971"/>
      <c r="BD3" s="799"/>
      <c r="BE3" s="799"/>
      <c r="BF3" s="799"/>
      <c r="BG3" s="2570"/>
      <c r="BH3" s="799"/>
      <c r="BI3" s="163"/>
      <c r="BL3" s="1441"/>
      <c r="BM3" s="1441"/>
    </row>
    <row r="4" spans="1:65" s="417" customFormat="1" ht="12" customHeight="1">
      <c r="A4" s="798"/>
      <c r="B4" s="799"/>
      <c r="C4" s="799"/>
      <c r="D4" s="799"/>
      <c r="E4" s="799"/>
      <c r="F4" s="799"/>
      <c r="G4" s="799"/>
      <c r="H4" s="799"/>
      <c r="I4" s="799"/>
      <c r="J4" s="799"/>
      <c r="K4" s="799"/>
      <c r="L4" s="799"/>
      <c r="M4" s="799"/>
      <c r="N4" s="799"/>
      <c r="O4" s="799"/>
      <c r="P4" s="799"/>
      <c r="Q4" s="799"/>
      <c r="R4" s="799"/>
      <c r="S4" s="799"/>
      <c r="T4" s="799"/>
      <c r="U4" s="799"/>
      <c r="V4" s="799"/>
      <c r="W4" s="804"/>
      <c r="X4" s="799"/>
      <c r="Y4" s="801"/>
      <c r="Z4" s="799"/>
      <c r="AA4" s="805"/>
      <c r="AB4" s="801"/>
      <c r="AC4" s="801"/>
      <c r="AD4" s="801"/>
      <c r="AE4" s="801"/>
      <c r="AF4" s="806" t="s">
        <v>514</v>
      </c>
      <c r="AG4" s="3972">
        <v>2011</v>
      </c>
      <c r="AH4" s="3973"/>
      <c r="AI4" s="3972">
        <f>AG4+1</f>
        <v>2012</v>
      </c>
      <c r="AJ4" s="3973"/>
      <c r="AK4" s="799"/>
      <c r="AL4" s="799"/>
      <c r="AM4" s="799"/>
      <c r="AN4" s="799"/>
      <c r="AO4" s="799"/>
      <c r="AP4" s="799"/>
      <c r="AQ4" s="1793"/>
      <c r="AR4" s="1793"/>
      <c r="AS4" s="1793"/>
      <c r="AT4" s="1793"/>
      <c r="AU4" s="1793"/>
      <c r="AV4" s="1793"/>
      <c r="AW4" s="1793"/>
      <c r="AX4" s="1793"/>
      <c r="AY4" s="799"/>
      <c r="AZ4" s="799"/>
      <c r="BA4" s="799"/>
      <c r="BB4" s="799"/>
      <c r="BC4" s="799"/>
      <c r="BD4" s="799"/>
      <c r="BE4" s="799"/>
      <c r="BF4" s="799"/>
      <c r="BG4" s="799"/>
      <c r="BH4" s="799"/>
      <c r="BI4" s="163"/>
      <c r="BL4" s="1441"/>
      <c r="BM4" s="1441"/>
    </row>
    <row r="5" spans="1:65" ht="3.95" customHeight="1">
      <c r="A5" s="793"/>
      <c r="B5" s="794"/>
      <c r="C5" s="794"/>
      <c r="D5" s="794"/>
      <c r="E5" s="794"/>
      <c r="F5" s="794"/>
      <c r="G5" s="794"/>
      <c r="H5" s="794"/>
      <c r="I5" s="794"/>
      <c r="J5" s="794"/>
      <c r="K5" s="794"/>
      <c r="L5" s="794"/>
      <c r="M5" s="794"/>
      <c r="N5" s="794"/>
      <c r="O5" s="794"/>
      <c r="P5" s="794"/>
      <c r="Q5" s="794"/>
      <c r="R5" s="794"/>
      <c r="S5" s="794"/>
      <c r="T5" s="794"/>
      <c r="U5" s="794"/>
      <c r="V5" s="794"/>
      <c r="W5" s="794"/>
      <c r="X5" s="794"/>
      <c r="Y5" s="794"/>
      <c r="Z5" s="794"/>
      <c r="AA5" s="794"/>
      <c r="AB5" s="794"/>
      <c r="AC5" s="794"/>
      <c r="AD5" s="807"/>
      <c r="AE5" s="794"/>
      <c r="AF5" s="794"/>
      <c r="AG5" s="794"/>
      <c r="AH5" s="794"/>
      <c r="AI5" s="794"/>
      <c r="AJ5" s="794"/>
      <c r="AK5" s="794"/>
      <c r="AL5" s="794"/>
      <c r="AM5" s="794"/>
      <c r="AN5" s="794"/>
      <c r="AO5" s="794"/>
      <c r="AP5" s="794"/>
      <c r="AQ5" s="794"/>
      <c r="AR5" s="794"/>
      <c r="AS5" s="794"/>
      <c r="AT5" s="794"/>
      <c r="AU5" s="794"/>
      <c r="AV5" s="794"/>
      <c r="AW5" s="794"/>
      <c r="AX5" s="794"/>
      <c r="AY5" s="794"/>
      <c r="AZ5" s="1796"/>
      <c r="BA5" s="821"/>
      <c r="BB5" s="821"/>
      <c r="BC5" s="821"/>
      <c r="BD5" s="821"/>
      <c r="BE5" s="794"/>
      <c r="BF5" s="821"/>
      <c r="BG5" s="1796"/>
      <c r="BH5" s="794"/>
      <c r="BI5" s="44"/>
      <c r="BL5" s="27"/>
      <c r="BM5" s="27"/>
    </row>
    <row r="6" spans="1:65" ht="11.1" customHeight="1">
      <c r="A6" s="793"/>
      <c r="B6" s="808"/>
      <c r="C6" s="1024" t="s">
        <v>180</v>
      </c>
      <c r="D6" s="809"/>
      <c r="E6" s="809"/>
      <c r="F6" s="809"/>
      <c r="G6" s="808"/>
      <c r="H6" s="808"/>
      <c r="I6" s="810"/>
      <c r="J6" s="3974" t="str">
        <f>'VISITA DE INSP.'!E7</f>
        <v>KABAH</v>
      </c>
      <c r="K6" s="3975"/>
      <c r="L6" s="3975"/>
      <c r="M6" s="3975"/>
      <c r="N6" s="3975"/>
      <c r="O6" s="3975"/>
      <c r="P6" s="3975"/>
      <c r="Q6" s="3975"/>
      <c r="R6" s="3975"/>
      <c r="S6" s="3975"/>
      <c r="T6" s="3975"/>
      <c r="U6" s="3975"/>
      <c r="V6" s="3976"/>
      <c r="W6" s="808"/>
      <c r="X6" s="808"/>
      <c r="Y6" s="808"/>
      <c r="Z6" s="808"/>
      <c r="AA6" s="794"/>
      <c r="AB6" s="808"/>
      <c r="AC6" s="794"/>
      <c r="AD6" s="1022" t="s">
        <v>19</v>
      </c>
      <c r="AE6" s="3974" t="str">
        <f>'VISITA DE INSP.'!V7</f>
        <v>23DPR0055K</v>
      </c>
      <c r="AF6" s="3975"/>
      <c r="AG6" s="3975"/>
      <c r="AH6" s="3975"/>
      <c r="AI6" s="3975"/>
      <c r="AJ6" s="3975"/>
      <c r="AK6" s="3975"/>
      <c r="AL6" s="3975"/>
      <c r="AM6" s="3976"/>
      <c r="AN6" s="811"/>
      <c r="AO6" s="796"/>
      <c r="AP6" s="808"/>
      <c r="AQ6" s="808"/>
      <c r="AR6" s="808"/>
      <c r="AS6" s="1838" t="s">
        <v>373</v>
      </c>
      <c r="AT6" s="796"/>
      <c r="AU6" s="808"/>
      <c r="AV6" s="808"/>
      <c r="AW6" s="808"/>
      <c r="AX6" s="808"/>
      <c r="AY6" s="817"/>
      <c r="AZ6" s="1108"/>
      <c r="BA6" s="796"/>
      <c r="BB6" s="1838" t="s">
        <v>1656</v>
      </c>
      <c r="BC6" s="828"/>
      <c r="BD6" s="796"/>
      <c r="BE6" s="1840" t="s">
        <v>1655</v>
      </c>
      <c r="BF6" s="3912" t="s">
        <v>78</v>
      </c>
      <c r="BG6" s="3913"/>
      <c r="BH6" s="818"/>
      <c r="BI6" s="44"/>
      <c r="BL6" s="27"/>
      <c r="BM6" s="27"/>
    </row>
    <row r="7" spans="1:65" ht="3.95" customHeight="1">
      <c r="A7" s="793"/>
      <c r="B7" s="808"/>
      <c r="C7" s="1023"/>
      <c r="D7" s="794"/>
      <c r="E7" s="794"/>
      <c r="F7" s="794"/>
      <c r="G7" s="808"/>
      <c r="H7" s="808"/>
      <c r="I7" s="813"/>
      <c r="J7" s="814"/>
      <c r="K7" s="814"/>
      <c r="L7" s="814"/>
      <c r="M7" s="814"/>
      <c r="N7" s="814"/>
      <c r="O7" s="814"/>
      <c r="P7" s="814"/>
      <c r="Q7" s="814"/>
      <c r="R7" s="814"/>
      <c r="S7" s="814"/>
      <c r="T7" s="814"/>
      <c r="U7" s="814"/>
      <c r="V7" s="814"/>
      <c r="W7" s="808"/>
      <c r="X7" s="808"/>
      <c r="Y7" s="808"/>
      <c r="Z7" s="808"/>
      <c r="AA7" s="794"/>
      <c r="AB7" s="808"/>
      <c r="AC7" s="794"/>
      <c r="AD7" s="1023"/>
      <c r="AE7" s="815"/>
      <c r="AF7" s="815"/>
      <c r="AG7" s="815"/>
      <c r="AH7" s="815"/>
      <c r="AI7" s="815"/>
      <c r="AJ7" s="815"/>
      <c r="AK7" s="816"/>
      <c r="AL7" s="816"/>
      <c r="AM7" s="807"/>
      <c r="AN7" s="794"/>
      <c r="AO7" s="794"/>
      <c r="AP7" s="794"/>
      <c r="AQ7" s="794"/>
      <c r="AR7" s="821"/>
      <c r="AS7" s="821"/>
      <c r="AT7" s="796"/>
      <c r="AU7" s="821"/>
      <c r="AV7" s="820"/>
      <c r="AW7" s="820"/>
      <c r="AX7" s="820"/>
      <c r="AY7" s="817"/>
      <c r="AZ7" s="1108"/>
      <c r="BA7" s="829"/>
      <c r="BB7" s="796"/>
      <c r="BC7" s="828"/>
      <c r="BD7" s="796"/>
      <c r="BE7" s="1840"/>
      <c r="BF7" s="1822"/>
      <c r="BG7" s="1822"/>
      <c r="BH7" s="794"/>
      <c r="BI7" s="44"/>
      <c r="BL7" s="27"/>
      <c r="BM7" s="27"/>
    </row>
    <row r="8" spans="1:65" ht="11.1" customHeight="1">
      <c r="A8" s="793"/>
      <c r="B8" s="808"/>
      <c r="C8" s="1024" t="s">
        <v>437</v>
      </c>
      <c r="D8" s="809"/>
      <c r="E8" s="809"/>
      <c r="F8" s="3974" t="str">
        <f>'VISITA DE INSP.'!M9</f>
        <v>SM-48 C-OCOSINGO CON OCOTEPEC</v>
      </c>
      <c r="G8" s="3975"/>
      <c r="H8" s="3975"/>
      <c r="I8" s="3975"/>
      <c r="J8" s="3975"/>
      <c r="K8" s="3975"/>
      <c r="L8" s="3975"/>
      <c r="M8" s="3975"/>
      <c r="N8" s="3975"/>
      <c r="O8" s="3975"/>
      <c r="P8" s="3975"/>
      <c r="Q8" s="3975"/>
      <c r="R8" s="3975"/>
      <c r="S8" s="3975"/>
      <c r="T8" s="3975"/>
      <c r="U8" s="3975"/>
      <c r="V8" s="3976"/>
      <c r="W8" s="808"/>
      <c r="X8" s="808"/>
      <c r="Y8" s="808"/>
      <c r="Z8" s="808"/>
      <c r="AA8" s="794"/>
      <c r="AB8" s="808"/>
      <c r="AC8" s="794"/>
      <c r="AD8" s="1022" t="s">
        <v>40</v>
      </c>
      <c r="AE8" s="3974">
        <f>'VISITA DE INSP.'!B9</f>
        <v>2</v>
      </c>
      <c r="AF8" s="3975"/>
      <c r="AG8" s="3975"/>
      <c r="AH8" s="3975"/>
      <c r="AI8" s="3975"/>
      <c r="AJ8" s="3975"/>
      <c r="AK8" s="3975"/>
      <c r="AL8" s="3975"/>
      <c r="AM8" s="3976"/>
      <c r="AN8" s="812"/>
      <c r="AO8" s="796"/>
      <c r="AP8" s="808"/>
      <c r="AQ8" s="2081"/>
      <c r="AR8" s="1841"/>
      <c r="AS8" s="2082" t="s">
        <v>39</v>
      </c>
      <c r="AT8" s="3912" t="str">
        <f>LOOKUP(BA3,AS2:AT3)</f>
        <v>X</v>
      </c>
      <c r="AU8" s="3938"/>
      <c r="AV8" s="829"/>
      <c r="AW8" s="796"/>
      <c r="AX8" s="796"/>
      <c r="AY8" s="1834"/>
      <c r="AZ8" s="1108"/>
      <c r="BA8" s="829"/>
      <c r="BB8" s="796"/>
      <c r="BC8" s="828"/>
      <c r="BD8" s="796"/>
      <c r="BE8" s="1840" t="s">
        <v>1662</v>
      </c>
      <c r="BF8" s="3926"/>
      <c r="BG8" s="3913"/>
      <c r="BH8" s="818"/>
      <c r="BI8" s="44"/>
      <c r="BL8" s="27"/>
      <c r="BM8" s="27"/>
    </row>
    <row r="9" spans="1:65" ht="3.95" customHeight="1">
      <c r="A9" s="793"/>
      <c r="B9" s="808"/>
      <c r="C9" s="1023"/>
      <c r="D9" s="808"/>
      <c r="E9" s="808"/>
      <c r="F9" s="816"/>
      <c r="G9" s="816"/>
      <c r="H9" s="816"/>
      <c r="I9" s="815"/>
      <c r="J9" s="815"/>
      <c r="K9" s="815"/>
      <c r="L9" s="815"/>
      <c r="M9" s="815"/>
      <c r="N9" s="815"/>
      <c r="O9" s="815"/>
      <c r="P9" s="815"/>
      <c r="Q9" s="815"/>
      <c r="R9" s="815"/>
      <c r="S9" s="815"/>
      <c r="T9" s="815"/>
      <c r="U9" s="815"/>
      <c r="V9" s="815"/>
      <c r="W9" s="808"/>
      <c r="X9" s="808"/>
      <c r="Y9" s="808"/>
      <c r="Z9" s="808"/>
      <c r="AA9" s="794"/>
      <c r="AB9" s="808"/>
      <c r="AC9" s="794"/>
      <c r="AD9" s="1023"/>
      <c r="AE9" s="815"/>
      <c r="AF9" s="815"/>
      <c r="AG9" s="815"/>
      <c r="AH9" s="815"/>
      <c r="AI9" s="815"/>
      <c r="AJ9" s="815"/>
      <c r="AK9" s="816"/>
      <c r="AL9" s="807"/>
      <c r="AM9" s="807"/>
      <c r="AN9" s="808"/>
      <c r="AO9" s="808"/>
      <c r="AP9" s="808"/>
      <c r="AQ9" s="2081"/>
      <c r="AR9" s="1841"/>
      <c r="AS9" s="1841"/>
      <c r="AT9" s="2083"/>
      <c r="AU9" s="2084"/>
      <c r="AV9" s="829"/>
      <c r="AW9" s="796"/>
      <c r="AX9" s="796"/>
      <c r="AY9" s="819"/>
      <c r="AZ9" s="829"/>
      <c r="BA9" s="829"/>
      <c r="BB9" s="796"/>
      <c r="BC9" s="828"/>
      <c r="BD9" s="796"/>
      <c r="BE9" s="1840"/>
      <c r="BF9" s="1822"/>
      <c r="BG9" s="1822"/>
      <c r="BH9" s="794"/>
      <c r="BI9" s="44"/>
      <c r="BL9" s="27"/>
      <c r="BM9" s="27"/>
    </row>
    <row r="10" spans="1:65" ht="11.1" customHeight="1">
      <c r="A10" s="793"/>
      <c r="B10" s="808"/>
      <c r="C10" s="1024" t="s">
        <v>764</v>
      </c>
      <c r="D10" s="809"/>
      <c r="E10" s="809"/>
      <c r="F10" s="3974" t="str">
        <f>'VISITA DE INSP.'!E9</f>
        <v>BENITO JUAREZ</v>
      </c>
      <c r="G10" s="3975"/>
      <c r="H10" s="3975"/>
      <c r="I10" s="3975"/>
      <c r="J10" s="3975"/>
      <c r="K10" s="3975"/>
      <c r="L10" s="3975"/>
      <c r="M10" s="3975"/>
      <c r="N10" s="3975"/>
      <c r="O10" s="3975"/>
      <c r="P10" s="3975"/>
      <c r="Q10" s="3975"/>
      <c r="R10" s="3975"/>
      <c r="S10" s="3975"/>
      <c r="T10" s="3975"/>
      <c r="U10" s="3975"/>
      <c r="V10" s="3976"/>
      <c r="W10" s="808"/>
      <c r="X10" s="808"/>
      <c r="Y10" s="808"/>
      <c r="Z10" s="808"/>
      <c r="AA10" s="794"/>
      <c r="AB10" s="808"/>
      <c r="AC10" s="794"/>
      <c r="AD10" s="1022" t="s">
        <v>42</v>
      </c>
      <c r="AE10" s="3974" t="str">
        <f>'VISITA DE INSP.'!K9</f>
        <v>042</v>
      </c>
      <c r="AF10" s="3975"/>
      <c r="AG10" s="3975"/>
      <c r="AH10" s="3975"/>
      <c r="AI10" s="3975"/>
      <c r="AJ10" s="3975"/>
      <c r="AK10" s="3975"/>
      <c r="AL10" s="3975"/>
      <c r="AM10" s="3976"/>
      <c r="AN10" s="819"/>
      <c r="AO10" s="812"/>
      <c r="AP10" s="808"/>
      <c r="AQ10" s="2081"/>
      <c r="AR10" s="1841"/>
      <c r="AS10" s="2082" t="s">
        <v>41</v>
      </c>
      <c r="AT10" s="3912">
        <f>LOOKUP(BA3,AU2:AV3)</f>
        <v>0</v>
      </c>
      <c r="AU10" s="3938"/>
      <c r="AV10" s="829"/>
      <c r="AW10" s="796"/>
      <c r="AX10" s="796"/>
      <c r="AY10" s="1834"/>
      <c r="AZ10" s="1789"/>
      <c r="BA10" s="829"/>
      <c r="BB10" s="796"/>
      <c r="BC10" s="828"/>
      <c r="BD10" s="796"/>
      <c r="BE10" s="1840" t="s">
        <v>1654</v>
      </c>
      <c r="BF10" s="3926"/>
      <c r="BG10" s="3913"/>
      <c r="BH10" s="818"/>
      <c r="BI10" s="44"/>
      <c r="BL10" s="27"/>
      <c r="BM10" s="27"/>
    </row>
    <row r="11" spans="1:65" ht="3.75" customHeight="1">
      <c r="A11" s="793"/>
      <c r="B11" s="820"/>
      <c r="C11" s="1823"/>
      <c r="D11" s="1824"/>
      <c r="E11" s="1824"/>
      <c r="F11" s="1825"/>
      <c r="G11" s="1826"/>
      <c r="H11" s="1826"/>
      <c r="I11" s="1826"/>
      <c r="J11" s="1826"/>
      <c r="K11" s="1826"/>
      <c r="L11" s="1826"/>
      <c r="M11" s="1826"/>
      <c r="N11" s="1826"/>
      <c r="O11" s="1826"/>
      <c r="P11" s="1826"/>
      <c r="Q11" s="1826"/>
      <c r="R11" s="1826"/>
      <c r="S11" s="1826"/>
      <c r="T11" s="1826"/>
      <c r="U11" s="1826"/>
      <c r="V11" s="1827"/>
      <c r="W11" s="820"/>
      <c r="X11" s="820"/>
      <c r="Y11" s="820"/>
      <c r="Z11" s="820"/>
      <c r="AA11" s="821"/>
      <c r="AB11" s="820"/>
      <c r="AC11" s="821"/>
      <c r="AD11" s="1828"/>
      <c r="AE11" s="1825"/>
      <c r="AF11" s="1826"/>
      <c r="AG11" s="1826"/>
      <c r="AH11" s="1826"/>
      <c r="AI11" s="1826"/>
      <c r="AJ11" s="1826"/>
      <c r="AK11" s="1826"/>
      <c r="AL11" s="1826"/>
      <c r="AM11" s="1827"/>
      <c r="AN11" s="1789"/>
      <c r="AO11" s="1829"/>
      <c r="AP11" s="820"/>
      <c r="AQ11" s="1830"/>
      <c r="AR11" s="829"/>
      <c r="AS11" s="829"/>
      <c r="AT11" s="829"/>
      <c r="AU11" s="829"/>
      <c r="AV11" s="829"/>
      <c r="AW11" s="1821"/>
      <c r="AX11" s="1831"/>
      <c r="AY11" s="1835"/>
      <c r="AZ11" s="1789"/>
      <c r="BA11" s="829"/>
      <c r="BB11" s="796"/>
      <c r="BC11" s="828"/>
      <c r="BD11" s="796"/>
      <c r="BE11" s="1840"/>
      <c r="BF11" s="1108"/>
      <c r="BG11" s="1833"/>
      <c r="BH11" s="1832"/>
      <c r="BI11" s="44"/>
      <c r="BL11" s="27"/>
      <c r="BM11" s="27"/>
    </row>
    <row r="12" spans="1:65" ht="11.1" customHeight="1">
      <c r="A12" s="793"/>
      <c r="B12" s="820"/>
      <c r="C12" s="1823"/>
      <c r="D12" s="1824"/>
      <c r="E12" s="1824"/>
      <c r="F12" s="1825"/>
      <c r="G12" s="1826"/>
      <c r="H12" s="1826"/>
      <c r="I12" s="1826"/>
      <c r="J12" s="1826"/>
      <c r="K12" s="1826"/>
      <c r="L12" s="1826"/>
      <c r="M12" s="1826"/>
      <c r="N12" s="1826"/>
      <c r="O12" s="1826"/>
      <c r="P12" s="1826"/>
      <c r="Q12" s="1826"/>
      <c r="R12" s="1826"/>
      <c r="S12" s="1826"/>
      <c r="T12" s="1826"/>
      <c r="U12" s="1826"/>
      <c r="V12" s="1827"/>
      <c r="W12" s="820"/>
      <c r="X12" s="820"/>
      <c r="Y12" s="820"/>
      <c r="Z12" s="820"/>
      <c r="AA12" s="821"/>
      <c r="AB12" s="820"/>
      <c r="AC12" s="821"/>
      <c r="AD12" s="1828"/>
      <c r="AE12" s="1825"/>
      <c r="AF12" s="1826"/>
      <c r="AG12" s="1826"/>
      <c r="AH12" s="1826"/>
      <c r="AI12" s="1826"/>
      <c r="AJ12" s="1826"/>
      <c r="AK12" s="1826"/>
      <c r="AL12" s="1826"/>
      <c r="AM12" s="1827"/>
      <c r="AN12" s="1789"/>
      <c r="AO12" s="1829"/>
      <c r="AP12" s="820"/>
      <c r="AQ12" s="1830"/>
      <c r="AR12" s="829"/>
      <c r="AS12" s="829"/>
      <c r="AT12" s="829"/>
      <c r="AU12" s="829"/>
      <c r="AV12" s="829"/>
      <c r="AW12" s="1821"/>
      <c r="AX12" s="1831"/>
      <c r="AY12" s="1835"/>
      <c r="AZ12" s="1789"/>
      <c r="BA12" s="829"/>
      <c r="BB12" s="796"/>
      <c r="BC12" s="828"/>
      <c r="BD12" s="796"/>
      <c r="BE12" s="1840" t="s">
        <v>1653</v>
      </c>
      <c r="BF12" s="3926"/>
      <c r="BG12" s="3913"/>
      <c r="BH12" s="1832"/>
      <c r="BI12" s="44"/>
      <c r="BL12" s="27"/>
      <c r="BM12" s="27"/>
    </row>
    <row r="13" spans="1:65" ht="3.95" customHeight="1">
      <c r="A13" s="793"/>
      <c r="B13" s="820"/>
      <c r="C13" s="820"/>
      <c r="D13" s="820"/>
      <c r="E13" s="820"/>
      <c r="F13" s="1795"/>
      <c r="G13" s="1795"/>
      <c r="H13" s="1795"/>
      <c r="I13" s="1795"/>
      <c r="J13" s="1795"/>
      <c r="K13" s="1795"/>
      <c r="L13" s="1795"/>
      <c r="M13" s="1795"/>
      <c r="N13" s="1795"/>
      <c r="O13" s="1795"/>
      <c r="P13" s="1795"/>
      <c r="Q13" s="1795"/>
      <c r="R13" s="1795"/>
      <c r="S13" s="1795"/>
      <c r="T13" s="1795"/>
      <c r="U13" s="1795"/>
      <c r="V13" s="1795"/>
      <c r="W13" s="820"/>
      <c r="X13" s="820"/>
      <c r="Y13" s="820"/>
      <c r="Z13" s="820"/>
      <c r="AA13" s="820"/>
      <c r="AB13" s="820"/>
      <c r="AC13" s="820"/>
      <c r="AD13" s="820"/>
      <c r="AE13" s="1795"/>
      <c r="AF13" s="822"/>
      <c r="AG13" s="1795"/>
      <c r="AH13" s="1795"/>
      <c r="AI13" s="1795"/>
      <c r="AJ13" s="1795"/>
      <c r="AK13" s="1795"/>
      <c r="AL13" s="822"/>
      <c r="AM13" s="822"/>
      <c r="AN13" s="796"/>
      <c r="AO13" s="820"/>
      <c r="AP13" s="820"/>
      <c r="AQ13" s="820"/>
      <c r="AR13" s="1795"/>
      <c r="AS13" s="1795"/>
      <c r="AT13" s="1795"/>
      <c r="AU13" s="1795"/>
      <c r="AV13" s="1795"/>
      <c r="AW13" s="1795"/>
      <c r="AX13" s="1795"/>
      <c r="AY13" s="820"/>
      <c r="AZ13" s="1795"/>
      <c r="BA13" s="1795"/>
      <c r="BB13" s="822"/>
      <c r="BC13" s="822"/>
      <c r="BD13" s="1795"/>
      <c r="BE13" s="820"/>
      <c r="BF13" s="822"/>
      <c r="BG13" s="1822"/>
      <c r="BH13" s="821"/>
      <c r="BI13" s="44"/>
      <c r="BL13" s="27"/>
      <c r="BM13" s="27"/>
    </row>
    <row r="14" spans="1:65" s="767" customFormat="1" ht="11.25" customHeight="1">
      <c r="A14" s="765"/>
      <c r="B14" s="1797"/>
      <c r="C14" s="1798"/>
      <c r="D14" s="1798"/>
      <c r="E14" s="1798"/>
      <c r="F14" s="1798"/>
      <c r="G14" s="1799"/>
      <c r="H14" s="1799"/>
      <c r="I14" s="1799"/>
      <c r="J14" s="1799"/>
      <c r="K14" s="1800"/>
      <c r="L14" s="1801"/>
      <c r="M14" s="1802"/>
      <c r="N14" s="2051"/>
      <c r="O14" s="2052"/>
      <c r="P14" s="2053"/>
      <c r="Q14" s="2053"/>
      <c r="R14" s="2085"/>
      <c r="S14" s="2086"/>
      <c r="T14" s="2086"/>
      <c r="U14" s="2087"/>
      <c r="V14" s="2087"/>
      <c r="W14" s="2086"/>
      <c r="X14" s="2086"/>
      <c r="Y14" s="2086"/>
      <c r="Z14" s="2086"/>
      <c r="AA14" s="2086"/>
      <c r="AB14" s="2086"/>
      <c r="AC14" s="2086"/>
      <c r="AD14" s="2086"/>
      <c r="AE14" s="2086"/>
      <c r="AF14" s="2086"/>
      <c r="AG14" s="2086"/>
      <c r="AH14" s="2086"/>
      <c r="AI14" s="2086"/>
      <c r="AJ14" s="2086"/>
      <c r="AK14" s="2088" t="s">
        <v>1651</v>
      </c>
      <c r="AL14" s="3925">
        <f>R17</f>
        <v>2011</v>
      </c>
      <c r="AM14" s="3925"/>
      <c r="AN14" s="3936">
        <f>T17</f>
        <v>2012</v>
      </c>
      <c r="AO14" s="3936"/>
      <c r="AP14" s="2086"/>
      <c r="AQ14" s="2086"/>
      <c r="AR14" s="2089"/>
      <c r="AS14" s="1800"/>
      <c r="AT14" s="1800"/>
      <c r="AU14" s="1800"/>
      <c r="AV14" s="1800"/>
      <c r="AW14" s="1800"/>
      <c r="AX14" s="1800"/>
      <c r="AY14" s="1800"/>
      <c r="AZ14" s="1800"/>
      <c r="BA14" s="1800"/>
      <c r="BB14" s="1800"/>
      <c r="BC14" s="1800"/>
      <c r="BD14" s="1800"/>
      <c r="BE14" s="1800"/>
      <c r="BF14" s="1800"/>
      <c r="BG14" s="1803"/>
      <c r="BH14" s="1804"/>
      <c r="BI14" s="766"/>
    </row>
    <row r="15" spans="1:65" ht="6.75" customHeight="1">
      <c r="A15" s="45"/>
      <c r="B15" s="826"/>
      <c r="C15" s="828"/>
      <c r="D15" s="828"/>
      <c r="E15" s="828"/>
      <c r="F15" s="828"/>
      <c r="G15" s="828"/>
      <c r="H15" s="828"/>
      <c r="I15" s="828"/>
      <c r="J15" s="828"/>
      <c r="K15" s="828"/>
      <c r="L15" s="828"/>
      <c r="M15" s="828"/>
      <c r="N15" s="828"/>
      <c r="O15" s="828"/>
      <c r="P15" s="828"/>
      <c r="Q15" s="828"/>
      <c r="R15" s="828"/>
      <c r="S15" s="828"/>
      <c r="T15" s="829"/>
      <c r="U15" s="828"/>
      <c r="V15" s="828"/>
      <c r="W15" s="828"/>
      <c r="X15" s="828"/>
      <c r="Y15" s="828"/>
      <c r="Z15" s="828"/>
      <c r="AA15" s="828"/>
      <c r="AB15" s="828"/>
      <c r="AC15" s="828"/>
      <c r="AD15" s="828"/>
      <c r="AE15" s="828"/>
      <c r="AF15" s="828"/>
      <c r="AG15" s="828"/>
      <c r="AH15" s="828"/>
      <c r="AI15" s="828"/>
      <c r="AJ15" s="828"/>
      <c r="AK15" s="830"/>
      <c r="AL15" s="830"/>
      <c r="AM15" s="830"/>
      <c r="AN15" s="830"/>
      <c r="AO15" s="830"/>
      <c r="AP15" s="830"/>
      <c r="AQ15" s="830"/>
      <c r="AR15" s="830"/>
      <c r="AS15" s="830"/>
      <c r="AT15" s="830"/>
      <c r="AU15" s="830"/>
      <c r="AV15" s="830"/>
      <c r="AW15" s="830"/>
      <c r="AX15" s="830"/>
      <c r="AY15" s="830"/>
      <c r="AZ15" s="830"/>
      <c r="BA15" s="830"/>
      <c r="BB15" s="830"/>
      <c r="BC15" s="830"/>
      <c r="BD15" s="830"/>
      <c r="BE15" s="830"/>
      <c r="BF15" s="830"/>
      <c r="BG15" s="830"/>
      <c r="BH15" s="827"/>
      <c r="BI15" s="43"/>
      <c r="BL15" s="27"/>
      <c r="BM15" s="27"/>
    </row>
    <row r="16" spans="1:65" ht="14.25" customHeight="1">
      <c r="A16" s="45"/>
      <c r="B16" s="826"/>
      <c r="C16" s="3937" t="s">
        <v>770</v>
      </c>
      <c r="D16" s="3937"/>
      <c r="E16" s="3937"/>
      <c r="F16" s="3937"/>
      <c r="G16" s="3937"/>
      <c r="H16" s="3937"/>
      <c r="I16" s="3937"/>
      <c r="J16" s="3937"/>
      <c r="K16" s="3937"/>
      <c r="L16" s="3937"/>
      <c r="M16" s="3937"/>
      <c r="N16" s="3937"/>
      <c r="O16" s="3937"/>
      <c r="P16" s="3937"/>
      <c r="Q16" s="3937"/>
      <c r="R16" s="3937"/>
      <c r="S16" s="3937"/>
      <c r="T16" s="3937"/>
      <c r="U16" s="3937"/>
      <c r="V16" s="3937"/>
      <c r="W16" s="3937"/>
      <c r="X16" s="3937"/>
      <c r="Y16" s="3937"/>
      <c r="Z16" s="3937"/>
      <c r="AA16" s="3937"/>
      <c r="AB16" s="3937"/>
      <c r="AC16" s="1108"/>
      <c r="AD16" s="1108"/>
      <c r="AE16" s="3917" t="s">
        <v>1657</v>
      </c>
      <c r="AF16" s="3918"/>
      <c r="AG16" s="3918"/>
      <c r="AH16" s="3918"/>
      <c r="AI16" s="3918"/>
      <c r="AJ16" s="3918"/>
      <c r="AK16" s="3918"/>
      <c r="AL16" s="3918"/>
      <c r="AM16" s="3918"/>
      <c r="AN16" s="3918"/>
      <c r="AO16" s="3918"/>
      <c r="AP16" s="3918"/>
      <c r="AQ16" s="3918"/>
      <c r="AR16" s="3918"/>
      <c r="AS16" s="3918"/>
      <c r="AT16" s="3918"/>
      <c r="AU16" s="3918"/>
      <c r="AV16" s="3918"/>
      <c r="AW16" s="3918"/>
      <c r="AX16" s="3980">
        <f>R17</f>
        <v>2011</v>
      </c>
      <c r="AY16" s="3918"/>
      <c r="AZ16" s="3980">
        <f>AX16+1</f>
        <v>2012</v>
      </c>
      <c r="BA16" s="3918"/>
      <c r="BB16" s="2068"/>
      <c r="BC16" s="2068"/>
      <c r="BD16" s="2069"/>
      <c r="BE16" s="2069"/>
      <c r="BF16" s="2069"/>
      <c r="BG16" s="2070"/>
      <c r="BH16" s="1820"/>
      <c r="BI16" s="43"/>
      <c r="BL16" s="27"/>
      <c r="BM16" s="27"/>
    </row>
    <row r="17" spans="1:65" s="767" customFormat="1" ht="18" customHeight="1">
      <c r="A17" s="765"/>
      <c r="B17" s="826"/>
      <c r="C17" s="1842"/>
      <c r="D17" s="1843"/>
      <c r="E17" s="1843"/>
      <c r="F17" s="1843"/>
      <c r="G17" s="2054"/>
      <c r="H17" s="2054"/>
      <c r="I17" s="2054"/>
      <c r="J17" s="2054"/>
      <c r="K17" s="2054"/>
      <c r="L17" s="2054"/>
      <c r="M17" s="2054"/>
      <c r="N17" s="2054"/>
      <c r="O17" s="2054"/>
      <c r="P17" s="2055"/>
      <c r="Q17" s="2055" t="s">
        <v>1650</v>
      </c>
      <c r="R17" s="3922">
        <f>AG4</f>
        <v>2011</v>
      </c>
      <c r="S17" s="3922"/>
      <c r="T17" s="3922">
        <f>R17+1</f>
        <v>2012</v>
      </c>
      <c r="U17" s="3922"/>
      <c r="V17" s="2056"/>
      <c r="W17" s="1836"/>
      <c r="X17" s="1836"/>
      <c r="Y17" s="1836"/>
      <c r="Z17" s="1836"/>
      <c r="AA17" s="1844"/>
      <c r="AB17" s="1845"/>
      <c r="AC17" s="1108"/>
      <c r="AD17" s="1791"/>
      <c r="AE17" s="3919"/>
      <c r="AF17" s="3920"/>
      <c r="AG17" s="3920"/>
      <c r="AH17" s="3920"/>
      <c r="AI17" s="3920"/>
      <c r="AJ17" s="3920"/>
      <c r="AK17" s="3920"/>
      <c r="AL17" s="3920"/>
      <c r="AM17" s="3920"/>
      <c r="AN17" s="3920"/>
      <c r="AO17" s="3920"/>
      <c r="AP17" s="3920"/>
      <c r="AQ17" s="3920"/>
      <c r="AR17" s="3920"/>
      <c r="AS17" s="3920"/>
      <c r="AT17" s="3920"/>
      <c r="AU17" s="3920"/>
      <c r="AV17" s="3920"/>
      <c r="AW17" s="3920"/>
      <c r="AX17" s="3920"/>
      <c r="AY17" s="3920"/>
      <c r="AZ17" s="3920"/>
      <c r="BA17" s="3920"/>
      <c r="BB17" s="2071"/>
      <c r="BC17" s="2071"/>
      <c r="BD17" s="2072"/>
      <c r="BE17" s="2072"/>
      <c r="BF17" s="2072"/>
      <c r="BG17" s="2073"/>
      <c r="BH17" s="1837"/>
      <c r="BI17" s="766"/>
    </row>
    <row r="18" spans="1:65" s="767" customFormat="1" ht="12.95" customHeight="1">
      <c r="A18" s="765"/>
      <c r="B18" s="826"/>
      <c r="C18" s="3915" t="s">
        <v>3</v>
      </c>
      <c r="D18" s="3915"/>
      <c r="E18" s="3915"/>
      <c r="F18" s="3915"/>
      <c r="G18" s="3915"/>
      <c r="H18" s="3915" t="s">
        <v>765</v>
      </c>
      <c r="I18" s="3915"/>
      <c r="J18" s="3915"/>
      <c r="K18" s="3915" t="s">
        <v>766</v>
      </c>
      <c r="L18" s="3915"/>
      <c r="M18" s="3915"/>
      <c r="N18" s="3915" t="s">
        <v>767</v>
      </c>
      <c r="O18" s="3915"/>
      <c r="P18" s="3915"/>
      <c r="Q18" s="3915" t="s">
        <v>771</v>
      </c>
      <c r="R18" s="3915"/>
      <c r="S18" s="3915"/>
      <c r="T18" s="3915" t="s">
        <v>772</v>
      </c>
      <c r="U18" s="3915"/>
      <c r="V18" s="3915"/>
      <c r="W18" s="3915" t="s">
        <v>773</v>
      </c>
      <c r="X18" s="3915"/>
      <c r="Y18" s="3915"/>
      <c r="Z18" s="3915" t="s">
        <v>408</v>
      </c>
      <c r="AA18" s="3915"/>
      <c r="AB18" s="3915"/>
      <c r="AC18" s="828"/>
      <c r="AD18" s="831"/>
      <c r="AE18" s="3981" t="s">
        <v>829</v>
      </c>
      <c r="AF18" s="3981"/>
      <c r="AG18" s="3981"/>
      <c r="AH18" s="3981"/>
      <c r="AI18" s="3981"/>
      <c r="AJ18" s="3981"/>
      <c r="AK18" s="3981"/>
      <c r="AL18" s="3981"/>
      <c r="AM18" s="3981"/>
      <c r="AN18" s="3981"/>
      <c r="AO18" s="3981"/>
      <c r="AP18" s="3981"/>
      <c r="AQ18" s="3981"/>
      <c r="AR18" s="3981"/>
      <c r="AS18" s="3981"/>
      <c r="AT18" s="3981"/>
      <c r="AU18" s="3981"/>
      <c r="AV18" s="3981"/>
      <c r="AW18" s="3981"/>
      <c r="AX18" s="3981"/>
      <c r="AY18" s="3915" t="s">
        <v>830</v>
      </c>
      <c r="AZ18" s="3915"/>
      <c r="BA18" s="3915"/>
      <c r="BB18" s="3915"/>
      <c r="BC18" s="3915"/>
      <c r="BD18" s="3915"/>
      <c r="BE18" s="3915"/>
      <c r="BF18" s="3915"/>
      <c r="BG18" s="3915"/>
      <c r="BH18" s="1837"/>
      <c r="BI18" s="766"/>
    </row>
    <row r="19" spans="1:65" ht="11.1" customHeight="1">
      <c r="A19" s="45"/>
      <c r="B19" s="832"/>
      <c r="C19" s="3921" t="s">
        <v>1663</v>
      </c>
      <c r="D19" s="3921"/>
      <c r="E19" s="3921"/>
      <c r="F19" s="3921"/>
      <c r="G19" s="3921"/>
      <c r="H19" s="3914">
        <f>'VISITA DE INSP.'!J40</f>
        <v>56</v>
      </c>
      <c r="I19" s="3914"/>
      <c r="J19" s="3914"/>
      <c r="K19" s="3914">
        <f>'VISITA DE INSP.'!K40</f>
        <v>64</v>
      </c>
      <c r="L19" s="3914"/>
      <c r="M19" s="3914"/>
      <c r="N19" s="3914">
        <f>'VISITA DE INSP.'!L40</f>
        <v>57</v>
      </c>
      <c r="O19" s="3914"/>
      <c r="P19" s="3914"/>
      <c r="Q19" s="3914">
        <f>'VISITA DE INSP.'!M40</f>
        <v>60</v>
      </c>
      <c r="R19" s="3914"/>
      <c r="S19" s="3914"/>
      <c r="T19" s="3914">
        <f>'VISITA DE INSP.'!N40</f>
        <v>53</v>
      </c>
      <c r="U19" s="3914"/>
      <c r="V19" s="3914"/>
      <c r="W19" s="3914">
        <f>'VISITA DE INSP.'!O40</f>
        <v>60</v>
      </c>
      <c r="X19" s="3914"/>
      <c r="Y19" s="3914"/>
      <c r="Z19" s="3924">
        <f>SUM(H19:Y22)</f>
        <v>350</v>
      </c>
      <c r="AA19" s="3924"/>
      <c r="AB19" s="3924"/>
      <c r="AC19" s="828"/>
      <c r="AD19" s="833"/>
      <c r="AE19" s="3916"/>
      <c r="AF19" s="3916"/>
      <c r="AG19" s="3916"/>
      <c r="AH19" s="3916"/>
      <c r="AI19" s="3916"/>
      <c r="AJ19" s="3916"/>
      <c r="AK19" s="3916"/>
      <c r="AL19" s="3916"/>
      <c r="AM19" s="3916"/>
      <c r="AN19" s="3916"/>
      <c r="AO19" s="3916"/>
      <c r="AP19" s="3916"/>
      <c r="AQ19" s="3916"/>
      <c r="AR19" s="3916"/>
      <c r="AS19" s="3916"/>
      <c r="AT19" s="3916"/>
      <c r="AU19" s="3916"/>
      <c r="AV19" s="3916"/>
      <c r="AW19" s="3916"/>
      <c r="AX19" s="3916"/>
      <c r="AY19" s="3923"/>
      <c r="AZ19" s="3923"/>
      <c r="BA19" s="3923"/>
      <c r="BB19" s="3923"/>
      <c r="BC19" s="3923"/>
      <c r="BD19" s="3923"/>
      <c r="BE19" s="3923"/>
      <c r="BF19" s="3923"/>
      <c r="BG19" s="3923"/>
      <c r="BH19" s="1820"/>
      <c r="BI19" s="43"/>
      <c r="BL19" s="27"/>
      <c r="BM19" s="27"/>
    </row>
    <row r="20" spans="1:65" ht="11.1" customHeight="1">
      <c r="A20" s="45"/>
      <c r="B20" s="832"/>
      <c r="C20" s="3921"/>
      <c r="D20" s="3921"/>
      <c r="E20" s="3921"/>
      <c r="F20" s="3921"/>
      <c r="G20" s="3921"/>
      <c r="H20" s="3914"/>
      <c r="I20" s="3914"/>
      <c r="J20" s="3914"/>
      <c r="K20" s="3914"/>
      <c r="L20" s="3914"/>
      <c r="M20" s="3914"/>
      <c r="N20" s="3914"/>
      <c r="O20" s="3914"/>
      <c r="P20" s="3914"/>
      <c r="Q20" s="3914"/>
      <c r="R20" s="3914"/>
      <c r="S20" s="3914"/>
      <c r="T20" s="3914"/>
      <c r="U20" s="3914"/>
      <c r="V20" s="3914"/>
      <c r="W20" s="3914"/>
      <c r="X20" s="3914"/>
      <c r="Y20" s="3914"/>
      <c r="Z20" s="3924"/>
      <c r="AA20" s="3924"/>
      <c r="AB20" s="3924"/>
      <c r="AC20" s="828"/>
      <c r="AD20" s="828"/>
      <c r="AE20" s="3916"/>
      <c r="AF20" s="3916"/>
      <c r="AG20" s="3916"/>
      <c r="AH20" s="3916"/>
      <c r="AI20" s="3916"/>
      <c r="AJ20" s="3916"/>
      <c r="AK20" s="3916"/>
      <c r="AL20" s="3916"/>
      <c r="AM20" s="3916"/>
      <c r="AN20" s="3916"/>
      <c r="AO20" s="3916"/>
      <c r="AP20" s="3916"/>
      <c r="AQ20" s="3916"/>
      <c r="AR20" s="3916"/>
      <c r="AS20" s="3916"/>
      <c r="AT20" s="3916"/>
      <c r="AU20" s="3916"/>
      <c r="AV20" s="3916"/>
      <c r="AW20" s="3916"/>
      <c r="AX20" s="3916"/>
      <c r="AY20" s="3923"/>
      <c r="AZ20" s="3923"/>
      <c r="BA20" s="3923"/>
      <c r="BB20" s="3923"/>
      <c r="BC20" s="3923"/>
      <c r="BD20" s="3923"/>
      <c r="BE20" s="3923"/>
      <c r="BF20" s="3923"/>
      <c r="BG20" s="3923"/>
      <c r="BH20" s="1820"/>
      <c r="BI20" s="43"/>
      <c r="BL20" s="27"/>
      <c r="BM20" s="27"/>
    </row>
    <row r="21" spans="1:65" ht="11.1" customHeight="1">
      <c r="A21" s="45"/>
      <c r="B21" s="832"/>
      <c r="C21" s="3921"/>
      <c r="D21" s="3921"/>
      <c r="E21" s="3921"/>
      <c r="F21" s="3921"/>
      <c r="G21" s="3921"/>
      <c r="H21" s="3914"/>
      <c r="I21" s="3914"/>
      <c r="J21" s="3914"/>
      <c r="K21" s="3914"/>
      <c r="L21" s="3914"/>
      <c r="M21" s="3914"/>
      <c r="N21" s="3914"/>
      <c r="O21" s="3914"/>
      <c r="P21" s="3914"/>
      <c r="Q21" s="3914"/>
      <c r="R21" s="3914"/>
      <c r="S21" s="3914"/>
      <c r="T21" s="3914"/>
      <c r="U21" s="3914"/>
      <c r="V21" s="3914"/>
      <c r="W21" s="3914"/>
      <c r="X21" s="3914"/>
      <c r="Y21" s="3914"/>
      <c r="Z21" s="3924"/>
      <c r="AA21" s="3924"/>
      <c r="AB21" s="3924"/>
      <c r="AC21" s="828"/>
      <c r="AD21" s="833"/>
      <c r="AE21" s="3916"/>
      <c r="AF21" s="3916"/>
      <c r="AG21" s="3916"/>
      <c r="AH21" s="3916"/>
      <c r="AI21" s="3916"/>
      <c r="AJ21" s="3916"/>
      <c r="AK21" s="3916"/>
      <c r="AL21" s="3916"/>
      <c r="AM21" s="3916"/>
      <c r="AN21" s="3916"/>
      <c r="AO21" s="3916"/>
      <c r="AP21" s="3916"/>
      <c r="AQ21" s="3916"/>
      <c r="AR21" s="3916"/>
      <c r="AS21" s="3916"/>
      <c r="AT21" s="3916"/>
      <c r="AU21" s="3916"/>
      <c r="AV21" s="3916"/>
      <c r="AW21" s="3916"/>
      <c r="AX21" s="3916"/>
      <c r="AY21" s="3923"/>
      <c r="AZ21" s="3923"/>
      <c r="BA21" s="3923"/>
      <c r="BB21" s="3923"/>
      <c r="BC21" s="3923"/>
      <c r="BD21" s="3923"/>
      <c r="BE21" s="3923"/>
      <c r="BF21" s="3923"/>
      <c r="BG21" s="3923"/>
      <c r="BH21" s="1820"/>
      <c r="BI21" s="43"/>
      <c r="BL21" s="27"/>
      <c r="BM21" s="27"/>
    </row>
    <row r="22" spans="1:65" ht="11.1" customHeight="1">
      <c r="A22" s="45"/>
      <c r="B22" s="832"/>
      <c r="C22" s="3921"/>
      <c r="D22" s="3921"/>
      <c r="E22" s="3921"/>
      <c r="F22" s="3921"/>
      <c r="G22" s="3921"/>
      <c r="H22" s="3914"/>
      <c r="I22" s="3914"/>
      <c r="J22" s="3914"/>
      <c r="K22" s="3914"/>
      <c r="L22" s="3914"/>
      <c r="M22" s="3914"/>
      <c r="N22" s="3914"/>
      <c r="O22" s="3914"/>
      <c r="P22" s="3914"/>
      <c r="Q22" s="3914"/>
      <c r="R22" s="3914"/>
      <c r="S22" s="3914"/>
      <c r="T22" s="3914"/>
      <c r="U22" s="3914"/>
      <c r="V22" s="3914"/>
      <c r="W22" s="3914"/>
      <c r="X22" s="3914"/>
      <c r="Y22" s="3914"/>
      <c r="Z22" s="3924"/>
      <c r="AA22" s="3924"/>
      <c r="AB22" s="3924"/>
      <c r="AC22" s="828"/>
      <c r="AD22" s="833"/>
      <c r="AE22" s="3916"/>
      <c r="AF22" s="3916"/>
      <c r="AG22" s="3916"/>
      <c r="AH22" s="3916"/>
      <c r="AI22" s="3916"/>
      <c r="AJ22" s="3916"/>
      <c r="AK22" s="3916"/>
      <c r="AL22" s="3916"/>
      <c r="AM22" s="3916"/>
      <c r="AN22" s="3916"/>
      <c r="AO22" s="3916"/>
      <c r="AP22" s="3916"/>
      <c r="AQ22" s="3916"/>
      <c r="AR22" s="3916"/>
      <c r="AS22" s="3916"/>
      <c r="AT22" s="3916"/>
      <c r="AU22" s="3916"/>
      <c r="AV22" s="3916"/>
      <c r="AW22" s="3916"/>
      <c r="AX22" s="3916"/>
      <c r="AY22" s="3923"/>
      <c r="AZ22" s="3923"/>
      <c r="BA22" s="3923"/>
      <c r="BB22" s="3923"/>
      <c r="BC22" s="3923"/>
      <c r="BD22" s="3923"/>
      <c r="BE22" s="3923"/>
      <c r="BF22" s="3923"/>
      <c r="BG22" s="3923"/>
      <c r="BH22" s="1820"/>
      <c r="BI22" s="43"/>
      <c r="BL22" s="27"/>
      <c r="BM22" s="27"/>
    </row>
    <row r="23" spans="1:65" ht="11.1" customHeight="1">
      <c r="A23" s="45"/>
      <c r="B23" s="832"/>
      <c r="C23" s="3921" t="s">
        <v>1664</v>
      </c>
      <c r="D23" s="3921"/>
      <c r="E23" s="3921"/>
      <c r="F23" s="3921"/>
      <c r="G23" s="3921"/>
      <c r="H23" s="3939">
        <f>'VISITA DE INSP.'!J39</f>
        <v>2</v>
      </c>
      <c r="I23" s="3939"/>
      <c r="J23" s="3939"/>
      <c r="K23" s="3939">
        <f>'VISITA DE INSP.'!K39</f>
        <v>2</v>
      </c>
      <c r="L23" s="3939"/>
      <c r="M23" s="3939"/>
      <c r="N23" s="3939">
        <f>'VISITA DE INSP.'!L39</f>
        <v>2</v>
      </c>
      <c r="O23" s="3939"/>
      <c r="P23" s="3939"/>
      <c r="Q23" s="3939">
        <f>'VISITA DE INSP.'!M39</f>
        <v>2</v>
      </c>
      <c r="R23" s="3939"/>
      <c r="S23" s="3939"/>
      <c r="T23" s="3939">
        <f>'VISITA DE INSP.'!N39</f>
        <v>2</v>
      </c>
      <c r="U23" s="3939"/>
      <c r="V23" s="3939"/>
      <c r="W23" s="3939">
        <f>'VISITA DE INSP.'!O39</f>
        <v>2</v>
      </c>
      <c r="X23" s="3939"/>
      <c r="Y23" s="3939"/>
      <c r="Z23" s="3924">
        <f>SUM(H23:Y26)</f>
        <v>12</v>
      </c>
      <c r="AA23" s="3924"/>
      <c r="AB23" s="3924"/>
      <c r="AC23" s="828"/>
      <c r="AD23" s="833"/>
      <c r="AE23" s="3916"/>
      <c r="AF23" s="3916"/>
      <c r="AG23" s="3916"/>
      <c r="AH23" s="3916"/>
      <c r="AI23" s="3916"/>
      <c r="AJ23" s="3916"/>
      <c r="AK23" s="3916"/>
      <c r="AL23" s="3916"/>
      <c r="AM23" s="3916"/>
      <c r="AN23" s="3916"/>
      <c r="AO23" s="3916"/>
      <c r="AP23" s="3916"/>
      <c r="AQ23" s="3916"/>
      <c r="AR23" s="3916"/>
      <c r="AS23" s="3916"/>
      <c r="AT23" s="3916"/>
      <c r="AU23" s="3916"/>
      <c r="AV23" s="3916"/>
      <c r="AW23" s="3916"/>
      <c r="AX23" s="3916"/>
      <c r="AY23" s="3923"/>
      <c r="AZ23" s="3923"/>
      <c r="BA23" s="3923"/>
      <c r="BB23" s="3923"/>
      <c r="BC23" s="3923"/>
      <c r="BD23" s="3923"/>
      <c r="BE23" s="3923"/>
      <c r="BF23" s="3923"/>
      <c r="BG23" s="3923"/>
      <c r="BH23" s="1820"/>
      <c r="BI23" s="43"/>
    </row>
    <row r="24" spans="1:65" ht="11.1" customHeight="1">
      <c r="A24" s="45"/>
      <c r="B24" s="832"/>
      <c r="C24" s="3921"/>
      <c r="D24" s="3921"/>
      <c r="E24" s="3921"/>
      <c r="F24" s="3921"/>
      <c r="G24" s="3921"/>
      <c r="H24" s="3939"/>
      <c r="I24" s="3939"/>
      <c r="J24" s="3939"/>
      <c r="K24" s="3939"/>
      <c r="L24" s="3939"/>
      <c r="M24" s="3939"/>
      <c r="N24" s="3939"/>
      <c r="O24" s="3939"/>
      <c r="P24" s="3939"/>
      <c r="Q24" s="3939"/>
      <c r="R24" s="3939"/>
      <c r="S24" s="3939"/>
      <c r="T24" s="3939"/>
      <c r="U24" s="3939"/>
      <c r="V24" s="3939"/>
      <c r="W24" s="3939"/>
      <c r="X24" s="3939"/>
      <c r="Y24" s="3939"/>
      <c r="Z24" s="3924"/>
      <c r="AA24" s="3924"/>
      <c r="AB24" s="3924"/>
      <c r="AC24" s="828"/>
      <c r="AD24" s="833"/>
      <c r="AE24" s="3916"/>
      <c r="AF24" s="3916"/>
      <c r="AG24" s="3916"/>
      <c r="AH24" s="3916"/>
      <c r="AI24" s="3916"/>
      <c r="AJ24" s="3916"/>
      <c r="AK24" s="3916"/>
      <c r="AL24" s="3916"/>
      <c r="AM24" s="3916"/>
      <c r="AN24" s="3916"/>
      <c r="AO24" s="3916"/>
      <c r="AP24" s="3916"/>
      <c r="AQ24" s="3916"/>
      <c r="AR24" s="3916"/>
      <c r="AS24" s="3916"/>
      <c r="AT24" s="3916"/>
      <c r="AU24" s="3916"/>
      <c r="AV24" s="3916"/>
      <c r="AW24" s="3916"/>
      <c r="AX24" s="3916"/>
      <c r="AY24" s="3923"/>
      <c r="AZ24" s="3923"/>
      <c r="BA24" s="3923"/>
      <c r="BB24" s="3923"/>
      <c r="BC24" s="3923"/>
      <c r="BD24" s="3923"/>
      <c r="BE24" s="3923"/>
      <c r="BF24" s="3923"/>
      <c r="BG24" s="3923"/>
      <c r="BH24" s="1820"/>
      <c r="BI24" s="43"/>
    </row>
    <row r="25" spans="1:65" ht="11.1" customHeight="1">
      <c r="A25" s="45"/>
      <c r="B25" s="832"/>
      <c r="C25" s="3921"/>
      <c r="D25" s="3921"/>
      <c r="E25" s="3921"/>
      <c r="F25" s="3921"/>
      <c r="G25" s="3921"/>
      <c r="H25" s="3939"/>
      <c r="I25" s="3939"/>
      <c r="J25" s="3939"/>
      <c r="K25" s="3939"/>
      <c r="L25" s="3939"/>
      <c r="M25" s="3939"/>
      <c r="N25" s="3939"/>
      <c r="O25" s="3939"/>
      <c r="P25" s="3939"/>
      <c r="Q25" s="3939"/>
      <c r="R25" s="3939"/>
      <c r="S25" s="3939"/>
      <c r="T25" s="3939"/>
      <c r="U25" s="3939"/>
      <c r="V25" s="3939"/>
      <c r="W25" s="3939"/>
      <c r="X25" s="3939"/>
      <c r="Y25" s="3939"/>
      <c r="Z25" s="3924"/>
      <c r="AA25" s="3924"/>
      <c r="AB25" s="3924"/>
      <c r="AC25" s="828"/>
      <c r="AD25" s="833"/>
      <c r="AE25" s="3916"/>
      <c r="AF25" s="3916"/>
      <c r="AG25" s="3916"/>
      <c r="AH25" s="3916"/>
      <c r="AI25" s="3916"/>
      <c r="AJ25" s="3916"/>
      <c r="AK25" s="3916"/>
      <c r="AL25" s="3916"/>
      <c r="AM25" s="3916"/>
      <c r="AN25" s="3916"/>
      <c r="AO25" s="3916"/>
      <c r="AP25" s="3916"/>
      <c r="AQ25" s="3916"/>
      <c r="AR25" s="3916"/>
      <c r="AS25" s="3916"/>
      <c r="AT25" s="3916"/>
      <c r="AU25" s="3916"/>
      <c r="AV25" s="3916"/>
      <c r="AW25" s="3916"/>
      <c r="AX25" s="3916"/>
      <c r="AY25" s="3923"/>
      <c r="AZ25" s="3923"/>
      <c r="BA25" s="3923"/>
      <c r="BB25" s="3923"/>
      <c r="BC25" s="3923"/>
      <c r="BD25" s="3923"/>
      <c r="BE25" s="3923"/>
      <c r="BF25" s="3923"/>
      <c r="BG25" s="3923"/>
      <c r="BH25" s="1820"/>
      <c r="BI25" s="43"/>
    </row>
    <row r="26" spans="1:65" ht="11.1" customHeight="1">
      <c r="A26" s="45"/>
      <c r="B26" s="832"/>
      <c r="C26" s="3921"/>
      <c r="D26" s="3921"/>
      <c r="E26" s="3921"/>
      <c r="F26" s="3921"/>
      <c r="G26" s="3921"/>
      <c r="H26" s="3939"/>
      <c r="I26" s="3939"/>
      <c r="J26" s="3939"/>
      <c r="K26" s="3939"/>
      <c r="L26" s="3939"/>
      <c r="M26" s="3939"/>
      <c r="N26" s="3939"/>
      <c r="O26" s="3939"/>
      <c r="P26" s="3939"/>
      <c r="Q26" s="3939"/>
      <c r="R26" s="3939"/>
      <c r="S26" s="3939"/>
      <c r="T26" s="3939"/>
      <c r="U26" s="3939"/>
      <c r="V26" s="3939"/>
      <c r="W26" s="3939"/>
      <c r="X26" s="3939"/>
      <c r="Y26" s="3939"/>
      <c r="Z26" s="3924"/>
      <c r="AA26" s="3924"/>
      <c r="AB26" s="3924"/>
      <c r="AC26" s="828"/>
      <c r="AD26" s="833"/>
      <c r="AE26" s="3916"/>
      <c r="AF26" s="3916"/>
      <c r="AG26" s="3916"/>
      <c r="AH26" s="3916"/>
      <c r="AI26" s="3916"/>
      <c r="AJ26" s="3916"/>
      <c r="AK26" s="3916"/>
      <c r="AL26" s="3916"/>
      <c r="AM26" s="3916"/>
      <c r="AN26" s="3916"/>
      <c r="AO26" s="3916"/>
      <c r="AP26" s="3916"/>
      <c r="AQ26" s="3916"/>
      <c r="AR26" s="3916"/>
      <c r="AS26" s="3916"/>
      <c r="AT26" s="3916"/>
      <c r="AU26" s="3916"/>
      <c r="AV26" s="3916"/>
      <c r="AW26" s="3916"/>
      <c r="AX26" s="3916"/>
      <c r="AY26" s="3923"/>
      <c r="AZ26" s="3923"/>
      <c r="BA26" s="3923"/>
      <c r="BB26" s="3923"/>
      <c r="BC26" s="3923"/>
      <c r="BD26" s="3923"/>
      <c r="BE26" s="3923"/>
      <c r="BF26" s="3923"/>
      <c r="BG26" s="3923"/>
      <c r="BH26" s="1820"/>
      <c r="BI26" s="43"/>
    </row>
    <row r="27" spans="1:65" ht="11.1" customHeight="1">
      <c r="A27" s="45"/>
      <c r="B27" s="832"/>
      <c r="C27" s="3921" t="s">
        <v>1665</v>
      </c>
      <c r="D27" s="3921"/>
      <c r="E27" s="3921"/>
      <c r="F27" s="3921"/>
      <c r="G27" s="3921"/>
      <c r="H27" s="3939">
        <f>'VISITA DE INSP.'!AC39</f>
        <v>2</v>
      </c>
      <c r="I27" s="3939"/>
      <c r="J27" s="3939"/>
      <c r="K27" s="3939">
        <f>'VISITA DE INSP.'!AD39</f>
        <v>2</v>
      </c>
      <c r="L27" s="3939"/>
      <c r="M27" s="3939"/>
      <c r="N27" s="3939">
        <f>'VISITA DE INSP.'!AE39</f>
        <v>2</v>
      </c>
      <c r="O27" s="3939"/>
      <c r="P27" s="3939"/>
      <c r="Q27" s="3939">
        <f>'VISITA DE INSP.'!AH39</f>
        <v>2</v>
      </c>
      <c r="R27" s="3939"/>
      <c r="S27" s="3939"/>
      <c r="T27" s="3939">
        <f>'VISITA DE INSP.'!AI39</f>
        <v>2</v>
      </c>
      <c r="U27" s="3939"/>
      <c r="V27" s="3939"/>
      <c r="W27" s="3939">
        <f>'VISITA DE INSP.'!AJ39</f>
        <v>2</v>
      </c>
      <c r="X27" s="3939"/>
      <c r="Y27" s="3939"/>
      <c r="Z27" s="3924">
        <f>SUM(H27:Y30)</f>
        <v>12</v>
      </c>
      <c r="AA27" s="3924"/>
      <c r="AB27" s="3924"/>
      <c r="AC27" s="828"/>
      <c r="AD27" s="833"/>
      <c r="AE27" s="3916"/>
      <c r="AF27" s="3916"/>
      <c r="AG27" s="3916"/>
      <c r="AH27" s="3916"/>
      <c r="AI27" s="3916"/>
      <c r="AJ27" s="3916"/>
      <c r="AK27" s="3916"/>
      <c r="AL27" s="3916"/>
      <c r="AM27" s="3916"/>
      <c r="AN27" s="3916"/>
      <c r="AO27" s="3916"/>
      <c r="AP27" s="3916"/>
      <c r="AQ27" s="3916"/>
      <c r="AR27" s="3916"/>
      <c r="AS27" s="3916"/>
      <c r="AT27" s="3916"/>
      <c r="AU27" s="3916"/>
      <c r="AV27" s="3916"/>
      <c r="AW27" s="3916"/>
      <c r="AX27" s="3916"/>
      <c r="AY27" s="3923"/>
      <c r="AZ27" s="3923"/>
      <c r="BA27" s="3923"/>
      <c r="BB27" s="3923"/>
      <c r="BC27" s="3923"/>
      <c r="BD27" s="3923"/>
      <c r="BE27" s="3923"/>
      <c r="BF27" s="3923"/>
      <c r="BG27" s="3923"/>
      <c r="BH27" s="1820"/>
      <c r="BI27" s="43"/>
    </row>
    <row r="28" spans="1:65" ht="11.1" customHeight="1">
      <c r="A28" s="45"/>
      <c r="B28" s="832"/>
      <c r="C28" s="3921"/>
      <c r="D28" s="3921"/>
      <c r="E28" s="3921"/>
      <c r="F28" s="3921"/>
      <c r="G28" s="3921"/>
      <c r="H28" s="3939"/>
      <c r="I28" s="3939"/>
      <c r="J28" s="3939"/>
      <c r="K28" s="3939"/>
      <c r="L28" s="3939"/>
      <c r="M28" s="3939"/>
      <c r="N28" s="3939"/>
      <c r="O28" s="3939"/>
      <c r="P28" s="3939"/>
      <c r="Q28" s="3939"/>
      <c r="R28" s="3939"/>
      <c r="S28" s="3939"/>
      <c r="T28" s="3939"/>
      <c r="U28" s="3939"/>
      <c r="V28" s="3939"/>
      <c r="W28" s="3939"/>
      <c r="X28" s="3939"/>
      <c r="Y28" s="3939"/>
      <c r="Z28" s="3924"/>
      <c r="AA28" s="3924"/>
      <c r="AB28" s="3924"/>
      <c r="AC28" s="828"/>
      <c r="AD28" s="833"/>
      <c r="AE28" s="3916"/>
      <c r="AF28" s="3916"/>
      <c r="AG28" s="3916"/>
      <c r="AH28" s="3916"/>
      <c r="AI28" s="3916"/>
      <c r="AJ28" s="3916"/>
      <c r="AK28" s="3916"/>
      <c r="AL28" s="3916"/>
      <c r="AM28" s="3916"/>
      <c r="AN28" s="3916"/>
      <c r="AO28" s="3916"/>
      <c r="AP28" s="3916"/>
      <c r="AQ28" s="3916"/>
      <c r="AR28" s="3916"/>
      <c r="AS28" s="3916"/>
      <c r="AT28" s="3916"/>
      <c r="AU28" s="3916"/>
      <c r="AV28" s="3916"/>
      <c r="AW28" s="3916"/>
      <c r="AX28" s="3916"/>
      <c r="AY28" s="3923"/>
      <c r="AZ28" s="3923"/>
      <c r="BA28" s="3923"/>
      <c r="BB28" s="3923"/>
      <c r="BC28" s="3923"/>
      <c r="BD28" s="3923"/>
      <c r="BE28" s="3923"/>
      <c r="BF28" s="3923"/>
      <c r="BG28" s="3923"/>
      <c r="BH28" s="1820"/>
      <c r="BI28" s="43"/>
    </row>
    <row r="29" spans="1:65" ht="11.1" customHeight="1">
      <c r="A29" s="45"/>
      <c r="B29" s="832"/>
      <c r="C29" s="3921"/>
      <c r="D29" s="3921"/>
      <c r="E29" s="3921"/>
      <c r="F29" s="3921"/>
      <c r="G29" s="3921"/>
      <c r="H29" s="3939"/>
      <c r="I29" s="3939"/>
      <c r="J29" s="3939"/>
      <c r="K29" s="3939"/>
      <c r="L29" s="3939"/>
      <c r="M29" s="3939"/>
      <c r="N29" s="3939"/>
      <c r="O29" s="3939"/>
      <c r="P29" s="3939"/>
      <c r="Q29" s="3939"/>
      <c r="R29" s="3939"/>
      <c r="S29" s="3939"/>
      <c r="T29" s="3939"/>
      <c r="U29" s="3939"/>
      <c r="V29" s="3939"/>
      <c r="W29" s="3939"/>
      <c r="X29" s="3939"/>
      <c r="Y29" s="3939"/>
      <c r="Z29" s="3924"/>
      <c r="AA29" s="3924"/>
      <c r="AB29" s="3924"/>
      <c r="AC29" s="828"/>
      <c r="AD29" s="834"/>
      <c r="AE29" s="3916"/>
      <c r="AF29" s="3916"/>
      <c r="AG29" s="3916"/>
      <c r="AH29" s="3916"/>
      <c r="AI29" s="3916"/>
      <c r="AJ29" s="3916"/>
      <c r="AK29" s="3916"/>
      <c r="AL29" s="3916"/>
      <c r="AM29" s="3916"/>
      <c r="AN29" s="3916"/>
      <c r="AO29" s="3916"/>
      <c r="AP29" s="3916"/>
      <c r="AQ29" s="3916"/>
      <c r="AR29" s="3916"/>
      <c r="AS29" s="3916"/>
      <c r="AT29" s="3916"/>
      <c r="AU29" s="3916"/>
      <c r="AV29" s="3916"/>
      <c r="AW29" s="3916"/>
      <c r="AX29" s="3916"/>
      <c r="AY29" s="3923"/>
      <c r="AZ29" s="3923"/>
      <c r="BA29" s="3923"/>
      <c r="BB29" s="3923"/>
      <c r="BC29" s="3923"/>
      <c r="BD29" s="3923"/>
      <c r="BE29" s="3923"/>
      <c r="BF29" s="3923"/>
      <c r="BG29" s="3923"/>
      <c r="BH29" s="1820"/>
      <c r="BI29" s="43"/>
    </row>
    <row r="30" spans="1:65" ht="11.1" customHeight="1">
      <c r="A30" s="45"/>
      <c r="B30" s="835"/>
      <c r="C30" s="3921"/>
      <c r="D30" s="3921"/>
      <c r="E30" s="3921"/>
      <c r="F30" s="3921"/>
      <c r="G30" s="3921"/>
      <c r="H30" s="3939"/>
      <c r="I30" s="3939"/>
      <c r="J30" s="3939"/>
      <c r="K30" s="3939"/>
      <c r="L30" s="3939"/>
      <c r="M30" s="3939"/>
      <c r="N30" s="3939"/>
      <c r="O30" s="3939"/>
      <c r="P30" s="3939"/>
      <c r="Q30" s="3939"/>
      <c r="R30" s="3939"/>
      <c r="S30" s="3939"/>
      <c r="T30" s="3939"/>
      <c r="U30" s="3939"/>
      <c r="V30" s="3939"/>
      <c r="W30" s="3939"/>
      <c r="X30" s="3939"/>
      <c r="Y30" s="3939"/>
      <c r="Z30" s="3924"/>
      <c r="AA30" s="3924"/>
      <c r="AB30" s="3924"/>
      <c r="AC30" s="828"/>
      <c r="AD30" s="836"/>
      <c r="AE30" s="3916"/>
      <c r="AF30" s="3916"/>
      <c r="AG30" s="3916"/>
      <c r="AH30" s="3916"/>
      <c r="AI30" s="3916"/>
      <c r="AJ30" s="3916"/>
      <c r="AK30" s="3916"/>
      <c r="AL30" s="3916"/>
      <c r="AM30" s="3916"/>
      <c r="AN30" s="3916"/>
      <c r="AO30" s="3916"/>
      <c r="AP30" s="3916"/>
      <c r="AQ30" s="3916"/>
      <c r="AR30" s="3916"/>
      <c r="AS30" s="3916"/>
      <c r="AT30" s="3916"/>
      <c r="AU30" s="3916"/>
      <c r="AV30" s="3916"/>
      <c r="AW30" s="3916"/>
      <c r="AX30" s="3916"/>
      <c r="AY30" s="3923"/>
      <c r="AZ30" s="3923"/>
      <c r="BA30" s="3923"/>
      <c r="BB30" s="3923"/>
      <c r="BC30" s="3923"/>
      <c r="BD30" s="3923"/>
      <c r="BE30" s="3923"/>
      <c r="BF30" s="3923"/>
      <c r="BG30" s="3923"/>
      <c r="BH30" s="1820"/>
      <c r="BI30" s="43"/>
    </row>
    <row r="31" spans="1:65" ht="6.75" customHeight="1">
      <c r="A31" s="45"/>
      <c r="B31" s="837"/>
      <c r="C31" s="4000" t="s">
        <v>1652</v>
      </c>
      <c r="D31" s="4000"/>
      <c r="E31" s="4000"/>
      <c r="F31" s="4000"/>
      <c r="G31" s="4000"/>
      <c r="H31" s="3999">
        <f>'VISITA DE INSP.'!AC40</f>
        <v>0</v>
      </c>
      <c r="I31" s="3999"/>
      <c r="J31" s="3999"/>
      <c r="K31" s="3999">
        <f>'VISITA DE INSP.'!AD40</f>
        <v>0</v>
      </c>
      <c r="L31" s="3999"/>
      <c r="M31" s="3999"/>
      <c r="N31" s="3999">
        <f>'VISITA DE INSP.'!AE40</f>
        <v>0</v>
      </c>
      <c r="O31" s="3999"/>
      <c r="P31" s="3999"/>
      <c r="Q31" s="3999">
        <f>'VISITA DE INSP.'!AH40</f>
        <v>0</v>
      </c>
      <c r="R31" s="3999"/>
      <c r="S31" s="3999"/>
      <c r="T31" s="3999">
        <f>'VISITA DE INSP.'!AI40</f>
        <v>0</v>
      </c>
      <c r="U31" s="3999"/>
      <c r="V31" s="3999"/>
      <c r="W31" s="3999">
        <f>'VISITA DE INSP.'!AJ40</f>
        <v>0</v>
      </c>
      <c r="X31" s="3999"/>
      <c r="Y31" s="3999"/>
      <c r="Z31" s="3999">
        <f>SUM(H31:Y33)</f>
        <v>0</v>
      </c>
      <c r="AA31" s="3999"/>
      <c r="AB31" s="3999"/>
      <c r="AC31" s="828"/>
      <c r="AD31" s="836"/>
      <c r="AE31" s="836"/>
      <c r="AF31" s="836"/>
      <c r="AG31" s="836"/>
      <c r="AH31" s="836"/>
      <c r="AI31" s="836"/>
      <c r="AJ31" s="836"/>
      <c r="AK31" s="836"/>
      <c r="AL31" s="836"/>
      <c r="AM31" s="836"/>
      <c r="AN31" s="836"/>
      <c r="AO31" s="836"/>
      <c r="AP31" s="836"/>
      <c r="AQ31" s="836"/>
      <c r="AR31" s="836"/>
      <c r="AS31" s="836"/>
      <c r="AT31" s="836"/>
      <c r="AU31" s="836"/>
      <c r="AV31" s="836"/>
      <c r="AW31" s="836"/>
      <c r="AX31" s="836"/>
      <c r="AY31" s="836"/>
      <c r="AZ31" s="836"/>
      <c r="BA31" s="836"/>
      <c r="BB31" s="836"/>
      <c r="BC31" s="836"/>
      <c r="BD31" s="836"/>
      <c r="BE31" s="836"/>
      <c r="BF31" s="836"/>
      <c r="BG31" s="836"/>
      <c r="BH31" s="827"/>
      <c r="BI31" s="43"/>
    </row>
    <row r="32" spans="1:65" ht="6.75" customHeight="1">
      <c r="A32" s="45"/>
      <c r="B32" s="837"/>
      <c r="C32" s="4000"/>
      <c r="D32" s="4000"/>
      <c r="E32" s="4000"/>
      <c r="F32" s="4000"/>
      <c r="G32" s="4000"/>
      <c r="H32" s="3999"/>
      <c r="I32" s="3999"/>
      <c r="J32" s="3999"/>
      <c r="K32" s="3999"/>
      <c r="L32" s="3999"/>
      <c r="M32" s="3999"/>
      <c r="N32" s="3999"/>
      <c r="O32" s="3999"/>
      <c r="P32" s="3999"/>
      <c r="Q32" s="3999"/>
      <c r="R32" s="3999"/>
      <c r="S32" s="3999"/>
      <c r="T32" s="3999"/>
      <c r="U32" s="3999"/>
      <c r="V32" s="3999"/>
      <c r="W32" s="3999"/>
      <c r="X32" s="3999"/>
      <c r="Y32" s="3999"/>
      <c r="Z32" s="3999"/>
      <c r="AA32" s="3999"/>
      <c r="AB32" s="3999"/>
      <c r="AC32" s="828"/>
      <c r="AD32" s="836"/>
      <c r="AE32" s="836"/>
      <c r="AF32" s="836"/>
      <c r="AG32" s="836"/>
      <c r="AH32" s="836"/>
      <c r="AI32" s="836"/>
      <c r="AJ32" s="836"/>
      <c r="AK32" s="836"/>
      <c r="AL32" s="836"/>
      <c r="AM32" s="836"/>
      <c r="AN32" s="836"/>
      <c r="AO32" s="836"/>
      <c r="AP32" s="836"/>
      <c r="AQ32" s="836"/>
      <c r="AR32" s="836"/>
      <c r="AS32" s="836"/>
      <c r="AT32" s="836"/>
      <c r="AU32" s="836"/>
      <c r="AV32" s="836"/>
      <c r="AW32" s="836"/>
      <c r="AX32" s="836"/>
      <c r="AY32" s="836"/>
      <c r="AZ32" s="836"/>
      <c r="BA32" s="836"/>
      <c r="BB32" s="836"/>
      <c r="BC32" s="836"/>
      <c r="BD32" s="836"/>
      <c r="BE32" s="836"/>
      <c r="BF32" s="836"/>
      <c r="BG32" s="836"/>
      <c r="BH32" s="827"/>
      <c r="BI32" s="43"/>
    </row>
    <row r="33" spans="1:61" ht="9.75" customHeight="1">
      <c r="A33" s="45"/>
      <c r="B33" s="837"/>
      <c r="C33" s="4000"/>
      <c r="D33" s="4000"/>
      <c r="E33" s="4000"/>
      <c r="F33" s="4000"/>
      <c r="G33" s="4000"/>
      <c r="H33" s="3999"/>
      <c r="I33" s="3999"/>
      <c r="J33" s="3999"/>
      <c r="K33" s="3999"/>
      <c r="L33" s="3999"/>
      <c r="M33" s="3999"/>
      <c r="N33" s="3999"/>
      <c r="O33" s="3999"/>
      <c r="P33" s="3999"/>
      <c r="Q33" s="3999"/>
      <c r="R33" s="3999"/>
      <c r="S33" s="3999"/>
      <c r="T33" s="3999"/>
      <c r="U33" s="3999"/>
      <c r="V33" s="3999"/>
      <c r="W33" s="3999"/>
      <c r="X33" s="3999"/>
      <c r="Y33" s="3999"/>
      <c r="Z33" s="3999"/>
      <c r="AA33" s="3999"/>
      <c r="AB33" s="3999"/>
      <c r="AC33" s="1794"/>
      <c r="AD33" s="1794"/>
      <c r="AE33" s="1794"/>
      <c r="AF33" s="1794"/>
      <c r="AG33" s="1794"/>
      <c r="AH33" s="1794"/>
      <c r="AI33" s="1794"/>
      <c r="AJ33" s="1794"/>
      <c r="AK33" s="1794"/>
      <c r="AL33" s="1794"/>
      <c r="AM33" s="1794"/>
      <c r="AN33" s="1794"/>
      <c r="AO33" s="1794"/>
      <c r="AP33" s="1794"/>
      <c r="AQ33" s="1794"/>
      <c r="AR33" s="1794"/>
      <c r="AS33" s="1794"/>
      <c r="AT33" s="1794"/>
      <c r="AU33" s="1794"/>
      <c r="AV33" s="1794"/>
      <c r="AW33" s="1794"/>
      <c r="AX33" s="1794"/>
      <c r="AY33" s="1794"/>
      <c r="AZ33" s="1794"/>
      <c r="BA33" s="1794"/>
      <c r="BB33" s="1794"/>
      <c r="BC33" s="1794"/>
      <c r="BD33" s="1794"/>
      <c r="BE33" s="1794"/>
      <c r="BF33" s="1794"/>
      <c r="BG33" s="1794"/>
      <c r="BH33" s="827"/>
      <c r="BI33" s="43"/>
    </row>
    <row r="34" spans="1:61" ht="6.75" customHeight="1">
      <c r="A34" s="45"/>
      <c r="B34" s="1806"/>
      <c r="C34" s="838"/>
      <c r="D34" s="838"/>
      <c r="E34" s="838"/>
      <c r="F34" s="838"/>
      <c r="G34" s="838"/>
      <c r="H34" s="1790"/>
      <c r="I34" s="1790"/>
      <c r="J34" s="1790"/>
      <c r="K34" s="1790"/>
      <c r="L34" s="1790"/>
      <c r="M34" s="1790"/>
      <c r="N34" s="1790"/>
      <c r="O34" s="1790"/>
      <c r="P34" s="1790"/>
      <c r="Q34" s="1790"/>
      <c r="R34" s="1790"/>
      <c r="S34" s="1790"/>
      <c r="T34" s="829"/>
      <c r="U34" s="828"/>
      <c r="V34" s="839"/>
      <c r="W34" s="839"/>
      <c r="X34" s="839"/>
      <c r="Y34" s="839"/>
      <c r="Z34" s="839"/>
      <c r="AA34" s="836"/>
      <c r="AB34" s="836"/>
      <c r="AC34" s="828"/>
      <c r="AD34" s="836"/>
      <c r="AE34" s="836"/>
      <c r="AF34" s="836"/>
      <c r="AG34" s="836"/>
      <c r="AH34" s="836"/>
      <c r="AI34" s="836"/>
      <c r="AJ34" s="836"/>
      <c r="AK34" s="836"/>
      <c r="AL34" s="836"/>
      <c r="AM34" s="836"/>
      <c r="AN34" s="836"/>
      <c r="AO34" s="836"/>
      <c r="AP34" s="836"/>
      <c r="AQ34" s="836"/>
      <c r="AR34" s="836"/>
      <c r="AS34" s="836"/>
      <c r="AT34" s="836"/>
      <c r="AU34" s="836"/>
      <c r="AV34" s="836"/>
      <c r="AW34" s="836"/>
      <c r="AX34" s="836"/>
      <c r="AY34" s="836"/>
      <c r="AZ34" s="836"/>
      <c r="BA34" s="836"/>
      <c r="BB34" s="836"/>
      <c r="BC34" s="836"/>
      <c r="BD34" s="836"/>
      <c r="BE34" s="836"/>
      <c r="BF34" s="836"/>
      <c r="BG34" s="836"/>
      <c r="BH34" s="827"/>
      <c r="BI34" s="43"/>
    </row>
    <row r="35" spans="1:61" ht="11.25" customHeight="1">
      <c r="A35" s="45"/>
      <c r="B35" s="1848"/>
      <c r="C35" s="1803"/>
      <c r="D35" s="1803"/>
      <c r="E35" s="1803"/>
      <c r="F35" s="1803"/>
      <c r="G35" s="1803"/>
      <c r="H35" s="1803"/>
      <c r="I35" s="1803"/>
      <c r="J35" s="1803"/>
      <c r="K35" s="1803"/>
      <c r="L35" s="1803"/>
      <c r="M35" s="1803"/>
      <c r="N35" s="1803"/>
      <c r="O35" s="1803"/>
      <c r="P35" s="1803"/>
      <c r="Q35" s="1803"/>
      <c r="R35" s="1803"/>
      <c r="S35" s="1803"/>
      <c r="T35" s="1803"/>
      <c r="U35" s="1803"/>
      <c r="V35" s="1803"/>
      <c r="W35" s="1803"/>
      <c r="X35" s="1803"/>
      <c r="Y35" s="1803"/>
      <c r="Z35" s="1803"/>
      <c r="AA35" s="1803"/>
      <c r="AB35" s="1803"/>
      <c r="AC35" s="1803"/>
      <c r="AD35" s="1849"/>
      <c r="AE35" s="1803"/>
      <c r="AF35" s="1849" t="s">
        <v>1658</v>
      </c>
      <c r="AG35" s="3998">
        <f>Q37</f>
        <v>2012</v>
      </c>
      <c r="AH35" s="3998"/>
      <c r="AI35" s="3998">
        <f>AG35+1</f>
        <v>2013</v>
      </c>
      <c r="AJ35" s="3998"/>
      <c r="AK35" s="1803"/>
      <c r="AL35" s="1803"/>
      <c r="AM35" s="1803"/>
      <c r="AN35" s="1803"/>
      <c r="AO35" s="1803"/>
      <c r="AP35" s="1803"/>
      <c r="AQ35" s="1803"/>
      <c r="AR35" s="1803"/>
      <c r="AS35" s="1803"/>
      <c r="AT35" s="1803"/>
      <c r="AU35" s="1803"/>
      <c r="AV35" s="1803"/>
      <c r="AW35" s="1803"/>
      <c r="AX35" s="1803"/>
      <c r="AY35" s="1803"/>
      <c r="AZ35" s="1803"/>
      <c r="BA35" s="1803"/>
      <c r="BB35" s="1803"/>
      <c r="BC35" s="1803"/>
      <c r="BD35" s="1803"/>
      <c r="BE35" s="1803"/>
      <c r="BF35" s="1803"/>
      <c r="BG35" s="1803"/>
      <c r="BH35" s="1804"/>
      <c r="BI35" s="43"/>
    </row>
    <row r="36" spans="1:61" ht="6.75" customHeight="1">
      <c r="A36" s="45"/>
      <c r="B36" s="1814"/>
      <c r="C36" s="1815"/>
      <c r="D36" s="1815"/>
      <c r="E36" s="1815"/>
      <c r="F36" s="1815"/>
      <c r="G36" s="1815"/>
      <c r="H36" s="1787"/>
      <c r="I36" s="1787"/>
      <c r="J36" s="1787"/>
      <c r="K36" s="1787"/>
      <c r="L36" s="1787"/>
      <c r="M36" s="1787"/>
      <c r="N36" s="1787"/>
      <c r="O36" s="1787"/>
      <c r="P36" s="1787"/>
      <c r="Q36" s="1787"/>
      <c r="R36" s="1787"/>
      <c r="S36" s="1787"/>
      <c r="T36" s="823"/>
      <c r="U36" s="824"/>
      <c r="V36" s="1816"/>
      <c r="W36" s="1816"/>
      <c r="X36" s="1816"/>
      <c r="Y36" s="1816"/>
      <c r="Z36" s="1816"/>
      <c r="AA36" s="1817"/>
      <c r="AB36" s="1817"/>
      <c r="AC36" s="824"/>
      <c r="AD36" s="1817"/>
      <c r="AE36" s="1817"/>
      <c r="AF36" s="1817"/>
      <c r="AG36" s="1817"/>
      <c r="AH36" s="824"/>
      <c r="AI36" s="824"/>
      <c r="AJ36" s="824"/>
      <c r="AK36" s="824"/>
      <c r="AL36" s="824"/>
      <c r="AM36" s="824"/>
      <c r="AN36" s="824"/>
      <c r="AO36" s="824"/>
      <c r="AP36" s="824"/>
      <c r="AQ36" s="824"/>
      <c r="AR36" s="824"/>
      <c r="AS36" s="824"/>
      <c r="AT36" s="824"/>
      <c r="AU36" s="824"/>
      <c r="AV36" s="824"/>
      <c r="AW36" s="824"/>
      <c r="AX36" s="824"/>
      <c r="AY36" s="824"/>
      <c r="AZ36" s="824"/>
      <c r="BA36" s="824"/>
      <c r="BB36" s="824"/>
      <c r="BC36" s="824"/>
      <c r="BD36" s="824"/>
      <c r="BE36" s="824"/>
      <c r="BF36" s="824"/>
      <c r="BG36" s="824"/>
      <c r="BH36" s="825"/>
      <c r="BI36" s="43"/>
    </row>
    <row r="37" spans="1:61" ht="17.25" customHeight="1">
      <c r="A37" s="45"/>
      <c r="B37" s="835"/>
      <c r="C37" s="1810"/>
      <c r="D37" s="1811"/>
      <c r="E37" s="1811"/>
      <c r="F37" s="1811"/>
      <c r="G37" s="1811"/>
      <c r="H37" s="1811"/>
      <c r="I37" s="1811"/>
      <c r="J37" s="1811"/>
      <c r="K37" s="2057"/>
      <c r="L37" s="2057"/>
      <c r="M37" s="2057"/>
      <c r="N37" s="2057"/>
      <c r="O37" s="2057"/>
      <c r="P37" s="2058" t="s">
        <v>1667</v>
      </c>
      <c r="Q37" s="3982">
        <f>T17</f>
        <v>2012</v>
      </c>
      <c r="R37" s="3982"/>
      <c r="S37" s="3982">
        <f>Q37+1</f>
        <v>2013</v>
      </c>
      <c r="T37" s="3982"/>
      <c r="U37" s="1811"/>
      <c r="V37" s="1811"/>
      <c r="W37" s="1811"/>
      <c r="X37" s="1811"/>
      <c r="Y37" s="1811"/>
      <c r="Z37" s="1811"/>
      <c r="AA37" s="1811"/>
      <c r="AB37" s="1812"/>
      <c r="AC37" s="828"/>
      <c r="AD37" s="836"/>
      <c r="AE37" s="3917" t="s">
        <v>1668</v>
      </c>
      <c r="AF37" s="3995"/>
      <c r="AG37" s="3995"/>
      <c r="AH37" s="3995"/>
      <c r="AI37" s="3995"/>
      <c r="AJ37" s="3995"/>
      <c r="AK37" s="3995"/>
      <c r="AL37" s="3995"/>
      <c r="AM37" s="3995"/>
      <c r="AN37" s="3995"/>
      <c r="AO37" s="3995"/>
      <c r="AP37" s="3995"/>
      <c r="AQ37" s="3995"/>
      <c r="AR37" s="3995"/>
      <c r="AS37" s="3995"/>
      <c r="AT37" s="3995"/>
      <c r="AU37" s="3980">
        <f>AG35</f>
        <v>2012</v>
      </c>
      <c r="AV37" s="3980"/>
      <c r="AW37" s="3980">
        <f>AI35</f>
        <v>2013</v>
      </c>
      <c r="AX37" s="3980"/>
      <c r="AY37" s="1901"/>
      <c r="AZ37" s="1901"/>
      <c r="BA37" s="1901"/>
      <c r="BB37" s="1901"/>
      <c r="BC37" s="1901"/>
      <c r="BD37" s="1901"/>
      <c r="BE37" s="1901"/>
      <c r="BF37" s="1901"/>
      <c r="BG37" s="1850"/>
      <c r="BH37" s="827"/>
      <c r="BI37" s="43"/>
    </row>
    <row r="38" spans="1:61" s="417" customFormat="1" ht="10.5" customHeight="1">
      <c r="A38" s="1807"/>
      <c r="B38" s="1808"/>
      <c r="C38" s="3983" t="s">
        <v>770</v>
      </c>
      <c r="D38" s="3984"/>
      <c r="E38" s="3984"/>
      <c r="F38" s="3984"/>
      <c r="G38" s="3984"/>
      <c r="H38" s="3984"/>
      <c r="I38" s="3984"/>
      <c r="J38" s="3984"/>
      <c r="K38" s="3984"/>
      <c r="L38" s="3984"/>
      <c r="M38" s="3984"/>
      <c r="N38" s="3984"/>
      <c r="O38" s="3984"/>
      <c r="P38" s="3984"/>
      <c r="Q38" s="3984"/>
      <c r="R38" s="3984"/>
      <c r="S38" s="3984"/>
      <c r="T38" s="3984"/>
      <c r="U38" s="3984"/>
      <c r="V38" s="3984"/>
      <c r="W38" s="3984"/>
      <c r="X38" s="3984"/>
      <c r="Y38" s="3984"/>
      <c r="Z38" s="3984"/>
      <c r="AA38" s="3984"/>
      <c r="AB38" s="3985"/>
      <c r="AC38" s="1108"/>
      <c r="AD38" s="836"/>
      <c r="AE38" s="3996"/>
      <c r="AF38" s="3997"/>
      <c r="AG38" s="3997"/>
      <c r="AH38" s="3997"/>
      <c r="AI38" s="3997"/>
      <c r="AJ38" s="3997"/>
      <c r="AK38" s="3997"/>
      <c r="AL38" s="3997"/>
      <c r="AM38" s="3997"/>
      <c r="AN38" s="3997"/>
      <c r="AO38" s="3997"/>
      <c r="AP38" s="3997"/>
      <c r="AQ38" s="3997"/>
      <c r="AR38" s="3997"/>
      <c r="AS38" s="3997"/>
      <c r="AT38" s="3997"/>
      <c r="AU38" s="3957"/>
      <c r="AV38" s="3957"/>
      <c r="AW38" s="3957"/>
      <c r="AX38" s="3957"/>
      <c r="AY38" s="1902"/>
      <c r="AZ38" s="1902"/>
      <c r="BA38" s="1902"/>
      <c r="BB38" s="1902"/>
      <c r="BC38" s="1902"/>
      <c r="BD38" s="1902"/>
      <c r="BE38" s="1902"/>
      <c r="BF38" s="1902"/>
      <c r="BG38" s="1851"/>
      <c r="BH38" s="1818"/>
      <c r="BI38" s="421"/>
    </row>
    <row r="39" spans="1:61" s="417" customFormat="1" ht="16.5" customHeight="1">
      <c r="A39" s="1807"/>
      <c r="B39" s="1809"/>
      <c r="C39" s="3983" t="s">
        <v>1666</v>
      </c>
      <c r="D39" s="3984"/>
      <c r="E39" s="3984"/>
      <c r="F39" s="3984"/>
      <c r="G39" s="3984"/>
      <c r="H39" s="3984"/>
      <c r="I39" s="3984"/>
      <c r="J39" s="3984"/>
      <c r="K39" s="3984"/>
      <c r="L39" s="3984"/>
      <c r="M39" s="3984"/>
      <c r="N39" s="3984"/>
      <c r="O39" s="3984"/>
      <c r="P39" s="3984"/>
      <c r="Q39" s="3984"/>
      <c r="R39" s="3984"/>
      <c r="S39" s="3984"/>
      <c r="T39" s="3984"/>
      <c r="U39" s="3984"/>
      <c r="V39" s="3984"/>
      <c r="W39" s="3984"/>
      <c r="X39" s="3984"/>
      <c r="Y39" s="3984"/>
      <c r="Z39" s="3984"/>
      <c r="AA39" s="3984"/>
      <c r="AB39" s="3985"/>
      <c r="AC39" s="836"/>
      <c r="AD39" s="836"/>
      <c r="AE39" s="2074"/>
      <c r="AF39" s="2075"/>
      <c r="AG39" s="2075"/>
      <c r="AH39" s="2075"/>
      <c r="AI39" s="2075"/>
      <c r="AJ39" s="2075"/>
      <c r="AK39" s="2075"/>
      <c r="AL39" s="2075"/>
      <c r="AM39" s="2075"/>
      <c r="AN39" s="2075"/>
      <c r="AO39" s="2075"/>
      <c r="AP39" s="2075"/>
      <c r="AQ39" s="2075"/>
      <c r="AR39" s="2076"/>
      <c r="AS39" s="2076"/>
      <c r="AT39" s="2076"/>
      <c r="AU39" s="2076" t="s">
        <v>1659</v>
      </c>
      <c r="AV39" s="3922">
        <f>AU37</f>
        <v>2012</v>
      </c>
      <c r="AW39" s="3922"/>
      <c r="AX39" s="3922">
        <f>AW37</f>
        <v>2013</v>
      </c>
      <c r="AY39" s="3922"/>
      <c r="AZ39" s="2075"/>
      <c r="BA39" s="2075"/>
      <c r="BB39" s="2075"/>
      <c r="BC39" s="2075"/>
      <c r="BD39" s="2075"/>
      <c r="BE39" s="2075"/>
      <c r="BF39" s="2075"/>
      <c r="BG39" s="2077"/>
      <c r="BH39" s="1819"/>
      <c r="BI39" s="421"/>
    </row>
    <row r="40" spans="1:61" ht="11.1" customHeight="1">
      <c r="A40" s="45"/>
      <c r="B40" s="837"/>
      <c r="C40" s="3969" t="s">
        <v>3</v>
      </c>
      <c r="D40" s="3969"/>
      <c r="E40" s="3969"/>
      <c r="F40" s="3969"/>
      <c r="G40" s="3969"/>
      <c r="H40" s="3977" t="s">
        <v>774</v>
      </c>
      <c r="I40" s="3978"/>
      <c r="J40" s="3979"/>
      <c r="K40" s="3977" t="s">
        <v>877</v>
      </c>
      <c r="L40" s="3978"/>
      <c r="M40" s="3979"/>
      <c r="N40" s="3965" t="s">
        <v>768</v>
      </c>
      <c r="O40" s="3966"/>
      <c r="P40" s="3967"/>
      <c r="Q40" s="3965" t="s">
        <v>775</v>
      </c>
      <c r="R40" s="3966"/>
      <c r="S40" s="3967"/>
      <c r="T40" s="3965" t="s">
        <v>776</v>
      </c>
      <c r="U40" s="3966"/>
      <c r="V40" s="3967"/>
      <c r="W40" s="3968" t="s">
        <v>777</v>
      </c>
      <c r="X40" s="3968"/>
      <c r="Y40" s="3968"/>
      <c r="Z40" s="3968" t="s">
        <v>408</v>
      </c>
      <c r="AA40" s="3968"/>
      <c r="AB40" s="3968"/>
      <c r="AC40" s="836"/>
      <c r="AD40" s="836"/>
      <c r="AE40" s="3986"/>
      <c r="AF40" s="3987"/>
      <c r="AG40" s="3987"/>
      <c r="AH40" s="3987"/>
      <c r="AI40" s="3987"/>
      <c r="AJ40" s="3987"/>
      <c r="AK40" s="3987"/>
      <c r="AL40" s="3987"/>
      <c r="AM40" s="3987"/>
      <c r="AN40" s="3987"/>
      <c r="AO40" s="3987"/>
      <c r="AP40" s="3987"/>
      <c r="AQ40" s="3987"/>
      <c r="AR40" s="3987"/>
      <c r="AS40" s="3987"/>
      <c r="AT40" s="3987"/>
      <c r="AU40" s="3987"/>
      <c r="AV40" s="3987"/>
      <c r="AW40" s="3987"/>
      <c r="AX40" s="3987"/>
      <c r="AY40" s="3987"/>
      <c r="AZ40" s="3987"/>
      <c r="BA40" s="3987"/>
      <c r="BB40" s="3987"/>
      <c r="BC40" s="3987"/>
      <c r="BD40" s="3987"/>
      <c r="BE40" s="3987"/>
      <c r="BF40" s="3987"/>
      <c r="BG40" s="3988"/>
      <c r="BH40" s="1820"/>
      <c r="BI40" s="43"/>
    </row>
    <row r="41" spans="1:61" ht="11.1" customHeight="1">
      <c r="A41" s="45"/>
      <c r="B41" s="837"/>
      <c r="C41" s="3921" t="s">
        <v>769</v>
      </c>
      <c r="D41" s="3921"/>
      <c r="E41" s="3921"/>
      <c r="F41" s="3921"/>
      <c r="G41" s="3921"/>
      <c r="H41" s="3940">
        <f>'VISITA DE INSP.'!I40</f>
        <v>0</v>
      </c>
      <c r="I41" s="3940"/>
      <c r="J41" s="3940"/>
      <c r="K41" s="3943">
        <f>H19</f>
        <v>56</v>
      </c>
      <c r="L41" s="3943"/>
      <c r="M41" s="3943"/>
      <c r="N41" s="3943">
        <f>K19</f>
        <v>64</v>
      </c>
      <c r="O41" s="3943"/>
      <c r="P41" s="3943"/>
      <c r="Q41" s="3943">
        <f>N19</f>
        <v>57</v>
      </c>
      <c r="R41" s="3943"/>
      <c r="S41" s="3943"/>
      <c r="T41" s="3943">
        <f>Q19</f>
        <v>60</v>
      </c>
      <c r="U41" s="3943"/>
      <c r="V41" s="3943"/>
      <c r="W41" s="3943">
        <f>T19</f>
        <v>53</v>
      </c>
      <c r="X41" s="3943"/>
      <c r="Y41" s="3943"/>
      <c r="Z41" s="3941">
        <f>SUM(H41:Y44)</f>
        <v>290</v>
      </c>
      <c r="AA41" s="3941"/>
      <c r="AB41" s="3941"/>
      <c r="AC41" s="836"/>
      <c r="AD41" s="836"/>
      <c r="AE41" s="3989"/>
      <c r="AF41" s="3990"/>
      <c r="AG41" s="3990"/>
      <c r="AH41" s="3990"/>
      <c r="AI41" s="3990"/>
      <c r="AJ41" s="3990"/>
      <c r="AK41" s="3990"/>
      <c r="AL41" s="3990"/>
      <c r="AM41" s="3990"/>
      <c r="AN41" s="3990"/>
      <c r="AO41" s="3990"/>
      <c r="AP41" s="3990"/>
      <c r="AQ41" s="3990"/>
      <c r="AR41" s="3990"/>
      <c r="AS41" s="3990"/>
      <c r="AT41" s="3990"/>
      <c r="AU41" s="3990"/>
      <c r="AV41" s="3990"/>
      <c r="AW41" s="3990"/>
      <c r="AX41" s="3990"/>
      <c r="AY41" s="3990"/>
      <c r="AZ41" s="3990"/>
      <c r="BA41" s="3990"/>
      <c r="BB41" s="3990"/>
      <c r="BC41" s="3990"/>
      <c r="BD41" s="3990"/>
      <c r="BE41" s="3990"/>
      <c r="BF41" s="3990"/>
      <c r="BG41" s="3991"/>
      <c r="BH41" s="1820"/>
      <c r="BI41" s="43"/>
    </row>
    <row r="42" spans="1:61" ht="11.1" customHeight="1">
      <c r="A42" s="45"/>
      <c r="B42" s="837"/>
      <c r="C42" s="3921"/>
      <c r="D42" s="3921"/>
      <c r="E42" s="3921"/>
      <c r="F42" s="3921"/>
      <c r="G42" s="3921"/>
      <c r="H42" s="3940"/>
      <c r="I42" s="3940"/>
      <c r="J42" s="3940"/>
      <c r="K42" s="3943"/>
      <c r="L42" s="3943"/>
      <c r="M42" s="3943"/>
      <c r="N42" s="3943"/>
      <c r="O42" s="3943"/>
      <c r="P42" s="3943"/>
      <c r="Q42" s="3943"/>
      <c r="R42" s="3943"/>
      <c r="S42" s="3943"/>
      <c r="T42" s="3943"/>
      <c r="U42" s="3943"/>
      <c r="V42" s="3943"/>
      <c r="W42" s="3943"/>
      <c r="X42" s="3943"/>
      <c r="Y42" s="3943"/>
      <c r="Z42" s="3941"/>
      <c r="AA42" s="3941"/>
      <c r="AB42" s="3941"/>
      <c r="AC42" s="836"/>
      <c r="AD42" s="836"/>
      <c r="AE42" s="3992"/>
      <c r="AF42" s="3993"/>
      <c r="AG42" s="3993"/>
      <c r="AH42" s="3993"/>
      <c r="AI42" s="3993"/>
      <c r="AJ42" s="3993"/>
      <c r="AK42" s="3993"/>
      <c r="AL42" s="3993"/>
      <c r="AM42" s="3993"/>
      <c r="AN42" s="3993"/>
      <c r="AO42" s="3993"/>
      <c r="AP42" s="3993"/>
      <c r="AQ42" s="3993"/>
      <c r="AR42" s="3993"/>
      <c r="AS42" s="3993"/>
      <c r="AT42" s="3993"/>
      <c r="AU42" s="3993"/>
      <c r="AV42" s="3993"/>
      <c r="AW42" s="3993"/>
      <c r="AX42" s="3993"/>
      <c r="AY42" s="3993"/>
      <c r="AZ42" s="3993"/>
      <c r="BA42" s="3993"/>
      <c r="BB42" s="3993"/>
      <c r="BC42" s="3993"/>
      <c r="BD42" s="3993"/>
      <c r="BE42" s="3993"/>
      <c r="BF42" s="3993"/>
      <c r="BG42" s="3994"/>
      <c r="BH42" s="1820"/>
      <c r="BI42" s="43"/>
    </row>
    <row r="43" spans="1:61" ht="11.1" customHeight="1">
      <c r="A43" s="45"/>
      <c r="B43" s="837"/>
      <c r="C43" s="3921"/>
      <c r="D43" s="3921"/>
      <c r="E43" s="3921"/>
      <c r="F43" s="3921"/>
      <c r="G43" s="3921"/>
      <c r="H43" s="3940"/>
      <c r="I43" s="3940"/>
      <c r="J43" s="3940"/>
      <c r="K43" s="3943"/>
      <c r="L43" s="3943"/>
      <c r="M43" s="3943"/>
      <c r="N43" s="3943"/>
      <c r="O43" s="3943"/>
      <c r="P43" s="3943"/>
      <c r="Q43" s="3943"/>
      <c r="R43" s="3943"/>
      <c r="S43" s="3943"/>
      <c r="T43" s="3943"/>
      <c r="U43" s="3943"/>
      <c r="V43" s="3943"/>
      <c r="W43" s="3943"/>
      <c r="X43" s="3943"/>
      <c r="Y43" s="3943"/>
      <c r="Z43" s="3941"/>
      <c r="AA43" s="3941"/>
      <c r="AB43" s="3941"/>
      <c r="AC43" s="836"/>
      <c r="AD43" s="836"/>
      <c r="AE43" s="3986"/>
      <c r="AF43" s="3987"/>
      <c r="AG43" s="3987"/>
      <c r="AH43" s="3987"/>
      <c r="AI43" s="3987"/>
      <c r="AJ43" s="3987"/>
      <c r="AK43" s="3987"/>
      <c r="AL43" s="3987"/>
      <c r="AM43" s="3987"/>
      <c r="AN43" s="3987"/>
      <c r="AO43" s="3987"/>
      <c r="AP43" s="3987"/>
      <c r="AQ43" s="3987"/>
      <c r="AR43" s="3987"/>
      <c r="AS43" s="3987"/>
      <c r="AT43" s="3987"/>
      <c r="AU43" s="3987"/>
      <c r="AV43" s="3987"/>
      <c r="AW43" s="3987"/>
      <c r="AX43" s="3987"/>
      <c r="AY43" s="3987"/>
      <c r="AZ43" s="3987"/>
      <c r="BA43" s="3987"/>
      <c r="BB43" s="3987"/>
      <c r="BC43" s="3987"/>
      <c r="BD43" s="3987"/>
      <c r="BE43" s="3987"/>
      <c r="BF43" s="3987"/>
      <c r="BG43" s="3988"/>
      <c r="BH43" s="1820"/>
      <c r="BI43" s="43"/>
    </row>
    <row r="44" spans="1:61" ht="11.1" customHeight="1">
      <c r="A44" s="45"/>
      <c r="B44" s="837"/>
      <c r="C44" s="3921"/>
      <c r="D44" s="3921"/>
      <c r="E44" s="3921"/>
      <c r="F44" s="3921"/>
      <c r="G44" s="3921"/>
      <c r="H44" s="3940"/>
      <c r="I44" s="3940"/>
      <c r="J44" s="3940"/>
      <c r="K44" s="3943"/>
      <c r="L44" s="3943"/>
      <c r="M44" s="3943"/>
      <c r="N44" s="3943"/>
      <c r="O44" s="3943"/>
      <c r="P44" s="3943"/>
      <c r="Q44" s="3943"/>
      <c r="R44" s="3943"/>
      <c r="S44" s="3943"/>
      <c r="T44" s="3943"/>
      <c r="U44" s="3943"/>
      <c r="V44" s="3943"/>
      <c r="W44" s="3943"/>
      <c r="X44" s="3943"/>
      <c r="Y44" s="3943"/>
      <c r="Z44" s="3941"/>
      <c r="AA44" s="3941"/>
      <c r="AB44" s="3941"/>
      <c r="AC44" s="836"/>
      <c r="AD44" s="836"/>
      <c r="AE44" s="3989"/>
      <c r="AF44" s="3990"/>
      <c r="AG44" s="3990"/>
      <c r="AH44" s="3990"/>
      <c r="AI44" s="3990"/>
      <c r="AJ44" s="3990"/>
      <c r="AK44" s="3990"/>
      <c r="AL44" s="3990"/>
      <c r="AM44" s="3990"/>
      <c r="AN44" s="3990"/>
      <c r="AO44" s="3990"/>
      <c r="AP44" s="3990"/>
      <c r="AQ44" s="3990"/>
      <c r="AR44" s="3990"/>
      <c r="AS44" s="3990"/>
      <c r="AT44" s="3990"/>
      <c r="AU44" s="3990"/>
      <c r="AV44" s="3990"/>
      <c r="AW44" s="3990"/>
      <c r="AX44" s="3990"/>
      <c r="AY44" s="3990"/>
      <c r="AZ44" s="3990"/>
      <c r="BA44" s="3990"/>
      <c r="BB44" s="3990"/>
      <c r="BC44" s="3990"/>
      <c r="BD44" s="3990"/>
      <c r="BE44" s="3990"/>
      <c r="BF44" s="3990"/>
      <c r="BG44" s="3991"/>
      <c r="BH44" s="1820"/>
      <c r="BI44" s="43"/>
    </row>
    <row r="45" spans="1:61" ht="11.1" customHeight="1">
      <c r="A45" s="45"/>
      <c r="B45" s="837"/>
      <c r="C45" s="3921" t="s">
        <v>825</v>
      </c>
      <c r="D45" s="3921"/>
      <c r="E45" s="3921"/>
      <c r="F45" s="3921"/>
      <c r="G45" s="3921"/>
      <c r="H45" s="3942"/>
      <c r="I45" s="3942"/>
      <c r="J45" s="3942"/>
      <c r="K45" s="3942"/>
      <c r="L45" s="3942"/>
      <c r="M45" s="3942"/>
      <c r="N45" s="3942"/>
      <c r="O45" s="3942"/>
      <c r="P45" s="3942"/>
      <c r="Q45" s="3942"/>
      <c r="R45" s="3942"/>
      <c r="S45" s="3942"/>
      <c r="T45" s="3942"/>
      <c r="U45" s="3942"/>
      <c r="V45" s="3942"/>
      <c r="W45" s="3942"/>
      <c r="X45" s="3942"/>
      <c r="Y45" s="3942"/>
      <c r="Z45" s="3941">
        <f>SUM(H45:Y48)</f>
        <v>0</v>
      </c>
      <c r="AA45" s="3941"/>
      <c r="AB45" s="3941"/>
      <c r="AC45" s="1074"/>
      <c r="AD45" s="1074"/>
      <c r="AE45" s="3992"/>
      <c r="AF45" s="3993"/>
      <c r="AG45" s="3993"/>
      <c r="AH45" s="3993"/>
      <c r="AI45" s="3993"/>
      <c r="AJ45" s="3993"/>
      <c r="AK45" s="3993"/>
      <c r="AL45" s="3993"/>
      <c r="AM45" s="3993"/>
      <c r="AN45" s="3993"/>
      <c r="AO45" s="3993"/>
      <c r="AP45" s="3993"/>
      <c r="AQ45" s="3993"/>
      <c r="AR45" s="3993"/>
      <c r="AS45" s="3993"/>
      <c r="AT45" s="3993"/>
      <c r="AU45" s="3993"/>
      <c r="AV45" s="3993"/>
      <c r="AW45" s="3993"/>
      <c r="AX45" s="3993"/>
      <c r="AY45" s="3993"/>
      <c r="AZ45" s="3993"/>
      <c r="BA45" s="3993"/>
      <c r="BB45" s="3993"/>
      <c r="BC45" s="3993"/>
      <c r="BD45" s="3993"/>
      <c r="BE45" s="3993"/>
      <c r="BF45" s="3993"/>
      <c r="BG45" s="3994"/>
      <c r="BH45" s="1820"/>
      <c r="BI45" s="43"/>
    </row>
    <row r="46" spans="1:61" ht="11.1" customHeight="1">
      <c r="A46" s="45"/>
      <c r="B46" s="837"/>
      <c r="C46" s="3921"/>
      <c r="D46" s="3921"/>
      <c r="E46" s="3921"/>
      <c r="F46" s="3921"/>
      <c r="G46" s="3921"/>
      <c r="H46" s="3942"/>
      <c r="I46" s="3942"/>
      <c r="J46" s="3942"/>
      <c r="K46" s="3942"/>
      <c r="L46" s="3942"/>
      <c r="M46" s="3942"/>
      <c r="N46" s="3942"/>
      <c r="O46" s="3942"/>
      <c r="P46" s="3942"/>
      <c r="Q46" s="3942"/>
      <c r="R46" s="3942"/>
      <c r="S46" s="3942"/>
      <c r="T46" s="3942"/>
      <c r="U46" s="3942"/>
      <c r="V46" s="3942"/>
      <c r="W46" s="3942"/>
      <c r="X46" s="3942"/>
      <c r="Y46" s="3942"/>
      <c r="Z46" s="3941"/>
      <c r="AA46" s="3941"/>
      <c r="AB46" s="3941"/>
      <c r="AC46" s="1074"/>
      <c r="AD46" s="1074"/>
      <c r="AE46" s="3986"/>
      <c r="AF46" s="3987"/>
      <c r="AG46" s="3987"/>
      <c r="AH46" s="3987"/>
      <c r="AI46" s="3987"/>
      <c r="AJ46" s="3987"/>
      <c r="AK46" s="3987"/>
      <c r="AL46" s="3987"/>
      <c r="AM46" s="3987"/>
      <c r="AN46" s="3987"/>
      <c r="AO46" s="3987"/>
      <c r="AP46" s="3987"/>
      <c r="AQ46" s="3987"/>
      <c r="AR46" s="3987"/>
      <c r="AS46" s="3987"/>
      <c r="AT46" s="3987"/>
      <c r="AU46" s="3987"/>
      <c r="AV46" s="3987"/>
      <c r="AW46" s="3987"/>
      <c r="AX46" s="3987"/>
      <c r="AY46" s="3987"/>
      <c r="AZ46" s="3987"/>
      <c r="BA46" s="3987"/>
      <c r="BB46" s="3987"/>
      <c r="BC46" s="3987"/>
      <c r="BD46" s="3987"/>
      <c r="BE46" s="3987"/>
      <c r="BF46" s="3987"/>
      <c r="BG46" s="3988"/>
      <c r="BH46" s="1820"/>
      <c r="BI46" s="43"/>
    </row>
    <row r="47" spans="1:61" ht="11.1" customHeight="1">
      <c r="A47" s="45"/>
      <c r="B47" s="837"/>
      <c r="C47" s="3921"/>
      <c r="D47" s="3921"/>
      <c r="E47" s="3921"/>
      <c r="F47" s="3921"/>
      <c r="G47" s="3921"/>
      <c r="H47" s="3942"/>
      <c r="I47" s="3942"/>
      <c r="J47" s="3942"/>
      <c r="K47" s="3942"/>
      <c r="L47" s="3942"/>
      <c r="M47" s="3942"/>
      <c r="N47" s="3942"/>
      <c r="O47" s="3942"/>
      <c r="P47" s="3942"/>
      <c r="Q47" s="3942"/>
      <c r="R47" s="3942"/>
      <c r="S47" s="3942"/>
      <c r="T47" s="3942"/>
      <c r="U47" s="3942"/>
      <c r="V47" s="3942"/>
      <c r="W47" s="3942"/>
      <c r="X47" s="3942"/>
      <c r="Y47" s="3942"/>
      <c r="Z47" s="3941"/>
      <c r="AA47" s="3941"/>
      <c r="AB47" s="3941"/>
      <c r="AC47" s="1074"/>
      <c r="AD47" s="1074"/>
      <c r="AE47" s="3989"/>
      <c r="AF47" s="3990"/>
      <c r="AG47" s="3990"/>
      <c r="AH47" s="3990"/>
      <c r="AI47" s="3990"/>
      <c r="AJ47" s="3990"/>
      <c r="AK47" s="3990"/>
      <c r="AL47" s="3990"/>
      <c r="AM47" s="3990"/>
      <c r="AN47" s="3990"/>
      <c r="AO47" s="3990"/>
      <c r="AP47" s="3990"/>
      <c r="AQ47" s="3990"/>
      <c r="AR47" s="3990"/>
      <c r="AS47" s="3990"/>
      <c r="AT47" s="3990"/>
      <c r="AU47" s="3990"/>
      <c r="AV47" s="3990"/>
      <c r="AW47" s="3990"/>
      <c r="AX47" s="3990"/>
      <c r="AY47" s="3990"/>
      <c r="AZ47" s="3990"/>
      <c r="BA47" s="3990"/>
      <c r="BB47" s="3990"/>
      <c r="BC47" s="3990"/>
      <c r="BD47" s="3990"/>
      <c r="BE47" s="3990"/>
      <c r="BF47" s="3990"/>
      <c r="BG47" s="3991"/>
      <c r="BH47" s="1820"/>
      <c r="BI47" s="43"/>
    </row>
    <row r="48" spans="1:61" ht="11.1" customHeight="1">
      <c r="A48" s="45"/>
      <c r="B48" s="837"/>
      <c r="C48" s="3921"/>
      <c r="D48" s="3921"/>
      <c r="E48" s="3921"/>
      <c r="F48" s="3921"/>
      <c r="G48" s="3921"/>
      <c r="H48" s="3942"/>
      <c r="I48" s="3942"/>
      <c r="J48" s="3942"/>
      <c r="K48" s="3942"/>
      <c r="L48" s="3942"/>
      <c r="M48" s="3942"/>
      <c r="N48" s="3942"/>
      <c r="O48" s="3942"/>
      <c r="P48" s="3942"/>
      <c r="Q48" s="3942"/>
      <c r="R48" s="3942"/>
      <c r="S48" s="3942"/>
      <c r="T48" s="3942"/>
      <c r="U48" s="3942"/>
      <c r="V48" s="3942"/>
      <c r="W48" s="3942"/>
      <c r="X48" s="3942"/>
      <c r="Y48" s="3942"/>
      <c r="Z48" s="3941"/>
      <c r="AA48" s="3941"/>
      <c r="AB48" s="3941"/>
      <c r="AC48" s="1074"/>
      <c r="AD48" s="1074"/>
      <c r="AE48" s="3992"/>
      <c r="AF48" s="3993"/>
      <c r="AG48" s="3993"/>
      <c r="AH48" s="3993"/>
      <c r="AI48" s="3993"/>
      <c r="AJ48" s="3993"/>
      <c r="AK48" s="3993"/>
      <c r="AL48" s="3993"/>
      <c r="AM48" s="3993"/>
      <c r="AN48" s="3993"/>
      <c r="AO48" s="3993"/>
      <c r="AP48" s="3993"/>
      <c r="AQ48" s="3993"/>
      <c r="AR48" s="3993"/>
      <c r="AS48" s="3993"/>
      <c r="AT48" s="3993"/>
      <c r="AU48" s="3993"/>
      <c r="AV48" s="3993"/>
      <c r="AW48" s="3993"/>
      <c r="AX48" s="3993"/>
      <c r="AY48" s="3993"/>
      <c r="AZ48" s="3993"/>
      <c r="BA48" s="3993"/>
      <c r="BB48" s="3993"/>
      <c r="BC48" s="3993"/>
      <c r="BD48" s="3993"/>
      <c r="BE48" s="3993"/>
      <c r="BF48" s="3993"/>
      <c r="BG48" s="3994"/>
      <c r="BH48" s="827"/>
      <c r="BI48" s="43"/>
    </row>
    <row r="49" spans="1:61" ht="11.1" customHeight="1">
      <c r="A49" s="45"/>
      <c r="B49" s="837"/>
      <c r="C49" s="3921" t="s">
        <v>826</v>
      </c>
      <c r="D49" s="3921"/>
      <c r="E49" s="3921"/>
      <c r="F49" s="3921"/>
      <c r="G49" s="3921"/>
      <c r="H49" s="3940">
        <f>H41+H45</f>
        <v>0</v>
      </c>
      <c r="I49" s="3940"/>
      <c r="J49" s="3940"/>
      <c r="K49" s="3943">
        <f>K41+K45</f>
        <v>56</v>
      </c>
      <c r="L49" s="3943"/>
      <c r="M49" s="3943"/>
      <c r="N49" s="3940">
        <f>N41+N45</f>
        <v>64</v>
      </c>
      <c r="O49" s="3940"/>
      <c r="P49" s="3940"/>
      <c r="Q49" s="3940">
        <f>Q41+Q45</f>
        <v>57</v>
      </c>
      <c r="R49" s="3940"/>
      <c r="S49" s="3940"/>
      <c r="T49" s="3940">
        <f>T41+T45</f>
        <v>60</v>
      </c>
      <c r="U49" s="3940"/>
      <c r="V49" s="3940"/>
      <c r="W49" s="3940">
        <f>W41+W45</f>
        <v>53</v>
      </c>
      <c r="X49" s="3940"/>
      <c r="Y49" s="3940"/>
      <c r="Z49" s="3941">
        <f>SUM(H49:Y52)</f>
        <v>290</v>
      </c>
      <c r="AA49" s="3941"/>
      <c r="AB49" s="3941"/>
      <c r="AC49" s="1074"/>
      <c r="AD49" s="1074"/>
      <c r="AE49" s="3986"/>
      <c r="AF49" s="3987"/>
      <c r="AG49" s="3987"/>
      <c r="AH49" s="3987"/>
      <c r="AI49" s="3987"/>
      <c r="AJ49" s="3987"/>
      <c r="AK49" s="3987"/>
      <c r="AL49" s="3987"/>
      <c r="AM49" s="3987"/>
      <c r="AN49" s="3987"/>
      <c r="AO49" s="3987"/>
      <c r="AP49" s="3987"/>
      <c r="AQ49" s="3987"/>
      <c r="AR49" s="3987"/>
      <c r="AS49" s="3987"/>
      <c r="AT49" s="3987"/>
      <c r="AU49" s="3987"/>
      <c r="AV49" s="3987"/>
      <c r="AW49" s="3987"/>
      <c r="AX49" s="3987"/>
      <c r="AY49" s="3987"/>
      <c r="AZ49" s="3987"/>
      <c r="BA49" s="3987"/>
      <c r="BB49" s="3987"/>
      <c r="BC49" s="3987"/>
      <c r="BD49" s="3987"/>
      <c r="BE49" s="3987"/>
      <c r="BF49" s="3987"/>
      <c r="BG49" s="3988"/>
      <c r="BH49" s="827"/>
      <c r="BI49" s="43"/>
    </row>
    <row r="50" spans="1:61" ht="11.1" customHeight="1">
      <c r="A50" s="45"/>
      <c r="B50" s="837"/>
      <c r="C50" s="3921"/>
      <c r="D50" s="3921"/>
      <c r="E50" s="3921"/>
      <c r="F50" s="3921"/>
      <c r="G50" s="3921"/>
      <c r="H50" s="3940"/>
      <c r="I50" s="3940"/>
      <c r="J50" s="3940"/>
      <c r="K50" s="3943"/>
      <c r="L50" s="3943"/>
      <c r="M50" s="3943"/>
      <c r="N50" s="3940"/>
      <c r="O50" s="3940"/>
      <c r="P50" s="3940"/>
      <c r="Q50" s="3940"/>
      <c r="R50" s="3940"/>
      <c r="S50" s="3940"/>
      <c r="T50" s="3940"/>
      <c r="U50" s="3940"/>
      <c r="V50" s="3940"/>
      <c r="W50" s="3940"/>
      <c r="X50" s="3940"/>
      <c r="Y50" s="3940"/>
      <c r="Z50" s="3941"/>
      <c r="AA50" s="3941"/>
      <c r="AB50" s="3941"/>
      <c r="AC50" s="1074"/>
      <c r="AD50" s="1074"/>
      <c r="AE50" s="3989"/>
      <c r="AF50" s="3990"/>
      <c r="AG50" s="3990"/>
      <c r="AH50" s="3990"/>
      <c r="AI50" s="3990"/>
      <c r="AJ50" s="3990"/>
      <c r="AK50" s="3990"/>
      <c r="AL50" s="3990"/>
      <c r="AM50" s="3990"/>
      <c r="AN50" s="3990"/>
      <c r="AO50" s="3990"/>
      <c r="AP50" s="3990"/>
      <c r="AQ50" s="3990"/>
      <c r="AR50" s="3990"/>
      <c r="AS50" s="3990"/>
      <c r="AT50" s="3990"/>
      <c r="AU50" s="3990"/>
      <c r="AV50" s="3990"/>
      <c r="AW50" s="3990"/>
      <c r="AX50" s="3990"/>
      <c r="AY50" s="3990"/>
      <c r="AZ50" s="3990"/>
      <c r="BA50" s="3990"/>
      <c r="BB50" s="3990"/>
      <c r="BC50" s="3990"/>
      <c r="BD50" s="3990"/>
      <c r="BE50" s="3990"/>
      <c r="BF50" s="3990"/>
      <c r="BG50" s="3991"/>
      <c r="BH50" s="827"/>
      <c r="BI50" s="43"/>
    </row>
    <row r="51" spans="1:61" ht="11.1" customHeight="1">
      <c r="A51" s="45"/>
      <c r="B51" s="837"/>
      <c r="C51" s="3921"/>
      <c r="D51" s="3921"/>
      <c r="E51" s="3921"/>
      <c r="F51" s="3921"/>
      <c r="G51" s="3921"/>
      <c r="H51" s="3940"/>
      <c r="I51" s="3940"/>
      <c r="J51" s="3940"/>
      <c r="K51" s="3943"/>
      <c r="L51" s="3943"/>
      <c r="M51" s="3943"/>
      <c r="N51" s="3940"/>
      <c r="O51" s="3940"/>
      <c r="P51" s="3940"/>
      <c r="Q51" s="3940"/>
      <c r="R51" s="3940"/>
      <c r="S51" s="3940"/>
      <c r="T51" s="3940"/>
      <c r="U51" s="3940"/>
      <c r="V51" s="3940"/>
      <c r="W51" s="3940"/>
      <c r="X51" s="3940"/>
      <c r="Y51" s="3940"/>
      <c r="Z51" s="3941"/>
      <c r="AA51" s="3941"/>
      <c r="AB51" s="3941"/>
      <c r="AC51" s="1074"/>
      <c r="AD51" s="1074"/>
      <c r="AE51" s="3992"/>
      <c r="AF51" s="3993"/>
      <c r="AG51" s="3993"/>
      <c r="AH51" s="3993"/>
      <c r="AI51" s="3993"/>
      <c r="AJ51" s="3993"/>
      <c r="AK51" s="3993"/>
      <c r="AL51" s="3993"/>
      <c r="AM51" s="3993"/>
      <c r="AN51" s="3993"/>
      <c r="AO51" s="3993"/>
      <c r="AP51" s="3993"/>
      <c r="AQ51" s="3993"/>
      <c r="AR51" s="3993"/>
      <c r="AS51" s="3993"/>
      <c r="AT51" s="3993"/>
      <c r="AU51" s="3993"/>
      <c r="AV51" s="3993"/>
      <c r="AW51" s="3993"/>
      <c r="AX51" s="3993"/>
      <c r="AY51" s="3993"/>
      <c r="AZ51" s="3993"/>
      <c r="BA51" s="3993"/>
      <c r="BB51" s="3993"/>
      <c r="BC51" s="3993"/>
      <c r="BD51" s="3993"/>
      <c r="BE51" s="3993"/>
      <c r="BF51" s="3993"/>
      <c r="BG51" s="3994"/>
      <c r="BH51" s="827"/>
      <c r="BI51" s="43"/>
    </row>
    <row r="52" spans="1:61" ht="11.1" customHeight="1">
      <c r="A52" s="45"/>
      <c r="B52" s="837"/>
      <c r="C52" s="3921"/>
      <c r="D52" s="3921"/>
      <c r="E52" s="3921"/>
      <c r="F52" s="3921"/>
      <c r="G52" s="3921"/>
      <c r="H52" s="3940"/>
      <c r="I52" s="3940"/>
      <c r="J52" s="3940"/>
      <c r="K52" s="3943"/>
      <c r="L52" s="3943"/>
      <c r="M52" s="3943"/>
      <c r="N52" s="3940"/>
      <c r="O52" s="3940"/>
      <c r="P52" s="3940"/>
      <c r="Q52" s="3940"/>
      <c r="R52" s="3940"/>
      <c r="S52" s="3940"/>
      <c r="T52" s="3940"/>
      <c r="U52" s="3940"/>
      <c r="V52" s="3940"/>
      <c r="W52" s="3940"/>
      <c r="X52" s="3940"/>
      <c r="Y52" s="3940"/>
      <c r="Z52" s="3941"/>
      <c r="AA52" s="3941"/>
      <c r="AB52" s="3941"/>
      <c r="AC52" s="1074"/>
      <c r="AD52" s="1074"/>
      <c r="AE52" s="828"/>
      <c r="AF52" s="828"/>
      <c r="AG52" s="828"/>
      <c r="AH52" s="1846"/>
      <c r="AI52" s="1847"/>
      <c r="AJ52" s="1847"/>
      <c r="AK52" s="1847"/>
      <c r="AL52" s="1847"/>
      <c r="AM52" s="1847"/>
      <c r="AN52" s="1847"/>
      <c r="AO52" s="1847"/>
      <c r="AP52" s="1847"/>
      <c r="AQ52" s="1847"/>
      <c r="AR52" s="1847"/>
      <c r="AS52" s="1847"/>
      <c r="AT52" s="1847"/>
      <c r="AU52" s="1847"/>
      <c r="AV52" s="1847"/>
      <c r="AW52" s="1847"/>
      <c r="AX52" s="1847"/>
      <c r="AY52" s="1847"/>
      <c r="AZ52" s="1847"/>
      <c r="BA52" s="1847"/>
      <c r="BB52" s="1847"/>
      <c r="BC52" s="1847"/>
      <c r="BD52" s="1847"/>
      <c r="BE52" s="1847"/>
      <c r="BF52" s="828"/>
      <c r="BG52" s="828"/>
      <c r="BH52" s="827"/>
      <c r="BI52" s="43"/>
    </row>
    <row r="53" spans="1:61" ht="11.1" customHeight="1">
      <c r="A53" s="45"/>
      <c r="B53" s="837"/>
      <c r="C53" s="3921" t="s">
        <v>827</v>
      </c>
      <c r="D53" s="3921"/>
      <c r="E53" s="3921"/>
      <c r="F53" s="3921"/>
      <c r="G53" s="3921"/>
      <c r="H53" s="3940">
        <f>W23</f>
        <v>2</v>
      </c>
      <c r="I53" s="3940"/>
      <c r="J53" s="3940"/>
      <c r="K53" s="3940">
        <f>H23</f>
        <v>2</v>
      </c>
      <c r="L53" s="3940"/>
      <c r="M53" s="3940"/>
      <c r="N53" s="3940">
        <f>K23</f>
        <v>2</v>
      </c>
      <c r="O53" s="3940"/>
      <c r="P53" s="3940"/>
      <c r="Q53" s="3940">
        <f>N23</f>
        <v>2</v>
      </c>
      <c r="R53" s="3940"/>
      <c r="S53" s="3940"/>
      <c r="T53" s="3940">
        <f>Q23</f>
        <v>2</v>
      </c>
      <c r="U53" s="3940"/>
      <c r="V53" s="3940"/>
      <c r="W53" s="3940">
        <f>T23</f>
        <v>2</v>
      </c>
      <c r="X53" s="3940"/>
      <c r="Y53" s="3940"/>
      <c r="Z53" s="3941">
        <f>SUM(H53:Y56)</f>
        <v>12</v>
      </c>
      <c r="AA53" s="3941"/>
      <c r="AB53" s="3941"/>
      <c r="AC53" s="1074"/>
      <c r="AD53" s="1074"/>
      <c r="AE53" s="828"/>
      <c r="AF53" s="828"/>
      <c r="AG53" s="828"/>
      <c r="AH53" s="1788"/>
      <c r="AI53" s="1788"/>
      <c r="AJ53" s="1788"/>
      <c r="AK53" s="1788"/>
      <c r="AL53" s="1788"/>
      <c r="AM53" s="1788"/>
      <c r="AN53" s="1788"/>
      <c r="AO53" s="1788"/>
      <c r="AP53" s="1788"/>
      <c r="AQ53" s="1788"/>
      <c r="AR53" s="1788"/>
      <c r="AS53" s="1788"/>
      <c r="AT53" s="1788"/>
      <c r="AU53" s="1788"/>
      <c r="AV53" s="1788"/>
      <c r="AW53" s="1788"/>
      <c r="AX53" s="1788"/>
      <c r="AY53" s="1788"/>
      <c r="AZ53" s="1788"/>
      <c r="BA53" s="1788"/>
      <c r="BB53" s="1788"/>
      <c r="BC53" s="1788"/>
      <c r="BD53" s="1788"/>
      <c r="BE53" s="1788"/>
      <c r="BF53" s="828"/>
      <c r="BG53" s="828"/>
      <c r="BH53" s="827"/>
      <c r="BI53" s="43"/>
    </row>
    <row r="54" spans="1:61" ht="11.1" customHeight="1">
      <c r="A54" s="45"/>
      <c r="B54" s="840"/>
      <c r="C54" s="3921"/>
      <c r="D54" s="3921"/>
      <c r="E54" s="3921"/>
      <c r="F54" s="3921"/>
      <c r="G54" s="3921"/>
      <c r="H54" s="3940"/>
      <c r="I54" s="3940"/>
      <c r="J54" s="3940"/>
      <c r="K54" s="3940"/>
      <c r="L54" s="3940"/>
      <c r="M54" s="3940"/>
      <c r="N54" s="3940"/>
      <c r="O54" s="3940"/>
      <c r="P54" s="3940"/>
      <c r="Q54" s="3940"/>
      <c r="R54" s="3940"/>
      <c r="S54" s="3940"/>
      <c r="T54" s="3940"/>
      <c r="U54" s="3940"/>
      <c r="V54" s="3940"/>
      <c r="W54" s="3940"/>
      <c r="X54" s="3940"/>
      <c r="Y54" s="3940"/>
      <c r="Z54" s="3941"/>
      <c r="AA54" s="3941"/>
      <c r="AB54" s="3941"/>
      <c r="AC54" s="1074"/>
      <c r="AD54" s="1074"/>
      <c r="AE54" s="828"/>
      <c r="AF54" s="828"/>
      <c r="AG54" s="828"/>
      <c r="AH54" s="1788"/>
      <c r="AI54" s="1788"/>
      <c r="AJ54" s="1788"/>
      <c r="AK54" s="1788"/>
      <c r="AL54" s="1788"/>
      <c r="AM54" s="1788"/>
      <c r="AN54" s="1788"/>
      <c r="AO54" s="1788"/>
      <c r="AP54" s="1788"/>
      <c r="AQ54" s="1788"/>
      <c r="AR54" s="1788"/>
      <c r="AS54" s="1788"/>
      <c r="AT54" s="1788"/>
      <c r="AU54" s="1788"/>
      <c r="AV54" s="1788"/>
      <c r="AW54" s="1788"/>
      <c r="AX54" s="1788"/>
      <c r="AY54" s="1788"/>
      <c r="AZ54" s="1788"/>
      <c r="BA54" s="1788"/>
      <c r="BB54" s="1788"/>
      <c r="BC54" s="1788"/>
      <c r="BD54" s="1788"/>
      <c r="BE54" s="1788"/>
      <c r="BF54" s="1788"/>
      <c r="BG54" s="1788"/>
      <c r="BH54" s="827"/>
      <c r="BI54" s="43"/>
    </row>
    <row r="55" spans="1:61" ht="11.1" customHeight="1">
      <c r="A55" s="45"/>
      <c r="B55" s="840"/>
      <c r="C55" s="3921"/>
      <c r="D55" s="3921"/>
      <c r="E55" s="3921"/>
      <c r="F55" s="3921"/>
      <c r="G55" s="3921"/>
      <c r="H55" s="3940"/>
      <c r="I55" s="3940"/>
      <c r="J55" s="3940"/>
      <c r="K55" s="3940"/>
      <c r="L55" s="3940"/>
      <c r="M55" s="3940"/>
      <c r="N55" s="3940"/>
      <c r="O55" s="3940"/>
      <c r="P55" s="3940"/>
      <c r="Q55" s="3940"/>
      <c r="R55" s="3940"/>
      <c r="S55" s="3940"/>
      <c r="T55" s="3940"/>
      <c r="U55" s="3940"/>
      <c r="V55" s="3940"/>
      <c r="W55" s="3940"/>
      <c r="X55" s="3940"/>
      <c r="Y55" s="3940"/>
      <c r="Z55" s="3941"/>
      <c r="AA55" s="3941"/>
      <c r="AB55" s="3941"/>
      <c r="AC55" s="1074"/>
      <c r="AD55" s="1074"/>
      <c r="AE55" s="828"/>
      <c r="AF55" s="828"/>
      <c r="AG55" s="828"/>
      <c r="AH55" s="828"/>
      <c r="AI55" s="828"/>
      <c r="AJ55" s="828"/>
      <c r="AK55" s="828"/>
      <c r="AL55" s="828"/>
      <c r="AM55" s="828"/>
      <c r="AN55" s="828"/>
      <c r="AO55" s="828"/>
      <c r="AP55" s="828"/>
      <c r="AQ55" s="828"/>
      <c r="AR55" s="828"/>
      <c r="AS55" s="828"/>
      <c r="AT55" s="828"/>
      <c r="AU55" s="828"/>
      <c r="AV55" s="828"/>
      <c r="AW55" s="828"/>
      <c r="AX55" s="828"/>
      <c r="AY55" s="828"/>
      <c r="AZ55" s="828"/>
      <c r="BA55" s="828"/>
      <c r="BB55" s="828"/>
      <c r="BC55" s="828"/>
      <c r="BD55" s="828"/>
      <c r="BE55" s="828"/>
      <c r="BF55" s="828"/>
      <c r="BG55" s="828"/>
      <c r="BH55" s="827"/>
      <c r="BI55" s="43"/>
    </row>
    <row r="56" spans="1:61" ht="11.1" customHeight="1">
      <c r="A56" s="45"/>
      <c r="B56" s="837"/>
      <c r="C56" s="3921"/>
      <c r="D56" s="3921"/>
      <c r="E56" s="3921"/>
      <c r="F56" s="3921"/>
      <c r="G56" s="3921"/>
      <c r="H56" s="3940"/>
      <c r="I56" s="3940"/>
      <c r="J56" s="3940"/>
      <c r="K56" s="3940"/>
      <c r="L56" s="3940"/>
      <c r="M56" s="3940"/>
      <c r="N56" s="3940"/>
      <c r="O56" s="3940"/>
      <c r="P56" s="3940"/>
      <c r="Q56" s="3940"/>
      <c r="R56" s="3940"/>
      <c r="S56" s="3940"/>
      <c r="T56" s="3940"/>
      <c r="U56" s="3940"/>
      <c r="V56" s="3940"/>
      <c r="W56" s="3940"/>
      <c r="X56" s="3940"/>
      <c r="Y56" s="3940"/>
      <c r="Z56" s="3941"/>
      <c r="AA56" s="3941"/>
      <c r="AB56" s="3941"/>
      <c r="AC56" s="1074"/>
      <c r="AD56" s="1074"/>
      <c r="AE56" s="828"/>
      <c r="AF56" s="828"/>
      <c r="AG56" s="828"/>
      <c r="AH56" s="828"/>
      <c r="AI56" s="828"/>
      <c r="AJ56" s="828"/>
      <c r="AK56" s="828"/>
      <c r="AL56" s="828"/>
      <c r="AM56" s="828"/>
      <c r="AN56" s="828"/>
      <c r="AO56" s="828"/>
      <c r="AP56" s="828"/>
      <c r="AQ56" s="828"/>
      <c r="AR56" s="828"/>
      <c r="AS56" s="828"/>
      <c r="AT56" s="828"/>
      <c r="AU56" s="828"/>
      <c r="AV56" s="828"/>
      <c r="AW56" s="828"/>
      <c r="AX56" s="828"/>
      <c r="AY56" s="828"/>
      <c r="AZ56" s="828"/>
      <c r="BA56" s="828"/>
      <c r="BB56" s="828"/>
      <c r="BC56" s="828"/>
      <c r="BD56" s="828"/>
      <c r="BE56" s="828"/>
      <c r="BF56" s="828"/>
      <c r="BG56" s="828"/>
      <c r="BH56" s="827"/>
      <c r="BI56" s="43"/>
    </row>
    <row r="57" spans="1:61" ht="11.1" customHeight="1">
      <c r="A57" s="45"/>
      <c r="B57" s="837"/>
      <c r="C57" s="3921" t="s">
        <v>828</v>
      </c>
      <c r="D57" s="3921"/>
      <c r="E57" s="3921"/>
      <c r="F57" s="3921"/>
      <c r="G57" s="3921"/>
      <c r="H57" s="3940">
        <f>W27</f>
        <v>2</v>
      </c>
      <c r="I57" s="3940"/>
      <c r="J57" s="3940"/>
      <c r="K57" s="3940">
        <f>H27</f>
        <v>2</v>
      </c>
      <c r="L57" s="3940"/>
      <c r="M57" s="3940"/>
      <c r="N57" s="3940">
        <f>K27</f>
        <v>2</v>
      </c>
      <c r="O57" s="3940"/>
      <c r="P57" s="3940"/>
      <c r="Q57" s="3940">
        <f>N27</f>
        <v>2</v>
      </c>
      <c r="R57" s="3940"/>
      <c r="S57" s="3940"/>
      <c r="T57" s="3940">
        <f>Q27</f>
        <v>2</v>
      </c>
      <c r="U57" s="3940"/>
      <c r="V57" s="3940"/>
      <c r="W57" s="3940">
        <f>T27</f>
        <v>2</v>
      </c>
      <c r="X57" s="3940"/>
      <c r="Y57" s="3940"/>
      <c r="Z57" s="3941">
        <f>SUM(H57:Y60)</f>
        <v>12</v>
      </c>
      <c r="AA57" s="3941"/>
      <c r="AB57" s="3941"/>
      <c r="AC57" s="1074"/>
      <c r="AD57" s="1074"/>
      <c r="AE57" s="828"/>
      <c r="AF57" s="828"/>
      <c r="AG57" s="828"/>
      <c r="AH57" s="828"/>
      <c r="AI57" s="828"/>
      <c r="AJ57" s="828"/>
      <c r="AK57" s="828"/>
      <c r="AL57" s="828"/>
      <c r="AM57" s="828"/>
      <c r="AN57" s="828"/>
      <c r="AO57" s="828"/>
      <c r="AP57" s="828"/>
      <c r="AQ57" s="828"/>
      <c r="AR57" s="828"/>
      <c r="AS57" s="828"/>
      <c r="AT57" s="828"/>
      <c r="AU57" s="828"/>
      <c r="AV57" s="828"/>
      <c r="AW57" s="828"/>
      <c r="AX57" s="828"/>
      <c r="AY57" s="828"/>
      <c r="AZ57" s="828"/>
      <c r="BA57" s="828"/>
      <c r="BB57" s="828"/>
      <c r="BC57" s="828"/>
      <c r="BD57" s="828"/>
      <c r="BE57" s="828"/>
      <c r="BF57" s="828"/>
      <c r="BG57" s="828"/>
      <c r="BH57" s="827"/>
      <c r="BI57" s="43"/>
    </row>
    <row r="58" spans="1:61" ht="11.1" customHeight="1">
      <c r="A58" s="45"/>
      <c r="B58" s="837"/>
      <c r="C58" s="3921"/>
      <c r="D58" s="3921"/>
      <c r="E58" s="3921"/>
      <c r="F58" s="3921"/>
      <c r="G58" s="3921"/>
      <c r="H58" s="3940"/>
      <c r="I58" s="3940"/>
      <c r="J58" s="3940"/>
      <c r="K58" s="3940"/>
      <c r="L58" s="3940"/>
      <c r="M58" s="3940"/>
      <c r="N58" s="3940"/>
      <c r="O58" s="3940"/>
      <c r="P58" s="3940"/>
      <c r="Q58" s="3940"/>
      <c r="R58" s="3940"/>
      <c r="S58" s="3940"/>
      <c r="T58" s="3940"/>
      <c r="U58" s="3940"/>
      <c r="V58" s="3940"/>
      <c r="W58" s="3940"/>
      <c r="X58" s="3940"/>
      <c r="Y58" s="3940"/>
      <c r="Z58" s="3941"/>
      <c r="AA58" s="3941"/>
      <c r="AB58" s="3941"/>
      <c r="AC58" s="1074"/>
      <c r="AD58" s="1074"/>
      <c r="AE58" s="828"/>
      <c r="AF58" s="828"/>
      <c r="AG58" s="828"/>
      <c r="AH58" s="828"/>
      <c r="AI58" s="828"/>
      <c r="AJ58" s="828"/>
      <c r="AK58" s="828"/>
      <c r="AL58" s="828"/>
      <c r="AM58" s="828"/>
      <c r="AN58" s="828"/>
      <c r="AO58" s="828"/>
      <c r="AP58" s="828"/>
      <c r="AQ58" s="828"/>
      <c r="AR58" s="828"/>
      <c r="AS58" s="828"/>
      <c r="AT58" s="828"/>
      <c r="AU58" s="828"/>
      <c r="AV58" s="828"/>
      <c r="AW58" s="828"/>
      <c r="AX58" s="828"/>
      <c r="AY58" s="828"/>
      <c r="AZ58" s="828"/>
      <c r="BA58" s="828"/>
      <c r="BB58" s="828"/>
      <c r="BC58" s="828"/>
      <c r="BD58" s="828"/>
      <c r="BE58" s="828"/>
      <c r="BF58" s="828"/>
      <c r="BG58" s="828"/>
      <c r="BH58" s="827"/>
      <c r="BI58" s="43"/>
    </row>
    <row r="59" spans="1:61" ht="10.5" customHeight="1">
      <c r="A59" s="45"/>
      <c r="B59" s="837"/>
      <c r="C59" s="3921"/>
      <c r="D59" s="3921"/>
      <c r="E59" s="3921"/>
      <c r="F59" s="3921"/>
      <c r="G59" s="3921"/>
      <c r="H59" s="3940"/>
      <c r="I59" s="3940"/>
      <c r="J59" s="3940"/>
      <c r="K59" s="3940"/>
      <c r="L59" s="3940"/>
      <c r="M59" s="3940"/>
      <c r="N59" s="3940"/>
      <c r="O59" s="3940"/>
      <c r="P59" s="3940"/>
      <c r="Q59" s="3940"/>
      <c r="R59" s="3940"/>
      <c r="S59" s="3940"/>
      <c r="T59" s="3940"/>
      <c r="U59" s="3940"/>
      <c r="V59" s="3940"/>
      <c r="W59" s="3940"/>
      <c r="X59" s="3940"/>
      <c r="Y59" s="3940"/>
      <c r="Z59" s="3941"/>
      <c r="AA59" s="3941"/>
      <c r="AB59" s="3941"/>
      <c r="AC59" s="1074"/>
      <c r="AD59" s="1074"/>
      <c r="AE59" s="828"/>
      <c r="AF59" s="828"/>
      <c r="AG59" s="828"/>
      <c r="AH59" s="828"/>
      <c r="AI59" s="828"/>
      <c r="AJ59" s="828"/>
      <c r="AK59" s="828"/>
      <c r="AL59" s="828"/>
      <c r="AM59" s="828"/>
      <c r="AN59" s="828"/>
      <c r="AO59" s="828"/>
      <c r="AP59" s="828"/>
      <c r="AQ59" s="828"/>
      <c r="AR59" s="828"/>
      <c r="AS59" s="828"/>
      <c r="AT59" s="828"/>
      <c r="AU59" s="828"/>
      <c r="AV59" s="828"/>
      <c r="AW59" s="828"/>
      <c r="AX59" s="828"/>
      <c r="AY59" s="828"/>
      <c r="AZ59" s="828"/>
      <c r="BA59" s="828"/>
      <c r="BB59" s="828"/>
      <c r="BC59" s="828"/>
      <c r="BD59" s="828"/>
      <c r="BE59" s="828"/>
      <c r="BF59" s="828"/>
      <c r="BG59" s="828"/>
      <c r="BH59" s="827"/>
      <c r="BI59" s="43"/>
    </row>
    <row r="60" spans="1:61" ht="10.5" customHeight="1">
      <c r="A60" s="45"/>
      <c r="B60" s="837"/>
      <c r="C60" s="3921"/>
      <c r="D60" s="3921"/>
      <c r="E60" s="3921"/>
      <c r="F60" s="3921"/>
      <c r="G60" s="3921"/>
      <c r="H60" s="3940"/>
      <c r="I60" s="3940"/>
      <c r="J60" s="3940"/>
      <c r="K60" s="3940"/>
      <c r="L60" s="3940"/>
      <c r="M60" s="3940"/>
      <c r="N60" s="3940"/>
      <c r="O60" s="3940"/>
      <c r="P60" s="3940"/>
      <c r="Q60" s="3940"/>
      <c r="R60" s="3940"/>
      <c r="S60" s="3940"/>
      <c r="T60" s="3940"/>
      <c r="U60" s="3940"/>
      <c r="V60" s="3940"/>
      <c r="W60" s="3940"/>
      <c r="X60" s="3940"/>
      <c r="Y60" s="3940"/>
      <c r="Z60" s="3941"/>
      <c r="AA60" s="3941"/>
      <c r="AB60" s="3941"/>
      <c r="AC60" s="828"/>
      <c r="AD60" s="828"/>
      <c r="AE60" s="828"/>
      <c r="AF60" s="828"/>
      <c r="AG60" s="828"/>
      <c r="AH60" s="828"/>
      <c r="AI60" s="828"/>
      <c r="AJ60" s="828"/>
      <c r="AK60" s="828"/>
      <c r="AL60" s="828"/>
      <c r="AM60" s="828"/>
      <c r="AN60" s="828"/>
      <c r="AO60" s="828"/>
      <c r="AP60" s="828"/>
      <c r="AQ60" s="828"/>
      <c r="AR60" s="828"/>
      <c r="AS60" s="828"/>
      <c r="AT60" s="828"/>
      <c r="AU60" s="828"/>
      <c r="AV60" s="828"/>
      <c r="AW60" s="828"/>
      <c r="AX60" s="828"/>
      <c r="AY60" s="828"/>
      <c r="AZ60" s="828"/>
      <c r="BA60" s="828"/>
      <c r="BB60" s="828"/>
      <c r="BC60" s="828"/>
      <c r="BD60" s="828"/>
      <c r="BE60" s="828"/>
      <c r="BF60" s="828"/>
      <c r="BG60" s="828"/>
      <c r="BH60" s="827"/>
      <c r="BI60" s="43"/>
    </row>
    <row r="61" spans="1:61" ht="5.25" customHeight="1">
      <c r="A61" s="45"/>
      <c r="B61" s="1806"/>
      <c r="C61" s="828"/>
      <c r="D61" s="828"/>
      <c r="E61" s="828"/>
      <c r="F61" s="828"/>
      <c r="G61" s="828"/>
      <c r="H61" s="828"/>
      <c r="I61" s="828"/>
      <c r="J61" s="828"/>
      <c r="K61" s="828"/>
      <c r="L61" s="828"/>
      <c r="M61" s="828"/>
      <c r="N61" s="828"/>
      <c r="O61" s="828"/>
      <c r="P61" s="828"/>
      <c r="Q61" s="828"/>
      <c r="R61" s="828"/>
      <c r="S61" s="828"/>
      <c r="T61" s="828"/>
      <c r="U61" s="828"/>
      <c r="V61" s="828"/>
      <c r="W61" s="828"/>
      <c r="X61" s="828"/>
      <c r="Y61" s="828"/>
      <c r="Z61" s="828"/>
      <c r="AA61" s="828"/>
      <c r="AB61" s="828"/>
      <c r="AC61" s="828"/>
      <c r="AD61" s="828"/>
      <c r="AE61" s="828"/>
      <c r="AF61" s="828"/>
      <c r="AG61" s="828"/>
      <c r="AH61" s="828"/>
      <c r="AI61" s="828"/>
      <c r="AJ61" s="828"/>
      <c r="AK61" s="828"/>
      <c r="AL61" s="828"/>
      <c r="AM61" s="828"/>
      <c r="AN61" s="836"/>
      <c r="AO61" s="836"/>
      <c r="AP61" s="836"/>
      <c r="AQ61" s="836"/>
      <c r="AR61" s="836"/>
      <c r="AS61" s="836"/>
      <c r="AT61" s="836"/>
      <c r="AU61" s="836"/>
      <c r="AV61" s="836"/>
      <c r="AW61" s="836"/>
      <c r="AX61" s="836"/>
      <c r="AY61" s="830"/>
      <c r="AZ61" s="830"/>
      <c r="BA61" s="830"/>
      <c r="BB61" s="830"/>
      <c r="BC61" s="830"/>
      <c r="BD61" s="830"/>
      <c r="BE61" s="830"/>
      <c r="BF61" s="830"/>
      <c r="BG61" s="830"/>
      <c r="BH61" s="827"/>
      <c r="BI61" s="43"/>
    </row>
    <row r="62" spans="1:61" ht="13.5" customHeight="1">
      <c r="A62" s="45"/>
      <c r="B62" s="3953" t="s">
        <v>1669</v>
      </c>
      <c r="C62" s="3954"/>
      <c r="D62" s="3954"/>
      <c r="E62" s="3954"/>
      <c r="F62" s="3954"/>
      <c r="G62" s="3954"/>
      <c r="H62" s="3954"/>
      <c r="I62" s="3954"/>
      <c r="J62" s="3954"/>
      <c r="K62" s="3954"/>
      <c r="L62" s="3954"/>
      <c r="M62" s="3954"/>
      <c r="N62" s="3954"/>
      <c r="O62" s="3954"/>
      <c r="P62" s="3954"/>
      <c r="Q62" s="3954"/>
      <c r="R62" s="3954"/>
      <c r="S62" s="3954"/>
      <c r="T62" s="3954"/>
      <c r="U62" s="3954"/>
      <c r="V62" s="3954"/>
      <c r="W62" s="3954"/>
      <c r="X62" s="3954"/>
      <c r="Y62" s="3954"/>
      <c r="Z62" s="3954"/>
      <c r="AA62" s="3954"/>
      <c r="AB62" s="3954"/>
      <c r="AC62" s="3954"/>
      <c r="AD62" s="3954"/>
      <c r="AE62" s="3954"/>
      <c r="AF62" s="3954"/>
      <c r="AG62" s="3954"/>
      <c r="AH62" s="3954"/>
      <c r="AI62" s="3954"/>
      <c r="AJ62" s="3954"/>
      <c r="AK62" s="3954"/>
      <c r="AL62" s="3954"/>
      <c r="AM62" s="3954"/>
      <c r="AN62" s="3954"/>
      <c r="AO62" s="3954"/>
      <c r="AP62" s="3954"/>
      <c r="AQ62" s="3954"/>
      <c r="AR62" s="3954"/>
      <c r="AS62" s="3954"/>
      <c r="AT62" s="3954"/>
      <c r="AU62" s="3954"/>
      <c r="AV62" s="3954"/>
      <c r="AW62" s="3954"/>
      <c r="AX62" s="3954"/>
      <c r="AY62" s="3954"/>
      <c r="AZ62" s="3954"/>
      <c r="BA62" s="3954"/>
      <c r="BB62" s="3954"/>
      <c r="BC62" s="3954"/>
      <c r="BD62" s="3954"/>
      <c r="BE62" s="3954"/>
      <c r="BF62" s="3954"/>
      <c r="BG62" s="3954"/>
      <c r="BH62" s="3955"/>
      <c r="BI62" s="43"/>
    </row>
    <row r="63" spans="1:61" ht="13.5" customHeight="1">
      <c r="A63" s="45"/>
      <c r="B63" s="3956" t="s">
        <v>1677</v>
      </c>
      <c r="C63" s="3957"/>
      <c r="D63" s="3957"/>
      <c r="E63" s="3957"/>
      <c r="F63" s="3957"/>
      <c r="G63" s="3957"/>
      <c r="H63" s="3957"/>
      <c r="I63" s="3957"/>
      <c r="J63" s="3957"/>
      <c r="K63" s="3957"/>
      <c r="L63" s="3957"/>
      <c r="M63" s="3957"/>
      <c r="N63" s="3957"/>
      <c r="O63" s="3957"/>
      <c r="P63" s="3957"/>
      <c r="Q63" s="3957"/>
      <c r="R63" s="3957"/>
      <c r="S63" s="3957"/>
      <c r="T63" s="3957"/>
      <c r="U63" s="3957"/>
      <c r="V63" s="3957"/>
      <c r="W63" s="3957"/>
      <c r="X63" s="3957"/>
      <c r="Y63" s="3957"/>
      <c r="Z63" s="3957"/>
      <c r="AA63" s="3957"/>
      <c r="AB63" s="3957"/>
      <c r="AC63" s="3957"/>
      <c r="AD63" s="3957"/>
      <c r="AE63" s="3957"/>
      <c r="AF63" s="3957"/>
      <c r="AG63" s="3957"/>
      <c r="AH63" s="3957"/>
      <c r="AI63" s="3957"/>
      <c r="AJ63" s="3957"/>
      <c r="AK63" s="3957"/>
      <c r="AL63" s="3957"/>
      <c r="AM63" s="3957"/>
      <c r="AN63" s="3957"/>
      <c r="AO63" s="3957"/>
      <c r="AP63" s="3957"/>
      <c r="AQ63" s="3957"/>
      <c r="AR63" s="3957"/>
      <c r="AS63" s="3957"/>
      <c r="AT63" s="3957"/>
      <c r="AU63" s="3957"/>
      <c r="AV63" s="3957"/>
      <c r="AW63" s="3957"/>
      <c r="AX63" s="3957"/>
      <c r="AY63" s="3957"/>
      <c r="AZ63" s="3957"/>
      <c r="BA63" s="3957"/>
      <c r="BB63" s="3957"/>
      <c r="BC63" s="3957"/>
      <c r="BD63" s="3957"/>
      <c r="BE63" s="3957"/>
      <c r="BF63" s="3957"/>
      <c r="BG63" s="3957"/>
      <c r="BH63" s="3958"/>
      <c r="BI63" s="43"/>
    </row>
    <row r="64" spans="1:61" ht="6" customHeight="1">
      <c r="A64" s="45"/>
      <c r="B64" s="763"/>
      <c r="C64" s="763"/>
      <c r="D64" s="763"/>
      <c r="E64" s="763"/>
      <c r="F64" s="763"/>
      <c r="G64" s="763"/>
      <c r="H64" s="763"/>
      <c r="I64" s="763"/>
      <c r="J64" s="763"/>
      <c r="K64" s="763"/>
      <c r="L64" s="763"/>
      <c r="M64" s="763"/>
      <c r="N64" s="763"/>
      <c r="O64" s="763"/>
      <c r="P64" s="763"/>
      <c r="Q64" s="763"/>
      <c r="R64" s="763"/>
      <c r="S64" s="763"/>
      <c r="T64" s="763"/>
      <c r="U64" s="763"/>
      <c r="V64" s="763"/>
      <c r="W64" s="763"/>
      <c r="X64" s="763"/>
      <c r="Y64" s="763"/>
      <c r="Z64" s="763"/>
      <c r="AA64" s="763"/>
      <c r="AB64" s="763"/>
      <c r="AC64" s="763"/>
      <c r="AD64" s="763"/>
      <c r="AE64" s="763"/>
      <c r="AF64" s="763"/>
      <c r="AG64" s="763"/>
      <c r="AH64" s="763"/>
      <c r="AI64" s="763"/>
      <c r="AJ64" s="763"/>
      <c r="AK64" s="763"/>
      <c r="AL64" s="763"/>
      <c r="AM64" s="763"/>
      <c r="AN64" s="763"/>
      <c r="AO64" s="763"/>
      <c r="AP64" s="763"/>
      <c r="AQ64" s="763"/>
      <c r="AR64" s="763"/>
      <c r="AS64" s="763"/>
      <c r="AT64" s="763"/>
      <c r="AU64" s="763"/>
      <c r="AV64" s="763"/>
      <c r="AW64" s="763"/>
      <c r="AX64" s="763"/>
      <c r="AY64" s="763"/>
      <c r="AZ64" s="763"/>
      <c r="BA64" s="763"/>
      <c r="BB64" s="763"/>
      <c r="BC64" s="763"/>
      <c r="BD64" s="764"/>
      <c r="BE64" s="764"/>
      <c r="BF64" s="764"/>
      <c r="BG64" s="764"/>
      <c r="BH64" s="764"/>
      <c r="BI64" s="44"/>
    </row>
    <row r="65" spans="1:61" ht="11.1" customHeight="1">
      <c r="A65" s="45"/>
      <c r="B65" s="796"/>
      <c r="C65" s="3959" t="s">
        <v>778</v>
      </c>
      <c r="D65" s="3960"/>
      <c r="E65" s="3960"/>
      <c r="F65" s="3960"/>
      <c r="G65" s="3960"/>
      <c r="H65" s="3960"/>
      <c r="I65" s="3960"/>
      <c r="J65" s="3961"/>
      <c r="K65" s="841"/>
      <c r="L65" s="841"/>
      <c r="M65" s="841"/>
      <c r="N65" s="842"/>
      <c r="O65" s="3962" t="s">
        <v>831</v>
      </c>
      <c r="P65" s="3963"/>
      <c r="Q65" s="3963"/>
      <c r="R65" s="3963"/>
      <c r="S65" s="3963"/>
      <c r="T65" s="3963"/>
      <c r="U65" s="3963"/>
      <c r="V65" s="3963"/>
      <c r="W65" s="3963"/>
      <c r="X65" s="3963"/>
      <c r="Y65" s="3963"/>
      <c r="Z65" s="3963"/>
      <c r="AA65" s="3964"/>
      <c r="AB65" s="843"/>
      <c r="AC65" s="796"/>
      <c r="AD65" s="841"/>
      <c r="AE65" s="3962" t="s">
        <v>832</v>
      </c>
      <c r="AF65" s="3963"/>
      <c r="AG65" s="3963"/>
      <c r="AH65" s="3963"/>
      <c r="AI65" s="3963"/>
      <c r="AJ65" s="3963"/>
      <c r="AK65" s="3963"/>
      <c r="AL65" s="3963"/>
      <c r="AM65" s="3963"/>
      <c r="AN65" s="3963"/>
      <c r="AO65" s="3963"/>
      <c r="AP65" s="3963"/>
      <c r="AQ65" s="3964"/>
      <c r="AR65" s="796"/>
      <c r="AS65" s="796"/>
      <c r="AT65" s="841"/>
      <c r="AU65" s="841"/>
      <c r="AV65" s="3962" t="s">
        <v>779</v>
      </c>
      <c r="AW65" s="3963"/>
      <c r="AX65" s="3963"/>
      <c r="AY65" s="3963"/>
      <c r="AZ65" s="3963"/>
      <c r="BA65" s="3963"/>
      <c r="BB65" s="3963"/>
      <c r="BC65" s="3963"/>
      <c r="BD65" s="3963"/>
      <c r="BE65" s="3963"/>
      <c r="BF65" s="3963"/>
      <c r="BG65" s="3964"/>
      <c r="BH65" s="796"/>
      <c r="BI65" s="43"/>
    </row>
    <row r="66" spans="1:61" ht="11.1" customHeight="1">
      <c r="A66" s="45"/>
      <c r="B66" s="830"/>
      <c r="C66" s="3927"/>
      <c r="D66" s="3928"/>
      <c r="E66" s="3928"/>
      <c r="F66" s="3928"/>
      <c r="G66" s="3928"/>
      <c r="H66" s="3928"/>
      <c r="I66" s="3928"/>
      <c r="J66" s="3929"/>
      <c r="K66" s="830"/>
      <c r="L66" s="830"/>
      <c r="M66" s="830"/>
      <c r="N66" s="829"/>
      <c r="O66" s="3944" t="str">
        <f>'VISITA DE INSP.'!P41</f>
        <v>CERVANTES BENITEZ * ANTONIA</v>
      </c>
      <c r="P66" s="3945"/>
      <c r="Q66" s="3945"/>
      <c r="R66" s="3945"/>
      <c r="S66" s="3945"/>
      <c r="T66" s="3945"/>
      <c r="U66" s="3945"/>
      <c r="V66" s="3945"/>
      <c r="W66" s="3945"/>
      <c r="X66" s="3945"/>
      <c r="Y66" s="3945"/>
      <c r="Z66" s="3945"/>
      <c r="AA66" s="3946"/>
      <c r="AB66" s="844"/>
      <c r="AC66" s="844"/>
      <c r="AD66" s="844"/>
      <c r="AE66" s="3944" t="str">
        <f>'VISITA DE INSP.'!AJ41</f>
        <v>JESUS MARTIN RICALDE CASTRO</v>
      </c>
      <c r="AF66" s="3945"/>
      <c r="AG66" s="3945"/>
      <c r="AH66" s="3945"/>
      <c r="AI66" s="3945"/>
      <c r="AJ66" s="3945"/>
      <c r="AK66" s="3945"/>
      <c r="AL66" s="3945"/>
      <c r="AM66" s="3945"/>
      <c r="AN66" s="3945"/>
      <c r="AO66" s="3945"/>
      <c r="AP66" s="3945"/>
      <c r="AQ66" s="3946"/>
      <c r="AR66" s="796"/>
      <c r="AS66" s="796"/>
      <c r="AT66" s="830"/>
      <c r="AU66" s="830"/>
      <c r="AV66" s="3927"/>
      <c r="AW66" s="3928"/>
      <c r="AX66" s="3928"/>
      <c r="AY66" s="3928"/>
      <c r="AZ66" s="3928"/>
      <c r="BA66" s="3928"/>
      <c r="BB66" s="3928"/>
      <c r="BC66" s="3928"/>
      <c r="BD66" s="3928"/>
      <c r="BE66" s="3928"/>
      <c r="BF66" s="3928"/>
      <c r="BG66" s="3929"/>
      <c r="BH66" s="796"/>
      <c r="BI66" s="43"/>
    </row>
    <row r="67" spans="1:61" ht="11.1" customHeight="1">
      <c r="A67" s="45"/>
      <c r="B67" s="830"/>
      <c r="C67" s="3930"/>
      <c r="D67" s="3931"/>
      <c r="E67" s="3931"/>
      <c r="F67" s="3931"/>
      <c r="G67" s="3931"/>
      <c r="H67" s="3931"/>
      <c r="I67" s="3931"/>
      <c r="J67" s="3932"/>
      <c r="K67" s="830"/>
      <c r="L67" s="830"/>
      <c r="M67" s="830"/>
      <c r="N67" s="829"/>
      <c r="O67" s="3947"/>
      <c r="P67" s="3948"/>
      <c r="Q67" s="3948"/>
      <c r="R67" s="3948"/>
      <c r="S67" s="3948"/>
      <c r="T67" s="3948"/>
      <c r="U67" s="3948"/>
      <c r="V67" s="3948"/>
      <c r="W67" s="3948"/>
      <c r="X67" s="3948"/>
      <c r="Y67" s="3948"/>
      <c r="Z67" s="3948"/>
      <c r="AA67" s="3949"/>
      <c r="AB67" s="829"/>
      <c r="AC67" s="829"/>
      <c r="AD67" s="829"/>
      <c r="AE67" s="3947"/>
      <c r="AF67" s="3948"/>
      <c r="AG67" s="3948"/>
      <c r="AH67" s="3948"/>
      <c r="AI67" s="3948"/>
      <c r="AJ67" s="3948"/>
      <c r="AK67" s="3948"/>
      <c r="AL67" s="3948"/>
      <c r="AM67" s="3948"/>
      <c r="AN67" s="3948"/>
      <c r="AO67" s="3948"/>
      <c r="AP67" s="3948"/>
      <c r="AQ67" s="3949"/>
      <c r="AR67" s="796"/>
      <c r="AS67" s="796"/>
      <c r="AT67" s="830"/>
      <c r="AU67" s="830"/>
      <c r="AV67" s="3930"/>
      <c r="AW67" s="3931"/>
      <c r="AX67" s="3931"/>
      <c r="AY67" s="3931"/>
      <c r="AZ67" s="3931"/>
      <c r="BA67" s="3931"/>
      <c r="BB67" s="3931"/>
      <c r="BC67" s="3931"/>
      <c r="BD67" s="3931"/>
      <c r="BE67" s="3931"/>
      <c r="BF67" s="3931"/>
      <c r="BG67" s="3932"/>
      <c r="BH67" s="796"/>
      <c r="BI67" s="43"/>
    </row>
    <row r="68" spans="1:61" s="770" customFormat="1" ht="11.1" customHeight="1">
      <c r="A68" s="768"/>
      <c r="B68" s="830"/>
      <c r="C68" s="3930"/>
      <c r="D68" s="3931"/>
      <c r="E68" s="3931"/>
      <c r="F68" s="3931"/>
      <c r="G68" s="3931"/>
      <c r="H68" s="3931"/>
      <c r="I68" s="3931"/>
      <c r="J68" s="3932"/>
      <c r="K68" s="830"/>
      <c r="L68" s="830"/>
      <c r="M68" s="830"/>
      <c r="N68" s="845"/>
      <c r="O68" s="3947"/>
      <c r="P68" s="3948"/>
      <c r="Q68" s="3948"/>
      <c r="R68" s="3948"/>
      <c r="S68" s="3948"/>
      <c r="T68" s="3948"/>
      <c r="U68" s="3948"/>
      <c r="V68" s="3948"/>
      <c r="W68" s="3948"/>
      <c r="X68" s="3948"/>
      <c r="Y68" s="3948"/>
      <c r="Z68" s="3948"/>
      <c r="AA68" s="3949"/>
      <c r="AB68" s="845"/>
      <c r="AC68" s="845"/>
      <c r="AD68" s="845"/>
      <c r="AE68" s="3947"/>
      <c r="AF68" s="3948"/>
      <c r="AG68" s="3948"/>
      <c r="AH68" s="3948"/>
      <c r="AI68" s="3948"/>
      <c r="AJ68" s="3948"/>
      <c r="AK68" s="3948"/>
      <c r="AL68" s="3948"/>
      <c r="AM68" s="3948"/>
      <c r="AN68" s="3948"/>
      <c r="AO68" s="3948"/>
      <c r="AP68" s="3948"/>
      <c r="AQ68" s="3949"/>
      <c r="AR68" s="1813"/>
      <c r="AS68" s="1813"/>
      <c r="AT68" s="830"/>
      <c r="AU68" s="830"/>
      <c r="AV68" s="3930"/>
      <c r="AW68" s="3931"/>
      <c r="AX68" s="3931"/>
      <c r="AY68" s="3931"/>
      <c r="AZ68" s="3931"/>
      <c r="BA68" s="3931"/>
      <c r="BB68" s="3931"/>
      <c r="BC68" s="3931"/>
      <c r="BD68" s="3931"/>
      <c r="BE68" s="3931"/>
      <c r="BF68" s="3931"/>
      <c r="BG68" s="3932"/>
      <c r="BH68" s="1813"/>
      <c r="BI68" s="769"/>
    </row>
    <row r="69" spans="1:61" ht="11.1" customHeight="1">
      <c r="A69" s="45"/>
      <c r="B69" s="830"/>
      <c r="C69" s="3930"/>
      <c r="D69" s="3931"/>
      <c r="E69" s="3931"/>
      <c r="F69" s="3931"/>
      <c r="G69" s="3931"/>
      <c r="H69" s="3931"/>
      <c r="I69" s="3931"/>
      <c r="J69" s="3932"/>
      <c r="K69" s="830"/>
      <c r="L69" s="830"/>
      <c r="M69" s="830"/>
      <c r="N69" s="829"/>
      <c r="O69" s="3947"/>
      <c r="P69" s="3948"/>
      <c r="Q69" s="3948"/>
      <c r="R69" s="3948"/>
      <c r="S69" s="3948"/>
      <c r="T69" s="3948"/>
      <c r="U69" s="3948"/>
      <c r="V69" s="3948"/>
      <c r="W69" s="3948"/>
      <c r="X69" s="3948"/>
      <c r="Y69" s="3948"/>
      <c r="Z69" s="3948"/>
      <c r="AA69" s="3949"/>
      <c r="AB69" s="829"/>
      <c r="AC69" s="830"/>
      <c r="AD69" s="830"/>
      <c r="AE69" s="3947"/>
      <c r="AF69" s="3948"/>
      <c r="AG69" s="3948"/>
      <c r="AH69" s="3948"/>
      <c r="AI69" s="3948"/>
      <c r="AJ69" s="3948"/>
      <c r="AK69" s="3948"/>
      <c r="AL69" s="3948"/>
      <c r="AM69" s="3948"/>
      <c r="AN69" s="3948"/>
      <c r="AO69" s="3948"/>
      <c r="AP69" s="3948"/>
      <c r="AQ69" s="3949"/>
      <c r="AR69" s="796"/>
      <c r="AS69" s="796"/>
      <c r="AT69" s="830"/>
      <c r="AU69" s="830"/>
      <c r="AV69" s="3930"/>
      <c r="AW69" s="3931"/>
      <c r="AX69" s="3931"/>
      <c r="AY69" s="3931"/>
      <c r="AZ69" s="3931"/>
      <c r="BA69" s="3931"/>
      <c r="BB69" s="3931"/>
      <c r="BC69" s="3931"/>
      <c r="BD69" s="3931"/>
      <c r="BE69" s="3931"/>
      <c r="BF69" s="3931"/>
      <c r="BG69" s="3932"/>
      <c r="BH69" s="796"/>
      <c r="BI69" s="43"/>
    </row>
    <row r="70" spans="1:61" ht="11.1" customHeight="1">
      <c r="A70" s="45"/>
      <c r="B70" s="830"/>
      <c r="C70" s="3930"/>
      <c r="D70" s="3931"/>
      <c r="E70" s="3931"/>
      <c r="F70" s="3931"/>
      <c r="G70" s="3931"/>
      <c r="H70" s="3931"/>
      <c r="I70" s="3931"/>
      <c r="J70" s="3932"/>
      <c r="K70" s="830"/>
      <c r="L70" s="830"/>
      <c r="M70" s="830"/>
      <c r="N70" s="829"/>
      <c r="O70" s="3947"/>
      <c r="P70" s="3948"/>
      <c r="Q70" s="3948"/>
      <c r="R70" s="3948"/>
      <c r="S70" s="3948"/>
      <c r="T70" s="3948"/>
      <c r="U70" s="3948"/>
      <c r="V70" s="3948"/>
      <c r="W70" s="3948"/>
      <c r="X70" s="3948"/>
      <c r="Y70" s="3948"/>
      <c r="Z70" s="3948"/>
      <c r="AA70" s="3949"/>
      <c r="AB70" s="829"/>
      <c r="AC70" s="830"/>
      <c r="AD70" s="830"/>
      <c r="AE70" s="3947"/>
      <c r="AF70" s="3948"/>
      <c r="AG70" s="3948"/>
      <c r="AH70" s="3948"/>
      <c r="AI70" s="3948"/>
      <c r="AJ70" s="3948"/>
      <c r="AK70" s="3948"/>
      <c r="AL70" s="3948"/>
      <c r="AM70" s="3948"/>
      <c r="AN70" s="3948"/>
      <c r="AO70" s="3948"/>
      <c r="AP70" s="3948"/>
      <c r="AQ70" s="3949"/>
      <c r="AR70" s="796"/>
      <c r="AS70" s="796"/>
      <c r="AT70" s="830"/>
      <c r="AU70" s="830"/>
      <c r="AV70" s="3930"/>
      <c r="AW70" s="3931"/>
      <c r="AX70" s="3931"/>
      <c r="AY70" s="3931"/>
      <c r="AZ70" s="3931"/>
      <c r="BA70" s="3931"/>
      <c r="BB70" s="3931"/>
      <c r="BC70" s="3931"/>
      <c r="BD70" s="3931"/>
      <c r="BE70" s="3931"/>
      <c r="BF70" s="3931"/>
      <c r="BG70" s="3932"/>
      <c r="BH70" s="796"/>
      <c r="BI70" s="43"/>
    </row>
    <row r="71" spans="1:61" ht="11.1" customHeight="1">
      <c r="A71" s="45"/>
      <c r="B71" s="830"/>
      <c r="C71" s="3933"/>
      <c r="D71" s="3934"/>
      <c r="E71" s="3934"/>
      <c r="F71" s="3934"/>
      <c r="G71" s="3934"/>
      <c r="H71" s="3934"/>
      <c r="I71" s="3934"/>
      <c r="J71" s="3935"/>
      <c r="K71" s="830"/>
      <c r="L71" s="830"/>
      <c r="M71" s="830"/>
      <c r="N71" s="829"/>
      <c r="O71" s="3950"/>
      <c r="P71" s="3951"/>
      <c r="Q71" s="3951"/>
      <c r="R71" s="3951"/>
      <c r="S71" s="3951"/>
      <c r="T71" s="3951"/>
      <c r="U71" s="3951"/>
      <c r="V71" s="3951"/>
      <c r="W71" s="3951"/>
      <c r="X71" s="3951"/>
      <c r="Y71" s="3951"/>
      <c r="Z71" s="3951"/>
      <c r="AA71" s="3952"/>
      <c r="AB71" s="829"/>
      <c r="AC71" s="830"/>
      <c r="AD71" s="830"/>
      <c r="AE71" s="3950"/>
      <c r="AF71" s="3951"/>
      <c r="AG71" s="3951"/>
      <c r="AH71" s="3951"/>
      <c r="AI71" s="3951"/>
      <c r="AJ71" s="3951"/>
      <c r="AK71" s="3951"/>
      <c r="AL71" s="3951"/>
      <c r="AM71" s="3951"/>
      <c r="AN71" s="3951"/>
      <c r="AO71" s="3951"/>
      <c r="AP71" s="3951"/>
      <c r="AQ71" s="3952"/>
      <c r="AR71" s="796"/>
      <c r="AS71" s="796"/>
      <c r="AT71" s="830"/>
      <c r="AU71" s="830"/>
      <c r="AV71" s="3933"/>
      <c r="AW71" s="3934"/>
      <c r="AX71" s="3934"/>
      <c r="AY71" s="3934"/>
      <c r="AZ71" s="3934"/>
      <c r="BA71" s="3934"/>
      <c r="BB71" s="3934"/>
      <c r="BC71" s="3934"/>
      <c r="BD71" s="3934"/>
      <c r="BE71" s="3934"/>
      <c r="BF71" s="3934"/>
      <c r="BG71" s="3935"/>
      <c r="BH71" s="796"/>
      <c r="BI71" s="43"/>
    </row>
    <row r="72" spans="1:61" ht="3.75" customHeight="1">
      <c r="C72" s="192"/>
      <c r="D72" s="192"/>
      <c r="E72" s="192"/>
      <c r="F72" s="192"/>
      <c r="G72" s="192"/>
      <c r="H72" s="192"/>
      <c r="I72" s="192"/>
      <c r="J72" s="192"/>
      <c r="K72" s="192"/>
      <c r="L72" s="192"/>
      <c r="M72" s="192"/>
      <c r="N72" s="192"/>
      <c r="O72" s="192"/>
      <c r="P72" s="192"/>
      <c r="Q72" s="192"/>
      <c r="R72" s="192"/>
      <c r="S72" s="192"/>
      <c r="T72" s="16"/>
      <c r="U72" s="196"/>
      <c r="V72" s="177"/>
      <c r="AM72" s="16"/>
      <c r="AN72" s="16"/>
      <c r="AO72" s="177"/>
      <c r="AP72" s="177"/>
      <c r="AQ72" s="177"/>
      <c r="AR72" s="177"/>
      <c r="AS72" s="177"/>
      <c r="AT72" s="177"/>
      <c r="AU72" s="177"/>
      <c r="AV72" s="177"/>
      <c r="AW72" s="177"/>
      <c r="AX72" s="177"/>
      <c r="AY72" s="177"/>
      <c r="AZ72" s="177"/>
      <c r="BA72" s="177"/>
      <c r="BB72" s="177"/>
      <c r="BC72" s="771"/>
      <c r="BD72" s="771"/>
      <c r="BE72" s="771"/>
      <c r="BF72" s="771"/>
      <c r="BG72" s="771"/>
      <c r="BH72" s="16"/>
    </row>
    <row r="73" spans="1:61" ht="12" customHeight="1">
      <c r="C73" s="772"/>
      <c r="D73" s="772"/>
      <c r="E73" s="772"/>
      <c r="F73" s="772"/>
      <c r="G73" s="772"/>
      <c r="H73" s="772"/>
      <c r="I73" s="772"/>
      <c r="J73" s="772"/>
      <c r="K73" s="772"/>
      <c r="L73" s="772"/>
      <c r="M73" s="772"/>
      <c r="N73" s="772"/>
      <c r="O73" s="772"/>
      <c r="P73" s="773"/>
      <c r="Q73" s="773"/>
      <c r="R73" s="773"/>
      <c r="S73" s="773"/>
      <c r="T73" s="16"/>
      <c r="U73" s="196"/>
      <c r="V73" s="177"/>
      <c r="AM73" s="16"/>
      <c r="AN73" s="16"/>
      <c r="AO73" s="177"/>
      <c r="AP73" s="177"/>
      <c r="AQ73" s="177"/>
      <c r="AR73" s="177"/>
      <c r="AS73" s="177"/>
      <c r="AT73" s="177"/>
      <c r="AU73" s="177"/>
      <c r="AV73" s="177"/>
      <c r="AW73" s="177"/>
      <c r="AX73" s="177"/>
      <c r="AY73" s="177"/>
      <c r="AZ73" s="177"/>
      <c r="BA73" s="177"/>
      <c r="BB73" s="177"/>
      <c r="BC73" s="771"/>
      <c r="BD73" s="771"/>
      <c r="BE73" s="771"/>
      <c r="BF73" s="771"/>
      <c r="BG73" s="771"/>
      <c r="BH73" s="16"/>
    </row>
    <row r="74" spans="1:61" ht="12" customHeight="1">
      <c r="C74" s="772"/>
      <c r="D74" s="772"/>
      <c r="E74" s="772"/>
      <c r="F74" s="772"/>
      <c r="G74" s="772"/>
      <c r="H74" s="772"/>
      <c r="I74" s="772"/>
      <c r="J74" s="772"/>
      <c r="K74" s="772"/>
      <c r="L74" s="772"/>
      <c r="M74" s="772"/>
      <c r="N74" s="772"/>
      <c r="O74" s="772"/>
      <c r="P74" s="773"/>
      <c r="Q74" s="773"/>
      <c r="R74" s="773"/>
      <c r="S74" s="773"/>
      <c r="T74" s="16"/>
      <c r="U74" s="196"/>
      <c r="V74" s="177"/>
      <c r="AM74" s="16"/>
      <c r="AN74" s="16"/>
      <c r="AO74" s="177"/>
      <c r="AP74" s="177"/>
      <c r="AQ74" s="177"/>
      <c r="AR74" s="177"/>
      <c r="BB74" s="841"/>
      <c r="BC74" s="771"/>
      <c r="BD74" s="771"/>
      <c r="BE74" s="771"/>
      <c r="BF74" s="771"/>
      <c r="BG74" s="771"/>
      <c r="BH74" s="16"/>
    </row>
    <row r="75" spans="1:61" ht="12" customHeight="1">
      <c r="C75" s="772"/>
      <c r="D75" s="772"/>
      <c r="E75" s="772"/>
      <c r="F75" s="772"/>
      <c r="G75" s="772"/>
      <c r="H75" s="772"/>
      <c r="I75" s="772"/>
      <c r="J75" s="772"/>
      <c r="K75" s="772"/>
      <c r="L75" s="772"/>
      <c r="M75" s="772"/>
      <c r="N75" s="772"/>
      <c r="O75" s="772"/>
      <c r="P75" s="773"/>
      <c r="Q75" s="773"/>
      <c r="R75" s="773"/>
      <c r="S75" s="773"/>
      <c r="T75" s="16"/>
      <c r="U75" s="196"/>
      <c r="V75" s="177"/>
      <c r="AP75" s="196"/>
      <c r="AQ75" s="196"/>
      <c r="AR75" s="196"/>
      <c r="BB75" s="830"/>
      <c r="BC75" s="771"/>
      <c r="BD75" s="771"/>
      <c r="BE75" s="771"/>
      <c r="BF75" s="771"/>
      <c r="BG75" s="771"/>
      <c r="BH75" s="16"/>
    </row>
    <row r="76" spans="1:61" ht="12" customHeight="1">
      <c r="C76" s="772"/>
      <c r="D76" s="772"/>
      <c r="E76" s="772"/>
      <c r="F76" s="772"/>
      <c r="G76" s="772"/>
      <c r="H76" s="772"/>
      <c r="I76" s="772"/>
      <c r="J76" s="772"/>
      <c r="K76" s="772"/>
      <c r="L76" s="772"/>
      <c r="M76" s="772"/>
      <c r="N76" s="772"/>
      <c r="O76" s="772"/>
      <c r="P76" s="773"/>
      <c r="Q76" s="773"/>
      <c r="R76" s="773"/>
      <c r="S76" s="773"/>
      <c r="T76" s="16"/>
      <c r="U76" s="196"/>
      <c r="V76" s="177"/>
      <c r="AP76" s="177"/>
      <c r="AQ76" s="177"/>
      <c r="AR76" s="177"/>
      <c r="BB76" s="830"/>
      <c r="BC76" s="177"/>
      <c r="BD76" s="16"/>
      <c r="BE76" s="16"/>
      <c r="BF76" s="16"/>
      <c r="BG76" s="16"/>
      <c r="BH76" s="16"/>
    </row>
    <row r="77" spans="1:61" ht="12" customHeight="1">
      <c r="C77" s="772"/>
      <c r="D77" s="772"/>
      <c r="E77" s="772"/>
      <c r="F77" s="772"/>
      <c r="G77" s="772"/>
      <c r="H77" s="772"/>
      <c r="I77" s="772"/>
      <c r="J77" s="772"/>
      <c r="K77" s="772"/>
      <c r="L77" s="772"/>
      <c r="M77" s="772"/>
      <c r="N77" s="772"/>
      <c r="O77" s="772"/>
      <c r="P77" s="773"/>
      <c r="Q77" s="773"/>
      <c r="R77" s="773"/>
      <c r="S77" s="773"/>
      <c r="T77" s="16"/>
      <c r="U77" s="177"/>
      <c r="V77" s="177"/>
      <c r="AP77" s="16"/>
      <c r="AQ77" s="16"/>
      <c r="AR77" s="16"/>
      <c r="BB77" s="830"/>
      <c r="BC77" s="16"/>
      <c r="BD77" s="16"/>
      <c r="BE77" s="16"/>
      <c r="BF77" s="16"/>
      <c r="BG77" s="16"/>
      <c r="BH77" s="16"/>
    </row>
    <row r="78" spans="1:61" ht="12" customHeight="1">
      <c r="C78" s="772"/>
      <c r="D78" s="772"/>
      <c r="E78" s="772"/>
      <c r="F78" s="772"/>
      <c r="G78" s="772"/>
      <c r="H78" s="772"/>
      <c r="I78" s="772"/>
      <c r="J78" s="772"/>
      <c r="K78" s="772"/>
      <c r="L78" s="772"/>
      <c r="M78" s="772"/>
      <c r="N78" s="772"/>
      <c r="O78" s="772"/>
      <c r="P78" s="773"/>
      <c r="Q78" s="773"/>
      <c r="R78" s="773"/>
      <c r="S78" s="773"/>
      <c r="T78" s="16"/>
      <c r="U78" s="16"/>
      <c r="V78" s="16"/>
      <c r="AP78" s="16"/>
      <c r="AQ78" s="16"/>
      <c r="AR78" s="16"/>
      <c r="BB78" s="830"/>
      <c r="BC78" s="16"/>
      <c r="BD78" s="16"/>
      <c r="BE78" s="16"/>
      <c r="BF78" s="16"/>
      <c r="BG78" s="16"/>
      <c r="BH78" s="16"/>
    </row>
    <row r="79" spans="1:61" ht="12" customHeight="1">
      <c r="C79" s="16"/>
      <c r="D79" s="16"/>
      <c r="E79" s="16"/>
      <c r="F79" s="16"/>
      <c r="G79" s="16"/>
      <c r="H79" s="16"/>
      <c r="I79" s="16"/>
      <c r="J79" s="16"/>
      <c r="K79" s="16"/>
      <c r="L79" s="16"/>
      <c r="M79" s="16"/>
      <c r="N79" s="16"/>
      <c r="O79" s="16"/>
      <c r="P79" s="16"/>
      <c r="Q79" s="16"/>
      <c r="R79" s="16"/>
      <c r="S79" s="16"/>
      <c r="T79" s="16"/>
      <c r="U79" s="16"/>
      <c r="V79" s="16"/>
      <c r="AP79" s="16"/>
      <c r="AQ79" s="16"/>
      <c r="AR79" s="16"/>
      <c r="BB79" s="830"/>
      <c r="BC79" s="16"/>
      <c r="BD79" s="16"/>
      <c r="BE79" s="16"/>
      <c r="BF79" s="16"/>
      <c r="BG79" s="16"/>
      <c r="BH79" s="16"/>
    </row>
    <row r="80" spans="1:61" ht="12" customHeight="1">
      <c r="C80" s="16"/>
      <c r="D80" s="16"/>
      <c r="E80" s="16"/>
      <c r="F80" s="16"/>
      <c r="G80" s="16"/>
      <c r="H80" s="16"/>
      <c r="I80" s="16"/>
      <c r="J80" s="16"/>
      <c r="K80" s="16"/>
      <c r="L80" s="16"/>
      <c r="M80" s="16"/>
      <c r="N80" s="16"/>
      <c r="O80" s="16"/>
      <c r="P80" s="16"/>
      <c r="Q80" s="16"/>
      <c r="R80" s="16"/>
      <c r="S80" s="16"/>
      <c r="T80" s="16"/>
      <c r="U80" s="16"/>
      <c r="V80" s="16"/>
      <c r="AP80" s="16"/>
      <c r="AQ80" s="16"/>
      <c r="AR80" s="16"/>
      <c r="BB80" s="830"/>
      <c r="BC80" s="16"/>
      <c r="BD80" s="16"/>
      <c r="BE80" s="16"/>
      <c r="BF80" s="16"/>
      <c r="BG80" s="16"/>
      <c r="BH80" s="16"/>
    </row>
    <row r="81" spans="3:60" ht="12" customHeight="1">
      <c r="C81" s="16"/>
      <c r="D81" s="16"/>
      <c r="E81" s="16"/>
      <c r="F81" s="16"/>
      <c r="G81" s="16"/>
      <c r="H81" s="16"/>
      <c r="I81" s="16"/>
      <c r="J81" s="16"/>
      <c r="K81" s="16"/>
      <c r="L81" s="16"/>
      <c r="M81" s="16"/>
      <c r="N81" s="16"/>
      <c r="O81" s="16"/>
      <c r="P81" s="16"/>
      <c r="Q81" s="16"/>
      <c r="R81" s="16"/>
      <c r="S81" s="16"/>
      <c r="T81" s="16"/>
      <c r="U81" s="16"/>
      <c r="V81" s="16"/>
      <c r="AP81" s="16"/>
      <c r="AQ81" s="16"/>
      <c r="AR81" s="16"/>
      <c r="AS81" s="16"/>
      <c r="AT81" s="16"/>
      <c r="AU81" s="16"/>
      <c r="AV81" s="16"/>
      <c r="AW81" s="16"/>
      <c r="AX81" s="16"/>
      <c r="AY81" s="16"/>
      <c r="AZ81" s="16"/>
      <c r="BA81" s="16"/>
      <c r="BB81" s="16"/>
      <c r="BC81" s="16"/>
      <c r="BD81" s="16"/>
      <c r="BE81" s="16"/>
      <c r="BF81" s="16"/>
      <c r="BG81" s="16"/>
      <c r="BH81" s="16"/>
    </row>
    <row r="82" spans="3:60" ht="12" customHeight="1">
      <c r="C82" s="16"/>
      <c r="D82" s="16"/>
      <c r="E82" s="16"/>
      <c r="F82" s="16"/>
      <c r="G82" s="16"/>
      <c r="H82" s="16"/>
      <c r="I82" s="16"/>
      <c r="J82" s="16"/>
      <c r="K82" s="16"/>
      <c r="L82" s="16"/>
      <c r="M82" s="16"/>
      <c r="N82" s="16"/>
      <c r="O82" s="16"/>
      <c r="P82" s="16"/>
      <c r="Q82" s="16"/>
      <c r="R82" s="16"/>
      <c r="S82" s="16"/>
      <c r="T82" s="16"/>
      <c r="U82" s="16"/>
      <c r="V82" s="16"/>
      <c r="AM82" s="16"/>
      <c r="AN82" s="16"/>
      <c r="AO82" s="16"/>
      <c r="AP82" s="16"/>
      <c r="AQ82" s="16"/>
      <c r="AR82" s="16"/>
      <c r="AS82" s="16"/>
      <c r="AT82" s="16"/>
      <c r="AU82" s="16"/>
      <c r="AV82" s="16"/>
      <c r="AW82" s="16"/>
      <c r="AX82" s="16"/>
      <c r="AY82" s="16"/>
      <c r="AZ82" s="16"/>
      <c r="BA82" s="16"/>
      <c r="BB82" s="16"/>
      <c r="BC82" s="16"/>
      <c r="BD82" s="16"/>
      <c r="BE82" s="16"/>
      <c r="BF82" s="16"/>
      <c r="BG82" s="16"/>
      <c r="BH82" s="16"/>
    </row>
    <row r="83" spans="3:60" ht="12" customHeight="1">
      <c r="C83" s="16"/>
      <c r="D83" s="16"/>
      <c r="E83" s="16"/>
      <c r="F83" s="16"/>
      <c r="G83" s="16"/>
      <c r="H83" s="16"/>
      <c r="I83" s="16"/>
      <c r="J83" s="16"/>
      <c r="K83" s="16"/>
      <c r="L83" s="16"/>
      <c r="M83" s="16"/>
      <c r="N83" s="16"/>
      <c r="O83" s="16"/>
      <c r="P83" s="16"/>
      <c r="Q83" s="16"/>
      <c r="R83" s="16"/>
      <c r="S83" s="16"/>
      <c r="T83" s="16"/>
      <c r="U83" s="16"/>
      <c r="V83" s="16"/>
      <c r="W83" s="16"/>
      <c r="X83" s="16"/>
      <c r="Y83" s="16"/>
      <c r="Z83" s="16"/>
      <c r="AA83" s="16"/>
      <c r="AB83" s="16"/>
      <c r="AC83" s="16"/>
      <c r="AD83" s="16"/>
      <c r="AE83" s="16"/>
      <c r="AF83" s="16"/>
      <c r="AG83" s="16"/>
      <c r="AH83" s="16"/>
      <c r="AI83" s="16"/>
      <c r="AJ83" s="16"/>
      <c r="AK83" s="16"/>
      <c r="AL83" s="16"/>
      <c r="AM83" s="16"/>
      <c r="AN83" s="16"/>
      <c r="AO83" s="16"/>
      <c r="AP83" s="16"/>
      <c r="AQ83" s="16"/>
      <c r="AR83" s="16"/>
      <c r="AS83" s="16"/>
      <c r="AT83" s="16"/>
      <c r="AU83" s="16"/>
      <c r="AV83" s="16"/>
      <c r="AW83" s="16"/>
      <c r="AX83" s="16"/>
      <c r="AY83" s="16"/>
      <c r="AZ83" s="16"/>
      <c r="BA83" s="16"/>
      <c r="BB83" s="16"/>
      <c r="BC83" s="16"/>
      <c r="BD83" s="16"/>
      <c r="BE83" s="16"/>
      <c r="BF83" s="16"/>
      <c r="BG83" s="16"/>
      <c r="BH83" s="16"/>
    </row>
    <row r="84" spans="3:60" ht="12" customHeight="1">
      <c r="C84" s="16"/>
      <c r="D84" s="16"/>
      <c r="E84" s="16"/>
      <c r="F84" s="16"/>
      <c r="G84" s="16"/>
      <c r="H84" s="16"/>
      <c r="I84" s="16"/>
      <c r="J84" s="16"/>
      <c r="K84" s="16"/>
      <c r="L84" s="16"/>
      <c r="M84" s="16"/>
      <c r="N84" s="16"/>
      <c r="O84" s="16"/>
      <c r="P84" s="16"/>
      <c r="Q84" s="16"/>
      <c r="R84" s="16"/>
      <c r="S84" s="16"/>
      <c r="T84" s="16"/>
      <c r="U84" s="16"/>
      <c r="V84" s="16"/>
      <c r="W84" s="16"/>
      <c r="X84" s="16"/>
      <c r="Y84" s="16"/>
      <c r="Z84" s="16"/>
      <c r="AA84" s="16"/>
      <c r="AB84" s="16"/>
      <c r="AC84" s="16"/>
      <c r="AD84" s="16"/>
      <c r="AE84" s="16"/>
      <c r="AF84" s="16"/>
      <c r="AG84" s="16"/>
      <c r="AH84" s="16"/>
      <c r="AI84" s="16"/>
      <c r="AJ84" s="16"/>
      <c r="AK84" s="16"/>
      <c r="AL84" s="16"/>
      <c r="AM84" s="16"/>
      <c r="AN84" s="16"/>
      <c r="AO84" s="774"/>
      <c r="AP84" s="774"/>
      <c r="AQ84" s="774"/>
      <c r="AR84" s="774"/>
      <c r="AS84" s="774"/>
      <c r="AT84" s="774"/>
      <c r="AU84" s="774"/>
      <c r="AV84" s="774"/>
      <c r="AW84" s="774"/>
      <c r="AX84" s="774"/>
      <c r="AY84" s="774"/>
      <c r="AZ84" s="774"/>
      <c r="BA84" s="774"/>
      <c r="BB84" s="774"/>
      <c r="BC84" s="774"/>
      <c r="BD84" s="774"/>
      <c r="BE84" s="774"/>
      <c r="BF84" s="774"/>
      <c r="BG84" s="774"/>
      <c r="BH84" s="774"/>
    </row>
    <row r="85" spans="3:60" ht="12" customHeight="1">
      <c r="C85" s="16"/>
      <c r="D85" s="16"/>
      <c r="E85" s="16"/>
      <c r="F85" s="16"/>
      <c r="G85" s="16"/>
      <c r="H85" s="16"/>
      <c r="I85" s="16"/>
      <c r="J85" s="16"/>
      <c r="K85" s="16"/>
      <c r="L85" s="16"/>
      <c r="M85" s="16"/>
      <c r="N85" s="16"/>
      <c r="O85" s="16"/>
      <c r="P85" s="16"/>
      <c r="Q85" s="16"/>
      <c r="R85" s="16"/>
      <c r="S85" s="16"/>
      <c r="T85" s="16"/>
      <c r="U85" s="16"/>
      <c r="V85" s="16"/>
      <c r="W85" s="16"/>
      <c r="X85" s="16"/>
      <c r="Y85" s="16"/>
      <c r="Z85" s="16"/>
      <c r="AA85" s="16"/>
      <c r="AB85" s="16"/>
      <c r="AC85" s="16"/>
      <c r="AD85" s="16"/>
      <c r="AE85" s="16"/>
      <c r="AF85" s="16"/>
      <c r="AG85" s="16"/>
      <c r="AH85" s="16"/>
      <c r="AI85" s="16"/>
      <c r="AJ85" s="16"/>
      <c r="AK85" s="16"/>
      <c r="AL85" s="16"/>
      <c r="AM85" s="16"/>
      <c r="AN85" s="16"/>
      <c r="AO85" s="16"/>
      <c r="AP85" s="16"/>
      <c r="AQ85" s="16"/>
      <c r="AR85" s="16"/>
      <c r="AS85" s="16"/>
      <c r="AT85" s="16"/>
      <c r="AU85" s="16"/>
      <c r="AV85" s="16"/>
      <c r="AW85" s="16"/>
      <c r="AX85" s="16"/>
      <c r="AY85" s="16"/>
      <c r="AZ85" s="16"/>
      <c r="BA85" s="16"/>
      <c r="BB85" s="16"/>
      <c r="BC85" s="16"/>
      <c r="BD85" s="16"/>
      <c r="BE85" s="16"/>
      <c r="BF85" s="16"/>
      <c r="BG85" s="16"/>
      <c r="BH85" s="16"/>
    </row>
    <row r="86" spans="3:60" ht="12" customHeight="1">
      <c r="C86" s="16"/>
      <c r="D86" s="16"/>
      <c r="E86" s="16"/>
      <c r="F86" s="16"/>
      <c r="G86" s="16"/>
      <c r="H86" s="16"/>
      <c r="I86" s="16"/>
      <c r="J86" s="16"/>
      <c r="K86" s="16"/>
      <c r="L86" s="16"/>
      <c r="M86" s="16"/>
      <c r="N86" s="16"/>
      <c r="O86" s="16"/>
      <c r="P86" s="16"/>
      <c r="Q86" s="16"/>
      <c r="R86" s="16"/>
      <c r="S86" s="16"/>
      <c r="T86" s="16"/>
      <c r="U86" s="16"/>
      <c r="V86" s="16"/>
      <c r="W86" s="16"/>
      <c r="X86" s="16"/>
      <c r="Y86" s="16"/>
      <c r="Z86" s="16"/>
      <c r="AA86" s="16"/>
      <c r="AB86" s="16"/>
      <c r="AC86" s="16"/>
      <c r="AD86" s="16"/>
      <c r="AE86" s="16"/>
      <c r="AF86" s="16"/>
      <c r="AG86" s="16"/>
      <c r="AH86" s="16"/>
      <c r="AI86" s="16"/>
      <c r="AJ86" s="16"/>
      <c r="AK86" s="16"/>
      <c r="AL86" s="16"/>
      <c r="AM86" s="16"/>
      <c r="AN86" s="16"/>
      <c r="AO86" s="774"/>
      <c r="AP86" s="774"/>
      <c r="AQ86" s="774"/>
      <c r="AR86" s="774"/>
      <c r="AS86" s="774"/>
      <c r="AT86" s="774"/>
      <c r="AU86" s="774"/>
      <c r="AV86" s="774"/>
      <c r="AW86" s="774"/>
      <c r="AX86" s="774"/>
      <c r="AY86" s="774"/>
      <c r="AZ86" s="774"/>
      <c r="BA86" s="774"/>
      <c r="BB86" s="774"/>
      <c r="BC86" s="774"/>
      <c r="BD86" s="774"/>
      <c r="BE86" s="774"/>
      <c r="BF86" s="774"/>
      <c r="BG86" s="774"/>
      <c r="BH86" s="774"/>
    </row>
    <row r="87" spans="3:60">
      <c r="C87" s="16"/>
      <c r="D87" s="16"/>
      <c r="E87" s="16"/>
      <c r="F87" s="16"/>
      <c r="G87" s="16"/>
      <c r="H87" s="16"/>
      <c r="I87" s="16"/>
      <c r="J87" s="16"/>
      <c r="K87" s="16"/>
      <c r="L87" s="16"/>
      <c r="M87" s="16"/>
      <c r="N87" s="16"/>
      <c r="O87" s="16"/>
      <c r="P87" s="16"/>
      <c r="Q87" s="16"/>
      <c r="R87" s="16"/>
      <c r="S87" s="16"/>
      <c r="T87" s="16"/>
      <c r="U87" s="16"/>
      <c r="V87" s="16"/>
      <c r="W87" s="16"/>
      <c r="X87" s="16"/>
      <c r="Y87" s="16"/>
      <c r="Z87" s="16"/>
      <c r="AA87" s="16"/>
      <c r="AB87" s="16"/>
      <c r="AC87" s="16"/>
      <c r="AD87" s="16"/>
      <c r="AE87" s="16"/>
      <c r="AF87" s="16"/>
      <c r="AG87" s="16"/>
      <c r="AH87" s="16"/>
      <c r="AI87" s="16"/>
      <c r="AJ87" s="16"/>
      <c r="AK87" s="16"/>
      <c r="AL87" s="16"/>
      <c r="AM87" s="16"/>
      <c r="AN87" s="16"/>
      <c r="AO87" s="775"/>
      <c r="AP87" s="177"/>
      <c r="AQ87" s="177"/>
      <c r="AR87" s="177"/>
      <c r="AS87" s="177"/>
      <c r="AT87" s="177"/>
      <c r="AU87" s="177"/>
      <c r="AV87" s="177"/>
      <c r="AW87" s="177"/>
      <c r="AX87" s="177"/>
      <c r="AY87" s="177"/>
      <c r="AZ87" s="177"/>
      <c r="BA87" s="771"/>
      <c r="BB87" s="771"/>
      <c r="BC87" s="771"/>
      <c r="BD87" s="771"/>
      <c r="BE87" s="771"/>
      <c r="BF87" s="771"/>
      <c r="BG87" s="771"/>
      <c r="BH87" s="771"/>
    </row>
    <row r="88" spans="3:60">
      <c r="C88" s="16"/>
      <c r="D88" s="16"/>
      <c r="E88" s="16"/>
      <c r="F88" s="16"/>
      <c r="G88" s="16"/>
      <c r="H88" s="16"/>
      <c r="I88" s="16"/>
      <c r="J88" s="16"/>
      <c r="K88" s="16"/>
      <c r="L88" s="16"/>
      <c r="M88" s="16"/>
      <c r="N88" s="16"/>
      <c r="O88" s="16"/>
      <c r="P88" s="16"/>
      <c r="Q88" s="16"/>
      <c r="R88" s="16"/>
      <c r="S88" s="16"/>
      <c r="T88" s="16"/>
      <c r="U88" s="16"/>
      <c r="V88" s="16"/>
      <c r="W88" s="16"/>
      <c r="X88" s="16"/>
      <c r="Y88" s="16"/>
      <c r="Z88" s="16"/>
      <c r="AA88" s="16"/>
      <c r="AB88" s="16"/>
      <c r="AC88" s="16"/>
      <c r="AD88" s="16"/>
      <c r="AE88" s="16"/>
      <c r="AF88" s="16"/>
      <c r="AG88" s="16"/>
      <c r="AH88" s="16"/>
      <c r="AI88" s="16"/>
      <c r="AJ88" s="16"/>
      <c r="AK88" s="16"/>
      <c r="AL88" s="16"/>
      <c r="AM88" s="16"/>
      <c r="AN88" s="16"/>
      <c r="AO88" s="776"/>
      <c r="AP88" s="191"/>
      <c r="AQ88" s="191"/>
      <c r="AR88" s="191"/>
      <c r="AS88" s="191"/>
      <c r="AT88" s="191"/>
      <c r="AU88" s="191"/>
      <c r="AV88" s="191"/>
      <c r="AW88" s="191"/>
      <c r="AX88" s="191"/>
      <c r="AY88" s="191"/>
      <c r="AZ88" s="191"/>
      <c r="BA88" s="771"/>
      <c r="BB88" s="771"/>
      <c r="BC88" s="771"/>
      <c r="BD88" s="771"/>
      <c r="BE88" s="771"/>
      <c r="BF88" s="771"/>
      <c r="BG88" s="771"/>
      <c r="BH88" s="771"/>
    </row>
    <row r="89" spans="3:60">
      <c r="C89" s="16"/>
      <c r="D89" s="16"/>
      <c r="E89" s="16"/>
      <c r="F89" s="16"/>
      <c r="G89" s="16"/>
      <c r="H89" s="16"/>
      <c r="I89" s="16"/>
      <c r="J89" s="16"/>
      <c r="K89" s="16"/>
      <c r="L89" s="16"/>
      <c r="M89" s="16"/>
      <c r="N89" s="16"/>
      <c r="O89" s="16"/>
      <c r="P89" s="16"/>
      <c r="Q89" s="16"/>
      <c r="R89" s="16"/>
      <c r="S89" s="16"/>
      <c r="T89" s="16"/>
      <c r="U89" s="16"/>
      <c r="V89" s="16"/>
      <c r="W89" s="16"/>
      <c r="X89" s="16"/>
      <c r="Y89" s="16"/>
      <c r="Z89" s="16"/>
      <c r="AA89" s="16"/>
      <c r="AB89" s="16"/>
      <c r="AC89" s="16"/>
      <c r="AD89" s="16"/>
      <c r="AE89" s="16"/>
      <c r="AF89" s="16"/>
      <c r="AG89" s="16"/>
      <c r="AH89" s="16"/>
      <c r="AI89" s="16"/>
      <c r="AJ89" s="16"/>
      <c r="AK89" s="16"/>
      <c r="AL89" s="16"/>
      <c r="AM89" s="16"/>
      <c r="AN89" s="16"/>
      <c r="AO89" s="775"/>
      <c r="AP89" s="177"/>
      <c r="AQ89" s="177"/>
      <c r="AR89" s="177"/>
      <c r="AS89" s="177"/>
      <c r="AT89" s="177"/>
      <c r="AU89" s="177"/>
      <c r="AV89" s="177"/>
      <c r="AW89" s="177"/>
      <c r="AX89" s="177"/>
      <c r="AY89" s="177"/>
      <c r="AZ89" s="177"/>
      <c r="BA89" s="771"/>
      <c r="BB89" s="771"/>
      <c r="BC89" s="771"/>
      <c r="BD89" s="771"/>
      <c r="BE89" s="771"/>
      <c r="BF89" s="771"/>
      <c r="BG89" s="771"/>
      <c r="BH89" s="771"/>
    </row>
    <row r="90" spans="3:60">
      <c r="C90" s="16"/>
      <c r="D90" s="16"/>
      <c r="E90" s="16"/>
      <c r="F90" s="16"/>
      <c r="G90" s="16"/>
      <c r="H90" s="16"/>
      <c r="I90" s="16"/>
      <c r="J90" s="16"/>
      <c r="K90" s="16"/>
      <c r="L90" s="16"/>
      <c r="M90" s="16"/>
      <c r="N90" s="16"/>
      <c r="O90" s="16"/>
      <c r="P90" s="16"/>
      <c r="Q90" s="16"/>
      <c r="R90" s="16"/>
      <c r="S90" s="16"/>
      <c r="T90" s="16"/>
      <c r="U90" s="16"/>
      <c r="V90" s="16"/>
      <c r="W90" s="16"/>
      <c r="X90" s="16"/>
      <c r="Y90" s="16"/>
      <c r="Z90" s="16"/>
      <c r="AA90" s="16"/>
      <c r="AB90" s="16"/>
      <c r="AC90" s="16"/>
      <c r="AD90" s="16"/>
      <c r="AE90" s="16"/>
      <c r="AF90" s="16"/>
      <c r="AG90" s="16"/>
      <c r="AH90" s="16"/>
      <c r="AI90" s="16"/>
      <c r="AJ90" s="16"/>
      <c r="AK90" s="16"/>
      <c r="AL90" s="16"/>
      <c r="AM90" s="16"/>
      <c r="AN90" s="16"/>
      <c r="AO90" s="775"/>
      <c r="AP90" s="177"/>
      <c r="AQ90" s="177"/>
      <c r="AR90" s="177"/>
      <c r="AS90" s="177"/>
      <c r="AT90" s="177"/>
      <c r="AU90" s="177"/>
      <c r="AV90" s="177"/>
      <c r="AW90" s="177"/>
      <c r="AX90" s="177"/>
      <c r="AY90" s="177"/>
      <c r="AZ90" s="177"/>
      <c r="BA90" s="771"/>
      <c r="BB90" s="771"/>
      <c r="BC90" s="771"/>
      <c r="BD90" s="771"/>
      <c r="BE90" s="771"/>
      <c r="BF90" s="771"/>
      <c r="BG90" s="771"/>
      <c r="BH90" s="771"/>
    </row>
    <row r="91" spans="3:60">
      <c r="C91" s="16"/>
      <c r="D91" s="16"/>
      <c r="E91" s="16"/>
      <c r="F91" s="16"/>
      <c r="G91" s="16"/>
      <c r="H91" s="16"/>
      <c r="I91" s="16"/>
      <c r="J91" s="16"/>
      <c r="K91" s="16"/>
      <c r="L91" s="16"/>
      <c r="M91" s="16"/>
      <c r="N91" s="16"/>
      <c r="O91" s="16"/>
      <c r="P91" s="16"/>
      <c r="Q91" s="16"/>
      <c r="R91" s="16"/>
      <c r="S91" s="16"/>
      <c r="T91" s="16"/>
      <c r="U91" s="16"/>
      <c r="V91" s="16"/>
      <c r="W91" s="16"/>
      <c r="X91" s="16"/>
      <c r="Y91" s="16"/>
      <c r="Z91" s="16"/>
      <c r="AA91" s="16"/>
      <c r="AB91" s="16"/>
      <c r="AC91" s="16"/>
      <c r="AD91" s="16"/>
      <c r="AE91" s="16"/>
      <c r="AF91" s="16"/>
      <c r="AG91" s="16"/>
      <c r="AH91" s="16"/>
      <c r="AI91" s="16"/>
      <c r="AJ91" s="16"/>
      <c r="AK91" s="16"/>
      <c r="AL91" s="16"/>
      <c r="AM91" s="16"/>
      <c r="AN91" s="16"/>
      <c r="AO91" s="177"/>
      <c r="AP91" s="177"/>
      <c r="AQ91" s="177"/>
      <c r="AR91" s="177"/>
      <c r="AS91" s="177"/>
      <c r="AT91" s="177"/>
      <c r="AU91" s="177"/>
      <c r="AV91" s="177"/>
      <c r="AW91" s="177"/>
      <c r="AX91" s="177"/>
      <c r="AY91" s="177"/>
      <c r="AZ91" s="177"/>
      <c r="BA91" s="771"/>
      <c r="BB91" s="771"/>
      <c r="BC91" s="771"/>
      <c r="BD91" s="771"/>
      <c r="BE91" s="771"/>
      <c r="BF91" s="771"/>
      <c r="BG91" s="771"/>
      <c r="BH91" s="771"/>
    </row>
    <row r="92" spans="3:60">
      <c r="C92" s="16"/>
      <c r="D92" s="16"/>
      <c r="E92" s="16"/>
      <c r="F92" s="16"/>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91"/>
      <c r="AP92" s="191"/>
      <c r="AQ92" s="191"/>
      <c r="AR92" s="191"/>
      <c r="AS92" s="191"/>
      <c r="AT92" s="191"/>
      <c r="AU92" s="191"/>
      <c r="AV92" s="191"/>
      <c r="AW92" s="191"/>
      <c r="AX92" s="191"/>
      <c r="AY92" s="191"/>
      <c r="AZ92" s="191"/>
      <c r="BA92" s="771"/>
      <c r="BB92" s="771"/>
      <c r="BC92" s="771"/>
      <c r="BD92" s="771"/>
      <c r="BE92" s="771"/>
      <c r="BF92" s="771"/>
      <c r="BG92" s="771"/>
      <c r="BH92" s="771"/>
    </row>
    <row r="93" spans="3:60">
      <c r="C93" s="16"/>
      <c r="D93" s="16"/>
      <c r="E93" s="16"/>
      <c r="F93" s="16"/>
      <c r="G93" s="16"/>
      <c r="H93" s="16"/>
      <c r="I93" s="16"/>
      <c r="J93" s="16"/>
      <c r="K93" s="16"/>
      <c r="L93" s="16"/>
      <c r="M93" s="16"/>
      <c r="N93" s="16"/>
      <c r="O93" s="16"/>
      <c r="P93" s="16"/>
      <c r="Q93" s="16"/>
      <c r="R93" s="16"/>
      <c r="S93" s="16"/>
      <c r="T93" s="16"/>
      <c r="U93" s="16"/>
      <c r="V93" s="16"/>
      <c r="W93" s="16"/>
      <c r="X93" s="16"/>
      <c r="Y93" s="16"/>
      <c r="Z93" s="16"/>
      <c r="AA93" s="16"/>
      <c r="AB93" s="16"/>
      <c r="AC93" s="16"/>
      <c r="AD93" s="16"/>
      <c r="AE93" s="16"/>
      <c r="AF93" s="16"/>
      <c r="AG93" s="16"/>
      <c r="AH93" s="16"/>
      <c r="AI93" s="16"/>
      <c r="AJ93" s="16"/>
      <c r="AK93" s="16"/>
      <c r="AL93" s="16"/>
      <c r="AM93" s="16"/>
      <c r="AN93" s="16"/>
      <c r="AO93" s="16"/>
      <c r="AP93" s="16"/>
      <c r="AQ93" s="16"/>
      <c r="AR93" s="16"/>
      <c r="AS93" s="16"/>
      <c r="AT93" s="16"/>
      <c r="AU93" s="16"/>
      <c r="AV93" s="16"/>
      <c r="AW93" s="16"/>
      <c r="AX93" s="16"/>
      <c r="AY93" s="16"/>
      <c r="AZ93" s="16"/>
      <c r="BA93" s="16"/>
      <c r="BB93" s="16"/>
      <c r="BC93" s="122"/>
      <c r="BD93" s="122"/>
      <c r="BE93" s="122"/>
      <c r="BF93" s="122"/>
      <c r="BG93" s="122"/>
      <c r="BH93" s="16"/>
    </row>
    <row r="94" spans="3:60">
      <c r="BC94" s="777"/>
      <c r="BD94" s="777"/>
      <c r="BE94" s="777"/>
      <c r="BF94" s="777"/>
      <c r="BG94" s="777"/>
    </row>
  </sheetData>
  <mergeCells count="144">
    <mergeCell ref="C23:G26"/>
    <mergeCell ref="Q23:S26"/>
    <mergeCell ref="C27:G30"/>
    <mergeCell ref="AE23:AX26"/>
    <mergeCell ref="AE27:AX30"/>
    <mergeCell ref="T23:V26"/>
    <mergeCell ref="AE46:BG48"/>
    <mergeCell ref="AY23:BG26"/>
    <mergeCell ref="AY27:BG30"/>
    <mergeCell ref="AE40:BG42"/>
    <mergeCell ref="AE43:BG45"/>
    <mergeCell ref="K23:M26"/>
    <mergeCell ref="C31:G33"/>
    <mergeCell ref="Z31:AB33"/>
    <mergeCell ref="N27:P30"/>
    <mergeCell ref="H23:J26"/>
    <mergeCell ref="N23:P26"/>
    <mergeCell ref="K27:M30"/>
    <mergeCell ref="H27:J30"/>
    <mergeCell ref="H31:J33"/>
    <mergeCell ref="K31:M33"/>
    <mergeCell ref="N18:P18"/>
    <mergeCell ref="AE49:BG51"/>
    <mergeCell ref="AX39:AY39"/>
    <mergeCell ref="AE37:AT38"/>
    <mergeCell ref="AW37:AX38"/>
    <mergeCell ref="AU37:AV38"/>
    <mergeCell ref="AG35:AH35"/>
    <mergeCell ref="AI35:AJ35"/>
    <mergeCell ref="AV39:AW39"/>
    <mergeCell ref="W45:Y48"/>
    <mergeCell ref="Q27:S30"/>
    <mergeCell ref="T27:V30"/>
    <mergeCell ref="N31:P33"/>
    <mergeCell ref="Q31:S33"/>
    <mergeCell ref="T31:V33"/>
    <mergeCell ref="W31:Y33"/>
    <mergeCell ref="W53:Y56"/>
    <mergeCell ref="T45:V48"/>
    <mergeCell ref="BB3:BC3"/>
    <mergeCell ref="AG4:AH4"/>
    <mergeCell ref="AI4:AJ4"/>
    <mergeCell ref="J6:V6"/>
    <mergeCell ref="AE6:AM6"/>
    <mergeCell ref="F8:V8"/>
    <mergeCell ref="AE8:AM8"/>
    <mergeCell ref="H40:J40"/>
    <mergeCell ref="K40:M40"/>
    <mergeCell ref="N40:P40"/>
    <mergeCell ref="Q40:S40"/>
    <mergeCell ref="F10:V10"/>
    <mergeCell ref="AE10:AM10"/>
    <mergeCell ref="R17:S17"/>
    <mergeCell ref="AX16:AY17"/>
    <mergeCell ref="AZ16:BA17"/>
    <mergeCell ref="AE18:AX18"/>
    <mergeCell ref="K18:M18"/>
    <mergeCell ref="Q37:R37"/>
    <mergeCell ref="S37:T37"/>
    <mergeCell ref="C39:AB39"/>
    <mergeCell ref="C38:AB38"/>
    <mergeCell ref="AV66:BG71"/>
    <mergeCell ref="AV65:BG65"/>
    <mergeCell ref="O66:AA71"/>
    <mergeCell ref="C57:G60"/>
    <mergeCell ref="H57:J60"/>
    <mergeCell ref="C45:G48"/>
    <mergeCell ref="T40:V40"/>
    <mergeCell ref="W40:Y40"/>
    <mergeCell ref="Z40:AB40"/>
    <mergeCell ref="C40:G40"/>
    <mergeCell ref="C41:G44"/>
    <mergeCell ref="H41:J44"/>
    <mergeCell ref="K45:M48"/>
    <mergeCell ref="H53:J56"/>
    <mergeCell ref="K53:M56"/>
    <mergeCell ref="N53:P56"/>
    <mergeCell ref="Q53:S56"/>
    <mergeCell ref="C49:G52"/>
    <mergeCell ref="H49:J52"/>
    <mergeCell ref="K49:M52"/>
    <mergeCell ref="T53:V56"/>
    <mergeCell ref="C53:G56"/>
    <mergeCell ref="Q45:S48"/>
    <mergeCell ref="Z53:AB56"/>
    <mergeCell ref="B62:BH62"/>
    <mergeCell ref="B63:BH63"/>
    <mergeCell ref="C65:J65"/>
    <mergeCell ref="O65:AA65"/>
    <mergeCell ref="AE65:AQ65"/>
    <mergeCell ref="Z57:AB60"/>
    <mergeCell ref="K57:M60"/>
    <mergeCell ref="N57:P60"/>
    <mergeCell ref="Q57:S60"/>
    <mergeCell ref="T57:V60"/>
    <mergeCell ref="W57:Y60"/>
    <mergeCell ref="C66:J71"/>
    <mergeCell ref="AN14:AO14"/>
    <mergeCell ref="C16:AB16"/>
    <mergeCell ref="AT8:AU8"/>
    <mergeCell ref="AT10:AU10"/>
    <mergeCell ref="Z23:AB26"/>
    <mergeCell ref="Z27:AB30"/>
    <mergeCell ref="W23:Y26"/>
    <mergeCell ref="W27:Y30"/>
    <mergeCell ref="T49:V52"/>
    <mergeCell ref="W49:Y52"/>
    <mergeCell ref="Z49:AB52"/>
    <mergeCell ref="Z45:AB48"/>
    <mergeCell ref="H45:J48"/>
    <mergeCell ref="K41:M44"/>
    <mergeCell ref="N41:P44"/>
    <mergeCell ref="Q41:S44"/>
    <mergeCell ref="T41:V44"/>
    <mergeCell ref="N49:P52"/>
    <mergeCell ref="Q49:S52"/>
    <mergeCell ref="W41:Y44"/>
    <mergeCell ref="Z41:AB44"/>
    <mergeCell ref="N45:P48"/>
    <mergeCell ref="AE66:AQ71"/>
    <mergeCell ref="BF6:BG6"/>
    <mergeCell ref="T19:V22"/>
    <mergeCell ref="Q18:S18"/>
    <mergeCell ref="AE19:AX22"/>
    <mergeCell ref="AE16:AW17"/>
    <mergeCell ref="C19:G22"/>
    <mergeCell ref="T17:U17"/>
    <mergeCell ref="C18:G18"/>
    <mergeCell ref="AY18:BG18"/>
    <mergeCell ref="AY19:BG22"/>
    <mergeCell ref="Z19:AB22"/>
    <mergeCell ref="Z18:AB18"/>
    <mergeCell ref="W18:Y18"/>
    <mergeCell ref="W19:Y22"/>
    <mergeCell ref="AL14:AM14"/>
    <mergeCell ref="H19:J22"/>
    <mergeCell ref="H18:J18"/>
    <mergeCell ref="BF12:BG12"/>
    <mergeCell ref="BF10:BG10"/>
    <mergeCell ref="BF8:BG8"/>
    <mergeCell ref="N19:P22"/>
    <mergeCell ref="T18:V18"/>
    <mergeCell ref="K19:M22"/>
    <mergeCell ref="Q19:S22"/>
  </mergeCells>
  <conditionalFormatting sqref="L46:T46 L41:N45 AD18:AD27 K61:L62 K78:L83 AX18:AY18 AG18:AN18 F26 N18 Z8:AE8 H6:Q6 E8:Q8 Z10:AE12 AM8 AM10:AM12 E10:Q12 Z6:AE6 AE52:AF57">
    <cfRule type="cellIs" dxfId="865" priority="4" stopIfTrue="1" operator="equal">
      <formula>0</formula>
    </cfRule>
  </conditionalFormatting>
  <conditionalFormatting sqref="H41:AB60 N23 Q23 Q27 T23 W27 Z19 Z23 W19 W23 T19 T27 Q19 N27 K27 N19 K23 K19 H27 H19 H23 Z27">
    <cfRule type="cellIs" dxfId="864" priority="3" stopIfTrue="1" operator="equal">
      <formula>0</formula>
    </cfRule>
  </conditionalFormatting>
  <conditionalFormatting sqref="AT8:AU8 AT10:AU10">
    <cfRule type="cellIs" dxfId="863" priority="2" operator="equal">
      <formula>0</formula>
    </cfRule>
  </conditionalFormatting>
  <conditionalFormatting sqref="H31:AB33">
    <cfRule type="cellIs" dxfId="862" priority="1" operator="equal">
      <formula>0</formula>
    </cfRule>
  </conditionalFormatting>
  <pageMargins left="0.25" right="0.25" top="0.75" bottom="0.75" header="0.3" footer="0.3"/>
  <pageSetup paperSize="9" scale="67" orientation="landscape" horizontalDpi="300" verticalDpi="300" r:id="rId1"/>
  <drawing r:id="rId2"/>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X42"/>
  <sheetViews>
    <sheetView view="pageBreakPreview" topLeftCell="A19" zoomScale="75" zoomScaleSheetLayoutView="75" workbookViewId="0">
      <selection activeCell="W37" sqref="W37"/>
    </sheetView>
  </sheetViews>
  <sheetFormatPr baseColWidth="10" defaultRowHeight="12.75"/>
  <cols>
    <col min="1" max="24" width="7.42578125" style="417" customWidth="1"/>
    <col min="25" max="35" width="7.28515625" style="417" customWidth="1"/>
    <col min="36" max="16384" width="11.42578125" style="417"/>
  </cols>
  <sheetData>
    <row r="1" spans="1:24" s="1441" customFormat="1" ht="20.100000000000001" customHeight="1">
      <c r="A1" s="1422"/>
      <c r="B1" s="1422"/>
      <c r="C1" s="1422"/>
      <c r="D1" s="1422"/>
      <c r="E1" s="1422"/>
      <c r="F1" s="1422"/>
      <c r="G1" s="4888" t="s">
        <v>261</v>
      </c>
      <c r="H1" s="4888"/>
      <c r="I1" s="4888"/>
      <c r="J1" s="4888"/>
      <c r="K1" s="4888"/>
      <c r="L1" s="4888"/>
      <c r="M1" s="4888"/>
      <c r="N1" s="4888"/>
      <c r="O1" s="4888"/>
      <c r="P1" s="4888"/>
      <c r="Q1" s="4888"/>
      <c r="R1" s="4888"/>
      <c r="S1" s="4894" t="s">
        <v>1149</v>
      </c>
      <c r="T1" s="4894"/>
      <c r="U1" s="4894"/>
      <c r="V1" s="4895" t="str">
        <f>'[4]E OFICIALES'!V1</f>
        <v>2011-2012</v>
      </c>
      <c r="W1" s="4895"/>
      <c r="X1" s="4895"/>
    </row>
    <row r="2" spans="1:24" s="1441" customFormat="1" ht="20.100000000000001" customHeight="1">
      <c r="A2" s="1422"/>
      <c r="B2" s="1422"/>
      <c r="C2" s="1422"/>
      <c r="D2" s="1422"/>
      <c r="E2" s="1422"/>
      <c r="F2" s="1422"/>
      <c r="G2" s="2250"/>
      <c r="H2" s="2250"/>
      <c r="I2" s="4888" t="s">
        <v>1410</v>
      </c>
      <c r="J2" s="4888"/>
      <c r="K2" s="4888"/>
      <c r="L2" s="4888"/>
      <c r="M2" s="4888"/>
      <c r="N2" s="4888"/>
      <c r="O2" s="4888"/>
      <c r="P2" s="4888"/>
      <c r="Q2" s="4889" t="s">
        <v>1709</v>
      </c>
      <c r="R2" s="4889"/>
      <c r="S2" s="4889"/>
      <c r="T2" s="4889"/>
      <c r="U2" s="4889"/>
      <c r="V2" s="4896" t="str">
        <f>'[4]E OFICIALES'!V2</f>
        <v>23FIZ0042</v>
      </c>
      <c r="W2" s="4890"/>
      <c r="X2" s="4890"/>
    </row>
    <row r="3" spans="1:24" s="1441" customFormat="1" ht="20.100000000000001" customHeight="1">
      <c r="A3" s="1422"/>
      <c r="B3" s="2167"/>
      <c r="C3" s="2167"/>
      <c r="D3" s="2167"/>
      <c r="E3" s="1422"/>
      <c r="F3" s="1422"/>
      <c r="G3" s="4888" t="s">
        <v>1411</v>
      </c>
      <c r="H3" s="4888"/>
      <c r="I3" s="4888"/>
      <c r="J3" s="4888"/>
      <c r="K3" s="4888"/>
      <c r="L3" s="4888"/>
      <c r="M3" s="4888"/>
      <c r="N3" s="4888"/>
      <c r="O3" s="4888"/>
      <c r="P3" s="4888"/>
      <c r="Q3" s="4888"/>
      <c r="R3" s="4888"/>
      <c r="S3" s="4889" t="s">
        <v>1710</v>
      </c>
      <c r="T3" s="4889"/>
      <c r="U3" s="4889"/>
      <c r="V3" s="4890" t="str">
        <f>'[4]E OFICIALES'!V3</f>
        <v>9981 30 19 11</v>
      </c>
      <c r="W3" s="4890"/>
      <c r="X3" s="4890"/>
    </row>
    <row r="4" spans="1:24" s="1441" customFormat="1" ht="15" customHeight="1" thickBot="1">
      <c r="A4" s="4891" t="s">
        <v>1711</v>
      </c>
      <c r="B4" s="4891"/>
      <c r="C4" s="4891"/>
      <c r="D4" s="4892" t="str">
        <f>'[4]E OFICIALES'!D4</f>
        <v>REG. 93 MZA.33 L. 14 AV. MIGUEL HIDALGO</v>
      </c>
      <c r="E4" s="4892"/>
      <c r="F4" s="4892"/>
      <c r="G4" s="4892"/>
      <c r="H4" s="4892"/>
      <c r="I4" s="4892"/>
      <c r="J4" s="4892"/>
      <c r="K4" s="4892"/>
      <c r="L4" s="4892"/>
      <c r="M4" s="4892"/>
      <c r="N4" s="4892"/>
      <c r="O4" s="4892"/>
      <c r="P4" s="1422"/>
      <c r="Q4" s="2252" t="s">
        <v>1412</v>
      </c>
      <c r="R4" s="4893" t="str">
        <f>'[4]E OFICIALES'!R4</f>
        <v xml:space="preserve">martincancun69@hotmail.com </v>
      </c>
      <c r="S4" s="4893"/>
      <c r="T4" s="4893"/>
      <c r="U4" s="4893"/>
      <c r="V4" s="4893"/>
      <c r="W4" s="4893"/>
      <c r="X4" s="4893"/>
    </row>
    <row r="5" spans="1:24" s="1441" customFormat="1" ht="5.25" customHeight="1" thickTop="1">
      <c r="A5" s="2168"/>
      <c r="B5" s="2169"/>
      <c r="C5" s="2169"/>
      <c r="D5" s="2169"/>
      <c r="E5" s="2169"/>
      <c r="F5" s="2169"/>
      <c r="G5" s="2169"/>
      <c r="H5" s="2169"/>
      <c r="I5" s="2169"/>
      <c r="J5" s="2169"/>
      <c r="K5" s="2169"/>
      <c r="L5" s="2169"/>
      <c r="M5" s="2169"/>
      <c r="N5" s="2169"/>
      <c r="O5" s="2169"/>
      <c r="P5" s="2169"/>
      <c r="Q5" s="2169"/>
      <c r="R5" s="2169"/>
      <c r="S5" s="2169"/>
      <c r="T5" s="2169"/>
      <c r="U5" s="2169"/>
      <c r="V5" s="2169"/>
      <c r="W5" s="2169"/>
      <c r="X5" s="2170"/>
    </row>
    <row r="6" spans="1:24" s="1441" customFormat="1" ht="16.5" customHeight="1">
      <c r="A6" s="1602"/>
      <c r="B6" s="1447"/>
      <c r="C6" s="1447"/>
      <c r="D6" s="1447"/>
      <c r="E6" s="1447"/>
      <c r="F6" s="1447"/>
      <c r="G6" s="2171" t="s">
        <v>1712</v>
      </c>
      <c r="H6" s="2171" t="s">
        <v>1713</v>
      </c>
      <c r="I6" s="2172" t="s">
        <v>408</v>
      </c>
      <c r="J6" s="1447"/>
      <c r="K6" s="2262" t="s">
        <v>1714</v>
      </c>
      <c r="L6" s="1447"/>
      <c r="M6" s="1447"/>
      <c r="N6" s="1447"/>
      <c r="O6" s="2173"/>
      <c r="P6" s="2253"/>
      <c r="Q6" s="1423"/>
      <c r="R6" s="1447"/>
      <c r="S6" s="1447"/>
      <c r="T6" s="1447"/>
      <c r="U6" s="1447"/>
      <c r="V6" s="1447"/>
      <c r="W6" s="1447"/>
      <c r="X6" s="2174"/>
    </row>
    <row r="7" spans="1:24" s="1441" customFormat="1" ht="16.5" customHeight="1">
      <c r="A7" s="1602"/>
      <c r="B7" s="2262" t="s">
        <v>1715</v>
      </c>
      <c r="C7" s="1447"/>
      <c r="D7" s="1447"/>
      <c r="E7" s="1447" t="s">
        <v>269</v>
      </c>
      <c r="F7" s="1447"/>
      <c r="G7" s="2240">
        <f>'E OFICIALES'!G7</f>
        <v>10</v>
      </c>
      <c r="H7" s="2240">
        <f>'E PARTICULARES'!H7</f>
        <v>5</v>
      </c>
      <c r="I7" s="2240">
        <f>G7+H7</f>
        <v>15</v>
      </c>
      <c r="J7" s="2253"/>
      <c r="K7" s="2253"/>
      <c r="L7" s="1447"/>
      <c r="M7" s="2176" t="s">
        <v>1716</v>
      </c>
      <c r="N7" s="2176"/>
      <c r="O7" s="2176"/>
      <c r="P7" s="2239">
        <f>'E OFICIALES'!P7+'E PARTICULARES'!P7</f>
        <v>0</v>
      </c>
      <c r="Q7" s="1423"/>
      <c r="R7" s="1447"/>
      <c r="S7" s="2262" t="s">
        <v>1717</v>
      </c>
      <c r="T7" s="1422"/>
      <c r="U7" s="1422"/>
      <c r="V7" s="1422"/>
      <c r="W7" s="1447"/>
      <c r="X7" s="2174"/>
    </row>
    <row r="8" spans="1:24" s="1441" customFormat="1" ht="16.5" customHeight="1">
      <c r="A8" s="1602"/>
      <c r="B8" s="1447"/>
      <c r="C8" s="2253"/>
      <c r="D8" s="2253"/>
      <c r="E8" s="2253"/>
      <c r="F8" s="2253"/>
      <c r="G8" s="2175"/>
      <c r="H8" s="2175"/>
      <c r="I8" s="2175"/>
      <c r="K8" s="4880" t="s">
        <v>1718</v>
      </c>
      <c r="L8" s="4880"/>
      <c r="M8" s="2176" t="s">
        <v>1719</v>
      </c>
      <c r="N8" s="2176"/>
      <c r="O8" s="2176"/>
      <c r="P8" s="2749">
        <f>'E OFICIALES'!P8+'E PARTICULARES'!P8</f>
        <v>0</v>
      </c>
      <c r="Q8" s="2251">
        <f>P7+P8+P9</f>
        <v>1</v>
      </c>
      <c r="R8" s="2253"/>
      <c r="S8" s="1423" t="s">
        <v>406</v>
      </c>
      <c r="T8" s="1422"/>
      <c r="U8" s="1423" t="s">
        <v>407</v>
      </c>
      <c r="V8" s="1422"/>
      <c r="W8" s="2254" t="s">
        <v>495</v>
      </c>
      <c r="X8" s="2174"/>
    </row>
    <row r="9" spans="1:24" s="1441" customFormat="1" ht="16.5" customHeight="1">
      <c r="A9" s="1602"/>
      <c r="B9" s="2262" t="s">
        <v>1720</v>
      </c>
      <c r="C9" s="1447"/>
      <c r="D9" s="1447"/>
      <c r="E9" s="1447" t="s">
        <v>1038</v>
      </c>
      <c r="F9" s="1447"/>
      <c r="G9" s="2748">
        <f>'E OFICIALES'!G9</f>
        <v>8</v>
      </c>
      <c r="H9" s="2748">
        <f>'E PARTICULARES'!H9</f>
        <v>1</v>
      </c>
      <c r="I9" s="2251">
        <f>G9+H9</f>
        <v>9</v>
      </c>
      <c r="J9" s="1447"/>
      <c r="K9" s="1423"/>
      <c r="L9" s="1423"/>
      <c r="M9" s="2176" t="s">
        <v>1721</v>
      </c>
      <c r="N9" s="2176"/>
      <c r="O9" s="2176"/>
      <c r="P9" s="2749">
        <f>'E OFICIALES'!P9+'E PARTICULARES'!P9</f>
        <v>1</v>
      </c>
      <c r="Q9" s="2239"/>
      <c r="R9" s="2253"/>
      <c r="S9" s="2251">
        <f>'E OFICIALES'!S9+'E PARTICULARES'!S9</f>
        <v>163</v>
      </c>
      <c r="T9" s="2259"/>
      <c r="U9" s="2251">
        <f>'E OFICIALES'!U9+'E PARTICULARES'!U9</f>
        <v>146</v>
      </c>
      <c r="V9" s="2259"/>
      <c r="W9" s="2251">
        <f>S9+U9</f>
        <v>309</v>
      </c>
      <c r="X9" s="2174"/>
    </row>
    <row r="10" spans="1:24" s="1441" customFormat="1" ht="16.5" customHeight="1">
      <c r="A10" s="1602"/>
      <c r="B10" s="1447"/>
      <c r="C10" s="2253"/>
      <c r="D10" s="2253"/>
      <c r="E10" s="2253" t="s">
        <v>1417</v>
      </c>
      <c r="F10" s="2253"/>
      <c r="G10" s="2748">
        <f>'E OFICIALES'!G10</f>
        <v>2</v>
      </c>
      <c r="H10" s="2748">
        <f>'E PARTICULARES'!H7</f>
        <v>5</v>
      </c>
      <c r="I10" s="2251">
        <f>G10+H10</f>
        <v>7</v>
      </c>
      <c r="J10" s="1422"/>
      <c r="K10" s="1422"/>
      <c r="L10" s="1422"/>
      <c r="M10" s="1422"/>
      <c r="N10" s="1422"/>
      <c r="O10" s="1422"/>
      <c r="P10" s="2749">
        <f>'E OFICIALES'!P10+'E PARTICULARES'!P10</f>
        <v>0</v>
      </c>
      <c r="Q10" s="1458"/>
      <c r="R10" s="2253"/>
      <c r="S10" s="1422"/>
      <c r="T10" s="1422"/>
      <c r="U10" s="1422"/>
      <c r="V10" s="1422"/>
      <c r="W10" s="1423"/>
      <c r="X10" s="2177"/>
    </row>
    <row r="11" spans="1:24" s="1441" customFormat="1" ht="16.5" customHeight="1">
      <c r="A11" s="1602"/>
      <c r="B11" s="1447"/>
      <c r="C11" s="1447"/>
      <c r="D11" s="1447"/>
      <c r="E11" s="1447" t="s">
        <v>1418</v>
      </c>
      <c r="F11" s="1447"/>
      <c r="G11" s="2251">
        <f>'[4]E OFICIALES'!G11</f>
        <v>0</v>
      </c>
      <c r="H11" s="2748">
        <f>'E PARTICULARES'!H11</f>
        <v>0</v>
      </c>
      <c r="I11" s="2251">
        <f>G11+H11</f>
        <v>0</v>
      </c>
      <c r="J11" s="1422"/>
      <c r="K11" s="1447"/>
      <c r="L11" s="1447"/>
      <c r="M11" s="2178"/>
      <c r="N11" s="2178" t="s">
        <v>1722</v>
      </c>
      <c r="O11" s="1447"/>
      <c r="P11" s="2749">
        <f>'E OFICIALES'!P11+'E PARTICULARES'!P11</f>
        <v>0</v>
      </c>
      <c r="Q11" s="2239"/>
      <c r="R11" s="1423"/>
      <c r="T11" s="1422"/>
      <c r="U11" s="1422"/>
      <c r="V11" s="1422"/>
      <c r="W11" s="1423"/>
      <c r="X11" s="2174"/>
    </row>
    <row r="12" spans="1:24" s="1441" customFormat="1" ht="16.5" customHeight="1">
      <c r="A12" s="1602"/>
      <c r="B12" s="1447"/>
      <c r="C12" s="2253"/>
      <c r="D12" s="2253"/>
      <c r="E12" s="2253"/>
      <c r="F12" s="2253"/>
      <c r="G12" s="2239"/>
      <c r="H12" s="2239"/>
      <c r="I12" s="2239"/>
      <c r="J12" s="1422"/>
      <c r="K12" s="4880" t="s">
        <v>1723</v>
      </c>
      <c r="L12" s="4880"/>
      <c r="M12" s="2178"/>
      <c r="N12" s="2178" t="s">
        <v>1724</v>
      </c>
      <c r="O12" s="1447"/>
      <c r="P12" s="2749">
        <f>'E OFICIALES'!P12+'E PARTICULARES'!P12</f>
        <v>1</v>
      </c>
      <c r="Q12" s="2251">
        <f>P11+P12+P13+P14</f>
        <v>2</v>
      </c>
      <c r="R12" s="1423"/>
      <c r="S12" s="2262" t="s">
        <v>1725</v>
      </c>
      <c r="T12" s="1447"/>
      <c r="U12" s="1447"/>
      <c r="V12" s="1447"/>
      <c r="W12" s="1423"/>
      <c r="X12" s="2174"/>
    </row>
    <row r="13" spans="1:24" s="1441" customFormat="1" ht="16.5" customHeight="1">
      <c r="A13" s="1602"/>
      <c r="B13" s="2262" t="s">
        <v>1726</v>
      </c>
      <c r="C13" s="2253"/>
      <c r="D13" s="2253"/>
      <c r="E13" s="2253" t="s">
        <v>528</v>
      </c>
      <c r="F13" s="2253"/>
      <c r="G13" s="2748">
        <f>'E OFICIALES'!G13</f>
        <v>10</v>
      </c>
      <c r="H13" s="2748">
        <f>'E PARTICULARES'!H13</f>
        <v>5</v>
      </c>
      <c r="I13" s="2251">
        <f>G13+H13</f>
        <v>15</v>
      </c>
      <c r="J13" s="1422"/>
      <c r="K13" s="2253"/>
      <c r="L13" s="2253"/>
      <c r="M13" s="2178"/>
      <c r="N13" s="2178" t="s">
        <v>1727</v>
      </c>
      <c r="O13" s="2254"/>
      <c r="P13" s="2749">
        <f>'E OFICIALES'!P13+'E PARTICULARES'!P13</f>
        <v>0</v>
      </c>
      <c r="Q13" s="2239"/>
      <c r="R13" s="1423"/>
      <c r="S13" s="4887"/>
      <c r="T13" s="4887"/>
      <c r="U13" s="4887"/>
      <c r="V13" s="4887"/>
      <c r="W13" s="2239"/>
      <c r="X13" s="2174"/>
    </row>
    <row r="14" spans="1:24" s="1441" customFormat="1" ht="16.5" customHeight="1">
      <c r="A14" s="1602"/>
      <c r="B14" s="2262"/>
      <c r="C14" s="1447"/>
      <c r="D14" s="1447"/>
      <c r="E14" s="2253" t="s">
        <v>533</v>
      </c>
      <c r="F14" s="1447"/>
      <c r="G14" s="2748">
        <f>'E OFICIALES'!G14</f>
        <v>0</v>
      </c>
      <c r="H14" s="2748">
        <f>'E PARTICULARES'!H14</f>
        <v>0</v>
      </c>
      <c r="I14" s="2251">
        <f>G14+H14</f>
        <v>0</v>
      </c>
      <c r="J14" s="1447"/>
      <c r="K14" s="1447"/>
      <c r="L14" s="1447"/>
      <c r="M14" s="2178"/>
      <c r="N14" s="2178" t="s">
        <v>1728</v>
      </c>
      <c r="O14" s="1447"/>
      <c r="P14" s="2749">
        <f>'E OFICIALES'!P14+'E PARTICULARES'!P14</f>
        <v>1</v>
      </c>
      <c r="Q14" s="2239"/>
      <c r="R14" s="1423"/>
      <c r="S14" s="4887" t="s">
        <v>1729</v>
      </c>
      <c r="T14" s="4887"/>
      <c r="U14" s="4887"/>
      <c r="V14" s="4887"/>
      <c r="W14" s="2251">
        <f>'[4]E OFICIALES'!W14+'[4]E PARTICULARES'!W14</f>
        <v>0</v>
      </c>
      <c r="X14" s="2174"/>
    </row>
    <row r="15" spans="1:24" s="1441" customFormat="1" ht="16.5" customHeight="1">
      <c r="A15" s="1602"/>
      <c r="B15" s="2262"/>
      <c r="C15" s="1423"/>
      <c r="D15" s="1423"/>
      <c r="E15" s="1423"/>
      <c r="F15" s="1447"/>
      <c r="G15" s="2239"/>
      <c r="H15" s="2239"/>
      <c r="I15" s="2239"/>
      <c r="J15" s="1447"/>
      <c r="K15" s="1447"/>
      <c r="L15" s="1447"/>
      <c r="M15" s="1447"/>
      <c r="N15" s="2178"/>
      <c r="O15" s="1447"/>
      <c r="P15" s="2749">
        <f>'E OFICIALES'!P15+'E PARTICULARES'!P15</f>
        <v>0</v>
      </c>
      <c r="Q15" s="2239"/>
      <c r="R15" s="1423"/>
      <c r="S15" s="4887" t="s">
        <v>1730</v>
      </c>
      <c r="T15" s="4887"/>
      <c r="U15" s="4887"/>
      <c r="V15" s="4887"/>
      <c r="W15" s="2255">
        <f>'[4]E OFICIALES'!W15+'[4]E PARTICULARES'!W15</f>
        <v>0</v>
      </c>
      <c r="X15" s="2174"/>
    </row>
    <row r="16" spans="1:24" s="1441" customFormat="1" ht="16.5" customHeight="1">
      <c r="A16" s="1602"/>
      <c r="B16" s="2262" t="s">
        <v>1731</v>
      </c>
      <c r="C16" s="1447"/>
      <c r="D16" s="1447"/>
      <c r="E16" s="2253" t="s">
        <v>69</v>
      </c>
      <c r="F16" s="1447"/>
      <c r="G16" s="2748">
        <f>'E OFICIALES'!G16</f>
        <v>6</v>
      </c>
      <c r="H16" s="2748">
        <f>'E PARTICULARES'!H16</f>
        <v>5</v>
      </c>
      <c r="I16" s="2251">
        <f>G16+H16</f>
        <v>11</v>
      </c>
      <c r="J16" s="1447"/>
      <c r="K16" s="1447"/>
      <c r="L16" s="1447"/>
      <c r="M16" s="2178"/>
      <c r="N16" s="2178" t="s">
        <v>1722</v>
      </c>
      <c r="O16" s="1447"/>
      <c r="P16" s="2749">
        <f>'E OFICIALES'!P16+'E PARTICULARES'!P16</f>
        <v>4</v>
      </c>
      <c r="Q16" s="2239"/>
      <c r="R16" s="1447"/>
      <c r="S16" s="4887"/>
      <c r="T16" s="4887"/>
      <c r="U16" s="4887"/>
      <c r="V16" s="4887"/>
      <c r="W16" s="2239"/>
      <c r="X16" s="2174"/>
    </row>
    <row r="17" spans="1:24" s="1441" customFormat="1" ht="16.5" customHeight="1">
      <c r="A17" s="1602"/>
      <c r="B17" s="2262"/>
      <c r="C17" s="1447"/>
      <c r="D17" s="1447"/>
      <c r="E17" s="1447" t="s">
        <v>77</v>
      </c>
      <c r="F17" s="1447"/>
      <c r="G17" s="2748">
        <f>'E OFICIALES'!G17</f>
        <v>4</v>
      </c>
      <c r="H17" s="2748">
        <f>'E PARTICULARES'!H17</f>
        <v>0</v>
      </c>
      <c r="I17" s="2251">
        <f>G17+H17</f>
        <v>4</v>
      </c>
      <c r="J17" s="1447"/>
      <c r="K17" s="4880" t="s">
        <v>1732</v>
      </c>
      <c r="L17" s="4880"/>
      <c r="M17" s="2178"/>
      <c r="N17" s="2178" t="s">
        <v>1724</v>
      </c>
      <c r="O17" s="1447"/>
      <c r="P17" s="2749">
        <f>'E OFICIALES'!P17+'E PARTICULARES'!P17</f>
        <v>9</v>
      </c>
      <c r="Q17" s="2251">
        <f>P16+P17+P18+P19</f>
        <v>15</v>
      </c>
      <c r="R17" s="1447"/>
      <c r="S17" s="2179" t="s">
        <v>1733</v>
      </c>
      <c r="T17" s="1447"/>
      <c r="U17" s="1447"/>
      <c r="V17" s="1447"/>
      <c r="W17" s="2412">
        <f>'[4]E OFICIALES'!W17</f>
        <v>0</v>
      </c>
      <c r="X17" s="2174"/>
    </row>
    <row r="18" spans="1:24" s="1441" customFormat="1" ht="16.5" customHeight="1">
      <c r="A18" s="1602"/>
      <c r="B18" s="2262"/>
      <c r="C18" s="1447"/>
      <c r="D18" s="1447"/>
      <c r="E18" s="1447"/>
      <c r="F18" s="1447"/>
      <c r="G18" s="2239"/>
      <c r="H18" s="2239"/>
      <c r="I18" s="2239"/>
      <c r="J18" s="2262"/>
      <c r="K18" s="2253"/>
      <c r="L18" s="2253"/>
      <c r="M18" s="2178"/>
      <c r="N18" s="2178" t="s">
        <v>1727</v>
      </c>
      <c r="O18" s="2254"/>
      <c r="P18" s="2749">
        <f>'E OFICIALES'!P18+'E PARTICULARES'!P18</f>
        <v>1</v>
      </c>
      <c r="Q18" s="2239"/>
      <c r="R18" s="1447"/>
      <c r="S18" s="2179"/>
      <c r="T18" s="1422"/>
      <c r="U18" s="1447"/>
      <c r="V18" s="1447"/>
      <c r="W18" s="2239"/>
      <c r="X18" s="2174"/>
    </row>
    <row r="19" spans="1:24" s="1441" customFormat="1" ht="16.5" customHeight="1">
      <c r="A19" s="1602"/>
      <c r="B19" s="2262" t="s">
        <v>1734</v>
      </c>
      <c r="C19" s="1447"/>
      <c r="D19" s="1447"/>
      <c r="E19" s="1447" t="s">
        <v>1421</v>
      </c>
      <c r="F19" s="1423"/>
      <c r="G19" s="2748">
        <f>'E OFICIALES'!G19</f>
        <v>70</v>
      </c>
      <c r="H19" s="2748">
        <f>'E PARTICULARES'!H19</f>
        <v>24</v>
      </c>
      <c r="I19" s="2251">
        <f t="shared" ref="I19:I24" si="0">G19+H19</f>
        <v>94</v>
      </c>
      <c r="J19" s="1447"/>
      <c r="K19" s="1447"/>
      <c r="L19" s="1447"/>
      <c r="M19" s="2178"/>
      <c r="N19" s="2178" t="s">
        <v>1728</v>
      </c>
      <c r="O19" s="1447"/>
      <c r="P19" s="2749">
        <f>'E OFICIALES'!P19+'E PARTICULARES'!P19</f>
        <v>1</v>
      </c>
      <c r="Q19" s="2239"/>
      <c r="R19" s="2254"/>
      <c r="S19" s="2254"/>
      <c r="T19" s="1447" t="s">
        <v>1735</v>
      </c>
      <c r="U19" s="1447"/>
      <c r="V19" s="1447"/>
      <c r="W19" s="2251">
        <f>'[4]E OFICIALES'!W19</f>
        <v>1</v>
      </c>
      <c r="X19" s="2174"/>
    </row>
    <row r="20" spans="1:24" s="1441" customFormat="1" ht="16.5" customHeight="1">
      <c r="A20" s="2180"/>
      <c r="B20" s="1423"/>
      <c r="C20" s="1447"/>
      <c r="D20" s="1447"/>
      <c r="E20" s="1447" t="s">
        <v>1736</v>
      </c>
      <c r="F20" s="1423"/>
      <c r="G20" s="2748">
        <f>'E OFICIALES'!G20</f>
        <v>3</v>
      </c>
      <c r="H20" s="2748">
        <f>'E PARTICULARES'!H20</f>
        <v>0</v>
      </c>
      <c r="I20" s="2251">
        <f t="shared" si="0"/>
        <v>3</v>
      </c>
      <c r="J20" s="1447"/>
      <c r="K20" s="1447"/>
      <c r="L20" s="1447" t="s">
        <v>1436</v>
      </c>
      <c r="M20" s="1447"/>
      <c r="N20" s="1423"/>
      <c r="O20" s="1447"/>
      <c r="P20" s="1447"/>
      <c r="Q20" s="2251">
        <f>'E OFICIALES'!Q20+'E PARTICULARES'!Q20</f>
        <v>118</v>
      </c>
      <c r="R20" s="1447"/>
      <c r="S20" s="1447"/>
      <c r="T20" s="1447" t="s">
        <v>1737</v>
      </c>
      <c r="U20" s="1447"/>
      <c r="V20" s="1423"/>
      <c r="W20" s="2255">
        <f>'[4]E OFICIALES'!W20</f>
        <v>2</v>
      </c>
      <c r="X20" s="2174"/>
    </row>
    <row r="21" spans="1:24" s="1441" customFormat="1" ht="16.5" customHeight="1">
      <c r="A21" s="2180"/>
      <c r="B21" s="1423"/>
      <c r="C21" s="1447"/>
      <c r="D21" s="1447"/>
      <c r="E21" s="1447" t="s">
        <v>1738</v>
      </c>
      <c r="F21" s="1423"/>
      <c r="G21" s="2748">
        <f>'E OFICIALES'!G21</f>
        <v>2</v>
      </c>
      <c r="H21" s="2748">
        <f>'E PARTICULARES'!H21</f>
        <v>4</v>
      </c>
      <c r="I21" s="2251">
        <f t="shared" si="0"/>
        <v>6</v>
      </c>
      <c r="J21" s="1447"/>
      <c r="K21" s="1447"/>
      <c r="L21" s="1447" t="s">
        <v>1437</v>
      </c>
      <c r="M21" s="1447"/>
      <c r="N21" s="1423"/>
      <c r="O21" s="1447"/>
      <c r="P21" s="1447"/>
      <c r="Q21" s="2748">
        <f>'E OFICIALES'!Q21+'E PARTICULARES'!Q21</f>
        <v>13</v>
      </c>
      <c r="R21" s="1447"/>
      <c r="S21" s="1447"/>
      <c r="T21" s="1447" t="s">
        <v>1732</v>
      </c>
      <c r="U21" s="1447"/>
      <c r="V21" s="1423"/>
      <c r="W21" s="2652">
        <f>'E OFICIALES'!W21+'E PARTICULARES'!W21</f>
        <v>7</v>
      </c>
      <c r="X21" s="2174"/>
    </row>
    <row r="22" spans="1:24" s="1441" customFormat="1" ht="16.5" customHeight="1">
      <c r="A22" s="1602"/>
      <c r="B22" s="1447"/>
      <c r="C22" s="1447"/>
      <c r="D22" s="1447"/>
      <c r="E22" s="1447" t="s">
        <v>447</v>
      </c>
      <c r="F22" s="1423"/>
      <c r="G22" s="2748">
        <f>'E OFICIALES'!G22</f>
        <v>1</v>
      </c>
      <c r="H22" s="2748">
        <f>'E PARTICULARES'!H22</f>
        <v>5</v>
      </c>
      <c r="I22" s="2251">
        <f t="shared" si="0"/>
        <v>6</v>
      </c>
      <c r="J22" s="1447"/>
      <c r="K22" s="1447"/>
      <c r="L22" s="1447" t="s">
        <v>440</v>
      </c>
      <c r="M22" s="1447"/>
      <c r="N22" s="1423"/>
      <c r="O22" s="1447"/>
      <c r="P22" s="1447"/>
      <c r="Q22" s="2748">
        <f>'E OFICIALES'!Q22+'E PARTICULARES'!Q22</f>
        <v>3</v>
      </c>
      <c r="R22" s="1447"/>
      <c r="S22" s="1447"/>
      <c r="T22" s="1447" t="s">
        <v>1436</v>
      </c>
      <c r="U22" s="1447"/>
      <c r="V22" s="1423"/>
      <c r="W22" s="2251">
        <f>'E OFICIALES'!W22+'E PARTICULARES'!W22</f>
        <v>53</v>
      </c>
      <c r="X22" s="2174"/>
    </row>
    <row r="23" spans="1:24" s="1441" customFormat="1" ht="16.5" customHeight="1">
      <c r="A23" s="1602"/>
      <c r="B23" s="1447"/>
      <c r="C23" s="1447"/>
      <c r="D23" s="1447"/>
      <c r="E23" s="1447" t="s">
        <v>1423</v>
      </c>
      <c r="F23" s="1447"/>
      <c r="G23" s="2748">
        <f>'E OFICIALES'!G23</f>
        <v>0</v>
      </c>
      <c r="H23" s="2748">
        <f>'E PARTICULARES'!H23</f>
        <v>2</v>
      </c>
      <c r="I23" s="2251">
        <f t="shared" si="0"/>
        <v>2</v>
      </c>
      <c r="J23" s="1447"/>
      <c r="K23" s="1447"/>
      <c r="L23" s="1447" t="s">
        <v>1739</v>
      </c>
      <c r="M23" s="1447"/>
      <c r="N23" s="1447"/>
      <c r="O23" s="1447"/>
      <c r="P23" s="1447"/>
      <c r="Q23" s="2748">
        <f>'E OFICIALES'!Q23+'E PARTICULARES'!Q23</f>
        <v>18</v>
      </c>
      <c r="R23" s="1447"/>
      <c r="S23" s="1447"/>
      <c r="T23" s="1447" t="s">
        <v>1437</v>
      </c>
      <c r="U23" s="1447"/>
      <c r="V23" s="1423"/>
      <c r="W23" s="2652">
        <f>'E OFICIALES'!W23+'E PARTICULARES'!W23</f>
        <v>1</v>
      </c>
      <c r="X23" s="2174"/>
    </row>
    <row r="24" spans="1:24" s="1441" customFormat="1" ht="16.5" customHeight="1" thickBot="1">
      <c r="A24" s="1602"/>
      <c r="B24" s="1447"/>
      <c r="C24" s="1447"/>
      <c r="D24" s="1447"/>
      <c r="E24" s="4869" t="s">
        <v>408</v>
      </c>
      <c r="F24" s="4869"/>
      <c r="G24" s="1480">
        <f>SUM(G19:G23)</f>
        <v>76</v>
      </c>
      <c r="H24" s="1480">
        <f>SUM(H19:H23)</f>
        <v>35</v>
      </c>
      <c r="I24" s="1480">
        <f t="shared" si="0"/>
        <v>111</v>
      </c>
      <c r="J24" s="2254"/>
      <c r="K24" s="2254"/>
      <c r="L24" s="1423" t="s">
        <v>447</v>
      </c>
      <c r="M24" s="2254"/>
      <c r="N24" s="2254"/>
      <c r="O24" s="2254"/>
      <c r="P24" s="1447"/>
      <c r="Q24" s="2748">
        <f>'E OFICIALES'!Q24+'E PARTICULARES'!Q24</f>
        <v>20</v>
      </c>
      <c r="R24" s="1447"/>
      <c r="S24" s="1447"/>
      <c r="T24" s="1447" t="s">
        <v>1740</v>
      </c>
      <c r="U24" s="1447"/>
      <c r="V24" s="1423"/>
      <c r="W24" s="2652">
        <f>'E OFICIALES'!W24+'E PARTICULARES'!W24</f>
        <v>1</v>
      </c>
      <c r="X24" s="2174"/>
    </row>
    <row r="25" spans="1:24" s="1441" customFormat="1" ht="5.25" customHeight="1" thickBot="1">
      <c r="A25" s="2181"/>
      <c r="B25" s="2182"/>
      <c r="C25" s="2182"/>
      <c r="D25" s="2182"/>
      <c r="E25" s="2182"/>
      <c r="F25" s="2182"/>
      <c r="G25" s="2182"/>
      <c r="H25" s="2183"/>
      <c r="I25" s="2182"/>
      <c r="J25" s="2182"/>
      <c r="K25" s="2182"/>
      <c r="L25" s="2182"/>
      <c r="M25" s="2182"/>
      <c r="N25" s="2182"/>
      <c r="O25" s="2182"/>
      <c r="P25" s="2182"/>
      <c r="Q25" s="2182"/>
      <c r="R25" s="2182"/>
      <c r="S25" s="2182"/>
      <c r="T25" s="2182"/>
      <c r="U25" s="2182"/>
      <c r="V25" s="2183"/>
      <c r="W25" s="2182"/>
      <c r="X25" s="2184"/>
    </row>
    <row r="26" spans="1:24" s="1441" customFormat="1" ht="16.5" customHeight="1" thickTop="1" thickBot="1">
      <c r="A26" s="2185"/>
      <c r="B26" s="2185"/>
      <c r="C26" s="2185"/>
      <c r="D26" s="2305">
        <f>SUM('[4]E OFICIALES'!D26+'[4]E PARTICULARES'!D26)</f>
        <v>4</v>
      </c>
      <c r="E26" s="2305">
        <f>SUM('[4]E OFICIALES'!E26+'[4]E PARTICULARES'!E26)</f>
        <v>0</v>
      </c>
      <c r="F26" s="2305">
        <f>D26+E26</f>
        <v>4</v>
      </c>
      <c r="G26" s="2305">
        <f>SUM('[4]E OFICIALES'!G26+'[4]E PARTICULARES'!G26)</f>
        <v>10</v>
      </c>
      <c r="H26" s="2305">
        <f>SUM('[4]E OFICIALES'!H26+'[4]E PARTICULARES'!H26)</f>
        <v>7</v>
      </c>
      <c r="I26" s="2305">
        <f>G26+H26</f>
        <v>17</v>
      </c>
      <c r="J26" s="2305">
        <f>SUM('[4]E OFICIALES'!J26+'[4]E PARTICULARES'!J26)</f>
        <v>7</v>
      </c>
      <c r="K26" s="2305">
        <f>SUM('[4]E OFICIALES'!K26+'[4]E PARTICULARES'!K26)</f>
        <v>4</v>
      </c>
      <c r="L26" s="2305">
        <f>J26+K26</f>
        <v>11</v>
      </c>
      <c r="M26" s="2305">
        <f>SUM('[4]E OFICIALES'!M26+'[4]E PARTICULARES'!M26)</f>
        <v>5</v>
      </c>
      <c r="N26" s="2305">
        <f>SUM('[4]E OFICIALES'!N26+'[4]E PARTICULARES'!N26)</f>
        <v>0</v>
      </c>
      <c r="O26" s="2305">
        <f>M26+N26</f>
        <v>5</v>
      </c>
      <c r="P26" s="2305">
        <f>SUM('[4]E OFICIALES'!P26+'[4]E PARTICULARES'!P26)</f>
        <v>4</v>
      </c>
      <c r="Q26" s="2305">
        <f>SUM('[4]E OFICIALES'!Q26+'[4]E PARTICULARES'!Q26)</f>
        <v>1</v>
      </c>
      <c r="R26" s="2305">
        <f>P26+Q26</f>
        <v>5</v>
      </c>
      <c r="S26" s="2305">
        <f>SUM('[4]E OFICIALES'!S26+'[4]E PARTICULARES'!S26)</f>
        <v>9</v>
      </c>
      <c r="T26" s="2305">
        <f>SUM('[4]E OFICIALES'!T26+'[4]E PARTICULARES'!T26)</f>
        <v>1</v>
      </c>
      <c r="U26" s="2305">
        <f>S26+T26</f>
        <v>10</v>
      </c>
      <c r="V26" s="2306">
        <f>D26+G26+J26+M26+P26+S26</f>
        <v>39</v>
      </c>
      <c r="W26" s="2306">
        <f>E26+H26+K26+N26+Q26+T26</f>
        <v>13</v>
      </c>
      <c r="X26" s="2305">
        <f>V26+W26</f>
        <v>52</v>
      </c>
    </row>
    <row r="27" spans="1:24" s="1481" customFormat="1" ht="16.5" customHeight="1" thickTop="1">
      <c r="A27" s="4881" t="s">
        <v>1441</v>
      </c>
      <c r="B27" s="4882"/>
      <c r="C27" s="4883"/>
      <c r="D27" s="4871" t="s">
        <v>1442</v>
      </c>
      <c r="E27" s="4872"/>
      <c r="F27" s="4873"/>
      <c r="G27" s="4871" t="s">
        <v>1443</v>
      </c>
      <c r="H27" s="4872"/>
      <c r="I27" s="4873"/>
      <c r="J27" s="4874" t="s">
        <v>1444</v>
      </c>
      <c r="K27" s="4872"/>
      <c r="L27" s="4875"/>
      <c r="M27" s="4871" t="s">
        <v>1445</v>
      </c>
      <c r="N27" s="4872"/>
      <c r="O27" s="4873"/>
      <c r="P27" s="4874" t="s">
        <v>1446</v>
      </c>
      <c r="Q27" s="4872"/>
      <c r="R27" s="4875"/>
      <c r="S27" s="4871" t="s">
        <v>1447</v>
      </c>
      <c r="T27" s="4872"/>
      <c r="U27" s="4873"/>
      <c r="V27" s="4874" t="s">
        <v>1232</v>
      </c>
      <c r="W27" s="4872"/>
      <c r="X27" s="4876"/>
    </row>
    <row r="28" spans="1:24" s="1481" customFormat="1" ht="16.5" customHeight="1" thickBot="1">
      <c r="A28" s="4884"/>
      <c r="B28" s="4885"/>
      <c r="C28" s="4886"/>
      <c r="D28" s="2187" t="s">
        <v>406</v>
      </c>
      <c r="E28" s="2188" t="s">
        <v>407</v>
      </c>
      <c r="F28" s="2189" t="s">
        <v>495</v>
      </c>
      <c r="G28" s="2187" t="s">
        <v>406</v>
      </c>
      <c r="H28" s="2188" t="s">
        <v>407</v>
      </c>
      <c r="I28" s="2189" t="s">
        <v>495</v>
      </c>
      <c r="J28" s="2190" t="s">
        <v>406</v>
      </c>
      <c r="K28" s="2188" t="s">
        <v>407</v>
      </c>
      <c r="L28" s="2191" t="s">
        <v>495</v>
      </c>
      <c r="M28" s="2187" t="s">
        <v>406</v>
      </c>
      <c r="N28" s="2188" t="s">
        <v>407</v>
      </c>
      <c r="O28" s="2189" t="s">
        <v>495</v>
      </c>
      <c r="P28" s="2190" t="s">
        <v>406</v>
      </c>
      <c r="Q28" s="2188" t="s">
        <v>407</v>
      </c>
      <c r="R28" s="2191" t="s">
        <v>495</v>
      </c>
      <c r="S28" s="2187" t="s">
        <v>406</v>
      </c>
      <c r="T28" s="2188" t="s">
        <v>407</v>
      </c>
      <c r="U28" s="2189" t="s">
        <v>495</v>
      </c>
      <c r="V28" s="2190" t="s">
        <v>406</v>
      </c>
      <c r="W28" s="2188" t="s">
        <v>407</v>
      </c>
      <c r="X28" s="2192" t="s">
        <v>495</v>
      </c>
    </row>
    <row r="29" spans="1:24" s="1466" customFormat="1" ht="21.75" customHeight="1">
      <c r="A29" s="4877" t="s">
        <v>1448</v>
      </c>
      <c r="B29" s="4878"/>
      <c r="C29" s="4879"/>
      <c r="D29" s="2222">
        <f>'E OFICIALES'!D29+'E PARTICULARES'!$D$29</f>
        <v>278</v>
      </c>
      <c r="E29" s="2223">
        <f>'E OFICIALES'!E29+'E PARTICULARES'!$E$29</f>
        <v>263</v>
      </c>
      <c r="F29" s="1484">
        <f t="shared" ref="F29:F35" si="1">D29+E29</f>
        <v>541</v>
      </c>
      <c r="G29" s="2222">
        <f>'E OFICIALES'!G29+'E PARTICULARES'!$G$29</f>
        <v>302</v>
      </c>
      <c r="H29" s="2223">
        <f>'E OFICIALES'!H29+'E PARTICULARES'!$H$29</f>
        <v>240</v>
      </c>
      <c r="I29" s="1484">
        <f>G29+H29</f>
        <v>542</v>
      </c>
      <c r="J29" s="2222">
        <f>'E OFICIALES'!J29+'E PARTICULARES'!$J$29</f>
        <v>273</v>
      </c>
      <c r="K29" s="2223">
        <f>'E OFICIALES'!K29+'E PARTICULARES'!$K$29</f>
        <v>253</v>
      </c>
      <c r="L29" s="1484">
        <f t="shared" ref="L29" si="2">J29+K29</f>
        <v>526</v>
      </c>
      <c r="M29" s="2222">
        <f>'E OFICIALES'!M29+'E PARTICULARES'!$M$29</f>
        <v>284</v>
      </c>
      <c r="N29" s="2223">
        <f>'E OFICIALES'!N29+'E PARTICULARES'!$N$29</f>
        <v>241</v>
      </c>
      <c r="O29" s="1484">
        <f t="shared" ref="O29" si="3">M29+N29</f>
        <v>525</v>
      </c>
      <c r="P29" s="2222">
        <f>'E OFICIALES'!P29+'E PARTICULARES'!$P$29</f>
        <v>313</v>
      </c>
      <c r="Q29" s="2223">
        <f>'E OFICIALES'!Q29+'E PARTICULARES'!$Q$29</f>
        <v>274</v>
      </c>
      <c r="R29" s="1484">
        <f t="shared" ref="R29" si="4">P29+Q29</f>
        <v>587</v>
      </c>
      <c r="S29" s="2222">
        <f>'E OFICIALES'!S29+'E PARTICULARES'!$S$29</f>
        <v>323</v>
      </c>
      <c r="T29" s="2223">
        <f>'E OFICIALES'!T29+'E PARTICULARES'!$T$29</f>
        <v>276</v>
      </c>
      <c r="U29" s="1484">
        <f t="shared" ref="U29" si="5">S29+T29</f>
        <v>599</v>
      </c>
      <c r="V29" s="1485">
        <f t="shared" ref="V29:W35" si="6">D29+G29+J29+M29+P29+S29</f>
        <v>1773</v>
      </c>
      <c r="W29" s="1483">
        <f t="shared" si="6"/>
        <v>1547</v>
      </c>
      <c r="X29" s="1486">
        <f t="shared" ref="X29:X35" si="7">V29+W29</f>
        <v>3320</v>
      </c>
    </row>
    <row r="30" spans="1:24" s="1466" customFormat="1" ht="21.75" customHeight="1">
      <c r="A30" s="4861" t="s">
        <v>1449</v>
      </c>
      <c r="B30" s="4862"/>
      <c r="C30" s="4863"/>
      <c r="D30" s="1482">
        <f>'E OFICIALES'!D30+'E PARTICULARES'!D30</f>
        <v>23</v>
      </c>
      <c r="E30" s="1483">
        <f>'E OFICIALES'!E30+'E PARTICULARES'!E30</f>
        <v>24</v>
      </c>
      <c r="F30" s="1484">
        <f t="shared" si="1"/>
        <v>47</v>
      </c>
      <c r="G30" s="1483">
        <f>'E OFICIALES'!G30+'E PARTICULARES'!G30</f>
        <v>22</v>
      </c>
      <c r="H30" s="1483">
        <f>'E OFICIALES'!H30+'E PARTICULARES'!H30</f>
        <v>24</v>
      </c>
      <c r="I30" s="1484">
        <f t="shared" ref="I30:I35" si="8">G30+H30</f>
        <v>46</v>
      </c>
      <c r="J30" s="1483">
        <f>'E OFICIALES'!J30+'E PARTICULARES'!J30</f>
        <v>22</v>
      </c>
      <c r="K30" s="1483">
        <f>'E OFICIALES'!K30+'E PARTICULARES'!K30</f>
        <v>24</v>
      </c>
      <c r="L30" s="1484">
        <f t="shared" ref="L30:L35" si="9">J30+K30</f>
        <v>46</v>
      </c>
      <c r="M30" s="1483">
        <f>'E OFICIALES'!M30+'E PARTICULARES'!M30</f>
        <v>22</v>
      </c>
      <c r="N30" s="1483">
        <f>'E OFICIALES'!N30+'E PARTICULARES'!N30</f>
        <v>15</v>
      </c>
      <c r="O30" s="1484">
        <f t="shared" ref="O30:O35" si="10">M30+N30</f>
        <v>37</v>
      </c>
      <c r="P30" s="1483">
        <f>'E OFICIALES'!P30+'E PARTICULARES'!P30</f>
        <v>17</v>
      </c>
      <c r="Q30" s="1483">
        <f>'E OFICIALES'!Q30+'E PARTICULARES'!Q30</f>
        <v>18</v>
      </c>
      <c r="R30" s="1484">
        <f t="shared" ref="R30:R35" si="11">P30+Q30</f>
        <v>35</v>
      </c>
      <c r="S30" s="1483">
        <f>'E OFICIALES'!S30+'E PARTICULARES'!S30</f>
        <v>15</v>
      </c>
      <c r="T30" s="1483">
        <f>'E OFICIALES'!T30+'E PARTICULARES'!T30</f>
        <v>17</v>
      </c>
      <c r="U30" s="1484">
        <f t="shared" ref="U30:U35" si="12">S30+T30</f>
        <v>32</v>
      </c>
      <c r="V30" s="1485">
        <f t="shared" si="6"/>
        <v>121</v>
      </c>
      <c r="W30" s="1483">
        <f t="shared" si="6"/>
        <v>122</v>
      </c>
      <c r="X30" s="1486">
        <f t="shared" si="7"/>
        <v>243</v>
      </c>
    </row>
    <row r="31" spans="1:24" s="1466" customFormat="1" ht="21.75" customHeight="1">
      <c r="A31" s="4861" t="s">
        <v>1450</v>
      </c>
      <c r="B31" s="4862"/>
      <c r="C31" s="4863"/>
      <c r="D31" s="3566">
        <f>D29+D30</f>
        <v>301</v>
      </c>
      <c r="E31" s="3567">
        <f>E29+E30</f>
        <v>287</v>
      </c>
      <c r="F31" s="3568">
        <f t="shared" si="1"/>
        <v>588</v>
      </c>
      <c r="G31" s="3566">
        <f>G29+G30</f>
        <v>324</v>
      </c>
      <c r="H31" s="3567">
        <f>H29+H30</f>
        <v>264</v>
      </c>
      <c r="I31" s="3568">
        <f t="shared" si="8"/>
        <v>588</v>
      </c>
      <c r="J31" s="3566">
        <f>J29+J30</f>
        <v>295</v>
      </c>
      <c r="K31" s="3567">
        <f>K29+K30</f>
        <v>277</v>
      </c>
      <c r="L31" s="3568">
        <f t="shared" si="9"/>
        <v>572</v>
      </c>
      <c r="M31" s="3566">
        <f>M29+M30</f>
        <v>306</v>
      </c>
      <c r="N31" s="3567">
        <f>N29+N30</f>
        <v>256</v>
      </c>
      <c r="O31" s="3568">
        <f t="shared" si="10"/>
        <v>562</v>
      </c>
      <c r="P31" s="3566">
        <f>P29+P30</f>
        <v>330</v>
      </c>
      <c r="Q31" s="3567">
        <f>Q29+Q30</f>
        <v>292</v>
      </c>
      <c r="R31" s="3568">
        <f t="shared" si="11"/>
        <v>622</v>
      </c>
      <c r="S31" s="3566">
        <f>S29+S30</f>
        <v>338</v>
      </c>
      <c r="T31" s="3567">
        <f>T29+T30</f>
        <v>293</v>
      </c>
      <c r="U31" s="3568">
        <f t="shared" si="12"/>
        <v>631</v>
      </c>
      <c r="V31" s="3569">
        <f t="shared" si="6"/>
        <v>1894</v>
      </c>
      <c r="W31" s="3567">
        <f t="shared" si="6"/>
        <v>1669</v>
      </c>
      <c r="X31" s="3570">
        <f t="shared" si="7"/>
        <v>3563</v>
      </c>
    </row>
    <row r="32" spans="1:24" s="1466" customFormat="1" ht="21.75" customHeight="1">
      <c r="A32" s="4861" t="s">
        <v>1451</v>
      </c>
      <c r="B32" s="4862"/>
      <c r="C32" s="4863"/>
      <c r="D32" s="2297">
        <f>'E OFICIALES'!D32+'E PARTICULARES'!D32</f>
        <v>25</v>
      </c>
      <c r="E32" s="2298">
        <f>'E OFICIALES'!E32+'E PARTICULARES'!E32</f>
        <v>26</v>
      </c>
      <c r="F32" s="2299">
        <f t="shared" si="1"/>
        <v>51</v>
      </c>
      <c r="G32" s="2297">
        <f>'E OFICIALES'!G32+'E PARTICULARES'!G32</f>
        <v>37</v>
      </c>
      <c r="H32" s="2298">
        <f>'E OFICIALES'!H32+'E PARTICULARES'!H32</f>
        <v>31</v>
      </c>
      <c r="I32" s="2299">
        <f t="shared" si="8"/>
        <v>68</v>
      </c>
      <c r="J32" s="2297">
        <f>'E OFICIALES'!J32+'E PARTICULARES'!J32</f>
        <v>38</v>
      </c>
      <c r="K32" s="2298">
        <f>'E OFICIALES'!K32+'E PARTICULARES'!K32</f>
        <v>30</v>
      </c>
      <c r="L32" s="2299">
        <f t="shared" si="9"/>
        <v>68</v>
      </c>
      <c r="M32" s="2297">
        <f>'E OFICIALES'!M32+'E PARTICULARES'!M32</f>
        <v>27</v>
      </c>
      <c r="N32" s="2298">
        <f>'E OFICIALES'!N32+'E PARTICULARES'!N32</f>
        <v>15</v>
      </c>
      <c r="O32" s="2299">
        <f t="shared" si="10"/>
        <v>42</v>
      </c>
      <c r="P32" s="2297">
        <f>'E OFICIALES'!P32+'E PARTICULARES'!P32</f>
        <v>33</v>
      </c>
      <c r="Q32" s="2298">
        <f>'E OFICIALES'!Q32+'E PARTICULARES'!Q32</f>
        <v>26</v>
      </c>
      <c r="R32" s="2299">
        <f t="shared" si="11"/>
        <v>59</v>
      </c>
      <c r="S32" s="2297">
        <f>'E OFICIALES'!S32+'E PARTICULARES'!S32</f>
        <v>32</v>
      </c>
      <c r="T32" s="2298">
        <f>'E OFICIALES'!T32+'E PARTICULARES'!T32</f>
        <v>10</v>
      </c>
      <c r="U32" s="2299">
        <f t="shared" si="12"/>
        <v>42</v>
      </c>
      <c r="V32" s="2300">
        <f t="shared" si="6"/>
        <v>192</v>
      </c>
      <c r="W32" s="2298">
        <f t="shared" si="6"/>
        <v>138</v>
      </c>
      <c r="X32" s="2301">
        <f t="shared" si="7"/>
        <v>330</v>
      </c>
    </row>
    <row r="33" spans="1:24" s="1466" customFormat="1" ht="21.75" customHeight="1">
      <c r="A33" s="4861" t="s">
        <v>848</v>
      </c>
      <c r="B33" s="4862"/>
      <c r="C33" s="4863"/>
      <c r="D33" s="2297">
        <f>D31-D32</f>
        <v>276</v>
      </c>
      <c r="E33" s="2298">
        <f>E31-E32</f>
        <v>261</v>
      </c>
      <c r="F33" s="2299">
        <f t="shared" si="1"/>
        <v>537</v>
      </c>
      <c r="G33" s="2297">
        <f>G31-G32</f>
        <v>287</v>
      </c>
      <c r="H33" s="2298">
        <f>H31-H32</f>
        <v>233</v>
      </c>
      <c r="I33" s="2299">
        <f t="shared" si="8"/>
        <v>520</v>
      </c>
      <c r="J33" s="2297">
        <f>J31-J32</f>
        <v>257</v>
      </c>
      <c r="K33" s="2298">
        <f>K31-K32</f>
        <v>247</v>
      </c>
      <c r="L33" s="2299">
        <f t="shared" si="9"/>
        <v>504</v>
      </c>
      <c r="M33" s="2297">
        <f>M31-M32</f>
        <v>279</v>
      </c>
      <c r="N33" s="2298">
        <f>N31-N32</f>
        <v>241</v>
      </c>
      <c r="O33" s="2299">
        <f t="shared" si="10"/>
        <v>520</v>
      </c>
      <c r="P33" s="2297">
        <f>P31-P32</f>
        <v>297</v>
      </c>
      <c r="Q33" s="2298">
        <f>Q31-Q32</f>
        <v>266</v>
      </c>
      <c r="R33" s="2299">
        <f>P33+Q33</f>
        <v>563</v>
      </c>
      <c r="S33" s="2297">
        <f>S31-S32</f>
        <v>306</v>
      </c>
      <c r="T33" s="2298">
        <f>T31-T32</f>
        <v>283</v>
      </c>
      <c r="U33" s="2299">
        <f t="shared" si="12"/>
        <v>589</v>
      </c>
      <c r="V33" s="2300">
        <f t="shared" si="6"/>
        <v>1702</v>
      </c>
      <c r="W33" s="2298">
        <f t="shared" si="6"/>
        <v>1531</v>
      </c>
      <c r="X33" s="2301">
        <f t="shared" si="7"/>
        <v>3233</v>
      </c>
    </row>
    <row r="34" spans="1:24" s="1466" customFormat="1" ht="21.75" customHeight="1">
      <c r="A34" s="4861" t="s">
        <v>1452</v>
      </c>
      <c r="B34" s="4862"/>
      <c r="C34" s="4863"/>
      <c r="D34" s="2297">
        <f>D33-D35</f>
        <v>276</v>
      </c>
      <c r="E34" s="2298">
        <f>E33-E35</f>
        <v>261</v>
      </c>
      <c r="F34" s="2299">
        <f t="shared" si="1"/>
        <v>537</v>
      </c>
      <c r="G34" s="2297">
        <f>G33-G35</f>
        <v>287</v>
      </c>
      <c r="H34" s="2298">
        <f>H33-H35</f>
        <v>233</v>
      </c>
      <c r="I34" s="2299">
        <f t="shared" si="8"/>
        <v>520</v>
      </c>
      <c r="J34" s="2297">
        <f>J33-J35</f>
        <v>257</v>
      </c>
      <c r="K34" s="2298">
        <f>K33-K35</f>
        <v>247</v>
      </c>
      <c r="L34" s="2299">
        <f t="shared" si="9"/>
        <v>504</v>
      </c>
      <c r="M34" s="2297">
        <f>M33-M35</f>
        <v>279</v>
      </c>
      <c r="N34" s="2298">
        <f>N33-N35</f>
        <v>241</v>
      </c>
      <c r="O34" s="2299">
        <f t="shared" si="10"/>
        <v>520</v>
      </c>
      <c r="P34" s="2297">
        <f>P33-P35</f>
        <v>297</v>
      </c>
      <c r="Q34" s="2298">
        <f>Q33-Q35</f>
        <v>266</v>
      </c>
      <c r="R34" s="2299">
        <f>P34+Q34</f>
        <v>563</v>
      </c>
      <c r="S34" s="2297">
        <f>S33-S35</f>
        <v>306</v>
      </c>
      <c r="T34" s="2298">
        <f>T33-T35</f>
        <v>283</v>
      </c>
      <c r="U34" s="2299">
        <f t="shared" si="12"/>
        <v>589</v>
      </c>
      <c r="V34" s="2300">
        <f t="shared" si="6"/>
        <v>1702</v>
      </c>
      <c r="W34" s="2298">
        <f t="shared" si="6"/>
        <v>1531</v>
      </c>
      <c r="X34" s="2301">
        <f t="shared" si="7"/>
        <v>3233</v>
      </c>
    </row>
    <row r="35" spans="1:24" s="1466" customFormat="1" ht="21.75" customHeight="1">
      <c r="A35" s="4861" t="s">
        <v>1142</v>
      </c>
      <c r="B35" s="4862"/>
      <c r="C35" s="4863"/>
      <c r="D35" s="1482">
        <f>'E OFICIALES'!D35+'E PARTICULARES'!D35</f>
        <v>0</v>
      </c>
      <c r="E35" s="1483">
        <f>'E OFICIALES'!E35+'E PARTICULARES'!E35</f>
        <v>0</v>
      </c>
      <c r="F35" s="1484">
        <f t="shared" si="1"/>
        <v>0</v>
      </c>
      <c r="G35" s="1482">
        <f>'E OFICIALES'!G35+'E PARTICULARES'!G35</f>
        <v>0</v>
      </c>
      <c r="H35" s="1483">
        <f>'E OFICIALES'!H35+'E PARTICULARES'!H35</f>
        <v>0</v>
      </c>
      <c r="I35" s="1484">
        <f t="shared" si="8"/>
        <v>0</v>
      </c>
      <c r="J35" s="1482">
        <f>'E OFICIALES'!J35+'E PARTICULARES'!J35</f>
        <v>0</v>
      </c>
      <c r="K35" s="1483">
        <f>'E OFICIALES'!K35+'E PARTICULARES'!K35</f>
        <v>0</v>
      </c>
      <c r="L35" s="1484">
        <f t="shared" si="9"/>
        <v>0</v>
      </c>
      <c r="M35" s="1482">
        <f>'E OFICIALES'!M35+'E PARTICULARES'!M35</f>
        <v>0</v>
      </c>
      <c r="N35" s="1483">
        <f>'E OFICIALES'!N35+'E PARTICULARES'!N35</f>
        <v>0</v>
      </c>
      <c r="O35" s="1484">
        <f t="shared" si="10"/>
        <v>0</v>
      </c>
      <c r="P35" s="1482">
        <f>'E OFICIALES'!P35+'E PARTICULARES'!P35</f>
        <v>0</v>
      </c>
      <c r="Q35" s="1483">
        <f>'E OFICIALES'!Q35+'E PARTICULARES'!Q35</f>
        <v>0</v>
      </c>
      <c r="R35" s="1484">
        <f t="shared" si="11"/>
        <v>0</v>
      </c>
      <c r="S35" s="1482">
        <f>'E OFICIALES'!S35+'E PARTICULARES'!S35</f>
        <v>0</v>
      </c>
      <c r="T35" s="1483">
        <f>'E OFICIALES'!T35+'E PARTICULARES'!T35</f>
        <v>0</v>
      </c>
      <c r="U35" s="1484">
        <f t="shared" si="12"/>
        <v>0</v>
      </c>
      <c r="V35" s="1485">
        <f t="shared" si="6"/>
        <v>0</v>
      </c>
      <c r="W35" s="1483">
        <f t="shared" si="6"/>
        <v>0</v>
      </c>
      <c r="X35" s="1486">
        <f t="shared" si="7"/>
        <v>0</v>
      </c>
    </row>
    <row r="36" spans="1:24" s="1466" customFormat="1" ht="21.75" customHeight="1">
      <c r="A36" s="4861" t="s">
        <v>1453</v>
      </c>
      <c r="B36" s="4862"/>
      <c r="C36" s="4863"/>
      <c r="D36" s="4858">
        <f>'E OFICIALES'!D36:F36+'E PARTICULARES'!D36:F36</f>
        <v>21</v>
      </c>
      <c r="E36" s="4859"/>
      <c r="F36" s="4870"/>
      <c r="G36" s="4858">
        <f>'E OFICIALES'!G36+'E PARTICULARES'!G36</f>
        <v>20</v>
      </c>
      <c r="H36" s="4859"/>
      <c r="I36" s="4870"/>
      <c r="J36" s="4858">
        <f>'E OFICIALES'!J36+'E PARTICULARES'!J36</f>
        <v>21</v>
      </c>
      <c r="K36" s="4859"/>
      <c r="L36" s="4870"/>
      <c r="M36" s="4858">
        <f>'E OFICIALES'!M36+'E PARTICULARES'!M36</f>
        <v>20</v>
      </c>
      <c r="N36" s="4859"/>
      <c r="O36" s="4870"/>
      <c r="P36" s="4858">
        <f>'E OFICIALES'!P36+'E PARTICULARES'!P36</f>
        <v>22</v>
      </c>
      <c r="Q36" s="4859"/>
      <c r="R36" s="4870"/>
      <c r="S36" s="4858">
        <f>'E OFICIALES'!S36+'E PARTICULARES'!S36</f>
        <v>22</v>
      </c>
      <c r="T36" s="4859"/>
      <c r="U36" s="4870"/>
      <c r="V36" s="4858">
        <f>D36+G36+J36+M36+P36+S36</f>
        <v>126</v>
      </c>
      <c r="W36" s="4859"/>
      <c r="X36" s="4860"/>
    </row>
    <row r="37" spans="1:24" s="1466" customFormat="1" ht="21.75" customHeight="1">
      <c r="A37" s="4861" t="s">
        <v>1454</v>
      </c>
      <c r="B37" s="4862"/>
      <c r="C37" s="4863"/>
      <c r="D37" s="2222">
        <f>'E OFICIALES'!D37+'E PARTICULARES'!D37</f>
        <v>3</v>
      </c>
      <c r="E37" s="3563">
        <f>'E OFICIALES'!E37+'E PARTICULARES'!E37</f>
        <v>18</v>
      </c>
      <c r="F37" s="1484">
        <f>D37+E37</f>
        <v>21</v>
      </c>
      <c r="G37" s="2222">
        <f>'E OFICIALES'!G37+'E PARTICULARES'!G37</f>
        <v>0</v>
      </c>
      <c r="H37" s="3563">
        <f>'E OFICIALES'!H37+'E PARTICULARES'!H37</f>
        <v>17</v>
      </c>
      <c r="I37" s="1484">
        <f>G37+H37</f>
        <v>17</v>
      </c>
      <c r="J37" s="2222">
        <f>'E OFICIALES'!J37+'E PARTICULARES'!J37</f>
        <v>5</v>
      </c>
      <c r="K37" s="3563">
        <f>'E OFICIALES'!K37+'E PARTICULARES'!K37</f>
        <v>16</v>
      </c>
      <c r="L37" s="1484">
        <f>J37+K37</f>
        <v>21</v>
      </c>
      <c r="M37" s="2222">
        <f>'E OFICIALES'!M37+'E PARTICULARES'!M37</f>
        <v>4</v>
      </c>
      <c r="N37" s="3563">
        <f>'E OFICIALES'!N37+'E PARTICULARES'!N37</f>
        <v>14</v>
      </c>
      <c r="O37" s="1484">
        <f>M37+N37</f>
        <v>18</v>
      </c>
      <c r="P37" s="2222">
        <f>'E OFICIALES'!P37+'E PARTICULARES'!P37</f>
        <v>13</v>
      </c>
      <c r="Q37" s="3563">
        <f>'E OFICIALES'!Q37+'E PARTICULARES'!Q37</f>
        <v>9</v>
      </c>
      <c r="R37" s="1484">
        <f>P37+Q37</f>
        <v>22</v>
      </c>
      <c r="S37" s="2222">
        <f>'E OFICIALES'!S37+'E PARTICULARES'!S37</f>
        <v>13</v>
      </c>
      <c r="T37" s="3563">
        <f>'E OFICIALES'!T37+'E PARTICULARES'!T37</f>
        <v>6</v>
      </c>
      <c r="U37" s="1484">
        <f>S37+T37</f>
        <v>19</v>
      </c>
      <c r="V37" s="1485">
        <f>D37+G37+J37+M37+P37+S37</f>
        <v>38</v>
      </c>
      <c r="W37" s="1483">
        <f>E37+H37+K37+N37+Q37+T37</f>
        <v>80</v>
      </c>
      <c r="X37" s="1486">
        <f>V37+W37</f>
        <v>118</v>
      </c>
    </row>
    <row r="38" spans="1:24" s="1466" customFormat="1" ht="21.75" customHeight="1" thickBot="1">
      <c r="A38" s="4864" t="s">
        <v>1455</v>
      </c>
      <c r="B38" s="4865"/>
      <c r="C38" s="4866"/>
      <c r="D38" s="2193">
        <f>S9+D35</f>
        <v>163</v>
      </c>
      <c r="E38" s="2194">
        <f>U9+E35</f>
        <v>146</v>
      </c>
      <c r="F38" s="2195">
        <f>D38+E38</f>
        <v>309</v>
      </c>
      <c r="G38" s="2193">
        <f>D34+G35</f>
        <v>276</v>
      </c>
      <c r="H38" s="2194">
        <f>E34+H35</f>
        <v>261</v>
      </c>
      <c r="I38" s="2195">
        <f>G38+H38</f>
        <v>537</v>
      </c>
      <c r="J38" s="2193">
        <f>G34+J35</f>
        <v>287</v>
      </c>
      <c r="K38" s="2194">
        <f>H34+K35</f>
        <v>233</v>
      </c>
      <c r="L38" s="2195">
        <f>J38+K38</f>
        <v>520</v>
      </c>
      <c r="M38" s="2193">
        <f>J34+M35</f>
        <v>257</v>
      </c>
      <c r="N38" s="2194">
        <f>K34+N35</f>
        <v>247</v>
      </c>
      <c r="O38" s="2195">
        <f>M38+N38</f>
        <v>504</v>
      </c>
      <c r="P38" s="2193">
        <f>M34+P35</f>
        <v>279</v>
      </c>
      <c r="Q38" s="2194">
        <f>N34+Q35</f>
        <v>241</v>
      </c>
      <c r="R38" s="2195">
        <f>P38+Q38</f>
        <v>520</v>
      </c>
      <c r="S38" s="2193">
        <f>P34+S35</f>
        <v>297</v>
      </c>
      <c r="T38" s="2194">
        <f>Q34+T35</f>
        <v>266</v>
      </c>
      <c r="U38" s="2195">
        <f>S38+T38</f>
        <v>563</v>
      </c>
      <c r="V38" s="2196">
        <f>D38+G38+J38+M38+P38+S38</f>
        <v>1559</v>
      </c>
      <c r="W38" s="2194">
        <f>E38+H38+K38+N38+Q38+T38</f>
        <v>1394</v>
      </c>
      <c r="X38" s="2197">
        <f>V38+W38</f>
        <v>2953</v>
      </c>
    </row>
    <row r="39" spans="1:24" ht="20.25" customHeight="1" thickTop="1">
      <c r="A39" s="1465"/>
      <c r="B39" s="1465"/>
      <c r="C39" s="1465"/>
      <c r="D39" s="2198">
        <f>SUM('[4]0055K'!$D$38:$F$38+'[4]0593I'!$D$38:$F$38+'[4]0564N'!$D$38:$F$38+'[4]0570Y'!$D$38:$F$38+'[4]0572W'!$D$38:$F$38+'[4]0581D'!$D$38:$F$38+'[4]0491L'!$D$38:$F$38+'[4]0492K'!$D$38:$F$38+'[4]0640C'!$D$38:$F$38)</f>
        <v>14</v>
      </c>
      <c r="E39" s="2199"/>
      <c r="F39" s="2198"/>
      <c r="G39" s="2198">
        <f>SUM('[4]0055K'!$G$38:$I$38+'[4]0593I'!$G$38:$I$38+'[4]0564N'!$G$38:$I$38+'[4]0570Y'!$G$38:$I$38+'[4]0572W'!$G$38:$I$38+'[4]0581D'!$G$38:$I$38+'[4]0491L'!$G$38:$I$38+'[4]0492K'!$G$38:$I$38+'[4]0640C'!$G$38:$I$38+'[4]0681C'!$G$38:$I$38)</f>
        <v>15</v>
      </c>
      <c r="H39" s="2199"/>
      <c r="I39" s="2198"/>
      <c r="J39" s="2198">
        <f>SUM('[4]0055K'!$J$38:$L$38+'[4]0593I'!$J$38:$L$38+'[4]0564N'!$J$38:$L$38+'[4]0570Y'!$J$38:$L$38+'[4]0572W'!$J$38:$L$38+'[4]0581D'!$J$38:$L$38+'[4]0491L'!$J$38:$L$38+'[4]0492K'!$J$38:$L$38+'[4]0640C'!$J$38:$L$38+'[4]0681C'!$J$38:$L$38)</f>
        <v>17</v>
      </c>
      <c r="K39" s="2199"/>
      <c r="L39" s="2198"/>
      <c r="M39" s="2198">
        <f>SUM('[4]0055K'!$M$38:$O$38+'[4]0593I'!$M$38:$O$38+'[4]0564N'!$M$38:$O$38+'[4]0570Y'!$M$38:$O$38+'[4]0572W'!$M$38:$O$38+'[4]0581D'!$M$38:$O$38+'[4]0491L'!$M$38:$O$38+'[4]0492K'!$M$38:$O$38+'[4]0640C'!$M$38:$O$38+'[4]0681C'!$M$38:$O$38)</f>
        <v>17</v>
      </c>
      <c r="N39" s="2199"/>
      <c r="O39" s="2198"/>
      <c r="P39" s="2198">
        <f>SUM('[4]0055K'!$P$38:$R$38+'[4]0593I'!$P$38:$R$38+'[4]0564N'!$P$38:$R$38+'[4]0570Y'!$P$38:$R$38+'[4]0572W'!$P$38:$R$38+'[4]0581D'!$P$38:$R$38+'[4]0491L'!$P$38:$R$38+'[4]0492K'!$P$38:$R$38+'[4]0640C'!$P$38:$R$38+'[4]0681C'!$P$38:$R$38)</f>
        <v>19</v>
      </c>
      <c r="Q39" s="2199"/>
      <c r="R39" s="2198"/>
      <c r="S39" s="2198">
        <f>SUM('[4]0055K'!$S$38:$U$38+'[4]0593I'!$S$38:$U$38+'[4]0564N'!$S$38:$U$38+'[4]0570Y'!$S$38:$U$38+'[4]0572W'!$S$38:$U$38+'[4]0581D'!$S$38:$U$38+'[4]0491L'!$S$38:$U$38+'[4]0492K'!$S$38:$U$38+'[4]0640C'!$S$38:$U$38+'[4]0681C'!$S$38:$U$38)</f>
        <v>15</v>
      </c>
      <c r="U39" s="2200"/>
      <c r="V39" s="1465"/>
      <c r="W39" s="1465"/>
      <c r="X39" s="1465"/>
    </row>
    <row r="40" spans="1:24" ht="14.25" customHeight="1">
      <c r="A40" s="1465"/>
      <c r="B40" s="1465"/>
      <c r="C40" s="1465"/>
      <c r="D40" s="2198">
        <f>SUM('[4]0681C'!$D$38:$F$38+'[4]0688W'!$D$38:$F$38+[4]ESC_O_12!$D$38:$F$38+[4]ESC_O_13!$D$38:$F$38+[4]ESC_O_14!$D$38:$F$38+[4]ESC_O_15!$D$38:$F$38+[4]ESC_O_16!$D$38:$F$38+[4]ESC_O_17!$D$38:$F$38+[4]ESC_O_18!$D$38:$F$38)</f>
        <v>1</v>
      </c>
      <c r="E40" s="2198"/>
      <c r="F40" s="2198"/>
      <c r="G40" s="2198">
        <f>SUM('[4]0688W'!$G$38:$I$38+[4]ESC_O_12!$G$38:$I$38+[4]ESC_O_13!$G$38:$I$38+[4]ESC_O_14!$G$38:$I$38+[4]ESC_O_15!$G$38:$I$38+[4]ESC_O_16!$G$38:$I$38+[4]ESC_O_17!$G$38:$I$38+[4]ESC_O_18!$G$38:$I$38)</f>
        <v>0</v>
      </c>
      <c r="H40" s="2198"/>
      <c r="I40" s="2198"/>
      <c r="J40" s="2198">
        <f>SUM('[4]0688W'!$J$38:$L$38+[4]ESC_O_12!$J$38:$L$38+[4]ESC_O_13!$J$38:$L$38+[4]ESC_O_14!$J$38:$L$38+[4]ESC_O_15!$J$38:$L$38+[4]ESC_O_16!$J$38:$L$38+[4]ESC_O_17!$J$38:$L$38+[4]ESC_O_18!$J$38:$L$38)</f>
        <v>1</v>
      </c>
      <c r="K40" s="2198"/>
      <c r="L40" s="2198"/>
      <c r="M40" s="2198">
        <f>SUM('[4]0688W'!$M$38:$O$38+[4]ESC_O_12!$M$38:$O$38+[4]ESC_O_13!$M$38:$O$38+[4]ESC_O_14!$M$38:$O$38+[4]ESC_O_15!$M$38:$O$38+[4]ESC_O_16!$M$38:$O$38+[4]ESC_O_17!$M$38:$O$38+[4]ESC_O_18!$M$38:$O$38)</f>
        <v>2</v>
      </c>
      <c r="N40" s="2198"/>
      <c r="O40" s="2198"/>
      <c r="P40" s="2198">
        <f>SUM('[4]0688W'!$P$38:$R$38+[4]ESC_O_12!$P$38:$R$38+[4]ESC_O_13!$P$38:$R$38+[4]ESC_O_14!$P$38:$R$38+[4]ESC_O_15!$P$38:$R$38+[4]ESC_O_16!$P$38:$R$38+[4]ESC_O_17!$P$38:$R$38+[4]ESC_O_18!$P$38:$R$38)</f>
        <v>1</v>
      </c>
      <c r="Q40" s="2198"/>
      <c r="R40" s="2198"/>
      <c r="S40" s="2198">
        <f>SUM('[4]0688W'!$S$38:$U$38+[4]ESC_O_12!$S$38:$U$38+[4]ESC_O_13!$S$38:$U$38+[4]ESC_O_14!$S$38:$U$38+[4]ESC_O_15!$S$38:$U$38+[4]ESC_O_16!$S$38:$U$38+[4]ESC_O_17!$S$38:$U$38+[4]ESC_O_18!$S$38:$U$38)</f>
        <v>1</v>
      </c>
      <c r="T40" s="2200"/>
      <c r="U40" s="2200"/>
      <c r="V40" s="1465"/>
      <c r="W40" s="1465"/>
      <c r="X40" s="1465"/>
    </row>
    <row r="41" spans="1:24" ht="18.75" customHeight="1">
      <c r="A41" s="1465"/>
      <c r="B41" s="1465"/>
      <c r="C41" s="1465"/>
      <c r="D41" s="1465"/>
      <c r="E41" s="1465"/>
      <c r="F41" s="1465"/>
      <c r="G41" s="1465"/>
      <c r="H41" s="1465"/>
      <c r="I41" s="1471"/>
      <c r="J41" s="1471"/>
      <c r="K41" s="1471"/>
      <c r="L41" s="1471"/>
      <c r="M41" s="1471"/>
      <c r="N41" s="1471"/>
      <c r="O41" s="1465"/>
      <c r="P41" s="1465"/>
      <c r="Q41" s="1465"/>
      <c r="R41" s="1465"/>
      <c r="S41" s="1465"/>
      <c r="T41" s="1465"/>
      <c r="U41" s="1465"/>
      <c r="V41" s="1492" t="s">
        <v>1456</v>
      </c>
      <c r="W41" s="1492" t="s">
        <v>1145</v>
      </c>
      <c r="X41" s="1492" t="s">
        <v>1146</v>
      </c>
    </row>
    <row r="42" spans="1:24" s="1440" customFormat="1" ht="18.75" customHeight="1">
      <c r="A42" s="2262"/>
      <c r="B42" s="2262" t="s">
        <v>241</v>
      </c>
      <c r="C42" s="2262"/>
      <c r="D42" s="2179" t="s">
        <v>1718</v>
      </c>
      <c r="E42" s="2201"/>
      <c r="F42" s="2179"/>
      <c r="G42" s="4867" t="str">
        <f>'[4]E OFICIALES'!G42</f>
        <v>JESUS MARTIN RICALDE CASTRO</v>
      </c>
      <c r="H42" s="4867"/>
      <c r="I42" s="4867"/>
      <c r="J42" s="4867"/>
      <c r="K42" s="4867"/>
      <c r="L42" s="4867"/>
      <c r="M42" s="4867"/>
      <c r="N42" s="2254"/>
      <c r="O42" s="2201" t="s">
        <v>1741</v>
      </c>
      <c r="P42" s="4868"/>
      <c r="Q42" s="4868"/>
      <c r="R42" s="4868"/>
      <c r="S42" s="4868"/>
      <c r="T42" s="4869" t="s">
        <v>109</v>
      </c>
      <c r="U42" s="4869"/>
      <c r="V42" s="2209" t="str">
        <f>Estadisticas!V44</f>
        <v>27</v>
      </c>
      <c r="W42" s="2601">
        <f>Estadisticas!W44</f>
        <v>3</v>
      </c>
      <c r="X42" s="2209" t="str">
        <f>Estadisticas!X44</f>
        <v>2014</v>
      </c>
    </row>
  </sheetData>
  <mergeCells count="48">
    <mergeCell ref="G1:R1"/>
    <mergeCell ref="S1:U1"/>
    <mergeCell ref="V1:X1"/>
    <mergeCell ref="I2:P2"/>
    <mergeCell ref="Q2:U2"/>
    <mergeCell ref="V2:X2"/>
    <mergeCell ref="S16:V16"/>
    <mergeCell ref="G3:R3"/>
    <mergeCell ref="S3:U3"/>
    <mergeCell ref="V3:X3"/>
    <mergeCell ref="A4:C4"/>
    <mergeCell ref="D4:O4"/>
    <mergeCell ref="R4:X4"/>
    <mergeCell ref="K8:L8"/>
    <mergeCell ref="K12:L12"/>
    <mergeCell ref="S13:V13"/>
    <mergeCell ref="S14:V14"/>
    <mergeCell ref="S15:V15"/>
    <mergeCell ref="A30:C30"/>
    <mergeCell ref="K17:L17"/>
    <mergeCell ref="E24:F24"/>
    <mergeCell ref="A27:C28"/>
    <mergeCell ref="D27:F27"/>
    <mergeCell ref="G27:I27"/>
    <mergeCell ref="J27:L27"/>
    <mergeCell ref="M27:O27"/>
    <mergeCell ref="P27:R27"/>
    <mergeCell ref="S27:U27"/>
    <mergeCell ref="V27:X27"/>
    <mergeCell ref="A29:C29"/>
    <mergeCell ref="A31:C31"/>
    <mergeCell ref="A32:C32"/>
    <mergeCell ref="A33:C33"/>
    <mergeCell ref="A34:C34"/>
    <mergeCell ref="A35:C35"/>
    <mergeCell ref="V36:X36"/>
    <mergeCell ref="A37:C37"/>
    <mergeCell ref="A38:C38"/>
    <mergeCell ref="G42:M42"/>
    <mergeCell ref="P42:S42"/>
    <mergeCell ref="T42:U42"/>
    <mergeCell ref="D36:F36"/>
    <mergeCell ref="G36:I36"/>
    <mergeCell ref="J36:L36"/>
    <mergeCell ref="M36:O36"/>
    <mergeCell ref="P36:R36"/>
    <mergeCell ref="S36:U36"/>
    <mergeCell ref="A36:C36"/>
  </mergeCells>
  <conditionalFormatting sqref="G7:I24 S9:W9 Q13:Q24 Q7 Q9:Q11 W13:W24 P7:P24">
    <cfRule type="cellIs" dxfId="739" priority="6" stopIfTrue="1" operator="equal">
      <formula>0</formula>
    </cfRule>
  </conditionalFormatting>
  <conditionalFormatting sqref="V1:X3">
    <cfRule type="cellIs" dxfId="738" priority="5" operator="equal">
      <formula>0</formula>
    </cfRule>
  </conditionalFormatting>
  <conditionalFormatting sqref="R4:X4 D4:O4 Q8:Q12 D29:X38">
    <cfRule type="cellIs" dxfId="737" priority="4" operator="equal">
      <formula>0</formula>
    </cfRule>
  </conditionalFormatting>
  <conditionalFormatting sqref="V26:W26">
    <cfRule type="cellIs" dxfId="736" priority="3" operator="equal">
      <formula>0</formula>
    </cfRule>
  </conditionalFormatting>
  <conditionalFormatting sqref="D26:U26">
    <cfRule type="cellIs" dxfId="735" priority="2" operator="equal">
      <formula>0</formula>
    </cfRule>
  </conditionalFormatting>
  <conditionalFormatting sqref="X26">
    <cfRule type="cellIs" dxfId="734" priority="1" operator="equal">
      <formula>0</formula>
    </cfRule>
  </conditionalFormatting>
  <printOptions horizontalCentered="1"/>
  <pageMargins left="0.11811023622047245" right="0.11811023622047245" top="0.39370078740157483" bottom="0.15748031496062992" header="0" footer="0"/>
  <pageSetup scale="75" orientation="landscape" r:id="rId1"/>
  <drawing r:id="rId2"/>
  <legacyDrawing r:id="rId3"/>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9">
    <tabColor theme="7" tint="-0.249977111117893"/>
  </sheetPr>
  <dimension ref="A1:U619"/>
  <sheetViews>
    <sheetView view="pageBreakPreview" topLeftCell="A16" zoomScaleSheetLayoutView="100" workbookViewId="0">
      <selection activeCell="Q28" sqref="Q28:Q29"/>
    </sheetView>
  </sheetViews>
  <sheetFormatPr baseColWidth="10" defaultRowHeight="12.75"/>
  <cols>
    <col min="1" max="1" width="2.42578125" style="1590" customWidth="1"/>
    <col min="2" max="2" width="4.85546875" style="27" customWidth="1"/>
    <col min="3" max="5" width="5.5703125" style="27" customWidth="1"/>
    <col min="6" max="18" width="6.42578125" style="27" customWidth="1"/>
    <col min="19" max="19" width="0.42578125" style="27" customWidth="1"/>
    <col min="20" max="16384" width="11.42578125" style="27"/>
  </cols>
  <sheetData>
    <row r="1" spans="1:20" ht="12" customHeight="1">
      <c r="A1" s="1507"/>
      <c r="B1" s="1508"/>
      <c r="C1" s="1508"/>
      <c r="D1" s="1508"/>
      <c r="E1" s="1508"/>
      <c r="F1" s="2241" t="s">
        <v>1460</v>
      </c>
      <c r="G1" s="1509"/>
      <c r="H1" s="1510"/>
      <c r="I1" s="1510"/>
      <c r="J1" s="1510"/>
      <c r="K1" s="1510"/>
      <c r="L1" s="1510"/>
      <c r="M1" s="1510"/>
      <c r="N1" s="1510"/>
      <c r="O1" s="1510"/>
      <c r="P1" s="1511"/>
      <c r="Q1" s="1511"/>
      <c r="R1" s="1512"/>
      <c r="S1" s="1513"/>
    </row>
    <row r="2" spans="1:20" ht="12" customHeight="1">
      <c r="A2" s="1507"/>
      <c r="B2" s="1508"/>
      <c r="C2" s="1508"/>
      <c r="D2" s="1508"/>
      <c r="E2" s="1508"/>
      <c r="F2" s="2241" t="s">
        <v>1461</v>
      </c>
      <c r="G2" s="1509"/>
      <c r="H2" s="1510"/>
      <c r="I2" s="1510"/>
      <c r="J2" s="1510"/>
      <c r="K2" s="1510"/>
      <c r="L2" s="1510"/>
      <c r="M2" s="1510"/>
      <c r="N2" s="1510"/>
      <c r="O2" s="1510"/>
      <c r="P2" s="1510"/>
      <c r="Q2" s="1511"/>
      <c r="R2" s="1511"/>
      <c r="S2" s="1513"/>
    </row>
    <row r="3" spans="1:20" ht="12" customHeight="1">
      <c r="A3" s="1507"/>
      <c r="B3" s="1508"/>
      <c r="C3" s="1508"/>
      <c r="D3" s="1508"/>
      <c r="E3" s="1508"/>
      <c r="F3" s="2241" t="s">
        <v>1462</v>
      </c>
      <c r="G3" s="1509"/>
      <c r="H3" s="1510"/>
      <c r="I3" s="1510"/>
      <c r="J3" s="1510"/>
      <c r="K3" s="1510"/>
      <c r="L3" s="1510"/>
      <c r="M3" s="1510"/>
      <c r="N3" s="1510"/>
      <c r="O3" s="1510"/>
      <c r="P3" s="1511"/>
      <c r="Q3" s="1511"/>
      <c r="R3" s="1511"/>
      <c r="S3" s="1513"/>
    </row>
    <row r="4" spans="1:20" ht="12" customHeight="1">
      <c r="A4" s="1507"/>
      <c r="B4" s="1508"/>
      <c r="C4" s="1508"/>
      <c r="D4" s="1508"/>
      <c r="E4" s="1508"/>
      <c r="F4" s="2241" t="s">
        <v>1463</v>
      </c>
      <c r="G4" s="1509"/>
      <c r="H4" s="1510"/>
      <c r="I4" s="1510"/>
      <c r="J4" s="1510"/>
      <c r="K4" s="1510"/>
      <c r="L4" s="1510"/>
      <c r="M4" s="1510"/>
      <c r="N4" s="1510"/>
      <c r="O4" s="1510"/>
      <c r="P4" s="1511"/>
      <c r="Q4" s="1511"/>
      <c r="R4" s="1511"/>
      <c r="S4" s="1513"/>
    </row>
    <row r="5" spans="1:20" ht="8.1" customHeight="1">
      <c r="A5" s="1507"/>
      <c r="B5" s="1508"/>
      <c r="C5" s="1508"/>
      <c r="D5" s="1508"/>
      <c r="E5" s="1508"/>
      <c r="F5" s="1511"/>
      <c r="G5" s="1509"/>
      <c r="H5" s="1509"/>
      <c r="I5" s="1509"/>
      <c r="J5" s="1509"/>
      <c r="K5" s="1509"/>
      <c r="L5" s="1509"/>
      <c r="M5" s="1509"/>
      <c r="N5" s="1509"/>
      <c r="O5" s="1509"/>
      <c r="P5" s="1511"/>
      <c r="Q5" s="1511"/>
      <c r="R5" s="1511"/>
      <c r="S5" s="1513"/>
    </row>
    <row r="6" spans="1:20" ht="8.1" customHeight="1">
      <c r="A6" s="1507"/>
      <c r="B6" s="1508"/>
      <c r="C6" s="1508"/>
      <c r="D6" s="1508"/>
      <c r="E6" s="1508"/>
      <c r="F6" s="1511"/>
      <c r="G6" s="1509"/>
      <c r="H6" s="1509"/>
      <c r="I6" s="1509"/>
      <c r="J6" s="1509"/>
      <c r="K6" s="1509"/>
      <c r="L6" s="1509"/>
      <c r="M6" s="1509"/>
      <c r="N6" s="1509"/>
      <c r="O6" s="5011" t="s">
        <v>1465</v>
      </c>
      <c r="P6" s="5011"/>
      <c r="Q6" s="5011"/>
      <c r="R6" s="5011"/>
      <c r="S6" s="1513"/>
    </row>
    <row r="7" spans="1:20" ht="8.1" customHeight="1">
      <c r="A7" s="1507"/>
      <c r="B7" s="1508"/>
      <c r="C7" s="1508"/>
      <c r="D7" s="1508"/>
      <c r="E7" s="1508"/>
      <c r="F7" s="5011" t="s">
        <v>1464</v>
      </c>
      <c r="G7" s="5011"/>
      <c r="H7" s="5011"/>
      <c r="I7" s="5011"/>
      <c r="J7" s="5012" t="s">
        <v>108</v>
      </c>
      <c r="K7" s="5011" t="s">
        <v>1442</v>
      </c>
      <c r="L7" s="5011"/>
      <c r="M7" s="1509"/>
      <c r="N7" s="1509"/>
      <c r="O7" s="5011"/>
      <c r="P7" s="5011"/>
      <c r="Q7" s="5011"/>
      <c r="R7" s="5011"/>
      <c r="S7" s="1513"/>
    </row>
    <row r="8" spans="1:20" ht="8.1" customHeight="1">
      <c r="A8" s="1507"/>
      <c r="B8" s="1508"/>
      <c r="C8" s="1508"/>
      <c r="D8" s="1508"/>
      <c r="E8" s="1508"/>
      <c r="F8" s="5011"/>
      <c r="G8" s="5011"/>
      <c r="H8" s="5011"/>
      <c r="I8" s="5011"/>
      <c r="J8" s="5012"/>
      <c r="K8" s="5011"/>
      <c r="L8" s="5011"/>
      <c r="M8" s="1509"/>
      <c r="N8" s="1509"/>
      <c r="O8" s="5129" t="str">
        <f>CONCATENATE(J10,K10,L10)</f>
        <v>PERIODO ESCOLAR: 2012 / 2013</v>
      </c>
      <c r="P8" s="5129"/>
      <c r="Q8" s="5129"/>
      <c r="R8" s="5129"/>
      <c r="S8" s="1513"/>
    </row>
    <row r="9" spans="1:20" ht="8.1" customHeight="1">
      <c r="A9" s="1507"/>
      <c r="B9" s="5176" t="str">
        <f>'A-B'!R40</f>
        <v>2do. Informe</v>
      </c>
      <c r="C9" s="5176"/>
      <c r="D9" s="5177" t="s">
        <v>1977</v>
      </c>
      <c r="E9" s="5177"/>
      <c r="F9" s="5180"/>
      <c r="G9" s="5180"/>
      <c r="H9" s="5180"/>
      <c r="I9" s="5180"/>
      <c r="J9" s="1514"/>
      <c r="K9" s="1509"/>
      <c r="L9" s="1509"/>
      <c r="M9" s="1509"/>
      <c r="N9" s="1509"/>
      <c r="O9" s="5129"/>
      <c r="P9" s="5129"/>
      <c r="Q9" s="5129"/>
      <c r="R9" s="5129"/>
      <c r="S9" s="1513"/>
    </row>
    <row r="10" spans="1:20" ht="8.1" customHeight="1">
      <c r="A10" s="1507"/>
      <c r="B10" s="5176"/>
      <c r="C10" s="5176"/>
      <c r="D10" s="5177"/>
      <c r="E10" s="5177"/>
      <c r="F10" s="5180"/>
      <c r="G10" s="5180"/>
      <c r="H10" s="5180"/>
      <c r="I10" s="5180"/>
      <c r="J10" s="1594" t="s">
        <v>1509</v>
      </c>
      <c r="K10" s="2224" t="s">
        <v>79</v>
      </c>
      <c r="L10" s="1595" t="str">
        <f>'VISITA DE INSP.'!AT9</f>
        <v>2012 / 2013</v>
      </c>
      <c r="M10" s="2224" t="str">
        <f>'A-B'!R40</f>
        <v>2do. Informe</v>
      </c>
      <c r="N10" s="1509"/>
      <c r="O10" s="5181" t="str">
        <f>M10</f>
        <v>2do. Informe</v>
      </c>
      <c r="P10" s="5181"/>
      <c r="Q10" s="5181"/>
      <c r="R10" s="5181"/>
      <c r="S10" s="1513"/>
    </row>
    <row r="11" spans="1:20" ht="8.1" customHeight="1">
      <c r="A11" s="1507"/>
      <c r="B11" s="1508"/>
      <c r="C11" s="1508"/>
      <c r="D11" s="1508"/>
      <c r="E11" s="1508"/>
      <c r="F11" s="1508"/>
      <c r="G11" s="1515"/>
      <c r="H11" s="1515"/>
      <c r="I11" s="1515"/>
      <c r="J11" s="1515"/>
      <c r="K11" s="1515"/>
      <c r="L11" s="1515"/>
      <c r="M11" s="1515"/>
      <c r="N11" s="1515"/>
      <c r="O11" s="5182"/>
      <c r="P11" s="5182"/>
      <c r="Q11" s="5182"/>
      <c r="R11" s="5182"/>
      <c r="S11" s="1513"/>
    </row>
    <row r="12" spans="1:20" ht="8.1" customHeight="1">
      <c r="A12" s="1516">
        <v>1</v>
      </c>
      <c r="B12" s="5130" t="s">
        <v>1466</v>
      </c>
      <c r="C12" s="5101" t="s">
        <v>1467</v>
      </c>
      <c r="D12" s="5101"/>
      <c r="E12" s="5101"/>
      <c r="F12" s="5101" t="s">
        <v>1468</v>
      </c>
      <c r="G12" s="5101"/>
      <c r="H12" s="5101"/>
      <c r="I12" s="5101"/>
      <c r="J12" s="5101" t="s">
        <v>423</v>
      </c>
      <c r="K12" s="5113" t="s">
        <v>434</v>
      </c>
      <c r="L12" s="5101" t="s">
        <v>408</v>
      </c>
      <c r="M12" s="5102" t="s">
        <v>1469</v>
      </c>
      <c r="N12" s="5103"/>
      <c r="O12" s="5103"/>
      <c r="P12" s="5104"/>
      <c r="Q12" s="5101" t="s">
        <v>1470</v>
      </c>
      <c r="R12" s="5108" t="s">
        <v>117</v>
      </c>
      <c r="S12" s="1513"/>
    </row>
    <row r="13" spans="1:20" ht="8.1" customHeight="1">
      <c r="A13" s="1516">
        <v>2</v>
      </c>
      <c r="B13" s="5131"/>
      <c r="C13" s="5097"/>
      <c r="D13" s="5097"/>
      <c r="E13" s="5097"/>
      <c r="F13" s="5097"/>
      <c r="G13" s="5097"/>
      <c r="H13" s="5097"/>
      <c r="I13" s="5097"/>
      <c r="J13" s="5097"/>
      <c r="K13" s="5114"/>
      <c r="L13" s="5097"/>
      <c r="M13" s="5105"/>
      <c r="N13" s="5106"/>
      <c r="O13" s="5106"/>
      <c r="P13" s="5107"/>
      <c r="Q13" s="5097"/>
      <c r="R13" s="5099"/>
      <c r="S13" s="1513"/>
    </row>
    <row r="14" spans="1:20" ht="8.1" customHeight="1">
      <c r="A14" s="1516">
        <v>3</v>
      </c>
      <c r="B14" s="5131"/>
      <c r="C14" s="5097"/>
      <c r="D14" s="5097"/>
      <c r="E14" s="5097"/>
      <c r="F14" s="5097" t="s">
        <v>1471</v>
      </c>
      <c r="G14" s="5097" t="s">
        <v>1472</v>
      </c>
      <c r="H14" s="5097" t="s">
        <v>1473</v>
      </c>
      <c r="I14" s="5097" t="s">
        <v>408</v>
      </c>
      <c r="J14" s="5097"/>
      <c r="K14" s="5114"/>
      <c r="L14" s="5097"/>
      <c r="M14" s="5109" t="s">
        <v>1474</v>
      </c>
      <c r="N14" s="5110"/>
      <c r="O14" s="5109" t="s">
        <v>1472</v>
      </c>
      <c r="P14" s="5110"/>
      <c r="Q14" s="5097"/>
      <c r="R14" s="5099" t="s">
        <v>1470</v>
      </c>
      <c r="S14" s="1513"/>
    </row>
    <row r="15" spans="1:20" ht="8.1" customHeight="1">
      <c r="A15" s="1516">
        <v>4</v>
      </c>
      <c r="B15" s="5132"/>
      <c r="C15" s="5098"/>
      <c r="D15" s="5098"/>
      <c r="E15" s="5098"/>
      <c r="F15" s="5098"/>
      <c r="G15" s="5098"/>
      <c r="H15" s="5098"/>
      <c r="I15" s="5098"/>
      <c r="J15" s="5098"/>
      <c r="K15" s="5115"/>
      <c r="L15" s="5098"/>
      <c r="M15" s="5111"/>
      <c r="N15" s="5112"/>
      <c r="O15" s="5111"/>
      <c r="P15" s="5112"/>
      <c r="Q15" s="5098"/>
      <c r="R15" s="5100"/>
      <c r="S15" s="1513"/>
    </row>
    <row r="16" spans="1:20" ht="8.1" customHeight="1">
      <c r="A16" s="1516">
        <v>5</v>
      </c>
      <c r="B16" s="4975">
        <v>1</v>
      </c>
      <c r="C16" s="5164" t="str">
        <f>'VISITA DE INSP.'!HJ3</f>
        <v>23DPR0055K</v>
      </c>
      <c r="D16" s="5165"/>
      <c r="E16" s="5166"/>
      <c r="F16" s="4975">
        <f>'VISITA DE INSP.'!JD3</f>
        <v>57</v>
      </c>
      <c r="G16" s="4975">
        <f>'VISITA DE INSP.'!IV3</f>
        <v>2</v>
      </c>
      <c r="H16" s="4975"/>
      <c r="I16" s="5089">
        <f>F16-H16</f>
        <v>57</v>
      </c>
      <c r="J16" s="4975">
        <f>'VISITA DE INSP.'!JJ3</f>
        <v>5</v>
      </c>
      <c r="K16" s="4975">
        <f>'VISITA DE INSP.'!JP3</f>
        <v>6</v>
      </c>
      <c r="L16" s="4988">
        <f>I16+J16-K16</f>
        <v>56</v>
      </c>
      <c r="M16" s="4989">
        <f>L16</f>
        <v>56</v>
      </c>
      <c r="N16" s="4990"/>
      <c r="O16" s="4989">
        <f>G16</f>
        <v>2</v>
      </c>
      <c r="P16" s="4990"/>
      <c r="Q16" s="4988">
        <f>L16-R16</f>
        <v>56</v>
      </c>
      <c r="R16" s="5163">
        <f>'VISITA DE INSP.'!KB3</f>
        <v>0</v>
      </c>
      <c r="S16" s="1513"/>
      <c r="T16" s="1459"/>
    </row>
    <row r="17" spans="1:21" ht="8.1" customHeight="1">
      <c r="A17" s="1516">
        <v>6</v>
      </c>
      <c r="B17" s="4972"/>
      <c r="C17" s="5160"/>
      <c r="D17" s="5161"/>
      <c r="E17" s="5162"/>
      <c r="F17" s="4972"/>
      <c r="G17" s="4972"/>
      <c r="H17" s="4972"/>
      <c r="I17" s="5085"/>
      <c r="J17" s="4972"/>
      <c r="K17" s="4972"/>
      <c r="L17" s="4969"/>
      <c r="M17" s="4967"/>
      <c r="N17" s="4968"/>
      <c r="O17" s="4967"/>
      <c r="P17" s="4968"/>
      <c r="Q17" s="4969"/>
      <c r="R17" s="4975"/>
      <c r="S17" s="1513"/>
    </row>
    <row r="18" spans="1:21" ht="8.1" customHeight="1">
      <c r="A18" s="1516">
        <v>7</v>
      </c>
      <c r="B18" s="4972">
        <v>2</v>
      </c>
      <c r="C18" s="5160" t="str">
        <f>'VISITA DE INSP.'!HJ4</f>
        <v>23DPR0491L</v>
      </c>
      <c r="D18" s="5161"/>
      <c r="E18" s="5162"/>
      <c r="F18" s="4975">
        <f>'VISITA DE INSP.'!JD4</f>
        <v>88</v>
      </c>
      <c r="G18" s="4975">
        <f>'VISITA DE INSP.'!IV4</f>
        <v>3</v>
      </c>
      <c r="H18" s="4972"/>
      <c r="I18" s="4972">
        <f>F18-H18</f>
        <v>88</v>
      </c>
      <c r="J18" s="4975">
        <f>'VISITA DE INSP.'!JJ4</f>
        <v>6</v>
      </c>
      <c r="K18" s="4975">
        <f>'VISITA DE INSP.'!JP4</f>
        <v>7</v>
      </c>
      <c r="L18" s="4969">
        <f>I18+J18-K18</f>
        <v>87</v>
      </c>
      <c r="M18" s="4965">
        <f>L18</f>
        <v>87</v>
      </c>
      <c r="N18" s="4966"/>
      <c r="O18" s="4965">
        <f>G18</f>
        <v>3</v>
      </c>
      <c r="P18" s="4966"/>
      <c r="Q18" s="4969">
        <f>L18-R18</f>
        <v>87</v>
      </c>
      <c r="R18" s="4980">
        <f>'VISITA DE INSP.'!KB4</f>
        <v>0</v>
      </c>
      <c r="S18" s="1513"/>
      <c r="U18" s="1459"/>
    </row>
    <row r="19" spans="1:21" ht="8.1" customHeight="1">
      <c r="A19" s="1516">
        <v>8</v>
      </c>
      <c r="B19" s="4972"/>
      <c r="C19" s="5160"/>
      <c r="D19" s="5161"/>
      <c r="E19" s="5162"/>
      <c r="F19" s="4972"/>
      <c r="G19" s="4972"/>
      <c r="H19" s="4972"/>
      <c r="I19" s="4972"/>
      <c r="J19" s="4972"/>
      <c r="K19" s="4972"/>
      <c r="L19" s="4969"/>
      <c r="M19" s="4967"/>
      <c r="N19" s="4968"/>
      <c r="O19" s="4967"/>
      <c r="P19" s="4968"/>
      <c r="Q19" s="4969"/>
      <c r="R19" s="4975"/>
      <c r="S19" s="1513"/>
      <c r="U19" s="1459"/>
    </row>
    <row r="20" spans="1:21" ht="8.1" customHeight="1">
      <c r="A20" s="1516">
        <v>9</v>
      </c>
      <c r="B20" s="4972">
        <v>3</v>
      </c>
      <c r="C20" s="5160" t="str">
        <f>'VISITA DE INSP.'!HJ5</f>
        <v>23DPR0492K</v>
      </c>
      <c r="D20" s="5161"/>
      <c r="E20" s="5162"/>
      <c r="F20" s="4975">
        <f>'VISITA DE INSP.'!JD5</f>
        <v>30</v>
      </c>
      <c r="G20" s="4975">
        <f>'VISITA DE INSP.'!IV5</f>
        <v>1</v>
      </c>
      <c r="H20" s="4972"/>
      <c r="I20" s="4972">
        <f>F20-H20</f>
        <v>30</v>
      </c>
      <c r="J20" s="4975">
        <f>'VISITA DE INSP.'!JJ5</f>
        <v>5</v>
      </c>
      <c r="K20" s="4975">
        <f>'VISITA DE INSP.'!JP5</f>
        <v>3</v>
      </c>
      <c r="L20" s="4969">
        <f>I20+J20-K20</f>
        <v>32</v>
      </c>
      <c r="M20" s="4965">
        <f>L20</f>
        <v>32</v>
      </c>
      <c r="N20" s="4966"/>
      <c r="O20" s="4965">
        <f>G20</f>
        <v>1</v>
      </c>
      <c r="P20" s="4966"/>
      <c r="Q20" s="4969">
        <f>L20-R20</f>
        <v>32</v>
      </c>
      <c r="R20" s="4980">
        <f>'VISITA DE INSP.'!KB5</f>
        <v>0</v>
      </c>
      <c r="S20" s="1513"/>
      <c r="U20" s="1459"/>
    </row>
    <row r="21" spans="1:21" ht="8.1" customHeight="1">
      <c r="A21" s="1516">
        <v>10</v>
      </c>
      <c r="B21" s="4972"/>
      <c r="C21" s="5160"/>
      <c r="D21" s="5161"/>
      <c r="E21" s="5162"/>
      <c r="F21" s="4972"/>
      <c r="G21" s="4972"/>
      <c r="H21" s="4972"/>
      <c r="I21" s="4972"/>
      <c r="J21" s="4972"/>
      <c r="K21" s="4972"/>
      <c r="L21" s="4969"/>
      <c r="M21" s="4967"/>
      <c r="N21" s="4968"/>
      <c r="O21" s="4967"/>
      <c r="P21" s="4968"/>
      <c r="Q21" s="4969"/>
      <c r="R21" s="4975"/>
      <c r="S21" s="1513"/>
      <c r="U21" s="1459"/>
    </row>
    <row r="22" spans="1:21" ht="8.1" customHeight="1">
      <c r="A22" s="1516">
        <v>11</v>
      </c>
      <c r="B22" s="4972">
        <v>4</v>
      </c>
      <c r="C22" s="5160" t="str">
        <f>'VISITA DE INSP.'!HJ6</f>
        <v>23DPR0564N</v>
      </c>
      <c r="D22" s="5161"/>
      <c r="E22" s="5162"/>
      <c r="F22" s="4975">
        <f>'VISITA DE INSP.'!JD6</f>
        <v>67</v>
      </c>
      <c r="G22" s="4975">
        <f>'VISITA DE INSP.'!IV6</f>
        <v>2</v>
      </c>
      <c r="H22" s="4972"/>
      <c r="I22" s="4972">
        <f>F22-H22</f>
        <v>67</v>
      </c>
      <c r="J22" s="4975">
        <f>'VISITA DE INSP.'!JJ6</f>
        <v>3</v>
      </c>
      <c r="K22" s="4975">
        <f>'VISITA DE INSP.'!JP6</f>
        <v>8</v>
      </c>
      <c r="L22" s="4969">
        <f>I22+J22-K22</f>
        <v>62</v>
      </c>
      <c r="M22" s="4965">
        <f>L22</f>
        <v>62</v>
      </c>
      <c r="N22" s="4966"/>
      <c r="O22" s="4965">
        <f>G22</f>
        <v>2</v>
      </c>
      <c r="P22" s="4966"/>
      <c r="Q22" s="4969">
        <f>L22-R22</f>
        <v>62</v>
      </c>
      <c r="R22" s="4980">
        <f>'VISITA DE INSP.'!KB6</f>
        <v>0</v>
      </c>
      <c r="S22" s="1513"/>
      <c r="U22" s="1459"/>
    </row>
    <row r="23" spans="1:21" ht="8.1" customHeight="1">
      <c r="A23" s="1516">
        <v>12</v>
      </c>
      <c r="B23" s="4972"/>
      <c r="C23" s="5160"/>
      <c r="D23" s="5161"/>
      <c r="E23" s="5162"/>
      <c r="F23" s="4972"/>
      <c r="G23" s="4972"/>
      <c r="H23" s="4972"/>
      <c r="I23" s="4972"/>
      <c r="J23" s="4972"/>
      <c r="K23" s="4972"/>
      <c r="L23" s="4969"/>
      <c r="M23" s="4967"/>
      <c r="N23" s="4968"/>
      <c r="O23" s="4967"/>
      <c r="P23" s="4968"/>
      <c r="Q23" s="4969"/>
      <c r="R23" s="4975"/>
      <c r="S23" s="1513"/>
      <c r="U23" s="1459"/>
    </row>
    <row r="24" spans="1:21" ht="8.1" customHeight="1">
      <c r="A24" s="1516">
        <v>13</v>
      </c>
      <c r="B24" s="4972">
        <v>5</v>
      </c>
      <c r="C24" s="5160" t="str">
        <f>'VISITA DE INSP.'!HJ7</f>
        <v>23DPR0570Y</v>
      </c>
      <c r="D24" s="5161"/>
      <c r="E24" s="5162"/>
      <c r="F24" s="4975">
        <f>'VISITA DE INSP.'!JD7</f>
        <v>27</v>
      </c>
      <c r="G24" s="4975">
        <f>'VISITA DE INSP.'!IV7</f>
        <v>1</v>
      </c>
      <c r="H24" s="4972"/>
      <c r="I24" s="4972">
        <f>F24-H24</f>
        <v>27</v>
      </c>
      <c r="J24" s="4975">
        <f>'VISITA DE INSP.'!JJ7</f>
        <v>3</v>
      </c>
      <c r="K24" s="4975">
        <f>'VISITA DE INSP.'!JP7</f>
        <v>2</v>
      </c>
      <c r="L24" s="4969">
        <f>I24+J24-K24</f>
        <v>28</v>
      </c>
      <c r="M24" s="4965">
        <f>L24</f>
        <v>28</v>
      </c>
      <c r="N24" s="4966"/>
      <c r="O24" s="4965">
        <f>G24</f>
        <v>1</v>
      </c>
      <c r="P24" s="4966"/>
      <c r="Q24" s="4969">
        <f>L24-R24</f>
        <v>28</v>
      </c>
      <c r="R24" s="4980">
        <f>'VISITA DE INSP.'!KB7</f>
        <v>0</v>
      </c>
      <c r="S24" s="1513"/>
      <c r="U24" s="1459"/>
    </row>
    <row r="25" spans="1:21" ht="8.1" customHeight="1">
      <c r="A25" s="1516">
        <v>14</v>
      </c>
      <c r="B25" s="4972"/>
      <c r="C25" s="5160"/>
      <c r="D25" s="5161"/>
      <c r="E25" s="5162"/>
      <c r="F25" s="4972"/>
      <c r="G25" s="4972"/>
      <c r="H25" s="4972"/>
      <c r="I25" s="4972"/>
      <c r="J25" s="4972"/>
      <c r="K25" s="4972"/>
      <c r="L25" s="4969"/>
      <c r="M25" s="4967"/>
      <c r="N25" s="4968"/>
      <c r="O25" s="4967"/>
      <c r="P25" s="4968"/>
      <c r="Q25" s="4969"/>
      <c r="R25" s="4975"/>
      <c r="S25" s="1513"/>
      <c r="U25" s="1459"/>
    </row>
    <row r="26" spans="1:21" ht="8.1" customHeight="1">
      <c r="A26" s="1516">
        <v>15</v>
      </c>
      <c r="B26" s="4972">
        <v>6</v>
      </c>
      <c r="C26" s="5160" t="str">
        <f>'VISITA DE INSP.'!HJ8</f>
        <v>23DPR0572W</v>
      </c>
      <c r="D26" s="5161"/>
      <c r="E26" s="5162"/>
      <c r="F26" s="4975">
        <f>'VISITA DE INSP.'!JD8</f>
        <v>96</v>
      </c>
      <c r="G26" s="4975">
        <f>'VISITA DE INSP.'!IV8</f>
        <v>3</v>
      </c>
      <c r="H26" s="4972"/>
      <c r="I26" s="4972">
        <f>F26-H26</f>
        <v>96</v>
      </c>
      <c r="J26" s="4975">
        <f>'VISITA DE INSP.'!JJ8</f>
        <v>8</v>
      </c>
      <c r="K26" s="4975">
        <f>'VISITA DE INSP.'!JP8</f>
        <v>9</v>
      </c>
      <c r="L26" s="4969">
        <f>I26+J26-K26</f>
        <v>95</v>
      </c>
      <c r="M26" s="4965">
        <f>L26</f>
        <v>95</v>
      </c>
      <c r="N26" s="4966"/>
      <c r="O26" s="4965">
        <f>G26</f>
        <v>3</v>
      </c>
      <c r="P26" s="4966"/>
      <c r="Q26" s="4969">
        <f>L26-R26</f>
        <v>95</v>
      </c>
      <c r="R26" s="4980">
        <f>'VISITA DE INSP.'!KB8</f>
        <v>0</v>
      </c>
      <c r="S26" s="1513"/>
      <c r="U26" s="1459"/>
    </row>
    <row r="27" spans="1:21" ht="8.1" customHeight="1">
      <c r="A27" s="1516">
        <v>16</v>
      </c>
      <c r="B27" s="4972"/>
      <c r="C27" s="5160"/>
      <c r="D27" s="5161"/>
      <c r="E27" s="5162"/>
      <c r="F27" s="4972"/>
      <c r="G27" s="4972"/>
      <c r="H27" s="4972"/>
      <c r="I27" s="4972"/>
      <c r="J27" s="4972"/>
      <c r="K27" s="4972"/>
      <c r="L27" s="4969"/>
      <c r="M27" s="4967"/>
      <c r="N27" s="4968"/>
      <c r="O27" s="4967"/>
      <c r="P27" s="4968"/>
      <c r="Q27" s="4969"/>
      <c r="R27" s="4975"/>
      <c r="S27" s="1513"/>
      <c r="U27" s="1459"/>
    </row>
    <row r="28" spans="1:21" ht="8.1" customHeight="1">
      <c r="A28" s="1516">
        <v>17</v>
      </c>
      <c r="B28" s="4972">
        <v>7</v>
      </c>
      <c r="C28" s="5160" t="str">
        <f>'VISITA DE INSP.'!HJ9</f>
        <v>23DPR0581D</v>
      </c>
      <c r="D28" s="5161"/>
      <c r="E28" s="5162"/>
      <c r="F28" s="4975">
        <f>'VISITA DE INSP.'!JD9</f>
        <v>0</v>
      </c>
      <c r="G28" s="4975">
        <f>'VISITA DE INSP.'!IV9</f>
        <v>0</v>
      </c>
      <c r="H28" s="4972"/>
      <c r="I28" s="4972">
        <f>F28-H28</f>
        <v>0</v>
      </c>
      <c r="J28" s="4975">
        <f>'VISITA DE INSP.'!JJ9</f>
        <v>0</v>
      </c>
      <c r="K28" s="4975">
        <f>'VISITA DE INSP.'!JP9</f>
        <v>0</v>
      </c>
      <c r="L28" s="4969">
        <f>I28+J28-K28</f>
        <v>0</v>
      </c>
      <c r="M28" s="4965">
        <f>L28</f>
        <v>0</v>
      </c>
      <c r="N28" s="4966"/>
      <c r="O28" s="4965">
        <f>G28</f>
        <v>0</v>
      </c>
      <c r="P28" s="4966"/>
      <c r="Q28" s="4969">
        <f>L28-R28</f>
        <v>0</v>
      </c>
      <c r="R28" s="4980">
        <f>'VISITA DE INSP.'!KB9</f>
        <v>0</v>
      </c>
      <c r="S28" s="1513"/>
      <c r="U28" s="1459"/>
    </row>
    <row r="29" spans="1:21" ht="8.1" customHeight="1">
      <c r="A29" s="1516">
        <v>18</v>
      </c>
      <c r="B29" s="4972"/>
      <c r="C29" s="5160"/>
      <c r="D29" s="5161"/>
      <c r="E29" s="5162"/>
      <c r="F29" s="4972"/>
      <c r="G29" s="4972"/>
      <c r="H29" s="4972"/>
      <c r="I29" s="4972"/>
      <c r="J29" s="4972"/>
      <c r="K29" s="4972"/>
      <c r="L29" s="4969"/>
      <c r="M29" s="4967"/>
      <c r="N29" s="4968"/>
      <c r="O29" s="4967"/>
      <c r="P29" s="4968"/>
      <c r="Q29" s="4969"/>
      <c r="R29" s="4975"/>
      <c r="S29" s="1513"/>
      <c r="U29" s="1459"/>
    </row>
    <row r="30" spans="1:21" ht="8.1" customHeight="1">
      <c r="A30" s="1516">
        <v>19</v>
      </c>
      <c r="B30" s="4972">
        <v>8</v>
      </c>
      <c r="C30" s="5160" t="str">
        <f>'VISITA DE INSP.'!HJ10</f>
        <v>23DPR0593I</v>
      </c>
      <c r="D30" s="5161"/>
      <c r="E30" s="5162"/>
      <c r="F30" s="4975">
        <f>'VISITA DE INSP.'!JD10</f>
        <v>0</v>
      </c>
      <c r="G30" s="4975">
        <f>'VISITA DE INSP.'!IV10</f>
        <v>0</v>
      </c>
      <c r="H30" s="4972"/>
      <c r="I30" s="4972">
        <f>F30-H30</f>
        <v>0</v>
      </c>
      <c r="J30" s="4975">
        <f>'VISITA DE INSP.'!JJ10</f>
        <v>0</v>
      </c>
      <c r="K30" s="4975">
        <f>'VISITA DE INSP.'!JP10</f>
        <v>0</v>
      </c>
      <c r="L30" s="4969">
        <f>I30+J30-K30</f>
        <v>0</v>
      </c>
      <c r="M30" s="4965">
        <f>L30</f>
        <v>0</v>
      </c>
      <c r="N30" s="4966"/>
      <c r="O30" s="4965">
        <f>G30</f>
        <v>0</v>
      </c>
      <c r="P30" s="4966"/>
      <c r="Q30" s="4969">
        <f>L30-R30</f>
        <v>0</v>
      </c>
      <c r="R30" s="4980">
        <f>'VISITA DE INSP.'!KB10</f>
        <v>0</v>
      </c>
      <c r="S30" s="1513"/>
      <c r="U30" s="1459"/>
    </row>
    <row r="31" spans="1:21" ht="8.1" customHeight="1">
      <c r="A31" s="1516">
        <v>20</v>
      </c>
      <c r="B31" s="4972"/>
      <c r="C31" s="5160"/>
      <c r="D31" s="5161"/>
      <c r="E31" s="5162"/>
      <c r="F31" s="4972"/>
      <c r="G31" s="4972"/>
      <c r="H31" s="4972"/>
      <c r="I31" s="4972"/>
      <c r="J31" s="4972"/>
      <c r="K31" s="4972"/>
      <c r="L31" s="4969"/>
      <c r="M31" s="4967"/>
      <c r="N31" s="4968"/>
      <c r="O31" s="4967"/>
      <c r="P31" s="4968"/>
      <c r="Q31" s="4969"/>
      <c r="R31" s="4975"/>
      <c r="S31" s="1513"/>
      <c r="U31" s="1459"/>
    </row>
    <row r="32" spans="1:21" ht="8.1" customHeight="1">
      <c r="A32" s="1516">
        <v>21</v>
      </c>
      <c r="B32" s="4972">
        <v>9</v>
      </c>
      <c r="C32" s="5160" t="str">
        <f>'VISITA DE INSP.'!HJ11</f>
        <v>23DPR0640C</v>
      </c>
      <c r="D32" s="5161"/>
      <c r="E32" s="5162"/>
      <c r="F32" s="4975">
        <f>'VISITA DE INSP.'!JD11</f>
        <v>54</v>
      </c>
      <c r="G32" s="4975">
        <f>'VISITA DE INSP.'!IV11</f>
        <v>2</v>
      </c>
      <c r="H32" s="4972"/>
      <c r="I32" s="4972">
        <f>F32-H32</f>
        <v>54</v>
      </c>
      <c r="J32" s="4975">
        <f>'VISITA DE INSP.'!JJ11</f>
        <v>8</v>
      </c>
      <c r="K32" s="4975">
        <f>'VISITA DE INSP.'!JP11</f>
        <v>11</v>
      </c>
      <c r="L32" s="4969">
        <f>I32+J32-K32</f>
        <v>51</v>
      </c>
      <c r="M32" s="4965">
        <f>L32</f>
        <v>51</v>
      </c>
      <c r="N32" s="4966"/>
      <c r="O32" s="4965">
        <f>G32</f>
        <v>2</v>
      </c>
      <c r="P32" s="4966"/>
      <c r="Q32" s="4969">
        <f>L32-R32</f>
        <v>51</v>
      </c>
      <c r="R32" s="4980">
        <f>'VISITA DE INSP.'!KB11</f>
        <v>0</v>
      </c>
      <c r="S32" s="1513"/>
      <c r="U32" s="1459"/>
    </row>
    <row r="33" spans="1:21" ht="8.1" customHeight="1">
      <c r="A33" s="1516">
        <v>22</v>
      </c>
      <c r="B33" s="4972"/>
      <c r="C33" s="5160"/>
      <c r="D33" s="5161"/>
      <c r="E33" s="5162"/>
      <c r="F33" s="4972"/>
      <c r="G33" s="4972"/>
      <c r="H33" s="4972"/>
      <c r="I33" s="4972"/>
      <c r="J33" s="4972"/>
      <c r="K33" s="4972"/>
      <c r="L33" s="4969"/>
      <c r="M33" s="4967"/>
      <c r="N33" s="4968"/>
      <c r="O33" s="4967"/>
      <c r="P33" s="4968"/>
      <c r="Q33" s="4969"/>
      <c r="R33" s="4975"/>
      <c r="S33" s="1513"/>
      <c r="U33" s="1459"/>
    </row>
    <row r="34" spans="1:21" ht="8.1" customHeight="1">
      <c r="A34" s="1516">
        <v>23</v>
      </c>
      <c r="B34" s="4972">
        <v>10</v>
      </c>
      <c r="C34" s="5160" t="str">
        <f>'VISITA DE INSP.'!HJ12</f>
        <v>23DPR0681C</v>
      </c>
      <c r="D34" s="5161"/>
      <c r="E34" s="5162"/>
      <c r="F34" s="4975">
        <f>'VISITA DE INSP.'!JD12</f>
        <v>34</v>
      </c>
      <c r="G34" s="4975">
        <f>'VISITA DE INSP.'!IV12</f>
        <v>1</v>
      </c>
      <c r="H34" s="4972"/>
      <c r="I34" s="4972">
        <f>F34-H34</f>
        <v>34</v>
      </c>
      <c r="J34" s="4975">
        <f>'VISITA DE INSP.'!JJ12</f>
        <v>1</v>
      </c>
      <c r="K34" s="4975">
        <f>'VISITA DE INSP.'!JP12</f>
        <v>0</v>
      </c>
      <c r="L34" s="4969">
        <f>I34+J34-K34</f>
        <v>35</v>
      </c>
      <c r="M34" s="4965">
        <f>L34</f>
        <v>35</v>
      </c>
      <c r="N34" s="4966"/>
      <c r="O34" s="4965">
        <f>G34</f>
        <v>1</v>
      </c>
      <c r="P34" s="4966"/>
      <c r="Q34" s="4969">
        <f>L34-R34</f>
        <v>35</v>
      </c>
      <c r="R34" s="4980">
        <f>'VISITA DE INSP.'!KB12</f>
        <v>0</v>
      </c>
      <c r="S34" s="1513"/>
      <c r="U34" s="1459"/>
    </row>
    <row r="35" spans="1:21" ht="8.1" customHeight="1">
      <c r="A35" s="1516">
        <v>24</v>
      </c>
      <c r="B35" s="4972"/>
      <c r="C35" s="5160"/>
      <c r="D35" s="5161"/>
      <c r="E35" s="5162"/>
      <c r="F35" s="4972"/>
      <c r="G35" s="4972"/>
      <c r="H35" s="4972"/>
      <c r="I35" s="4972"/>
      <c r="J35" s="4972"/>
      <c r="K35" s="4972"/>
      <c r="L35" s="4969"/>
      <c r="M35" s="4967"/>
      <c r="N35" s="4968"/>
      <c r="O35" s="4967"/>
      <c r="P35" s="4968"/>
      <c r="Q35" s="4969"/>
      <c r="R35" s="4975"/>
      <c r="S35" s="1513"/>
      <c r="U35" s="1459"/>
    </row>
    <row r="36" spans="1:21" ht="8.1" hidden="1" customHeight="1">
      <c r="A36" s="1516">
        <v>25</v>
      </c>
      <c r="B36" s="4980">
        <v>0</v>
      </c>
      <c r="C36" s="5160">
        <f>'VISITA DE INSP.'!HJ13</f>
        <v>0</v>
      </c>
      <c r="D36" s="5161"/>
      <c r="E36" s="5162"/>
      <c r="F36" s="4975">
        <f>'VISITA DE INSP.'!JD13</f>
        <v>0</v>
      </c>
      <c r="G36" s="4975">
        <f>'VISITA DE INSP.'!IV13</f>
        <v>0</v>
      </c>
      <c r="H36" s="4972"/>
      <c r="I36" s="4972">
        <f>F36-H36</f>
        <v>0</v>
      </c>
      <c r="J36" s="4975">
        <f>'VISITA DE INSP.'!JJ13</f>
        <v>0</v>
      </c>
      <c r="K36" s="4975">
        <f>'VISITA DE INSP.'!JP13</f>
        <v>0</v>
      </c>
      <c r="L36" s="4969">
        <f>I36+J36-K36</f>
        <v>0</v>
      </c>
      <c r="M36" s="4965">
        <f>L36</f>
        <v>0</v>
      </c>
      <c r="N36" s="4966"/>
      <c r="O36" s="4965">
        <f>G36</f>
        <v>0</v>
      </c>
      <c r="P36" s="4966"/>
      <c r="Q36" s="4969">
        <f>L36-R36</f>
        <v>0</v>
      </c>
      <c r="R36" s="4980">
        <f>'VISITA DE INSP.'!KB13</f>
        <v>0</v>
      </c>
      <c r="S36" s="1513"/>
    </row>
    <row r="37" spans="1:21" ht="8.1" hidden="1" customHeight="1">
      <c r="A37" s="1516">
        <v>26</v>
      </c>
      <c r="B37" s="4975"/>
      <c r="C37" s="5160"/>
      <c r="D37" s="5161"/>
      <c r="E37" s="5162"/>
      <c r="F37" s="4972"/>
      <c r="G37" s="4972"/>
      <c r="H37" s="4972"/>
      <c r="I37" s="4972"/>
      <c r="J37" s="4972"/>
      <c r="K37" s="4972"/>
      <c r="L37" s="4969"/>
      <c r="M37" s="4967"/>
      <c r="N37" s="4968"/>
      <c r="O37" s="4967"/>
      <c r="P37" s="4968"/>
      <c r="Q37" s="4969"/>
      <c r="R37" s="4975"/>
      <c r="S37" s="1513"/>
    </row>
    <row r="38" spans="1:21" ht="8.1" customHeight="1">
      <c r="A38" s="1516">
        <v>27</v>
      </c>
      <c r="B38" s="4980">
        <v>11</v>
      </c>
      <c r="C38" s="5160" t="str">
        <f>'VISITA DE INSP.'!HJ14</f>
        <v>23PPR0099M</v>
      </c>
      <c r="D38" s="5161"/>
      <c r="E38" s="5162"/>
      <c r="F38" s="4975">
        <f>'VISITA DE INSP.'!JD14</f>
        <v>9</v>
      </c>
      <c r="G38" s="4975">
        <f>'VISITA DE INSP.'!IV14</f>
        <v>1</v>
      </c>
      <c r="H38" s="4972"/>
      <c r="I38" s="4972">
        <f>F38-H38</f>
        <v>9</v>
      </c>
      <c r="J38" s="4975">
        <f>'VISITA DE INSP.'!JJ14</f>
        <v>1</v>
      </c>
      <c r="K38" s="4975">
        <f>'VISITA DE INSP.'!JP14</f>
        <v>1</v>
      </c>
      <c r="L38" s="4969">
        <f>I38+J38-K38</f>
        <v>9</v>
      </c>
      <c r="M38" s="4965">
        <f>L38</f>
        <v>9</v>
      </c>
      <c r="N38" s="4966"/>
      <c r="O38" s="4965">
        <f>G38</f>
        <v>1</v>
      </c>
      <c r="P38" s="4966"/>
      <c r="Q38" s="4969">
        <f>L38-R38</f>
        <v>9</v>
      </c>
      <c r="R38" s="4980">
        <f>'VISITA DE INSP.'!KB14</f>
        <v>0</v>
      </c>
      <c r="S38" s="1513"/>
    </row>
    <row r="39" spans="1:21" ht="8.1" customHeight="1">
      <c r="A39" s="1516">
        <v>28</v>
      </c>
      <c r="B39" s="4975"/>
      <c r="C39" s="5160"/>
      <c r="D39" s="5161"/>
      <c r="E39" s="5162"/>
      <c r="F39" s="4972"/>
      <c r="G39" s="4972"/>
      <c r="H39" s="4972"/>
      <c r="I39" s="4972"/>
      <c r="J39" s="4972"/>
      <c r="K39" s="4972"/>
      <c r="L39" s="4969"/>
      <c r="M39" s="4967"/>
      <c r="N39" s="4968"/>
      <c r="O39" s="4967"/>
      <c r="P39" s="4968"/>
      <c r="Q39" s="4969"/>
      <c r="R39" s="4975"/>
      <c r="S39" s="1513"/>
    </row>
    <row r="40" spans="1:21" ht="8.1" customHeight="1">
      <c r="A40" s="1516">
        <v>29</v>
      </c>
      <c r="B40" s="4980">
        <v>12</v>
      </c>
      <c r="C40" s="5160" t="str">
        <f>'VISITA DE INSP.'!HJ15</f>
        <v>23PPR0100L</v>
      </c>
      <c r="D40" s="5161"/>
      <c r="E40" s="5162"/>
      <c r="F40" s="4975">
        <f>'VISITA DE INSP.'!JD15</f>
        <v>15</v>
      </c>
      <c r="G40" s="4975">
        <f>'VISITA DE INSP.'!IV15</f>
        <v>1</v>
      </c>
      <c r="H40" s="4972"/>
      <c r="I40" s="4972">
        <f>F40-H40</f>
        <v>15</v>
      </c>
      <c r="J40" s="4975">
        <f>'VISITA DE INSP.'!JJ15</f>
        <v>3</v>
      </c>
      <c r="K40" s="4975">
        <f>'VISITA DE INSP.'!JP15</f>
        <v>1</v>
      </c>
      <c r="L40" s="4969">
        <f>I40+J40-K40</f>
        <v>17</v>
      </c>
      <c r="M40" s="4965">
        <f>L40</f>
        <v>17</v>
      </c>
      <c r="N40" s="4966"/>
      <c r="O40" s="4965">
        <f>G40</f>
        <v>1</v>
      </c>
      <c r="P40" s="4966"/>
      <c r="Q40" s="4969">
        <f>L40-R40</f>
        <v>17</v>
      </c>
      <c r="R40" s="4980">
        <f>'VISITA DE INSP.'!KB15</f>
        <v>0</v>
      </c>
      <c r="S40" s="1513"/>
    </row>
    <row r="41" spans="1:21" ht="8.1" customHeight="1">
      <c r="A41" s="1516">
        <v>30</v>
      </c>
      <c r="B41" s="4975"/>
      <c r="C41" s="5160"/>
      <c r="D41" s="5161"/>
      <c r="E41" s="5162"/>
      <c r="F41" s="4972"/>
      <c r="G41" s="4972"/>
      <c r="H41" s="4972"/>
      <c r="I41" s="4972"/>
      <c r="J41" s="4972"/>
      <c r="K41" s="4972"/>
      <c r="L41" s="4969"/>
      <c r="M41" s="4967"/>
      <c r="N41" s="4968"/>
      <c r="O41" s="4967"/>
      <c r="P41" s="4968"/>
      <c r="Q41" s="4969"/>
      <c r="R41" s="4975"/>
      <c r="S41" s="1513"/>
    </row>
    <row r="42" spans="1:21" ht="8.1" customHeight="1">
      <c r="A42" s="1516">
        <v>31</v>
      </c>
      <c r="B42" s="4980">
        <v>13</v>
      </c>
      <c r="C42" s="4981" t="str">
        <f>'VISITA DE INSP.'!HJ16</f>
        <v>23PPR0125U</v>
      </c>
      <c r="D42" s="4982"/>
      <c r="E42" s="4983"/>
      <c r="F42" s="4975">
        <f>'VISITA DE INSP.'!JD16</f>
        <v>7</v>
      </c>
      <c r="G42" s="4975">
        <f>'VISITA DE INSP.'!IV16</f>
        <v>1</v>
      </c>
      <c r="H42" s="4972"/>
      <c r="I42" s="4972">
        <f>F42-H42</f>
        <v>7</v>
      </c>
      <c r="J42" s="4975">
        <f>'VISITA DE INSP.'!JJ16</f>
        <v>1</v>
      </c>
      <c r="K42" s="4975">
        <f>'VISITA DE INSP.'!JP16</f>
        <v>0</v>
      </c>
      <c r="L42" s="4969">
        <f>I42+J42-K42</f>
        <v>8</v>
      </c>
      <c r="M42" s="4965">
        <f>L42</f>
        <v>8</v>
      </c>
      <c r="N42" s="4966"/>
      <c r="O42" s="4965">
        <f>G42</f>
        <v>1</v>
      </c>
      <c r="P42" s="4966"/>
      <c r="Q42" s="4969">
        <f>L42-R42</f>
        <v>8</v>
      </c>
      <c r="R42" s="4980">
        <f>'VISITA DE INSP.'!KB16</f>
        <v>0</v>
      </c>
      <c r="S42" s="1513"/>
    </row>
    <row r="43" spans="1:21" ht="8.1" customHeight="1">
      <c r="A43" s="1516">
        <v>32</v>
      </c>
      <c r="B43" s="4975"/>
      <c r="C43" s="4984"/>
      <c r="D43" s="4985"/>
      <c r="E43" s="4986"/>
      <c r="F43" s="4972"/>
      <c r="G43" s="4972"/>
      <c r="H43" s="4972"/>
      <c r="I43" s="4972"/>
      <c r="J43" s="4972"/>
      <c r="K43" s="4972"/>
      <c r="L43" s="4969"/>
      <c r="M43" s="4967"/>
      <c r="N43" s="4968"/>
      <c r="O43" s="4967"/>
      <c r="P43" s="4968"/>
      <c r="Q43" s="4969"/>
      <c r="R43" s="4975"/>
      <c r="S43" s="1513"/>
    </row>
    <row r="44" spans="1:21" ht="8.1" customHeight="1">
      <c r="A44" s="1516">
        <v>33</v>
      </c>
      <c r="B44" s="4978">
        <v>14</v>
      </c>
      <c r="C44" s="5160" t="str">
        <f>'VISITA DE INSP.'!HJ17</f>
        <v>23PPR0156N</v>
      </c>
      <c r="D44" s="5161"/>
      <c r="E44" s="5162"/>
      <c r="F44" s="4975">
        <f>'VISITA DE INSP.'!JD17</f>
        <v>16</v>
      </c>
      <c r="G44" s="4975">
        <f>'VISITA DE INSP.'!IV17</f>
        <v>1</v>
      </c>
      <c r="H44" s="4978"/>
      <c r="I44" s="4972">
        <f>F44-H44</f>
        <v>16</v>
      </c>
      <c r="J44" s="4975">
        <f>'VISITA DE INSP.'!JJ17</f>
        <v>0</v>
      </c>
      <c r="K44" s="4975">
        <f>'VISITA DE INSP.'!JP17</f>
        <v>1</v>
      </c>
      <c r="L44" s="4969">
        <f>I44+J44-K44</f>
        <v>15</v>
      </c>
      <c r="M44" s="4965">
        <f>L44</f>
        <v>15</v>
      </c>
      <c r="N44" s="4966"/>
      <c r="O44" s="4965">
        <f>G44</f>
        <v>1</v>
      </c>
      <c r="P44" s="4966"/>
      <c r="Q44" s="4969">
        <f>L44-R44</f>
        <v>15</v>
      </c>
      <c r="R44" s="4980">
        <f>'VISITA DE INSP.'!KB17</f>
        <v>0</v>
      </c>
      <c r="S44" s="1513"/>
    </row>
    <row r="45" spans="1:21" ht="8.1" customHeight="1">
      <c r="A45" s="1516">
        <v>34</v>
      </c>
      <c r="B45" s="4979"/>
      <c r="C45" s="5160"/>
      <c r="D45" s="5161"/>
      <c r="E45" s="5162"/>
      <c r="F45" s="4972"/>
      <c r="G45" s="4972"/>
      <c r="H45" s="4979"/>
      <c r="I45" s="4972"/>
      <c r="J45" s="4972"/>
      <c r="K45" s="4972"/>
      <c r="L45" s="4969"/>
      <c r="M45" s="4967"/>
      <c r="N45" s="4968"/>
      <c r="O45" s="4967"/>
      <c r="P45" s="4968"/>
      <c r="Q45" s="4969"/>
      <c r="R45" s="4975"/>
      <c r="S45" s="1513"/>
    </row>
    <row r="46" spans="1:21" ht="8.1" customHeight="1">
      <c r="A46" s="1516">
        <v>35</v>
      </c>
      <c r="B46" s="4978">
        <v>15</v>
      </c>
      <c r="C46" s="5160" t="str">
        <f>'VISITA DE INSP.'!HJ18</f>
        <v>23PPR0163X</v>
      </c>
      <c r="D46" s="5161"/>
      <c r="E46" s="5162"/>
      <c r="F46" s="4975">
        <f>'VISITA DE INSP.'!JD18</f>
        <v>41</v>
      </c>
      <c r="G46" s="4975">
        <f>'VISITA DE INSP.'!IV18</f>
        <v>2</v>
      </c>
      <c r="H46" s="4978"/>
      <c r="I46" s="4972">
        <f>F46-H46</f>
        <v>41</v>
      </c>
      <c r="J46" s="4975">
        <f>'VISITA DE INSP.'!JJ18</f>
        <v>3</v>
      </c>
      <c r="K46" s="4975">
        <f>'VISITA DE INSP.'!JP18</f>
        <v>2</v>
      </c>
      <c r="L46" s="4969">
        <f>I46+J46-K46</f>
        <v>42</v>
      </c>
      <c r="M46" s="4965">
        <f>L46</f>
        <v>42</v>
      </c>
      <c r="N46" s="4966"/>
      <c r="O46" s="4965">
        <f>G46</f>
        <v>2</v>
      </c>
      <c r="P46" s="4966"/>
      <c r="Q46" s="4969">
        <f>L46-R46</f>
        <v>42</v>
      </c>
      <c r="R46" s="4980">
        <f>'VISITA DE INSP.'!KB18</f>
        <v>0</v>
      </c>
      <c r="S46" s="1513"/>
    </row>
    <row r="47" spans="1:21" ht="8.1" customHeight="1">
      <c r="A47" s="1516">
        <v>36</v>
      </c>
      <c r="B47" s="4979"/>
      <c r="C47" s="5160"/>
      <c r="D47" s="5161"/>
      <c r="E47" s="5162"/>
      <c r="F47" s="4972"/>
      <c r="G47" s="4972"/>
      <c r="H47" s="4979"/>
      <c r="I47" s="4972"/>
      <c r="J47" s="4972"/>
      <c r="K47" s="4972"/>
      <c r="L47" s="4969"/>
      <c r="M47" s="4967"/>
      <c r="N47" s="4968"/>
      <c r="O47" s="4967"/>
      <c r="P47" s="4968"/>
      <c r="Q47" s="4969"/>
      <c r="R47" s="4975"/>
      <c r="S47" s="1513"/>
    </row>
    <row r="48" spans="1:21" ht="8.1" customHeight="1">
      <c r="A48" s="1516">
        <v>37</v>
      </c>
      <c r="B48" s="4972"/>
      <c r="C48" s="5160">
        <f>'VISITA DE INSP.'!HJ19</f>
        <v>0</v>
      </c>
      <c r="D48" s="5161"/>
      <c r="E48" s="5162"/>
      <c r="F48" s="4975">
        <f>'VISITA DE INSP.'!JD19</f>
        <v>0</v>
      </c>
      <c r="G48" s="4975">
        <f>'VISITA DE INSP.'!IV19</f>
        <v>0</v>
      </c>
      <c r="H48" s="4972"/>
      <c r="I48" s="4972">
        <f>F48-H48</f>
        <v>0</v>
      </c>
      <c r="J48" s="4975">
        <f>'VISITA DE INSP.'!JJ19</f>
        <v>0</v>
      </c>
      <c r="K48" s="4975">
        <f>'VISITA DE INSP.'!JP19</f>
        <v>0</v>
      </c>
      <c r="L48" s="4969">
        <f>I48+J48-K48</f>
        <v>0</v>
      </c>
      <c r="M48" s="4969">
        <f>L48</f>
        <v>0</v>
      </c>
      <c r="N48" s="4969"/>
      <c r="O48" s="4969">
        <f>G48</f>
        <v>0</v>
      </c>
      <c r="P48" s="4969"/>
      <c r="Q48" s="4969">
        <f>L48-R48</f>
        <v>0</v>
      </c>
      <c r="R48" s="4980">
        <f>'VISITA DE INSP.'!KB19</f>
        <v>0</v>
      </c>
      <c r="S48" s="1513"/>
    </row>
    <row r="49" spans="1:19" ht="8.1" customHeight="1">
      <c r="A49" s="1516">
        <v>38</v>
      </c>
      <c r="B49" s="4972"/>
      <c r="C49" s="5160"/>
      <c r="D49" s="5161"/>
      <c r="E49" s="5162"/>
      <c r="F49" s="4972"/>
      <c r="G49" s="4972"/>
      <c r="H49" s="4972"/>
      <c r="I49" s="4972"/>
      <c r="J49" s="4972"/>
      <c r="K49" s="4972"/>
      <c r="L49" s="4969"/>
      <c r="M49" s="4969"/>
      <c r="N49" s="4969"/>
      <c r="O49" s="4969"/>
      <c r="P49" s="4969"/>
      <c r="Q49" s="4969"/>
      <c r="R49" s="4975"/>
      <c r="S49" s="1513"/>
    </row>
    <row r="50" spans="1:19" ht="8.1" customHeight="1">
      <c r="A50" s="1516">
        <v>39</v>
      </c>
      <c r="B50" s="4972"/>
      <c r="C50" s="5160">
        <f>'VISITA DE INSP.'!HJ20</f>
        <v>0</v>
      </c>
      <c r="D50" s="5161"/>
      <c r="E50" s="5162"/>
      <c r="F50" s="4975">
        <f>'VISITA DE INSP.'!JD20</f>
        <v>0</v>
      </c>
      <c r="G50" s="4975">
        <f>'VISITA DE INSP.'!IV20</f>
        <v>0</v>
      </c>
      <c r="H50" s="4972"/>
      <c r="I50" s="4972">
        <f>F50-H50</f>
        <v>0</v>
      </c>
      <c r="J50" s="4975">
        <f>'VISITA DE INSP.'!JJ20</f>
        <v>0</v>
      </c>
      <c r="K50" s="4975">
        <f>'VISITA DE INSP.'!JP20</f>
        <v>0</v>
      </c>
      <c r="L50" s="4969">
        <f>I50+J50-K50</f>
        <v>0</v>
      </c>
      <c r="M50" s="4969">
        <f>L50</f>
        <v>0</v>
      </c>
      <c r="N50" s="4969"/>
      <c r="O50" s="4969">
        <f>G50</f>
        <v>0</v>
      </c>
      <c r="P50" s="4969"/>
      <c r="Q50" s="4969">
        <f>L50-R50</f>
        <v>0</v>
      </c>
      <c r="R50" s="4980">
        <f>'VISITA DE INSP.'!KB20</f>
        <v>0</v>
      </c>
      <c r="S50" s="1513"/>
    </row>
    <row r="51" spans="1:19" ht="8.1" customHeight="1">
      <c r="A51" s="1516">
        <v>40</v>
      </c>
      <c r="B51" s="4972"/>
      <c r="C51" s="5160"/>
      <c r="D51" s="5161"/>
      <c r="E51" s="5162"/>
      <c r="F51" s="4972"/>
      <c r="G51" s="4972"/>
      <c r="H51" s="4972"/>
      <c r="I51" s="4972"/>
      <c r="J51" s="4972"/>
      <c r="K51" s="4972"/>
      <c r="L51" s="4969"/>
      <c r="M51" s="4969"/>
      <c r="N51" s="4969"/>
      <c r="O51" s="4969"/>
      <c r="P51" s="4969"/>
      <c r="Q51" s="4969"/>
      <c r="R51" s="4975"/>
      <c r="S51" s="1513"/>
    </row>
    <row r="52" spans="1:19" ht="8.1" customHeight="1">
      <c r="A52" s="1516">
        <v>41</v>
      </c>
      <c r="B52" s="4972"/>
      <c r="C52" s="5160">
        <f>'VISITA DE INSP.'!HJ21</f>
        <v>0</v>
      </c>
      <c r="D52" s="5161"/>
      <c r="E52" s="5162"/>
      <c r="F52" s="4975">
        <f>'VISITA DE INSP.'!JD21</f>
        <v>0</v>
      </c>
      <c r="G52" s="4975">
        <f>'VISITA DE INSP.'!IV21</f>
        <v>0</v>
      </c>
      <c r="H52" s="4972"/>
      <c r="I52" s="4972">
        <f>F52-H52</f>
        <v>0</v>
      </c>
      <c r="J52" s="4975">
        <f>'VISITA DE INSP.'!JJ21</f>
        <v>0</v>
      </c>
      <c r="K52" s="4975">
        <f>'VISITA DE INSP.'!JP21</f>
        <v>0</v>
      </c>
      <c r="L52" s="4969">
        <f>I52+J52-K52</f>
        <v>0</v>
      </c>
      <c r="M52" s="4969">
        <f>L52</f>
        <v>0</v>
      </c>
      <c r="N52" s="4969"/>
      <c r="O52" s="4969">
        <f>G52</f>
        <v>0</v>
      </c>
      <c r="P52" s="4969"/>
      <c r="Q52" s="4969">
        <f>L52-R52</f>
        <v>0</v>
      </c>
      <c r="R52" s="4980">
        <f>'VISITA DE INSP.'!KB21</f>
        <v>0</v>
      </c>
      <c r="S52" s="1513"/>
    </row>
    <row r="53" spans="1:19" ht="8.1" customHeight="1">
      <c r="A53" s="1516">
        <v>42</v>
      </c>
      <c r="B53" s="4972"/>
      <c r="C53" s="5160"/>
      <c r="D53" s="5161"/>
      <c r="E53" s="5162"/>
      <c r="F53" s="4972"/>
      <c r="G53" s="4972"/>
      <c r="H53" s="4972"/>
      <c r="I53" s="4972"/>
      <c r="J53" s="4972"/>
      <c r="K53" s="4972"/>
      <c r="L53" s="4969"/>
      <c r="M53" s="4969"/>
      <c r="N53" s="4969"/>
      <c r="O53" s="4969"/>
      <c r="P53" s="4969"/>
      <c r="Q53" s="4969"/>
      <c r="R53" s="4975"/>
      <c r="S53" s="1513"/>
    </row>
    <row r="54" spans="1:19" ht="8.1" customHeight="1">
      <c r="A54" s="1516">
        <v>43</v>
      </c>
      <c r="B54" s="4972"/>
      <c r="C54" s="5157"/>
      <c r="D54" s="5158"/>
      <c r="E54" s="5159"/>
      <c r="F54" s="4975"/>
      <c r="G54" s="4972"/>
      <c r="H54" s="4972"/>
      <c r="I54" s="4972">
        <f>F54-H54</f>
        <v>0</v>
      </c>
      <c r="J54" s="4972"/>
      <c r="K54" s="4972"/>
      <c r="L54" s="4969">
        <f>I54+J54-K54</f>
        <v>0</v>
      </c>
      <c r="M54" s="4969">
        <f>L54</f>
        <v>0</v>
      </c>
      <c r="N54" s="4969"/>
      <c r="O54" s="4969">
        <f>G54</f>
        <v>0</v>
      </c>
      <c r="P54" s="4969"/>
      <c r="Q54" s="4969">
        <f>L54-R54</f>
        <v>0</v>
      </c>
      <c r="R54" s="4972"/>
      <c r="S54" s="1513"/>
    </row>
    <row r="55" spans="1:19" ht="8.1" customHeight="1">
      <c r="A55" s="1516">
        <v>44</v>
      </c>
      <c r="B55" s="4972"/>
      <c r="C55" s="4984"/>
      <c r="D55" s="4985"/>
      <c r="E55" s="4986"/>
      <c r="F55" s="4972"/>
      <c r="G55" s="4972"/>
      <c r="H55" s="4972"/>
      <c r="I55" s="4972"/>
      <c r="J55" s="4972"/>
      <c r="K55" s="4972"/>
      <c r="L55" s="4969"/>
      <c r="M55" s="4969"/>
      <c r="N55" s="4969"/>
      <c r="O55" s="4969"/>
      <c r="P55" s="4969"/>
      <c r="Q55" s="4969"/>
      <c r="R55" s="4972"/>
      <c r="S55" s="1513"/>
    </row>
    <row r="56" spans="1:19" ht="8.1" customHeight="1">
      <c r="A56" s="1516">
        <v>45</v>
      </c>
      <c r="B56" s="4972"/>
      <c r="C56" s="4972" t="s">
        <v>408</v>
      </c>
      <c r="D56" s="4972"/>
      <c r="E56" s="4972"/>
      <c r="F56" s="4972">
        <f t="shared" ref="F56:K56" si="0">SUM(F16:F55)</f>
        <v>541</v>
      </c>
      <c r="G56" s="4972">
        <f>SUM(G16:G55)</f>
        <v>21</v>
      </c>
      <c r="H56" s="4972">
        <f>SUM(H16:H55)</f>
        <v>0</v>
      </c>
      <c r="I56" s="4980">
        <f t="shared" si="0"/>
        <v>541</v>
      </c>
      <c r="J56" s="4972">
        <f t="shared" si="0"/>
        <v>47</v>
      </c>
      <c r="K56" s="4972">
        <f t="shared" si="0"/>
        <v>51</v>
      </c>
      <c r="L56" s="4969">
        <f>SUM(L16:L55)</f>
        <v>537</v>
      </c>
      <c r="M56" s="4965">
        <f>SUM(M16:N55)</f>
        <v>537</v>
      </c>
      <c r="N56" s="4966"/>
      <c r="O56" s="4965">
        <f>SUM(O16:P55)</f>
        <v>21</v>
      </c>
      <c r="P56" s="4966"/>
      <c r="Q56" s="4969">
        <f>SUM(Q16:Q55)</f>
        <v>537</v>
      </c>
      <c r="R56" s="4972">
        <f>SUM(R16:R55)</f>
        <v>0</v>
      </c>
      <c r="S56" s="1513"/>
    </row>
    <row r="57" spans="1:19" ht="8.1" customHeight="1">
      <c r="A57" s="1516">
        <v>46</v>
      </c>
      <c r="B57" s="4972"/>
      <c r="C57" s="4972"/>
      <c r="D57" s="4972"/>
      <c r="E57" s="4972"/>
      <c r="F57" s="4972"/>
      <c r="G57" s="4972"/>
      <c r="H57" s="4972"/>
      <c r="I57" s="4975"/>
      <c r="J57" s="4972"/>
      <c r="K57" s="4972"/>
      <c r="L57" s="4969"/>
      <c r="M57" s="4967"/>
      <c r="N57" s="4968"/>
      <c r="O57" s="4967"/>
      <c r="P57" s="4968"/>
      <c r="Q57" s="4969"/>
      <c r="R57" s="4972"/>
      <c r="S57" s="1513"/>
    </row>
    <row r="58" spans="1:19" ht="8.1" customHeight="1">
      <c r="A58" s="1516">
        <v>47</v>
      </c>
      <c r="B58" s="1517"/>
      <c r="C58" s="1518"/>
      <c r="D58" s="1519"/>
      <c r="E58" s="1520"/>
      <c r="F58" s="4970">
        <f>F56</f>
        <v>541</v>
      </c>
      <c r="G58" s="4973"/>
      <c r="H58" s="4973"/>
      <c r="I58" s="4973"/>
      <c r="J58" s="4970">
        <f>I56+J56</f>
        <v>588</v>
      </c>
      <c r="K58" s="4970">
        <f>J58-K56</f>
        <v>537</v>
      </c>
      <c r="L58" s="4970">
        <f>J58-K56</f>
        <v>537</v>
      </c>
      <c r="M58" s="5079"/>
      <c r="N58" s="5080"/>
      <c r="O58" s="5079"/>
      <c r="P58" s="5080"/>
      <c r="Q58" s="4973"/>
      <c r="R58" s="5083"/>
      <c r="S58" s="1513"/>
    </row>
    <row r="59" spans="1:19" ht="8.1" customHeight="1">
      <c r="A59" s="1516">
        <v>48</v>
      </c>
      <c r="B59" s="1521"/>
      <c r="C59" s="1522"/>
      <c r="D59" s="1523"/>
      <c r="E59" s="1524"/>
      <c r="F59" s="4971"/>
      <c r="G59" s="4974"/>
      <c r="H59" s="4974"/>
      <c r="I59" s="4974"/>
      <c r="J59" s="4971"/>
      <c r="K59" s="4971"/>
      <c r="L59" s="4971"/>
      <c r="M59" s="5081"/>
      <c r="N59" s="5082"/>
      <c r="O59" s="5081"/>
      <c r="P59" s="5082"/>
      <c r="Q59" s="4974"/>
      <c r="R59" s="5084"/>
      <c r="S59" s="1513"/>
    </row>
    <row r="60" spans="1:19" ht="8.1" customHeight="1">
      <c r="A60" s="1516">
        <v>49</v>
      </c>
      <c r="B60" s="5128"/>
      <c r="C60" s="1525"/>
      <c r="D60" s="1526"/>
      <c r="E60" s="4940" t="s">
        <v>1475</v>
      </c>
      <c r="F60" s="4940"/>
      <c r="G60" s="4941"/>
      <c r="H60" s="4919"/>
      <c r="I60" s="4919"/>
      <c r="J60" s="4919"/>
      <c r="K60" s="4919"/>
      <c r="L60" s="4919"/>
      <c r="M60" s="4945" t="s">
        <v>1476</v>
      </c>
      <c r="N60" s="4945"/>
      <c r="O60" s="4945"/>
      <c r="P60" s="4919"/>
      <c r="Q60" s="4924"/>
      <c r="R60" s="5133"/>
      <c r="S60" s="1513"/>
    </row>
    <row r="61" spans="1:19" ht="8.1" customHeight="1">
      <c r="A61" s="1516">
        <v>50</v>
      </c>
      <c r="B61" s="5128"/>
      <c r="C61" s="1527"/>
      <c r="D61" s="1528"/>
      <c r="E61" s="5155"/>
      <c r="F61" s="5155"/>
      <c r="G61" s="5156"/>
      <c r="H61" s="4919"/>
      <c r="I61" s="4919"/>
      <c r="J61" s="4919"/>
      <c r="K61" s="4919"/>
      <c r="L61" s="4919"/>
      <c r="M61" s="4945"/>
      <c r="N61" s="4945"/>
      <c r="O61" s="4945"/>
      <c r="P61" s="4919"/>
      <c r="Q61" s="4924"/>
      <c r="R61" s="5133"/>
      <c r="S61" s="1513"/>
    </row>
    <row r="62" spans="1:19" ht="8.1" customHeight="1">
      <c r="A62" s="1516">
        <v>51</v>
      </c>
      <c r="B62" s="5128"/>
      <c r="C62" s="1525"/>
      <c r="D62" s="1526"/>
      <c r="E62" s="5151" t="s">
        <v>1477</v>
      </c>
      <c r="F62" s="5151"/>
      <c r="G62" s="5152"/>
      <c r="H62" s="4919"/>
      <c r="I62" s="4919"/>
      <c r="J62" s="4919"/>
      <c r="K62" s="4919"/>
      <c r="L62" s="4919"/>
      <c r="M62" s="4919" t="s">
        <v>1478</v>
      </c>
      <c r="N62" s="4919"/>
      <c r="O62" s="4919"/>
      <c r="P62" s="4919"/>
      <c r="Q62" s="4924"/>
      <c r="R62" s="5133"/>
      <c r="S62" s="1513"/>
    </row>
    <row r="63" spans="1:19" ht="8.1" customHeight="1">
      <c r="A63" s="1516">
        <v>52</v>
      </c>
      <c r="B63" s="5128"/>
      <c r="C63" s="1527"/>
      <c r="D63" s="1528"/>
      <c r="E63" s="5153"/>
      <c r="F63" s="5153"/>
      <c r="G63" s="5154"/>
      <c r="H63" s="4919"/>
      <c r="I63" s="4919"/>
      <c r="J63" s="4919"/>
      <c r="K63" s="4919"/>
      <c r="L63" s="4919"/>
      <c r="M63" s="4919"/>
      <c r="N63" s="4919"/>
      <c r="O63" s="4919"/>
      <c r="P63" s="4919"/>
      <c r="Q63" s="4924"/>
      <c r="R63" s="5133"/>
      <c r="S63" s="1513"/>
    </row>
    <row r="64" spans="1:19" ht="8.1" customHeight="1">
      <c r="A64" s="1516">
        <v>53</v>
      </c>
      <c r="B64" s="5128"/>
      <c r="C64" s="1525"/>
      <c r="D64" s="1526"/>
      <c r="E64" s="4960" t="s">
        <v>1479</v>
      </c>
      <c r="F64" s="4960"/>
      <c r="G64" s="4961"/>
      <c r="H64" s="4919"/>
      <c r="I64" s="4919"/>
      <c r="J64" s="4919"/>
      <c r="K64" s="4919"/>
      <c r="L64" s="4919"/>
      <c r="M64" s="4959" t="s">
        <v>1479</v>
      </c>
      <c r="N64" s="4960"/>
      <c r="O64" s="4961"/>
      <c r="P64" s="4919"/>
      <c r="Q64" s="4924"/>
      <c r="R64" s="5133"/>
      <c r="S64" s="1513"/>
    </row>
    <row r="65" spans="1:19" ht="8.1" customHeight="1">
      <c r="A65" s="1516">
        <v>54</v>
      </c>
      <c r="B65" s="5128"/>
      <c r="C65" s="1527"/>
      <c r="D65" s="1528"/>
      <c r="E65" s="4963"/>
      <c r="F65" s="4963"/>
      <c r="G65" s="4964"/>
      <c r="H65" s="4919"/>
      <c r="I65" s="4919"/>
      <c r="J65" s="4919"/>
      <c r="K65" s="4919"/>
      <c r="L65" s="4919"/>
      <c r="M65" s="4962"/>
      <c r="N65" s="4963"/>
      <c r="O65" s="4964"/>
      <c r="P65" s="4919"/>
      <c r="Q65" s="4924"/>
      <c r="R65" s="5133"/>
      <c r="S65" s="1513"/>
    </row>
    <row r="66" spans="1:19" ht="8.1" customHeight="1">
      <c r="A66" s="1516">
        <v>55</v>
      </c>
      <c r="B66" s="5128"/>
      <c r="C66" s="4919"/>
      <c r="D66" s="4919"/>
      <c r="E66" s="4919"/>
      <c r="F66" s="4919"/>
      <c r="G66" s="4919"/>
      <c r="H66" s="4919"/>
      <c r="I66" s="4919"/>
      <c r="J66" s="4919"/>
      <c r="K66" s="4919"/>
      <c r="L66" s="4919"/>
      <c r="M66" s="4919"/>
      <c r="N66" s="4919"/>
      <c r="O66" s="4919"/>
      <c r="P66" s="4919"/>
      <c r="Q66" s="4924"/>
      <c r="R66" s="5133"/>
      <c r="S66" s="1513"/>
    </row>
    <row r="67" spans="1:19" ht="8.1" customHeight="1">
      <c r="A67" s="1516">
        <v>56</v>
      </c>
      <c r="B67" s="5128"/>
      <c r="C67" s="4919"/>
      <c r="D67" s="4919"/>
      <c r="E67" s="4919"/>
      <c r="F67" s="4919"/>
      <c r="G67" s="4919"/>
      <c r="H67" s="4919"/>
      <c r="I67" s="4919"/>
      <c r="J67" s="4919"/>
      <c r="K67" s="4919"/>
      <c r="L67" s="4919"/>
      <c r="M67" s="4919"/>
      <c r="N67" s="4919"/>
      <c r="O67" s="4919"/>
      <c r="P67" s="4919"/>
      <c r="Q67" s="4924"/>
      <c r="R67" s="5133"/>
      <c r="S67" s="1513"/>
    </row>
    <row r="68" spans="1:19" ht="8.1" customHeight="1">
      <c r="A68" s="1516">
        <v>57</v>
      </c>
      <c r="B68" s="5128"/>
      <c r="C68" s="4919"/>
      <c r="D68" s="4945" t="str">
        <f>'[5]VISITA DE INSP.'!$AH$41</f>
        <v>JESUS MARTIN RICALDE CASTRO</v>
      </c>
      <c r="E68" s="4945"/>
      <c r="F68" s="4945"/>
      <c r="G68" s="4945"/>
      <c r="H68" s="4945"/>
      <c r="I68" s="4919"/>
      <c r="J68" s="4919"/>
      <c r="K68" s="4919"/>
      <c r="L68" s="4945" t="str">
        <f>D68</f>
        <v>JESUS MARTIN RICALDE CASTRO</v>
      </c>
      <c r="M68" s="4945"/>
      <c r="N68" s="4945"/>
      <c r="O68" s="4945"/>
      <c r="P68" s="4945"/>
      <c r="Q68" s="4924"/>
      <c r="R68" s="5133"/>
      <c r="S68" s="1513"/>
    </row>
    <row r="69" spans="1:19" ht="8.1" customHeight="1">
      <c r="A69" s="1516">
        <v>58</v>
      </c>
      <c r="B69" s="5128"/>
      <c r="C69" s="4919"/>
      <c r="D69" s="4956"/>
      <c r="E69" s="4956"/>
      <c r="F69" s="4956"/>
      <c r="G69" s="4956"/>
      <c r="H69" s="4956"/>
      <c r="I69" s="4919"/>
      <c r="J69" s="4919"/>
      <c r="K69" s="4919"/>
      <c r="L69" s="4956"/>
      <c r="M69" s="4956"/>
      <c r="N69" s="4956"/>
      <c r="O69" s="4956"/>
      <c r="P69" s="4956"/>
      <c r="Q69" s="4924"/>
      <c r="R69" s="5133"/>
      <c r="S69" s="1513"/>
    </row>
    <row r="70" spans="1:19" ht="8.1" customHeight="1">
      <c r="A70" s="1516">
        <v>59</v>
      </c>
      <c r="B70" s="5128"/>
      <c r="C70" s="4919"/>
      <c r="D70" s="5148" t="s">
        <v>1480</v>
      </c>
      <c r="E70" s="5149"/>
      <c r="F70" s="5149"/>
      <c r="G70" s="5149"/>
      <c r="H70" s="5150"/>
      <c r="I70" s="4919"/>
      <c r="J70" s="4919"/>
      <c r="K70" s="4919"/>
      <c r="L70" s="4921" t="s">
        <v>1480</v>
      </c>
      <c r="M70" s="4921"/>
      <c r="N70" s="4921"/>
      <c r="O70" s="4921"/>
      <c r="P70" s="4921"/>
      <c r="Q70" s="4924"/>
      <c r="R70" s="5133"/>
      <c r="S70" s="1513"/>
    </row>
    <row r="71" spans="1:19" ht="8.1" customHeight="1">
      <c r="A71" s="1516">
        <v>60</v>
      </c>
      <c r="B71" s="5128"/>
      <c r="C71" s="4919"/>
      <c r="D71" s="4962"/>
      <c r="E71" s="4963"/>
      <c r="F71" s="4963"/>
      <c r="G71" s="4963"/>
      <c r="H71" s="4964"/>
      <c r="I71" s="4919"/>
      <c r="J71" s="4919"/>
      <c r="K71" s="4919"/>
      <c r="L71" s="4922"/>
      <c r="M71" s="4922"/>
      <c r="N71" s="4922"/>
      <c r="O71" s="4922"/>
      <c r="P71" s="4922"/>
      <c r="Q71" s="4924"/>
      <c r="R71" s="5133"/>
      <c r="S71" s="1513"/>
    </row>
    <row r="72" spans="1:19" ht="8.1" customHeight="1">
      <c r="A72" s="1516">
        <v>61</v>
      </c>
      <c r="B72" s="5128"/>
      <c r="C72" s="4919"/>
      <c r="D72" s="4919"/>
      <c r="E72" s="4919"/>
      <c r="F72" s="4919"/>
      <c r="G72" s="4919"/>
      <c r="H72" s="4919"/>
      <c r="I72" s="4919"/>
      <c r="J72" s="4919"/>
      <c r="K72" s="4919"/>
      <c r="L72" s="4919"/>
      <c r="M72" s="4919"/>
      <c r="N72" s="4919"/>
      <c r="O72" s="4919"/>
      <c r="P72" s="4919"/>
      <c r="Q72" s="4924"/>
      <c r="R72" s="5133"/>
      <c r="S72" s="1513"/>
    </row>
    <row r="73" spans="1:19" ht="8.1" customHeight="1">
      <c r="A73" s="1516">
        <v>62</v>
      </c>
      <c r="B73" s="5128"/>
      <c r="C73" s="4919"/>
      <c r="D73" s="4919"/>
      <c r="E73" s="4919"/>
      <c r="F73" s="4919"/>
      <c r="G73" s="4919"/>
      <c r="H73" s="4919"/>
      <c r="I73" s="4919"/>
      <c r="J73" s="4919"/>
      <c r="K73" s="4919"/>
      <c r="L73" s="4919"/>
      <c r="M73" s="4919"/>
      <c r="N73" s="4919"/>
      <c r="O73" s="4919"/>
      <c r="P73" s="4919"/>
      <c r="Q73" s="4924"/>
      <c r="R73" s="5133"/>
      <c r="S73" s="1513"/>
    </row>
    <row r="74" spans="1:19" ht="8.1" customHeight="1">
      <c r="A74" s="1516">
        <v>63</v>
      </c>
      <c r="B74" s="5128"/>
      <c r="C74" s="4919"/>
      <c r="D74" s="4946" t="s">
        <v>2514</v>
      </c>
      <c r="E74" s="4940"/>
      <c r="F74" s="4940"/>
      <c r="G74" s="4940"/>
      <c r="H74" s="4941"/>
      <c r="I74" s="4919"/>
      <c r="J74" s="4919"/>
      <c r="K74" s="4919"/>
      <c r="L74" s="4946" t="str">
        <f>D74</f>
        <v>KATIA DIAZ ORTIZ</v>
      </c>
      <c r="M74" s="4940"/>
      <c r="N74" s="4940"/>
      <c r="O74" s="4940"/>
      <c r="P74" s="4941"/>
      <c r="Q74" s="4924"/>
      <c r="R74" s="5133"/>
      <c r="S74" s="1513"/>
    </row>
    <row r="75" spans="1:19" ht="8.1" customHeight="1">
      <c r="A75" s="1516">
        <v>64</v>
      </c>
      <c r="B75" s="5128"/>
      <c r="C75" s="4919"/>
      <c r="D75" s="4947"/>
      <c r="E75" s="4943"/>
      <c r="F75" s="4943"/>
      <c r="G75" s="4943"/>
      <c r="H75" s="4944"/>
      <c r="I75" s="4919"/>
      <c r="J75" s="4919"/>
      <c r="K75" s="4919"/>
      <c r="L75" s="4947"/>
      <c r="M75" s="4943"/>
      <c r="N75" s="4943"/>
      <c r="O75" s="4943"/>
      <c r="P75" s="4944"/>
      <c r="Q75" s="4924"/>
      <c r="R75" s="5133"/>
      <c r="S75" s="1513"/>
    </row>
    <row r="76" spans="1:19" ht="8.1" customHeight="1">
      <c r="A76" s="1516">
        <v>65</v>
      </c>
      <c r="B76" s="5128"/>
      <c r="C76" s="4919"/>
      <c r="D76" s="4921" t="s">
        <v>1481</v>
      </c>
      <c r="E76" s="4921"/>
      <c r="F76" s="4921"/>
      <c r="G76" s="4921"/>
      <c r="H76" s="4921"/>
      <c r="I76" s="4919"/>
      <c r="J76" s="4919"/>
      <c r="K76" s="4919"/>
      <c r="L76" s="4921" t="s">
        <v>1481</v>
      </c>
      <c r="M76" s="4921"/>
      <c r="N76" s="4921"/>
      <c r="O76" s="4921"/>
      <c r="P76" s="4921"/>
      <c r="Q76" s="4924"/>
      <c r="R76" s="5133"/>
      <c r="S76" s="1513"/>
    </row>
    <row r="77" spans="1:19" ht="8.1" customHeight="1">
      <c r="A77" s="1516">
        <v>66</v>
      </c>
      <c r="B77" s="5128"/>
      <c r="C77" s="4919"/>
      <c r="D77" s="4922"/>
      <c r="E77" s="4922"/>
      <c r="F77" s="4922"/>
      <c r="G77" s="4922"/>
      <c r="H77" s="4922"/>
      <c r="I77" s="4919"/>
      <c r="J77" s="4919"/>
      <c r="K77" s="4919"/>
      <c r="L77" s="4922"/>
      <c r="M77" s="4922"/>
      <c r="N77" s="4922"/>
      <c r="O77" s="4922"/>
      <c r="P77" s="4922"/>
      <c r="Q77" s="4924"/>
      <c r="R77" s="5133"/>
      <c r="S77" s="1513"/>
    </row>
    <row r="78" spans="1:19" ht="8.1" customHeight="1">
      <c r="A78" s="1516">
        <v>67</v>
      </c>
      <c r="B78" s="5128"/>
      <c r="C78" s="4919"/>
      <c r="D78" s="4919"/>
      <c r="E78" s="4919"/>
      <c r="F78" s="4919"/>
      <c r="G78" s="4919"/>
      <c r="H78" s="4919"/>
      <c r="I78" s="4919"/>
      <c r="J78" s="4919"/>
      <c r="K78" s="4919"/>
      <c r="L78" s="4919"/>
      <c r="M78" s="4919"/>
      <c r="N78" s="4919"/>
      <c r="O78" s="4919"/>
      <c r="P78" s="4919"/>
      <c r="Q78" s="4924"/>
      <c r="R78" s="5133"/>
      <c r="S78" s="1513"/>
    </row>
    <row r="79" spans="1:19" ht="8.1" customHeight="1">
      <c r="A79" s="1516">
        <v>68</v>
      </c>
      <c r="B79" s="5128"/>
      <c r="C79" s="4919"/>
      <c r="D79" s="4919"/>
      <c r="E79" s="4919"/>
      <c r="F79" s="4919"/>
      <c r="G79" s="4919"/>
      <c r="H79" s="4919"/>
      <c r="I79" s="4919"/>
      <c r="J79" s="4919"/>
      <c r="K79" s="4919"/>
      <c r="L79" s="4919"/>
      <c r="M79" s="4919"/>
      <c r="N79" s="4919"/>
      <c r="O79" s="4919"/>
      <c r="P79" s="4919"/>
      <c r="Q79" s="4924"/>
      <c r="R79" s="5133"/>
      <c r="S79" s="1513"/>
    </row>
    <row r="80" spans="1:19" ht="8.1" customHeight="1">
      <c r="A80" s="1516">
        <v>69</v>
      </c>
      <c r="B80" s="5128"/>
      <c r="C80" s="4919"/>
      <c r="D80" s="4919"/>
      <c r="E80" s="5136" t="s">
        <v>2691</v>
      </c>
      <c r="F80" s="5137"/>
      <c r="G80" s="5138"/>
      <c r="H80" s="4932"/>
      <c r="I80" s="5136"/>
      <c r="J80" s="5137"/>
      <c r="K80" s="5138"/>
      <c r="L80" s="4932"/>
      <c r="M80" s="5142" t="s">
        <v>2662</v>
      </c>
      <c r="N80" s="5143"/>
      <c r="O80" s="5144"/>
      <c r="P80" s="4919"/>
      <c r="Q80" s="4924"/>
      <c r="R80" s="5133"/>
      <c r="S80" s="1513"/>
    </row>
    <row r="81" spans="1:19" ht="8.1" customHeight="1">
      <c r="A81" s="1516">
        <v>70</v>
      </c>
      <c r="B81" s="5128"/>
      <c r="C81" s="4919"/>
      <c r="D81" s="4919"/>
      <c r="E81" s="5139"/>
      <c r="F81" s="5140"/>
      <c r="G81" s="5141"/>
      <c r="H81" s="4932"/>
      <c r="I81" s="5139"/>
      <c r="J81" s="5140"/>
      <c r="K81" s="5141"/>
      <c r="L81" s="4932"/>
      <c r="M81" s="5145"/>
      <c r="N81" s="5146"/>
      <c r="O81" s="5147"/>
      <c r="P81" s="4919"/>
      <c r="Q81" s="4924"/>
      <c r="R81" s="5133"/>
      <c r="S81" s="1513"/>
    </row>
    <row r="82" spans="1:19" ht="8.1" customHeight="1">
      <c r="A82" s="1516">
        <v>71</v>
      </c>
      <c r="B82" s="5128"/>
      <c r="C82" s="4919"/>
      <c r="D82" s="4919"/>
      <c r="E82" s="4920"/>
      <c r="F82" s="4921" t="s">
        <v>1458</v>
      </c>
      <c r="G82" s="4920"/>
      <c r="H82" s="4919"/>
      <c r="I82" s="4920"/>
      <c r="J82" s="4921" t="s">
        <v>1458</v>
      </c>
      <c r="K82" s="4920"/>
      <c r="L82" s="4919"/>
      <c r="M82" s="4920"/>
      <c r="N82" s="4921" t="s">
        <v>1458</v>
      </c>
      <c r="O82" s="4920"/>
      <c r="P82" s="4919"/>
      <c r="Q82" s="4924"/>
      <c r="R82" s="5133"/>
      <c r="S82" s="1513"/>
    </row>
    <row r="83" spans="1:19" ht="8.1" customHeight="1">
      <c r="A83" s="1516">
        <v>72</v>
      </c>
      <c r="B83" s="5128"/>
      <c r="C83" s="4919"/>
      <c r="D83" s="4919"/>
      <c r="E83" s="4919"/>
      <c r="F83" s="4922"/>
      <c r="G83" s="4919"/>
      <c r="H83" s="4919"/>
      <c r="I83" s="4919"/>
      <c r="J83" s="4922"/>
      <c r="K83" s="4919"/>
      <c r="L83" s="4919"/>
      <c r="M83" s="4919"/>
      <c r="N83" s="4922"/>
      <c r="O83" s="4919"/>
      <c r="P83" s="4919"/>
      <c r="Q83" s="4924"/>
      <c r="R83" s="5133"/>
      <c r="S83" s="1513"/>
    </row>
    <row r="84" spans="1:19" ht="8.1" customHeight="1">
      <c r="A84" s="1516">
        <v>73</v>
      </c>
      <c r="B84" s="5128"/>
      <c r="C84" s="4924"/>
      <c r="D84" s="4924"/>
      <c r="E84" s="4924"/>
      <c r="F84" s="4924"/>
      <c r="G84" s="4924"/>
      <c r="H84" s="4924"/>
      <c r="I84" s="4924"/>
      <c r="J84" s="4924"/>
      <c r="K84" s="4924"/>
      <c r="L84" s="4924"/>
      <c r="M84" s="4924"/>
      <c r="N84" s="4924"/>
      <c r="O84" s="4924"/>
      <c r="P84" s="4924"/>
      <c r="Q84" s="4924"/>
      <c r="R84" s="5133"/>
      <c r="S84" s="1513"/>
    </row>
    <row r="85" spans="1:19" ht="8.1" customHeight="1">
      <c r="A85" s="1516">
        <v>74</v>
      </c>
      <c r="B85" s="5128"/>
      <c r="C85" s="4924"/>
      <c r="D85" s="4924"/>
      <c r="E85" s="4924"/>
      <c r="F85" s="4924"/>
      <c r="G85" s="4924"/>
      <c r="H85" s="4924"/>
      <c r="I85" s="4924"/>
      <c r="J85" s="4924"/>
      <c r="K85" s="4924"/>
      <c r="L85" s="4924"/>
      <c r="M85" s="4924"/>
      <c r="N85" s="4924"/>
      <c r="O85" s="4924"/>
      <c r="P85" s="4924"/>
      <c r="Q85" s="4924"/>
      <c r="R85" s="5133"/>
      <c r="S85" s="1513"/>
    </row>
    <row r="86" spans="1:19" ht="8.1" customHeight="1">
      <c r="A86" s="1516">
        <v>75</v>
      </c>
      <c r="B86" s="5128"/>
      <c r="C86" s="4924"/>
      <c r="D86" s="4924"/>
      <c r="E86" s="4924"/>
      <c r="F86" s="4924"/>
      <c r="G86" s="4924"/>
      <c r="H86" s="4924"/>
      <c r="I86" s="4924"/>
      <c r="J86" s="4924"/>
      <c r="K86" s="4924"/>
      <c r="L86" s="4924"/>
      <c r="M86" s="4924"/>
      <c r="N86" s="4924"/>
      <c r="O86" s="4924"/>
      <c r="P86" s="4924"/>
      <c r="Q86" s="4924"/>
      <c r="R86" s="5133"/>
      <c r="S86" s="1513"/>
    </row>
    <row r="87" spans="1:19" ht="8.1" customHeight="1">
      <c r="A87" s="1516">
        <v>76</v>
      </c>
      <c r="B87" s="5135"/>
      <c r="C87" s="4914"/>
      <c r="D87" s="4914"/>
      <c r="E87" s="4914"/>
      <c r="F87" s="4914"/>
      <c r="G87" s="4914"/>
      <c r="H87" s="4914"/>
      <c r="I87" s="4914"/>
      <c r="J87" s="4914"/>
      <c r="K87" s="4914"/>
      <c r="L87" s="4914"/>
      <c r="M87" s="4914"/>
      <c r="N87" s="4914"/>
      <c r="O87" s="4914"/>
      <c r="P87" s="4914"/>
      <c r="Q87" s="4914"/>
      <c r="R87" s="5134"/>
      <c r="S87" s="1513"/>
    </row>
    <row r="88" spans="1:19" ht="8.1" customHeight="1">
      <c r="A88" s="1516"/>
      <c r="B88" s="2263"/>
      <c r="C88" s="2263"/>
      <c r="D88" s="2263"/>
      <c r="E88" s="2263"/>
      <c r="F88" s="2263"/>
      <c r="G88" s="2263"/>
      <c r="H88" s="2263"/>
      <c r="I88" s="2263"/>
      <c r="J88" s="2263"/>
      <c r="K88" s="2263"/>
      <c r="L88" s="2263"/>
      <c r="M88" s="2263"/>
      <c r="N88" s="2263"/>
      <c r="O88" s="2263"/>
      <c r="P88" s="2263"/>
      <c r="Q88" s="2263"/>
      <c r="R88" s="2263"/>
      <c r="S88" s="1513"/>
    </row>
    <row r="89" spans="1:19" ht="8.1" customHeight="1">
      <c r="A89" s="1516"/>
      <c r="B89" s="2263"/>
      <c r="C89" s="2263"/>
      <c r="D89" s="2263"/>
      <c r="E89" s="2263"/>
      <c r="F89" s="2263"/>
      <c r="G89" s="2263"/>
      <c r="H89" s="2263"/>
      <c r="I89" s="2263"/>
      <c r="J89" s="2263"/>
      <c r="K89" s="2263"/>
      <c r="L89" s="2612"/>
      <c r="M89" s="2612"/>
      <c r="N89" s="2612"/>
      <c r="O89" s="2612"/>
      <c r="P89" s="2612"/>
      <c r="Q89" s="2612"/>
      <c r="R89" s="2612"/>
      <c r="S89" s="1513"/>
    </row>
    <row r="90" spans="1:19" ht="8.1" customHeight="1">
      <c r="A90" s="1516"/>
      <c r="B90" s="2263"/>
      <c r="C90" s="2263"/>
      <c r="D90" s="2263"/>
      <c r="E90" s="2263"/>
      <c r="F90" s="2263"/>
      <c r="G90" s="2263"/>
      <c r="H90" s="2263"/>
      <c r="I90" s="2263"/>
      <c r="J90" s="2263"/>
      <c r="K90" s="2263"/>
      <c r="L90" s="911"/>
      <c r="M90" s="911"/>
      <c r="N90" s="911"/>
      <c r="O90" s="911"/>
      <c r="P90" s="911"/>
      <c r="Q90" s="911"/>
      <c r="R90" s="2612"/>
      <c r="S90" s="1513"/>
    </row>
    <row r="91" spans="1:19" ht="8.1" customHeight="1">
      <c r="A91" s="1516"/>
      <c r="B91" s="2263"/>
      <c r="C91" s="2263"/>
      <c r="D91" s="2263"/>
      <c r="E91" s="2263"/>
      <c r="F91" s="2263"/>
      <c r="G91" s="2263"/>
      <c r="H91" s="2263"/>
      <c r="I91" s="2263"/>
      <c r="J91" s="2263"/>
      <c r="K91" s="2263"/>
      <c r="L91" s="2263"/>
      <c r="M91" s="2263"/>
      <c r="N91" s="2263"/>
      <c r="O91" s="2263"/>
      <c r="P91" s="2263"/>
      <c r="Q91" s="2263"/>
      <c r="R91" s="2263"/>
      <c r="S91" s="1513"/>
    </row>
    <row r="92" spans="1:19" ht="8.1" customHeight="1">
      <c r="A92" s="1516"/>
      <c r="B92" s="2263"/>
      <c r="C92" s="2263"/>
      <c r="D92" s="2263"/>
      <c r="E92" s="2263"/>
      <c r="F92" s="2263"/>
      <c r="G92" s="2263"/>
      <c r="H92" s="2263"/>
      <c r="I92" s="2263"/>
      <c r="J92" s="2263"/>
      <c r="K92" s="2263"/>
      <c r="L92" s="2263"/>
      <c r="M92" s="2263"/>
      <c r="N92" s="2263"/>
      <c r="O92" s="2263"/>
      <c r="P92" s="2263"/>
      <c r="Q92" s="2263"/>
      <c r="R92" s="2263"/>
      <c r="S92" s="1513"/>
    </row>
    <row r="93" spans="1:19" ht="8.1" customHeight="1">
      <c r="A93" s="1516"/>
      <c r="B93" s="2263"/>
      <c r="C93" s="2263"/>
      <c r="D93" s="2263"/>
      <c r="E93" s="2263"/>
      <c r="F93" s="2263"/>
      <c r="G93" s="2263"/>
      <c r="H93" s="2263"/>
      <c r="I93" s="2263"/>
      <c r="J93" s="2263"/>
      <c r="K93" s="2263"/>
      <c r="L93" s="2263"/>
      <c r="M93" s="2263"/>
      <c r="N93" s="2263"/>
      <c r="O93" s="2263"/>
      <c r="P93" s="2263"/>
      <c r="Q93" s="2263"/>
      <c r="R93" s="2263"/>
      <c r="S93" s="1513"/>
    </row>
    <row r="94" spans="1:19" ht="8.1" customHeight="1">
      <c r="A94" s="1516"/>
      <c r="B94" s="2263"/>
      <c r="C94" s="2263"/>
      <c r="D94" s="2263"/>
      <c r="E94" s="2263"/>
      <c r="F94" s="2263"/>
      <c r="G94" s="2263"/>
      <c r="H94" s="2263"/>
      <c r="I94" s="2263"/>
      <c r="J94" s="2263"/>
      <c r="K94" s="2263"/>
      <c r="L94" s="2263"/>
      <c r="M94" s="2263"/>
      <c r="N94" s="2263"/>
      <c r="O94" s="2263"/>
      <c r="P94" s="2263"/>
      <c r="Q94" s="2263"/>
      <c r="R94" s="2263"/>
      <c r="S94" s="1513"/>
    </row>
    <row r="95" spans="1:19" ht="8.1" customHeight="1">
      <c r="A95" s="1507"/>
      <c r="B95" s="1508"/>
      <c r="C95" s="1508"/>
      <c r="D95" s="1508"/>
      <c r="E95" s="1508"/>
      <c r="F95" s="1508"/>
      <c r="G95" s="1515"/>
      <c r="H95" s="1515"/>
      <c r="I95" s="1515"/>
      <c r="J95" s="1515"/>
      <c r="K95" s="1515"/>
      <c r="L95" s="1515"/>
      <c r="M95" s="1515"/>
      <c r="N95" s="1515"/>
      <c r="O95" s="1515"/>
      <c r="P95" s="1508"/>
      <c r="Q95" s="1508"/>
      <c r="R95" s="1508"/>
      <c r="S95" s="1513"/>
    </row>
    <row r="96" spans="1:19" ht="12" customHeight="1">
      <c r="A96" s="1507"/>
      <c r="B96" s="1508"/>
      <c r="C96" s="1508"/>
      <c r="D96" s="1508"/>
      <c r="E96" s="1508"/>
      <c r="F96" s="2241" t="str">
        <f>F1</f>
        <v>SERVICIOS EDUCATIVOS DE  QUINTANA  ROO</v>
      </c>
      <c r="G96" s="1509"/>
      <c r="H96" s="1510"/>
      <c r="I96" s="1510"/>
      <c r="J96" s="1510"/>
      <c r="K96" s="1510"/>
      <c r="L96" s="1510"/>
      <c r="M96" s="1510"/>
      <c r="N96" s="1510"/>
      <c r="O96" s="1510"/>
      <c r="P96" s="1511"/>
      <c r="Q96" s="1511"/>
      <c r="R96" s="1529"/>
      <c r="S96" s="1513"/>
    </row>
    <row r="97" spans="1:19" ht="12" customHeight="1">
      <c r="A97" s="1507"/>
      <c r="B97" s="1508"/>
      <c r="C97" s="1508"/>
      <c r="D97" s="1508"/>
      <c r="E97" s="1508"/>
      <c r="F97" s="2241" t="str">
        <f>F2</f>
        <v>COORDINACION GENERAL DE PLANEACION</v>
      </c>
      <c r="G97" s="1509"/>
      <c r="H97" s="1510"/>
      <c r="I97" s="1510"/>
      <c r="J97" s="1510"/>
      <c r="K97" s="1510"/>
      <c r="L97" s="1510"/>
      <c r="M97" s="1510"/>
      <c r="N97" s="1510"/>
      <c r="O97" s="1510"/>
      <c r="P97" s="1510"/>
      <c r="Q97" s="1511"/>
      <c r="R97" s="1511"/>
      <c r="S97" s="1513"/>
    </row>
    <row r="98" spans="1:19" ht="12" customHeight="1">
      <c r="A98" s="1507"/>
      <c r="B98" s="1508"/>
      <c r="C98" s="1508"/>
      <c r="D98" s="1508"/>
      <c r="E98" s="1508"/>
      <c r="F98" s="2241" t="str">
        <f>F3</f>
        <v>DIRECCION DE PROFESIONES Y SERVICIOS ESCOLARES</v>
      </c>
      <c r="G98" s="1509"/>
      <c r="H98" s="1510"/>
      <c r="I98" s="1510"/>
      <c r="J98" s="1510"/>
      <c r="K98" s="1510"/>
      <c r="L98" s="1510"/>
      <c r="M98" s="1510"/>
      <c r="N98" s="1510"/>
      <c r="O98" s="1510"/>
      <c r="P98" s="1511"/>
      <c r="Q98" s="1511"/>
      <c r="R98" s="1511"/>
      <c r="S98" s="1513"/>
    </row>
    <row r="99" spans="1:19" ht="12" customHeight="1">
      <c r="A99" s="1507"/>
      <c r="B99" s="1508"/>
      <c r="C99" s="1508"/>
      <c r="D99" s="1508"/>
      <c r="E99" s="1508"/>
      <c r="F99" s="2241" t="str">
        <f>F4</f>
        <v>DEPARTAMENTO DE CONTROL ESCOLAR</v>
      </c>
      <c r="G99" s="1509"/>
      <c r="H99" s="1510"/>
      <c r="I99" s="1510"/>
      <c r="J99" s="1510"/>
      <c r="K99" s="1510"/>
      <c r="L99" s="1510"/>
      <c r="M99" s="1510"/>
      <c r="N99" s="1510"/>
      <c r="O99" s="1510"/>
      <c r="P99" s="1511"/>
      <c r="Q99" s="1511"/>
      <c r="R99" s="1511"/>
      <c r="S99" s="1513"/>
    </row>
    <row r="100" spans="1:19" ht="8.1" customHeight="1">
      <c r="A100" s="1507"/>
      <c r="B100" s="1508"/>
      <c r="C100" s="1508"/>
      <c r="D100" s="1508"/>
      <c r="E100" s="1508"/>
      <c r="F100" s="1511"/>
      <c r="G100" s="1509"/>
      <c r="H100" s="1509"/>
      <c r="I100" s="1509"/>
      <c r="J100" s="1509"/>
      <c r="K100" s="1509"/>
      <c r="L100" s="1509"/>
      <c r="M100" s="1509"/>
      <c r="N100" s="1509"/>
      <c r="O100" s="1509"/>
      <c r="P100" s="1511"/>
      <c r="Q100" s="1511"/>
      <c r="R100" s="1511"/>
      <c r="S100" s="1513"/>
    </row>
    <row r="101" spans="1:19" ht="8.1" customHeight="1">
      <c r="A101" s="1507"/>
      <c r="B101" s="1508"/>
      <c r="C101" s="1508"/>
      <c r="D101" s="1508"/>
      <c r="E101" s="1508"/>
      <c r="F101" s="1511"/>
      <c r="G101" s="1509"/>
      <c r="H101" s="1509"/>
      <c r="I101" s="1509"/>
      <c r="J101" s="1509"/>
      <c r="K101" s="1509"/>
      <c r="L101" s="1509"/>
      <c r="M101" s="1509"/>
      <c r="N101" s="1509"/>
      <c r="O101" s="5011" t="str">
        <f>O6</f>
        <v>EDUCACION: PRIMARIA</v>
      </c>
      <c r="P101" s="5011"/>
      <c r="Q101" s="5011"/>
      <c r="R101" s="5011"/>
      <c r="S101" s="1513"/>
    </row>
    <row r="102" spans="1:19" ht="8.1" customHeight="1">
      <c r="A102" s="1507"/>
      <c r="B102" s="1508"/>
      <c r="C102" s="1508"/>
      <c r="D102" s="1508"/>
      <c r="E102" s="1508"/>
      <c r="F102" s="5011" t="str">
        <f>F7</f>
        <v>ZONA ESCOLAR : 042</v>
      </c>
      <c r="G102" s="5011"/>
      <c r="H102" s="5011"/>
      <c r="I102" s="5011"/>
      <c r="J102" s="5012" t="s">
        <v>108</v>
      </c>
      <c r="K102" s="5011" t="s">
        <v>1443</v>
      </c>
      <c r="L102" s="5011"/>
      <c r="M102" s="1509"/>
      <c r="N102" s="1509"/>
      <c r="O102" s="5011"/>
      <c r="P102" s="5011"/>
      <c r="Q102" s="5011"/>
      <c r="R102" s="5011"/>
      <c r="S102" s="1513"/>
    </row>
    <row r="103" spans="1:19" ht="8.1" customHeight="1">
      <c r="A103" s="1507"/>
      <c r="B103" s="1508"/>
      <c r="C103" s="1508"/>
      <c r="D103" s="1508"/>
      <c r="E103" s="1508"/>
      <c r="F103" s="5011"/>
      <c r="G103" s="5011"/>
      <c r="H103" s="5011"/>
      <c r="I103" s="5011"/>
      <c r="J103" s="5012"/>
      <c r="K103" s="5011"/>
      <c r="L103" s="5011"/>
      <c r="M103" s="1509"/>
      <c r="N103" s="1509"/>
      <c r="O103" s="5129" t="str">
        <f>O8</f>
        <v>PERIODO ESCOLAR: 2012 / 2013</v>
      </c>
      <c r="P103" s="5129"/>
      <c r="Q103" s="5129"/>
      <c r="R103" s="5129"/>
      <c r="S103" s="1513"/>
    </row>
    <row r="104" spans="1:19" ht="8.1" customHeight="1">
      <c r="A104" s="1507"/>
      <c r="B104" s="5178" t="str">
        <f>B9</f>
        <v>2do. Informe</v>
      </c>
      <c r="C104" s="5178"/>
      <c r="D104" s="5179" t="str">
        <f>D9</f>
        <v>INICIO</v>
      </c>
      <c r="E104" s="5179"/>
      <c r="F104" s="1511"/>
      <c r="G104" s="1509"/>
      <c r="H104" s="1514"/>
      <c r="I104" s="1514"/>
      <c r="J104" s="1514"/>
      <c r="K104" s="1509"/>
      <c r="L104" s="1509"/>
      <c r="M104" s="1509"/>
      <c r="N104" s="1509"/>
      <c r="O104" s="5129"/>
      <c r="P104" s="5129"/>
      <c r="Q104" s="5129"/>
      <c r="R104" s="5129"/>
      <c r="S104" s="1513"/>
    </row>
    <row r="105" spans="1:19" ht="8.1" customHeight="1">
      <c r="A105" s="1507"/>
      <c r="B105" s="5178"/>
      <c r="C105" s="5178"/>
      <c r="D105" s="5179"/>
      <c r="E105" s="5179"/>
      <c r="F105" s="1511"/>
      <c r="G105" s="1509"/>
      <c r="H105" s="1514"/>
      <c r="I105" s="1514"/>
      <c r="J105" s="1514"/>
      <c r="K105" s="1509"/>
      <c r="L105" s="1509"/>
      <c r="M105" s="1509"/>
      <c r="N105" s="1509"/>
      <c r="O105" s="5181" t="str">
        <f>O10</f>
        <v>2do. Informe</v>
      </c>
      <c r="P105" s="5181"/>
      <c r="Q105" s="5181"/>
      <c r="R105" s="5181"/>
      <c r="S105" s="1513"/>
    </row>
    <row r="106" spans="1:19" ht="8.1" customHeight="1">
      <c r="A106" s="1507"/>
      <c r="B106" s="1508"/>
      <c r="C106" s="1508"/>
      <c r="D106" s="1508"/>
      <c r="E106" s="1508"/>
      <c r="F106" s="1508"/>
      <c r="G106" s="1515"/>
      <c r="H106" s="1515"/>
      <c r="I106" s="1515"/>
      <c r="J106" s="1515"/>
      <c r="K106" s="1515"/>
      <c r="L106" s="1515"/>
      <c r="M106" s="1515"/>
      <c r="N106" s="1515"/>
      <c r="O106" s="5182"/>
      <c r="P106" s="5182"/>
      <c r="Q106" s="5182"/>
      <c r="R106" s="5182"/>
      <c r="S106" s="1513"/>
    </row>
    <row r="107" spans="1:19" ht="8.1" customHeight="1">
      <c r="A107" s="1516">
        <v>1</v>
      </c>
      <c r="B107" s="5130" t="s">
        <v>1466</v>
      </c>
      <c r="C107" s="5101" t="s">
        <v>1467</v>
      </c>
      <c r="D107" s="5101"/>
      <c r="E107" s="5101"/>
      <c r="F107" s="5101" t="s">
        <v>1468</v>
      </c>
      <c r="G107" s="5101"/>
      <c r="H107" s="5101"/>
      <c r="I107" s="5101"/>
      <c r="J107" s="5101" t="s">
        <v>423</v>
      </c>
      <c r="K107" s="5113" t="s">
        <v>434</v>
      </c>
      <c r="L107" s="5101" t="s">
        <v>408</v>
      </c>
      <c r="M107" s="5102" t="s">
        <v>1469</v>
      </c>
      <c r="N107" s="5103"/>
      <c r="O107" s="5103"/>
      <c r="P107" s="5104"/>
      <c r="Q107" s="5101" t="s">
        <v>1470</v>
      </c>
      <c r="R107" s="5108" t="s">
        <v>117</v>
      </c>
      <c r="S107" s="1513"/>
    </row>
    <row r="108" spans="1:19" ht="8.1" customHeight="1">
      <c r="A108" s="1516">
        <v>2</v>
      </c>
      <c r="B108" s="5131"/>
      <c r="C108" s="5097"/>
      <c r="D108" s="5097"/>
      <c r="E108" s="5097"/>
      <c r="F108" s="5097"/>
      <c r="G108" s="5097"/>
      <c r="H108" s="5097"/>
      <c r="I108" s="5097"/>
      <c r="J108" s="5097"/>
      <c r="K108" s="5114"/>
      <c r="L108" s="5097"/>
      <c r="M108" s="5105"/>
      <c r="N108" s="5106"/>
      <c r="O108" s="5106"/>
      <c r="P108" s="5107"/>
      <c r="Q108" s="5097"/>
      <c r="R108" s="5099"/>
      <c r="S108" s="1513"/>
    </row>
    <row r="109" spans="1:19" ht="8.1" customHeight="1">
      <c r="A109" s="1516">
        <v>3</v>
      </c>
      <c r="B109" s="5131"/>
      <c r="C109" s="5097"/>
      <c r="D109" s="5097"/>
      <c r="E109" s="5097"/>
      <c r="F109" s="5097" t="s">
        <v>1471</v>
      </c>
      <c r="G109" s="5097" t="s">
        <v>1472</v>
      </c>
      <c r="H109" s="5097" t="s">
        <v>1473</v>
      </c>
      <c r="I109" s="5097" t="s">
        <v>408</v>
      </c>
      <c r="J109" s="5097"/>
      <c r="K109" s="5114"/>
      <c r="L109" s="5097"/>
      <c r="M109" s="5109" t="s">
        <v>1474</v>
      </c>
      <c r="N109" s="5110"/>
      <c r="O109" s="5109" t="s">
        <v>1472</v>
      </c>
      <c r="P109" s="5110"/>
      <c r="Q109" s="5097"/>
      <c r="R109" s="5099" t="s">
        <v>1470</v>
      </c>
      <c r="S109" s="1513"/>
    </row>
    <row r="110" spans="1:19" ht="8.1" customHeight="1">
      <c r="A110" s="1516">
        <v>4</v>
      </c>
      <c r="B110" s="5132"/>
      <c r="C110" s="5098"/>
      <c r="D110" s="5098"/>
      <c r="E110" s="5098"/>
      <c r="F110" s="5098"/>
      <c r="G110" s="5098"/>
      <c r="H110" s="5098"/>
      <c r="I110" s="5098"/>
      <c r="J110" s="5098"/>
      <c r="K110" s="5115"/>
      <c r="L110" s="5098"/>
      <c r="M110" s="5111"/>
      <c r="N110" s="5112"/>
      <c r="O110" s="5111"/>
      <c r="P110" s="5112"/>
      <c r="Q110" s="5098"/>
      <c r="R110" s="5100"/>
      <c r="S110" s="1513"/>
    </row>
    <row r="111" spans="1:19" ht="8.1" customHeight="1">
      <c r="A111" s="1516">
        <v>5</v>
      </c>
      <c r="B111" s="4975">
        <f>B16</f>
        <v>1</v>
      </c>
      <c r="C111" s="5089" t="str">
        <f>C16</f>
        <v>23DPR0055K</v>
      </c>
      <c r="D111" s="5089"/>
      <c r="E111" s="5089"/>
      <c r="F111" s="4975">
        <f>'VISITA DE INSP.'!JE3</f>
        <v>68</v>
      </c>
      <c r="G111" s="4975">
        <f>'VISITA DE INSP.'!IW3</f>
        <v>2</v>
      </c>
      <c r="H111" s="4975"/>
      <c r="I111" s="5089">
        <f>F111-H111</f>
        <v>68</v>
      </c>
      <c r="J111" s="4975">
        <f>'VISITA DE INSP.'!JK3</f>
        <v>4</v>
      </c>
      <c r="K111" s="4975">
        <f>'VISITA DE INSP.'!JQ3</f>
        <v>8</v>
      </c>
      <c r="L111" s="4988">
        <f>I111+J111-K111</f>
        <v>64</v>
      </c>
      <c r="M111" s="4989">
        <f>L111</f>
        <v>64</v>
      </c>
      <c r="N111" s="4990"/>
      <c r="O111" s="4989">
        <f>G111</f>
        <v>2</v>
      </c>
      <c r="P111" s="4990"/>
      <c r="Q111" s="4988">
        <f>L111-R111</f>
        <v>64</v>
      </c>
      <c r="R111" s="5096">
        <f>'VISITA DE INSP.'!KC3</f>
        <v>0</v>
      </c>
      <c r="S111" s="1513"/>
    </row>
    <row r="112" spans="1:19" ht="8.1" customHeight="1">
      <c r="A112" s="1516">
        <v>6</v>
      </c>
      <c r="B112" s="4972"/>
      <c r="C112" s="5085"/>
      <c r="D112" s="5085"/>
      <c r="E112" s="5085"/>
      <c r="F112" s="4972"/>
      <c r="G112" s="4972"/>
      <c r="H112" s="4972"/>
      <c r="I112" s="5085"/>
      <c r="J112" s="4972"/>
      <c r="K112" s="4972"/>
      <c r="L112" s="4969"/>
      <c r="M112" s="4967"/>
      <c r="N112" s="4968"/>
      <c r="O112" s="4967"/>
      <c r="P112" s="4968"/>
      <c r="Q112" s="4969"/>
      <c r="R112" s="4972"/>
      <c r="S112" s="1513"/>
    </row>
    <row r="113" spans="1:19" ht="8.1" customHeight="1">
      <c r="A113" s="1516">
        <v>7</v>
      </c>
      <c r="B113" s="4975">
        <f t="shared" ref="B113" si="1">B18</f>
        <v>2</v>
      </c>
      <c r="C113" s="5085" t="str">
        <f>C18</f>
        <v>23DPR0491L</v>
      </c>
      <c r="D113" s="5085"/>
      <c r="E113" s="5085"/>
      <c r="F113" s="4975">
        <f>'VISITA DE INSP.'!JE4</f>
        <v>69</v>
      </c>
      <c r="G113" s="4975">
        <f>'VISITA DE INSP.'!IW4</f>
        <v>2</v>
      </c>
      <c r="H113" s="4972"/>
      <c r="I113" s="4972">
        <f>F113-H113</f>
        <v>69</v>
      </c>
      <c r="J113" s="4975">
        <f>'VISITA DE INSP.'!JK4</f>
        <v>3</v>
      </c>
      <c r="K113" s="4975">
        <f>'VISITA DE INSP.'!JQ4</f>
        <v>6</v>
      </c>
      <c r="L113" s="4969">
        <f>I113+J113-K113</f>
        <v>66</v>
      </c>
      <c r="M113" s="4965">
        <f>L113</f>
        <v>66</v>
      </c>
      <c r="N113" s="4966"/>
      <c r="O113" s="4965">
        <f>G113</f>
        <v>2</v>
      </c>
      <c r="P113" s="4966"/>
      <c r="Q113" s="4969">
        <f>L113-R113</f>
        <v>66</v>
      </c>
      <c r="R113" s="4972">
        <f>'VISITA DE INSP.'!KC4</f>
        <v>0</v>
      </c>
      <c r="S113" s="1513"/>
    </row>
    <row r="114" spans="1:19" ht="8.1" customHeight="1">
      <c r="A114" s="1516">
        <v>8</v>
      </c>
      <c r="B114" s="4972"/>
      <c r="C114" s="5085"/>
      <c r="D114" s="5085"/>
      <c r="E114" s="5085"/>
      <c r="F114" s="4972"/>
      <c r="G114" s="4972"/>
      <c r="H114" s="4972"/>
      <c r="I114" s="4972"/>
      <c r="J114" s="4972"/>
      <c r="K114" s="4972"/>
      <c r="L114" s="4969"/>
      <c r="M114" s="4967"/>
      <c r="N114" s="4968"/>
      <c r="O114" s="4967"/>
      <c r="P114" s="4968"/>
      <c r="Q114" s="4969"/>
      <c r="R114" s="4972"/>
      <c r="S114" s="1513"/>
    </row>
    <row r="115" spans="1:19" ht="8.1" customHeight="1">
      <c r="A115" s="1516">
        <v>9</v>
      </c>
      <c r="B115" s="4975">
        <f t="shared" ref="B115" si="2">B20</f>
        <v>3</v>
      </c>
      <c r="C115" s="5085" t="str">
        <f>C20</f>
        <v>23DPR0492K</v>
      </c>
      <c r="D115" s="5085"/>
      <c r="E115" s="5085"/>
      <c r="F115" s="4975">
        <f>'VISITA DE INSP.'!JE5</f>
        <v>65</v>
      </c>
      <c r="G115" s="4975">
        <f>'VISITA DE INSP.'!IW5</f>
        <v>2</v>
      </c>
      <c r="H115" s="4972"/>
      <c r="I115" s="4972">
        <f>F115-H115</f>
        <v>65</v>
      </c>
      <c r="J115" s="4975">
        <f>'VISITA DE INSP.'!JK5</f>
        <v>7</v>
      </c>
      <c r="K115" s="4975">
        <f>'VISITA DE INSP.'!JQ5</f>
        <v>14</v>
      </c>
      <c r="L115" s="4969">
        <f>I115+J115-K115</f>
        <v>58</v>
      </c>
      <c r="M115" s="4965">
        <f>L115</f>
        <v>58</v>
      </c>
      <c r="N115" s="4966"/>
      <c r="O115" s="4965">
        <f>G115</f>
        <v>2</v>
      </c>
      <c r="P115" s="4966"/>
      <c r="Q115" s="4969">
        <f>L115-R115</f>
        <v>58</v>
      </c>
      <c r="R115" s="4972">
        <f>'VISITA DE INSP.'!KC5</f>
        <v>0</v>
      </c>
      <c r="S115" s="1513"/>
    </row>
    <row r="116" spans="1:19" ht="8.1" customHeight="1">
      <c r="A116" s="1516">
        <v>10</v>
      </c>
      <c r="B116" s="4972"/>
      <c r="C116" s="5085"/>
      <c r="D116" s="5085"/>
      <c r="E116" s="5085"/>
      <c r="F116" s="4972"/>
      <c r="G116" s="4972"/>
      <c r="H116" s="4972"/>
      <c r="I116" s="4972"/>
      <c r="J116" s="4972"/>
      <c r="K116" s="4972"/>
      <c r="L116" s="4969"/>
      <c r="M116" s="4967"/>
      <c r="N116" s="4968"/>
      <c r="O116" s="4967"/>
      <c r="P116" s="4968"/>
      <c r="Q116" s="4969"/>
      <c r="R116" s="4972"/>
      <c r="S116" s="1513"/>
    </row>
    <row r="117" spans="1:19" ht="8.1" customHeight="1">
      <c r="A117" s="1516">
        <v>11</v>
      </c>
      <c r="B117" s="4975">
        <f t="shared" ref="B117" si="3">B22</f>
        <v>4</v>
      </c>
      <c r="C117" s="5085" t="str">
        <f>C22</f>
        <v>23DPR0564N</v>
      </c>
      <c r="D117" s="5085"/>
      <c r="E117" s="5085"/>
      <c r="F117" s="4975">
        <f>'VISITA DE INSP.'!JE6</f>
        <v>69</v>
      </c>
      <c r="G117" s="4975">
        <f>'VISITA DE INSP.'!IW6</f>
        <v>2</v>
      </c>
      <c r="H117" s="4972"/>
      <c r="I117" s="4972">
        <f>F117-H117</f>
        <v>69</v>
      </c>
      <c r="J117" s="4975">
        <f>'VISITA DE INSP.'!JK6</f>
        <v>4</v>
      </c>
      <c r="K117" s="4975">
        <f>'VISITA DE INSP.'!JQ6</f>
        <v>3</v>
      </c>
      <c r="L117" s="4969">
        <f>I117+J117-K117</f>
        <v>70</v>
      </c>
      <c r="M117" s="4965">
        <f>L117</f>
        <v>70</v>
      </c>
      <c r="N117" s="4966"/>
      <c r="O117" s="4965">
        <f>G117</f>
        <v>2</v>
      </c>
      <c r="P117" s="4966"/>
      <c r="Q117" s="4969">
        <f>L117-R117</f>
        <v>70</v>
      </c>
      <c r="R117" s="4972">
        <f>'VISITA DE INSP.'!KC6</f>
        <v>0</v>
      </c>
      <c r="S117" s="1513"/>
    </row>
    <row r="118" spans="1:19" ht="8.1" customHeight="1">
      <c r="A118" s="1516">
        <v>12</v>
      </c>
      <c r="B118" s="4972"/>
      <c r="C118" s="5085"/>
      <c r="D118" s="5085"/>
      <c r="E118" s="5085"/>
      <c r="F118" s="4972"/>
      <c r="G118" s="4972"/>
      <c r="H118" s="4972"/>
      <c r="I118" s="4972"/>
      <c r="J118" s="4972"/>
      <c r="K118" s="4972"/>
      <c r="L118" s="4969"/>
      <c r="M118" s="4967"/>
      <c r="N118" s="4968"/>
      <c r="O118" s="4967"/>
      <c r="P118" s="4968"/>
      <c r="Q118" s="4969"/>
      <c r="R118" s="4972"/>
      <c r="S118" s="1513"/>
    </row>
    <row r="119" spans="1:19" ht="8.1" customHeight="1">
      <c r="A119" s="1516">
        <v>13</v>
      </c>
      <c r="B119" s="4975">
        <f t="shared" ref="B119" si="4">B24</f>
        <v>5</v>
      </c>
      <c r="C119" s="5085" t="str">
        <f>C24</f>
        <v>23DPR0570Y</v>
      </c>
      <c r="D119" s="5085"/>
      <c r="E119" s="5085"/>
      <c r="F119" s="4975">
        <f>'VISITA DE INSP.'!JE7</f>
        <v>35</v>
      </c>
      <c r="G119" s="4975">
        <f>'VISITA DE INSP.'!IW7</f>
        <v>1</v>
      </c>
      <c r="H119" s="4972"/>
      <c r="I119" s="4972">
        <f>F119-H119</f>
        <v>35</v>
      </c>
      <c r="J119" s="4975">
        <f>'VISITA DE INSP.'!JK7</f>
        <v>3</v>
      </c>
      <c r="K119" s="4975">
        <f>'VISITA DE INSP.'!JQ7</f>
        <v>6</v>
      </c>
      <c r="L119" s="4969">
        <f>I119+J119-K119</f>
        <v>32</v>
      </c>
      <c r="M119" s="4965">
        <f>L119</f>
        <v>32</v>
      </c>
      <c r="N119" s="4966"/>
      <c r="O119" s="4965">
        <f>G119</f>
        <v>1</v>
      </c>
      <c r="P119" s="4966"/>
      <c r="Q119" s="4969">
        <f>L119-R119</f>
        <v>32</v>
      </c>
      <c r="R119" s="4972">
        <f>'VISITA DE INSP.'!KC7</f>
        <v>0</v>
      </c>
      <c r="S119" s="1513"/>
    </row>
    <row r="120" spans="1:19" ht="8.1" customHeight="1">
      <c r="A120" s="1516">
        <v>14</v>
      </c>
      <c r="B120" s="4972"/>
      <c r="C120" s="5085"/>
      <c r="D120" s="5085"/>
      <c r="E120" s="5085"/>
      <c r="F120" s="4972"/>
      <c r="G120" s="4972"/>
      <c r="H120" s="4972"/>
      <c r="I120" s="4972"/>
      <c r="J120" s="4972"/>
      <c r="K120" s="4972"/>
      <c r="L120" s="4969"/>
      <c r="M120" s="4967"/>
      <c r="N120" s="4968"/>
      <c r="O120" s="4967"/>
      <c r="P120" s="4968"/>
      <c r="Q120" s="4969"/>
      <c r="R120" s="4972"/>
      <c r="S120" s="1513"/>
    </row>
    <row r="121" spans="1:19" ht="8.1" customHeight="1">
      <c r="A121" s="1516">
        <v>15</v>
      </c>
      <c r="B121" s="4975">
        <f t="shared" ref="B121" si="5">B26</f>
        <v>6</v>
      </c>
      <c r="C121" s="5085" t="str">
        <f>C26</f>
        <v>23DPR0572W</v>
      </c>
      <c r="D121" s="5085"/>
      <c r="E121" s="5085"/>
      <c r="F121" s="4975">
        <f>'VISITA DE INSP.'!JE8</f>
        <v>62</v>
      </c>
      <c r="G121" s="4975">
        <f>'VISITA DE INSP.'!IW8</f>
        <v>2</v>
      </c>
      <c r="H121" s="4972"/>
      <c r="I121" s="4972">
        <f>F121-H121</f>
        <v>62</v>
      </c>
      <c r="J121" s="4975">
        <f>'VISITA DE INSP.'!JK8</f>
        <v>3</v>
      </c>
      <c r="K121" s="4975">
        <f>'VISITA DE INSP.'!JQ8</f>
        <v>9</v>
      </c>
      <c r="L121" s="4969">
        <f>I121+J121-K121</f>
        <v>56</v>
      </c>
      <c r="M121" s="4965">
        <f>L121</f>
        <v>56</v>
      </c>
      <c r="N121" s="4966"/>
      <c r="O121" s="4965">
        <f>G121</f>
        <v>2</v>
      </c>
      <c r="P121" s="4966"/>
      <c r="Q121" s="4969">
        <f>L121-R121</f>
        <v>56</v>
      </c>
      <c r="R121" s="4972">
        <f>'VISITA DE INSP.'!KC8</f>
        <v>0</v>
      </c>
      <c r="S121" s="1513"/>
    </row>
    <row r="122" spans="1:19" ht="8.1" customHeight="1">
      <c r="A122" s="1516">
        <v>16</v>
      </c>
      <c r="B122" s="4972"/>
      <c r="C122" s="5085"/>
      <c r="D122" s="5085"/>
      <c r="E122" s="5085"/>
      <c r="F122" s="4972"/>
      <c r="G122" s="4972"/>
      <c r="H122" s="4972"/>
      <c r="I122" s="4972"/>
      <c r="J122" s="4972"/>
      <c r="K122" s="4972"/>
      <c r="L122" s="4969"/>
      <c r="M122" s="4967"/>
      <c r="N122" s="4968"/>
      <c r="O122" s="4967"/>
      <c r="P122" s="4968"/>
      <c r="Q122" s="4969"/>
      <c r="R122" s="4972"/>
      <c r="S122" s="1513"/>
    </row>
    <row r="123" spans="1:19" ht="8.1" customHeight="1">
      <c r="A123" s="1516">
        <v>17</v>
      </c>
      <c r="B123" s="4975">
        <f t="shared" ref="B123" si="6">B28</f>
        <v>7</v>
      </c>
      <c r="C123" s="5085" t="str">
        <f>C28</f>
        <v>23DPR0581D</v>
      </c>
      <c r="D123" s="5085"/>
      <c r="E123" s="5085"/>
      <c r="F123" s="4975">
        <f>'VISITA DE INSP.'!JE9</f>
        <v>0</v>
      </c>
      <c r="G123" s="4975">
        <f>'VISITA DE INSP.'!IW9</f>
        <v>0</v>
      </c>
      <c r="H123" s="4972"/>
      <c r="I123" s="4972">
        <f>F123-H123</f>
        <v>0</v>
      </c>
      <c r="J123" s="4975">
        <f>'VISITA DE INSP.'!JK9</f>
        <v>0</v>
      </c>
      <c r="K123" s="4975">
        <f>'VISITA DE INSP.'!JQ9</f>
        <v>0</v>
      </c>
      <c r="L123" s="4969">
        <f>I123+J123-K123</f>
        <v>0</v>
      </c>
      <c r="M123" s="4965">
        <f>L123</f>
        <v>0</v>
      </c>
      <c r="N123" s="4966"/>
      <c r="O123" s="4965">
        <f>G123</f>
        <v>0</v>
      </c>
      <c r="P123" s="4966"/>
      <c r="Q123" s="4969">
        <f>L123-R123</f>
        <v>0</v>
      </c>
      <c r="R123" s="4972">
        <f>'VISITA DE INSP.'!KC9</f>
        <v>0</v>
      </c>
      <c r="S123" s="1513"/>
    </row>
    <row r="124" spans="1:19" ht="8.1" customHeight="1">
      <c r="A124" s="1516">
        <v>18</v>
      </c>
      <c r="B124" s="4972"/>
      <c r="C124" s="5085"/>
      <c r="D124" s="5085"/>
      <c r="E124" s="5085"/>
      <c r="F124" s="4972"/>
      <c r="G124" s="4972"/>
      <c r="H124" s="4972"/>
      <c r="I124" s="4972"/>
      <c r="J124" s="4972"/>
      <c r="K124" s="4972"/>
      <c r="L124" s="4969"/>
      <c r="M124" s="4967"/>
      <c r="N124" s="4968"/>
      <c r="O124" s="4967"/>
      <c r="P124" s="4968"/>
      <c r="Q124" s="4969"/>
      <c r="R124" s="4972"/>
      <c r="S124" s="1513"/>
    </row>
    <row r="125" spans="1:19" ht="8.1" customHeight="1">
      <c r="A125" s="1516">
        <v>19</v>
      </c>
      <c r="B125" s="4975">
        <f t="shared" ref="B125" si="7">B30</f>
        <v>8</v>
      </c>
      <c r="C125" s="5085" t="str">
        <f>C30</f>
        <v>23DPR0593I</v>
      </c>
      <c r="D125" s="5085"/>
      <c r="E125" s="5085"/>
      <c r="F125" s="4975">
        <f>'VISITA DE INSP.'!JE10</f>
        <v>0</v>
      </c>
      <c r="G125" s="4975">
        <f>'VISITA DE INSP.'!IW10</f>
        <v>0</v>
      </c>
      <c r="H125" s="4972"/>
      <c r="I125" s="4972">
        <f>F125-H125</f>
        <v>0</v>
      </c>
      <c r="J125" s="4975">
        <f>'VISITA DE INSP.'!JK10</f>
        <v>0</v>
      </c>
      <c r="K125" s="4975">
        <f>'VISITA DE INSP.'!JQ10</f>
        <v>0</v>
      </c>
      <c r="L125" s="4969">
        <f>I125+J125-K125</f>
        <v>0</v>
      </c>
      <c r="M125" s="4965">
        <f>L125</f>
        <v>0</v>
      </c>
      <c r="N125" s="4966"/>
      <c r="O125" s="4965">
        <f>G125</f>
        <v>0</v>
      </c>
      <c r="P125" s="4966"/>
      <c r="Q125" s="4969">
        <f>L125-R125</f>
        <v>0</v>
      </c>
      <c r="R125" s="4972">
        <f>'VISITA DE INSP.'!KC10</f>
        <v>0</v>
      </c>
      <c r="S125" s="1513"/>
    </row>
    <row r="126" spans="1:19" ht="8.1" customHeight="1">
      <c r="A126" s="1516">
        <v>20</v>
      </c>
      <c r="B126" s="4972"/>
      <c r="C126" s="5085"/>
      <c r="D126" s="5085"/>
      <c r="E126" s="5085"/>
      <c r="F126" s="4972"/>
      <c r="G126" s="4972"/>
      <c r="H126" s="4972"/>
      <c r="I126" s="4972"/>
      <c r="J126" s="4972"/>
      <c r="K126" s="4972"/>
      <c r="L126" s="4969"/>
      <c r="M126" s="4967"/>
      <c r="N126" s="4968"/>
      <c r="O126" s="4967"/>
      <c r="P126" s="4968"/>
      <c r="Q126" s="4969"/>
      <c r="R126" s="4972"/>
      <c r="S126" s="1513"/>
    </row>
    <row r="127" spans="1:19" ht="8.1" customHeight="1">
      <c r="A127" s="1516">
        <v>21</v>
      </c>
      <c r="B127" s="4975">
        <f t="shared" ref="B127" si="8">B32</f>
        <v>9</v>
      </c>
      <c r="C127" s="5085" t="str">
        <f>C32</f>
        <v>23DPR0640C</v>
      </c>
      <c r="D127" s="5085"/>
      <c r="E127" s="5085"/>
      <c r="F127" s="4975">
        <f>'VISITA DE INSP.'!JE11</f>
        <v>59</v>
      </c>
      <c r="G127" s="4975">
        <f>'VISITA DE INSP.'!IW11</f>
        <v>2</v>
      </c>
      <c r="H127" s="4972"/>
      <c r="I127" s="4972">
        <f>F127-H127</f>
        <v>59</v>
      </c>
      <c r="J127" s="4975">
        <f>'VISITA DE INSP.'!JK11</f>
        <v>7</v>
      </c>
      <c r="K127" s="4975">
        <f>'VISITA DE INSP.'!JQ11</f>
        <v>13</v>
      </c>
      <c r="L127" s="4969">
        <f>I127+J127-K127</f>
        <v>53</v>
      </c>
      <c r="M127" s="4965">
        <f>L127</f>
        <v>53</v>
      </c>
      <c r="N127" s="4966"/>
      <c r="O127" s="4965">
        <f>G127</f>
        <v>2</v>
      </c>
      <c r="P127" s="4966"/>
      <c r="Q127" s="4969">
        <f>L127-R127</f>
        <v>53</v>
      </c>
      <c r="R127" s="4972">
        <f>'VISITA DE INSP.'!KC11</f>
        <v>0</v>
      </c>
      <c r="S127" s="1513"/>
    </row>
    <row r="128" spans="1:19" ht="8.1" customHeight="1">
      <c r="A128" s="1516">
        <v>22</v>
      </c>
      <c r="B128" s="4972"/>
      <c r="C128" s="5085"/>
      <c r="D128" s="5085"/>
      <c r="E128" s="5085"/>
      <c r="F128" s="4972"/>
      <c r="G128" s="4972"/>
      <c r="H128" s="4972"/>
      <c r="I128" s="4972"/>
      <c r="J128" s="4972"/>
      <c r="K128" s="4972"/>
      <c r="L128" s="4969"/>
      <c r="M128" s="4967"/>
      <c r="N128" s="4968"/>
      <c r="O128" s="4967"/>
      <c r="P128" s="4968"/>
      <c r="Q128" s="4969"/>
      <c r="R128" s="4972"/>
      <c r="S128" s="1513"/>
    </row>
    <row r="129" spans="1:19" ht="8.1" customHeight="1">
      <c r="A129" s="1516">
        <v>23</v>
      </c>
      <c r="B129" s="4975">
        <f t="shared" ref="B129" si="9">B34</f>
        <v>10</v>
      </c>
      <c r="C129" s="5085" t="str">
        <f>C34</f>
        <v>23DPR0681C</v>
      </c>
      <c r="D129" s="5085"/>
      <c r="E129" s="5085"/>
      <c r="F129" s="4975">
        <f>'VISITA DE INSP.'!JE12</f>
        <v>35</v>
      </c>
      <c r="G129" s="4975">
        <f>'VISITA DE INSP.'!IW12</f>
        <v>1</v>
      </c>
      <c r="H129" s="4972"/>
      <c r="I129" s="4972">
        <f>F129-H129</f>
        <v>35</v>
      </c>
      <c r="J129" s="4975">
        <f>'VISITA DE INSP.'!JK12</f>
        <v>1</v>
      </c>
      <c r="K129" s="4975">
        <f>'VISITA DE INSP.'!JQ12</f>
        <v>3</v>
      </c>
      <c r="L129" s="4969">
        <f>I129+J129-K129</f>
        <v>33</v>
      </c>
      <c r="M129" s="4965">
        <f>L129</f>
        <v>33</v>
      </c>
      <c r="N129" s="4966"/>
      <c r="O129" s="4965">
        <f>G129</f>
        <v>1</v>
      </c>
      <c r="P129" s="4966"/>
      <c r="Q129" s="4969">
        <f>L129-R129</f>
        <v>33</v>
      </c>
      <c r="R129" s="4972">
        <f>'VISITA DE INSP.'!KC12</f>
        <v>0</v>
      </c>
      <c r="S129" s="1513"/>
    </row>
    <row r="130" spans="1:19" ht="8.1" customHeight="1">
      <c r="A130" s="1516">
        <v>24</v>
      </c>
      <c r="B130" s="4972"/>
      <c r="C130" s="5085"/>
      <c r="D130" s="5085"/>
      <c r="E130" s="5085"/>
      <c r="F130" s="4972"/>
      <c r="G130" s="4972"/>
      <c r="H130" s="4972"/>
      <c r="I130" s="4972"/>
      <c r="J130" s="4972"/>
      <c r="K130" s="4972"/>
      <c r="L130" s="4969"/>
      <c r="M130" s="4967"/>
      <c r="N130" s="4968"/>
      <c r="O130" s="4967"/>
      <c r="P130" s="4968"/>
      <c r="Q130" s="4969"/>
      <c r="R130" s="4972"/>
      <c r="S130" s="1513"/>
    </row>
    <row r="131" spans="1:19" ht="8.1" hidden="1" customHeight="1">
      <c r="A131" s="1516">
        <v>25</v>
      </c>
      <c r="B131" s="4975">
        <f t="shared" ref="B131" si="10">B36</f>
        <v>0</v>
      </c>
      <c r="C131" s="5085">
        <f>C36</f>
        <v>0</v>
      </c>
      <c r="D131" s="5085"/>
      <c r="E131" s="5085"/>
      <c r="F131" s="4975">
        <f>'VISITA DE INSP.'!JE13</f>
        <v>0</v>
      </c>
      <c r="G131" s="4975">
        <f>'VISITA DE INSP.'!IW13</f>
        <v>0</v>
      </c>
      <c r="H131" s="4972"/>
      <c r="I131" s="4972">
        <f>F131-H131</f>
        <v>0</v>
      </c>
      <c r="J131" s="4975">
        <f>'VISITA DE INSP.'!JK13</f>
        <v>0</v>
      </c>
      <c r="K131" s="4975">
        <f>'VISITA DE INSP.'!JQ13</f>
        <v>0</v>
      </c>
      <c r="L131" s="4969">
        <f>I131+J131-K131</f>
        <v>0</v>
      </c>
      <c r="M131" s="4965">
        <f>L131</f>
        <v>0</v>
      </c>
      <c r="N131" s="4966"/>
      <c r="O131" s="4965">
        <f>G131</f>
        <v>0</v>
      </c>
      <c r="P131" s="4966"/>
      <c r="Q131" s="4969">
        <f>L131-R131</f>
        <v>0</v>
      </c>
      <c r="R131" s="4972">
        <f>'VISITA DE INSP.'!KC13</f>
        <v>0</v>
      </c>
      <c r="S131" s="1513"/>
    </row>
    <row r="132" spans="1:19" ht="8.1" hidden="1" customHeight="1">
      <c r="A132" s="1516">
        <v>26</v>
      </c>
      <c r="B132" s="4972"/>
      <c r="C132" s="5085"/>
      <c r="D132" s="5085"/>
      <c r="E132" s="5085"/>
      <c r="F132" s="4972"/>
      <c r="G132" s="4972"/>
      <c r="H132" s="4972"/>
      <c r="I132" s="4972"/>
      <c r="J132" s="4972"/>
      <c r="K132" s="4972"/>
      <c r="L132" s="4969"/>
      <c r="M132" s="4967"/>
      <c r="N132" s="4968"/>
      <c r="O132" s="4967"/>
      <c r="P132" s="4968"/>
      <c r="Q132" s="4969"/>
      <c r="R132" s="4972"/>
      <c r="S132" s="1513"/>
    </row>
    <row r="133" spans="1:19" ht="8.1" customHeight="1">
      <c r="A133" s="1516">
        <v>27</v>
      </c>
      <c r="B133" s="4975">
        <f t="shared" ref="B133" si="11">B38</f>
        <v>11</v>
      </c>
      <c r="C133" s="5090" t="str">
        <f>C38</f>
        <v>23PPR0099M</v>
      </c>
      <c r="D133" s="5091"/>
      <c r="E133" s="5092"/>
      <c r="F133" s="4975">
        <f>'VISITA DE INSP.'!JE14</f>
        <v>13</v>
      </c>
      <c r="G133" s="4975">
        <f>'VISITA DE INSP.'!IW14</f>
        <v>1</v>
      </c>
      <c r="H133" s="4972"/>
      <c r="I133" s="4972">
        <f>F133-H133</f>
        <v>13</v>
      </c>
      <c r="J133" s="4975">
        <f>'VISITA DE INSP.'!JK14</f>
        <v>4</v>
      </c>
      <c r="K133" s="4975">
        <f>'VISITA DE INSP.'!JQ14</f>
        <v>2</v>
      </c>
      <c r="L133" s="4969">
        <f>I133+J133-K133</f>
        <v>15</v>
      </c>
      <c r="M133" s="4965">
        <f>L133</f>
        <v>15</v>
      </c>
      <c r="N133" s="4966"/>
      <c r="O133" s="4965">
        <f>G133</f>
        <v>1</v>
      </c>
      <c r="P133" s="4966"/>
      <c r="Q133" s="4969">
        <f>L133-R133</f>
        <v>15</v>
      </c>
      <c r="R133" s="4972">
        <f>'VISITA DE INSP.'!KC14</f>
        <v>0</v>
      </c>
      <c r="S133" s="1513"/>
    </row>
    <row r="134" spans="1:19" ht="8.1" customHeight="1">
      <c r="A134" s="1516">
        <v>28</v>
      </c>
      <c r="B134" s="4972"/>
      <c r="C134" s="5093"/>
      <c r="D134" s="5094"/>
      <c r="E134" s="5095"/>
      <c r="F134" s="4972"/>
      <c r="G134" s="4972"/>
      <c r="H134" s="4972"/>
      <c r="I134" s="4972"/>
      <c r="J134" s="4972"/>
      <c r="K134" s="4972"/>
      <c r="L134" s="4969"/>
      <c r="M134" s="4967"/>
      <c r="N134" s="4968"/>
      <c r="O134" s="4967"/>
      <c r="P134" s="4968"/>
      <c r="Q134" s="4969"/>
      <c r="R134" s="4972"/>
      <c r="S134" s="1513"/>
    </row>
    <row r="135" spans="1:19" ht="8.1" customHeight="1">
      <c r="A135" s="1516">
        <v>29</v>
      </c>
      <c r="B135" s="4975">
        <f t="shared" ref="B135" si="12">B40</f>
        <v>12</v>
      </c>
      <c r="C135" s="5090" t="str">
        <f>C40</f>
        <v>23PPR0100L</v>
      </c>
      <c r="D135" s="5091"/>
      <c r="E135" s="5092"/>
      <c r="F135" s="4975">
        <f>'VISITA DE INSP.'!JE15</f>
        <v>17</v>
      </c>
      <c r="G135" s="4975">
        <f>'VISITA DE INSP.'!IW15</f>
        <v>1</v>
      </c>
      <c r="H135" s="4972"/>
      <c r="I135" s="4972">
        <f>F135-H135</f>
        <v>17</v>
      </c>
      <c r="J135" s="4975">
        <f>'VISITA DE INSP.'!JK15</f>
        <v>5</v>
      </c>
      <c r="K135" s="4975">
        <f>'VISITA DE INSP.'!JQ15</f>
        <v>1</v>
      </c>
      <c r="L135" s="4969">
        <f>I135+J135-K135</f>
        <v>21</v>
      </c>
      <c r="M135" s="4965">
        <f>L135</f>
        <v>21</v>
      </c>
      <c r="N135" s="4966"/>
      <c r="O135" s="4965">
        <f>G135</f>
        <v>1</v>
      </c>
      <c r="P135" s="4966"/>
      <c r="Q135" s="4969">
        <f>L135-R135</f>
        <v>21</v>
      </c>
      <c r="R135" s="4972">
        <f>'VISITA DE INSP.'!KC15</f>
        <v>0</v>
      </c>
      <c r="S135" s="1513"/>
    </row>
    <row r="136" spans="1:19" ht="8.1" customHeight="1">
      <c r="A136" s="1516">
        <v>30</v>
      </c>
      <c r="B136" s="4972"/>
      <c r="C136" s="5093"/>
      <c r="D136" s="5094"/>
      <c r="E136" s="5095"/>
      <c r="F136" s="4972"/>
      <c r="G136" s="4972"/>
      <c r="H136" s="4972"/>
      <c r="I136" s="4972"/>
      <c r="J136" s="4972"/>
      <c r="K136" s="4972"/>
      <c r="L136" s="4969"/>
      <c r="M136" s="4967"/>
      <c r="N136" s="4968"/>
      <c r="O136" s="4967"/>
      <c r="P136" s="4968"/>
      <c r="Q136" s="4969"/>
      <c r="R136" s="4972"/>
      <c r="S136" s="1513"/>
    </row>
    <row r="137" spans="1:19" ht="8.1" customHeight="1">
      <c r="A137" s="1516">
        <v>31</v>
      </c>
      <c r="B137" s="4975">
        <f t="shared" ref="B137" si="13">B42</f>
        <v>13</v>
      </c>
      <c r="C137" s="5088" t="str">
        <f>C42</f>
        <v>23PPR0125U</v>
      </c>
      <c r="D137" s="5088"/>
      <c r="E137" s="5088"/>
      <c r="F137" s="4975">
        <f>'VISITA DE INSP.'!JE16</f>
        <v>9</v>
      </c>
      <c r="G137" s="4975">
        <f>'VISITA DE INSP.'!IW16</f>
        <v>1</v>
      </c>
      <c r="H137" s="4972"/>
      <c r="I137" s="4972">
        <f>F137-H137</f>
        <v>9</v>
      </c>
      <c r="J137" s="4975">
        <f>'VISITA DE INSP.'!JK16</f>
        <v>1</v>
      </c>
      <c r="K137" s="4975">
        <f>'VISITA DE INSP.'!JQ16</f>
        <v>0</v>
      </c>
      <c r="L137" s="4969">
        <f>I137+J137-K137</f>
        <v>10</v>
      </c>
      <c r="M137" s="4965">
        <f>L137</f>
        <v>10</v>
      </c>
      <c r="N137" s="4966"/>
      <c r="O137" s="4965">
        <f>G137</f>
        <v>1</v>
      </c>
      <c r="P137" s="4966"/>
      <c r="Q137" s="4969">
        <f>L137-R137</f>
        <v>10</v>
      </c>
      <c r="R137" s="4972">
        <f>'VISITA DE INSP.'!KC16</f>
        <v>0</v>
      </c>
      <c r="S137" s="1513"/>
    </row>
    <row r="138" spans="1:19" ht="8.1" customHeight="1">
      <c r="A138" s="1516">
        <v>32</v>
      </c>
      <c r="B138" s="4972"/>
      <c r="C138" s="5089"/>
      <c r="D138" s="5089"/>
      <c r="E138" s="5089"/>
      <c r="F138" s="4972"/>
      <c r="G138" s="4972"/>
      <c r="H138" s="4972"/>
      <c r="I138" s="4972"/>
      <c r="J138" s="4972"/>
      <c r="K138" s="4972"/>
      <c r="L138" s="4969"/>
      <c r="M138" s="4967"/>
      <c r="N138" s="4968"/>
      <c r="O138" s="4967"/>
      <c r="P138" s="4968"/>
      <c r="Q138" s="4969"/>
      <c r="R138" s="4972"/>
      <c r="S138" s="1513"/>
    </row>
    <row r="139" spans="1:19" ht="8.1" customHeight="1">
      <c r="A139" s="1516">
        <v>33</v>
      </c>
      <c r="B139" s="4975">
        <f t="shared" ref="B139" si="14">B44</f>
        <v>14</v>
      </c>
      <c r="C139" s="5086" t="str">
        <f>C44</f>
        <v>23PPR0156N</v>
      </c>
      <c r="D139" s="5086"/>
      <c r="E139" s="5086"/>
      <c r="F139" s="4975">
        <f>'VISITA DE INSP.'!JE17</f>
        <v>14</v>
      </c>
      <c r="G139" s="4975">
        <f>'VISITA DE INSP.'!IW17</f>
        <v>1</v>
      </c>
      <c r="H139" s="4978"/>
      <c r="I139" s="4972">
        <f>F139-H139</f>
        <v>14</v>
      </c>
      <c r="J139" s="4975">
        <f>'VISITA DE INSP.'!JK17</f>
        <v>1</v>
      </c>
      <c r="K139" s="4975">
        <f>'VISITA DE INSP.'!JQ17</f>
        <v>2</v>
      </c>
      <c r="L139" s="4969">
        <f>I139+J139-K139</f>
        <v>13</v>
      </c>
      <c r="M139" s="4965">
        <f>L139</f>
        <v>13</v>
      </c>
      <c r="N139" s="4966"/>
      <c r="O139" s="4965">
        <f>G139</f>
        <v>1</v>
      </c>
      <c r="P139" s="4966"/>
      <c r="Q139" s="4969">
        <f>L139-R139</f>
        <v>13</v>
      </c>
      <c r="R139" s="4972">
        <f>'VISITA DE INSP.'!KC17</f>
        <v>0</v>
      </c>
      <c r="S139" s="1513"/>
    </row>
    <row r="140" spans="1:19" ht="8.1" customHeight="1">
      <c r="A140" s="1516">
        <v>34</v>
      </c>
      <c r="B140" s="4972"/>
      <c r="C140" s="5087"/>
      <c r="D140" s="5087"/>
      <c r="E140" s="5087"/>
      <c r="F140" s="4972"/>
      <c r="G140" s="4972"/>
      <c r="H140" s="4979"/>
      <c r="I140" s="4972"/>
      <c r="J140" s="4972"/>
      <c r="K140" s="4972"/>
      <c r="L140" s="4969"/>
      <c r="M140" s="4967"/>
      <c r="N140" s="4968"/>
      <c r="O140" s="4967"/>
      <c r="P140" s="4968"/>
      <c r="Q140" s="4969"/>
      <c r="R140" s="4972"/>
      <c r="S140" s="1513"/>
    </row>
    <row r="141" spans="1:19" ht="8.1" customHeight="1">
      <c r="A141" s="1516">
        <v>35</v>
      </c>
      <c r="B141" s="4975">
        <f t="shared" ref="B141" si="15">B46</f>
        <v>15</v>
      </c>
      <c r="C141" s="5086" t="str">
        <f>C46</f>
        <v>23PPR0163X</v>
      </c>
      <c r="D141" s="5086"/>
      <c r="E141" s="5086"/>
      <c r="F141" s="4975">
        <f>'VISITA DE INSP.'!JE18</f>
        <v>27</v>
      </c>
      <c r="G141" s="4975">
        <f>'VISITA DE INSP.'!IW18</f>
        <v>2</v>
      </c>
      <c r="H141" s="4978"/>
      <c r="I141" s="4972">
        <f>F141-H141</f>
        <v>27</v>
      </c>
      <c r="J141" s="4975">
        <f>'VISITA DE INSP.'!JK18</f>
        <v>3</v>
      </c>
      <c r="K141" s="4975">
        <f>'VISITA DE INSP.'!JQ18</f>
        <v>1</v>
      </c>
      <c r="L141" s="4969">
        <f>I141+J141-K141</f>
        <v>29</v>
      </c>
      <c r="M141" s="4965">
        <f>L141</f>
        <v>29</v>
      </c>
      <c r="N141" s="4966"/>
      <c r="O141" s="4965">
        <f>G141</f>
        <v>2</v>
      </c>
      <c r="P141" s="4966"/>
      <c r="Q141" s="4969">
        <f>L141-R141</f>
        <v>29</v>
      </c>
      <c r="R141" s="4972">
        <f>'VISITA DE INSP.'!KC18</f>
        <v>0</v>
      </c>
      <c r="S141" s="1513"/>
    </row>
    <row r="142" spans="1:19" ht="8.1" customHeight="1">
      <c r="A142" s="1516">
        <v>36</v>
      </c>
      <c r="B142" s="4972"/>
      <c r="C142" s="5087"/>
      <c r="D142" s="5087"/>
      <c r="E142" s="5087"/>
      <c r="F142" s="4972"/>
      <c r="G142" s="4972"/>
      <c r="H142" s="4979"/>
      <c r="I142" s="4972"/>
      <c r="J142" s="4972"/>
      <c r="K142" s="4972"/>
      <c r="L142" s="4969"/>
      <c r="M142" s="4967"/>
      <c r="N142" s="4968"/>
      <c r="O142" s="4967"/>
      <c r="P142" s="4968"/>
      <c r="Q142" s="4969"/>
      <c r="R142" s="4972"/>
      <c r="S142" s="1513"/>
    </row>
    <row r="143" spans="1:19" ht="8.1" customHeight="1">
      <c r="A143" s="1516">
        <v>37</v>
      </c>
      <c r="B143" s="4975">
        <f t="shared" ref="B143" si="16">B48</f>
        <v>0</v>
      </c>
      <c r="C143" s="5116">
        <f>C48</f>
        <v>0</v>
      </c>
      <c r="D143" s="5116"/>
      <c r="E143" s="5116"/>
      <c r="F143" s="4975">
        <f>'VISITA DE INSP.'!JE19</f>
        <v>0</v>
      </c>
      <c r="G143" s="4975">
        <f>'VISITA DE INSP.'!IW19</f>
        <v>0</v>
      </c>
      <c r="H143" s="4972"/>
      <c r="I143" s="4972">
        <f>F143-H143</f>
        <v>0</v>
      </c>
      <c r="J143" s="4975">
        <f>'VISITA DE INSP.'!JK19</f>
        <v>0</v>
      </c>
      <c r="K143" s="4975">
        <f>'VISITA DE INSP.'!JQ19</f>
        <v>0</v>
      </c>
      <c r="L143" s="4969">
        <f>I143+J143-K143</f>
        <v>0</v>
      </c>
      <c r="M143" s="4965">
        <f>L143</f>
        <v>0</v>
      </c>
      <c r="N143" s="4966"/>
      <c r="O143" s="4965">
        <f>G143</f>
        <v>0</v>
      </c>
      <c r="P143" s="4966"/>
      <c r="Q143" s="4969">
        <f>L143-R143</f>
        <v>0</v>
      </c>
      <c r="R143" s="4972">
        <f>'VISITA DE INSP.'!KC19</f>
        <v>0</v>
      </c>
      <c r="S143" s="1513"/>
    </row>
    <row r="144" spans="1:19" ht="8.1" customHeight="1">
      <c r="A144" s="1516">
        <v>38</v>
      </c>
      <c r="B144" s="4972"/>
      <c r="C144" s="5116"/>
      <c r="D144" s="5116"/>
      <c r="E144" s="5116"/>
      <c r="F144" s="4972"/>
      <c r="G144" s="4972"/>
      <c r="H144" s="4972"/>
      <c r="I144" s="4972"/>
      <c r="J144" s="4972"/>
      <c r="K144" s="4972"/>
      <c r="L144" s="4969"/>
      <c r="M144" s="4967"/>
      <c r="N144" s="4968"/>
      <c r="O144" s="4967"/>
      <c r="P144" s="4968"/>
      <c r="Q144" s="4969"/>
      <c r="R144" s="4972"/>
      <c r="S144" s="1513"/>
    </row>
    <row r="145" spans="1:19" ht="8.1" customHeight="1">
      <c r="A145" s="1516">
        <v>39</v>
      </c>
      <c r="B145" s="4975">
        <f t="shared" ref="B145" si="17">B50</f>
        <v>0</v>
      </c>
      <c r="C145" s="5116">
        <f>C50</f>
        <v>0</v>
      </c>
      <c r="D145" s="5116"/>
      <c r="E145" s="5116"/>
      <c r="F145" s="4975">
        <f>'VISITA DE INSP.'!JE20</f>
        <v>0</v>
      </c>
      <c r="G145" s="4975">
        <f>'VISITA DE INSP.'!IW20</f>
        <v>0</v>
      </c>
      <c r="H145" s="4972"/>
      <c r="I145" s="4972">
        <f>F145-H145</f>
        <v>0</v>
      </c>
      <c r="J145" s="4975">
        <f>'VISITA DE INSP.'!JK20</f>
        <v>0</v>
      </c>
      <c r="K145" s="4975">
        <f>'VISITA DE INSP.'!JQ20</f>
        <v>0</v>
      </c>
      <c r="L145" s="4969">
        <f>I145+J145-K145</f>
        <v>0</v>
      </c>
      <c r="M145" s="4965">
        <f>L145</f>
        <v>0</v>
      </c>
      <c r="N145" s="4966"/>
      <c r="O145" s="4969">
        <f>G145</f>
        <v>0</v>
      </c>
      <c r="P145" s="4969"/>
      <c r="Q145" s="4969">
        <f>L145-R145</f>
        <v>0</v>
      </c>
      <c r="R145" s="4972">
        <f>'VISITA DE INSP.'!KC20</f>
        <v>0</v>
      </c>
      <c r="S145" s="1513"/>
    </row>
    <row r="146" spans="1:19" ht="8.1" customHeight="1">
      <c r="A146" s="1516">
        <v>40</v>
      </c>
      <c r="B146" s="4972"/>
      <c r="C146" s="5116"/>
      <c r="D146" s="5116"/>
      <c r="E146" s="5116"/>
      <c r="F146" s="4972"/>
      <c r="G146" s="4972"/>
      <c r="H146" s="4972"/>
      <c r="I146" s="4972"/>
      <c r="J146" s="4972"/>
      <c r="K146" s="4972"/>
      <c r="L146" s="4969"/>
      <c r="M146" s="4967"/>
      <c r="N146" s="4968"/>
      <c r="O146" s="4969"/>
      <c r="P146" s="4969"/>
      <c r="Q146" s="4969"/>
      <c r="R146" s="4972"/>
      <c r="S146" s="1513"/>
    </row>
    <row r="147" spans="1:19" ht="8.1" customHeight="1">
      <c r="A147" s="1516">
        <v>41</v>
      </c>
      <c r="B147" s="4975">
        <f t="shared" ref="B147" si="18">B52</f>
        <v>0</v>
      </c>
      <c r="C147" s="5116">
        <f>C52</f>
        <v>0</v>
      </c>
      <c r="D147" s="5116"/>
      <c r="E147" s="5116"/>
      <c r="F147" s="4975">
        <f>'VISITA DE INSP.'!JE21</f>
        <v>0</v>
      </c>
      <c r="G147" s="4975">
        <f>'VISITA DE INSP.'!IW21</f>
        <v>0</v>
      </c>
      <c r="H147" s="4972"/>
      <c r="I147" s="4972">
        <f>F147-H147</f>
        <v>0</v>
      </c>
      <c r="J147" s="4975">
        <f>'VISITA DE INSP.'!JK21</f>
        <v>0</v>
      </c>
      <c r="K147" s="4975">
        <f>'VISITA DE INSP.'!JQ21</f>
        <v>0</v>
      </c>
      <c r="L147" s="4969">
        <f>I147+J147-K147</f>
        <v>0</v>
      </c>
      <c r="M147" s="4965">
        <f>L147</f>
        <v>0</v>
      </c>
      <c r="N147" s="4966"/>
      <c r="O147" s="4969">
        <f>G147</f>
        <v>0</v>
      </c>
      <c r="P147" s="4969"/>
      <c r="Q147" s="4969">
        <f>L147-R147</f>
        <v>0</v>
      </c>
      <c r="R147" s="4972">
        <f>'VISITA DE INSP.'!KC21</f>
        <v>0</v>
      </c>
      <c r="S147" s="1513"/>
    </row>
    <row r="148" spans="1:19" ht="8.1" customHeight="1">
      <c r="A148" s="1516">
        <v>42</v>
      </c>
      <c r="B148" s="4972"/>
      <c r="C148" s="5116"/>
      <c r="D148" s="5116"/>
      <c r="E148" s="5116"/>
      <c r="F148" s="4972"/>
      <c r="G148" s="4972"/>
      <c r="H148" s="4972"/>
      <c r="I148" s="4972"/>
      <c r="J148" s="4972"/>
      <c r="K148" s="4972"/>
      <c r="L148" s="4969"/>
      <c r="M148" s="4967"/>
      <c r="N148" s="4968"/>
      <c r="O148" s="4969"/>
      <c r="P148" s="4969"/>
      <c r="Q148" s="4969"/>
      <c r="R148" s="4972"/>
      <c r="S148" s="1513"/>
    </row>
    <row r="149" spans="1:19" ht="8.1" customHeight="1">
      <c r="A149" s="1516">
        <v>43</v>
      </c>
      <c r="B149" s="4975">
        <f t="shared" ref="B149" si="19">B54</f>
        <v>0</v>
      </c>
      <c r="C149" s="5116">
        <f>C54</f>
        <v>0</v>
      </c>
      <c r="D149" s="5116"/>
      <c r="E149" s="5116"/>
      <c r="F149" s="4972"/>
      <c r="G149" s="4975"/>
      <c r="H149" s="4972"/>
      <c r="I149" s="4972">
        <f>F149-H149</f>
        <v>0</v>
      </c>
      <c r="J149" s="4972"/>
      <c r="K149" s="4972"/>
      <c r="L149" s="4969">
        <f>I149+J149-K149</f>
        <v>0</v>
      </c>
      <c r="M149" s="4965">
        <f>L149</f>
        <v>0</v>
      </c>
      <c r="N149" s="4966"/>
      <c r="O149" s="4969">
        <f>G149</f>
        <v>0</v>
      </c>
      <c r="P149" s="4969"/>
      <c r="Q149" s="4969">
        <f>L149-R149</f>
        <v>0</v>
      </c>
      <c r="R149" s="4972"/>
      <c r="S149" s="1513"/>
    </row>
    <row r="150" spans="1:19" ht="8.1" customHeight="1">
      <c r="A150" s="1516">
        <v>44</v>
      </c>
      <c r="B150" s="4972"/>
      <c r="C150" s="5116"/>
      <c r="D150" s="5116"/>
      <c r="E150" s="5116"/>
      <c r="F150" s="4972"/>
      <c r="G150" s="4972"/>
      <c r="H150" s="4972"/>
      <c r="I150" s="4972"/>
      <c r="J150" s="4972"/>
      <c r="K150" s="4972"/>
      <c r="L150" s="4969"/>
      <c r="M150" s="4967"/>
      <c r="N150" s="4968"/>
      <c r="O150" s="4969"/>
      <c r="P150" s="4969"/>
      <c r="Q150" s="4969"/>
      <c r="R150" s="4972"/>
      <c r="S150" s="1513"/>
    </row>
    <row r="151" spans="1:19" ht="8.1" customHeight="1">
      <c r="A151" s="1516">
        <v>45</v>
      </c>
      <c r="B151" s="4975">
        <f t="shared" ref="B151" si="20">B56</f>
        <v>0</v>
      </c>
      <c r="C151" s="4972" t="s">
        <v>408</v>
      </c>
      <c r="D151" s="4972"/>
      <c r="E151" s="4972"/>
      <c r="F151" s="4972">
        <f t="shared" ref="F151:L151" si="21">SUM(F111:F150)</f>
        <v>542</v>
      </c>
      <c r="G151" s="4972">
        <f t="shared" si="21"/>
        <v>20</v>
      </c>
      <c r="H151" s="4972">
        <f t="shared" si="21"/>
        <v>0</v>
      </c>
      <c r="I151" s="4972">
        <f t="shared" si="21"/>
        <v>542</v>
      </c>
      <c r="J151" s="4972">
        <f t="shared" si="21"/>
        <v>46</v>
      </c>
      <c r="K151" s="4972">
        <f t="shared" si="21"/>
        <v>68</v>
      </c>
      <c r="L151" s="4969">
        <f t="shared" si="21"/>
        <v>520</v>
      </c>
      <c r="M151" s="4965">
        <f>SUM(M111:N150)</f>
        <v>520</v>
      </c>
      <c r="N151" s="4966"/>
      <c r="O151" s="4965">
        <f>SUM(O111:P150)</f>
        <v>20</v>
      </c>
      <c r="P151" s="4966"/>
      <c r="Q151" s="4969">
        <f>SUM(Q111:Q150)</f>
        <v>520</v>
      </c>
      <c r="R151" s="4972">
        <f>SUM(R111:R150)</f>
        <v>0</v>
      </c>
      <c r="S151" s="1513"/>
    </row>
    <row r="152" spans="1:19" ht="8.1" customHeight="1">
      <c r="A152" s="1516">
        <v>46</v>
      </c>
      <c r="B152" s="4972"/>
      <c r="C152" s="4972"/>
      <c r="D152" s="4972"/>
      <c r="E152" s="4972"/>
      <c r="F152" s="4972"/>
      <c r="G152" s="4972"/>
      <c r="H152" s="4972"/>
      <c r="I152" s="4972"/>
      <c r="J152" s="4972"/>
      <c r="K152" s="4972"/>
      <c r="L152" s="4969"/>
      <c r="M152" s="4967"/>
      <c r="N152" s="4968"/>
      <c r="O152" s="4967"/>
      <c r="P152" s="4968"/>
      <c r="Q152" s="4969"/>
      <c r="R152" s="4972"/>
      <c r="S152" s="1513"/>
    </row>
    <row r="153" spans="1:19" ht="8.1" customHeight="1">
      <c r="A153" s="1516">
        <v>47</v>
      </c>
      <c r="B153" s="1530"/>
      <c r="C153" s="1531"/>
      <c r="D153" s="1531"/>
      <c r="E153" s="1531"/>
      <c r="F153" s="4970">
        <f>F151</f>
        <v>542</v>
      </c>
      <c r="G153" s="4973"/>
      <c r="H153" s="4973"/>
      <c r="I153" s="4973"/>
      <c r="J153" s="4970">
        <f>I151+J151</f>
        <v>588</v>
      </c>
      <c r="K153" s="4970">
        <f>J153-K151</f>
        <v>520</v>
      </c>
      <c r="L153" s="4970">
        <f>J153-K151</f>
        <v>520</v>
      </c>
      <c r="M153" s="5079"/>
      <c r="N153" s="5080"/>
      <c r="O153" s="5079"/>
      <c r="P153" s="5080"/>
      <c r="Q153" s="4973"/>
      <c r="R153" s="5083"/>
      <c r="S153" s="1513"/>
    </row>
    <row r="154" spans="1:19" ht="8.1" customHeight="1">
      <c r="A154" s="1516">
        <v>48</v>
      </c>
      <c r="B154" s="1532"/>
      <c r="C154" s="1533"/>
      <c r="D154" s="1533"/>
      <c r="E154" s="1533"/>
      <c r="F154" s="4971"/>
      <c r="G154" s="4974"/>
      <c r="H154" s="4974"/>
      <c r="I154" s="4974"/>
      <c r="J154" s="4971"/>
      <c r="K154" s="4971"/>
      <c r="L154" s="4971"/>
      <c r="M154" s="5081"/>
      <c r="N154" s="5082"/>
      <c r="O154" s="5081"/>
      <c r="P154" s="5082"/>
      <c r="Q154" s="4974"/>
      <c r="R154" s="5084"/>
      <c r="S154" s="1513"/>
    </row>
    <row r="155" spans="1:19" ht="8.1" customHeight="1">
      <c r="A155" s="1516">
        <v>49</v>
      </c>
      <c r="B155" s="5037"/>
      <c r="C155" s="5043"/>
      <c r="D155" s="5043"/>
      <c r="E155" s="5061" t="s">
        <v>1475</v>
      </c>
      <c r="F155" s="5061"/>
      <c r="G155" s="5062"/>
      <c r="H155" s="5043"/>
      <c r="I155" s="5043"/>
      <c r="J155" s="5043"/>
      <c r="K155" s="5043"/>
      <c r="L155" s="5043"/>
      <c r="M155" s="5066" t="s">
        <v>1476</v>
      </c>
      <c r="N155" s="5066"/>
      <c r="O155" s="5066"/>
      <c r="P155" s="5043"/>
      <c r="Q155" s="5043"/>
      <c r="R155" s="5035"/>
      <c r="S155" s="1513"/>
    </row>
    <row r="156" spans="1:19" ht="8.1" customHeight="1">
      <c r="A156" s="1516">
        <v>50</v>
      </c>
      <c r="B156" s="5037"/>
      <c r="C156" s="5043"/>
      <c r="D156" s="5043"/>
      <c r="E156" s="5077"/>
      <c r="F156" s="5077"/>
      <c r="G156" s="5078"/>
      <c r="H156" s="5043"/>
      <c r="I156" s="5043"/>
      <c r="J156" s="5043"/>
      <c r="K156" s="5043"/>
      <c r="L156" s="5043"/>
      <c r="M156" s="5066"/>
      <c r="N156" s="5066"/>
      <c r="O156" s="5066"/>
      <c r="P156" s="5043"/>
      <c r="Q156" s="5043"/>
      <c r="R156" s="5035"/>
      <c r="S156" s="1513"/>
    </row>
    <row r="157" spans="1:19" ht="8.1" customHeight="1">
      <c r="A157" s="1516">
        <v>51</v>
      </c>
      <c r="B157" s="5037"/>
      <c r="C157" s="5043"/>
      <c r="D157" s="5043"/>
      <c r="E157" s="5073" t="s">
        <v>1477</v>
      </c>
      <c r="F157" s="5073"/>
      <c r="G157" s="5074"/>
      <c r="H157" s="5043"/>
      <c r="I157" s="5043"/>
      <c r="J157" s="5043"/>
      <c r="K157" s="5043"/>
      <c r="L157" s="5043"/>
      <c r="M157" s="5043" t="s">
        <v>1478</v>
      </c>
      <c r="N157" s="5043"/>
      <c r="O157" s="5043"/>
      <c r="P157" s="5043"/>
      <c r="Q157" s="5043"/>
      <c r="R157" s="5035"/>
      <c r="S157" s="1513"/>
    </row>
    <row r="158" spans="1:19" ht="8.1" customHeight="1">
      <c r="A158" s="1516">
        <v>52</v>
      </c>
      <c r="B158" s="5037"/>
      <c r="C158" s="5043"/>
      <c r="D158" s="5043"/>
      <c r="E158" s="5075"/>
      <c r="F158" s="5075"/>
      <c r="G158" s="5076"/>
      <c r="H158" s="5043"/>
      <c r="I158" s="5043"/>
      <c r="J158" s="5043"/>
      <c r="K158" s="5043"/>
      <c r="L158" s="5043"/>
      <c r="M158" s="5043"/>
      <c r="N158" s="5043"/>
      <c r="O158" s="5043"/>
      <c r="P158" s="5043"/>
      <c r="Q158" s="5043"/>
      <c r="R158" s="5035"/>
      <c r="S158" s="1513"/>
    </row>
    <row r="159" spans="1:19" ht="8.1" customHeight="1">
      <c r="A159" s="1516">
        <v>53</v>
      </c>
      <c r="B159" s="5037"/>
      <c r="C159" s="5043"/>
      <c r="D159" s="5043"/>
      <c r="E159" s="5069" t="s">
        <v>1482</v>
      </c>
      <c r="F159" s="5069"/>
      <c r="G159" s="5070"/>
      <c r="H159" s="5043"/>
      <c r="I159" s="5043"/>
      <c r="J159" s="5043"/>
      <c r="K159" s="5043"/>
      <c r="L159" s="5043"/>
      <c r="M159" s="5127" t="s">
        <v>1482</v>
      </c>
      <c r="N159" s="5069"/>
      <c r="O159" s="5070"/>
      <c r="P159" s="5043"/>
      <c r="Q159" s="5043"/>
      <c r="R159" s="5035"/>
      <c r="S159" s="1513"/>
    </row>
    <row r="160" spans="1:19" ht="8.1" customHeight="1">
      <c r="A160" s="1516">
        <v>54</v>
      </c>
      <c r="B160" s="5037"/>
      <c r="C160" s="5043"/>
      <c r="D160" s="5043"/>
      <c r="E160" s="5071"/>
      <c r="F160" s="5071"/>
      <c r="G160" s="5072"/>
      <c r="H160" s="5043"/>
      <c r="I160" s="5043"/>
      <c r="J160" s="5043"/>
      <c r="K160" s="5043"/>
      <c r="L160" s="5043"/>
      <c r="M160" s="5122"/>
      <c r="N160" s="5071"/>
      <c r="O160" s="5072"/>
      <c r="P160" s="5043"/>
      <c r="Q160" s="5043"/>
      <c r="R160" s="5035"/>
      <c r="S160" s="1513"/>
    </row>
    <row r="161" spans="1:19" ht="8.1" customHeight="1">
      <c r="A161" s="1516">
        <v>55</v>
      </c>
      <c r="B161" s="5037"/>
      <c r="C161" s="5043"/>
      <c r="D161" s="5043"/>
      <c r="E161" s="5043"/>
      <c r="F161" s="5043"/>
      <c r="G161" s="5043"/>
      <c r="H161" s="5043"/>
      <c r="I161" s="5043"/>
      <c r="J161" s="5043"/>
      <c r="K161" s="5043"/>
      <c r="L161" s="5043"/>
      <c r="M161" s="5043"/>
      <c r="N161" s="5043"/>
      <c r="O161" s="5043"/>
      <c r="P161" s="5043"/>
      <c r="Q161" s="5043"/>
      <c r="R161" s="5035"/>
      <c r="S161" s="1513"/>
    </row>
    <row r="162" spans="1:19" ht="8.1" customHeight="1">
      <c r="A162" s="1516">
        <v>56</v>
      </c>
      <c r="B162" s="5037"/>
      <c r="C162" s="5043"/>
      <c r="D162" s="5043"/>
      <c r="E162" s="5043"/>
      <c r="F162" s="5043"/>
      <c r="G162" s="5043"/>
      <c r="H162" s="5043"/>
      <c r="I162" s="5043"/>
      <c r="J162" s="5043"/>
      <c r="K162" s="5043"/>
      <c r="L162" s="5043"/>
      <c r="M162" s="5043"/>
      <c r="N162" s="5043"/>
      <c r="O162" s="5043"/>
      <c r="P162" s="5043"/>
      <c r="Q162" s="5043"/>
      <c r="R162" s="5035"/>
      <c r="S162" s="1513"/>
    </row>
    <row r="163" spans="1:19" ht="8.1" customHeight="1">
      <c r="A163" s="1516">
        <v>57</v>
      </c>
      <c r="B163" s="5037"/>
      <c r="C163" s="5043"/>
      <c r="D163" s="5066" t="str">
        <f>L68</f>
        <v>JESUS MARTIN RICALDE CASTRO</v>
      </c>
      <c r="E163" s="5066"/>
      <c r="F163" s="5066"/>
      <c r="G163" s="5066"/>
      <c r="H163" s="5066"/>
      <c r="I163" s="5043"/>
      <c r="J163" s="5043"/>
      <c r="K163" s="5043"/>
      <c r="L163" s="5066" t="str">
        <f>D163</f>
        <v>JESUS MARTIN RICALDE CASTRO</v>
      </c>
      <c r="M163" s="5066"/>
      <c r="N163" s="5066"/>
      <c r="O163" s="5066"/>
      <c r="P163" s="5066"/>
      <c r="Q163" s="5043"/>
      <c r="R163" s="5035"/>
      <c r="S163" s="1513"/>
    </row>
    <row r="164" spans="1:19" ht="8.1" customHeight="1">
      <c r="A164" s="1516">
        <v>58</v>
      </c>
      <c r="B164" s="5037"/>
      <c r="C164" s="5043"/>
      <c r="D164" s="5067"/>
      <c r="E164" s="5067"/>
      <c r="F164" s="5067"/>
      <c r="G164" s="5067"/>
      <c r="H164" s="5067"/>
      <c r="I164" s="5043"/>
      <c r="J164" s="5043"/>
      <c r="K164" s="5043"/>
      <c r="L164" s="5067"/>
      <c r="M164" s="5067"/>
      <c r="N164" s="5067"/>
      <c r="O164" s="5067"/>
      <c r="P164" s="5067"/>
      <c r="Q164" s="5043"/>
      <c r="R164" s="5035"/>
      <c r="S164" s="1513"/>
    </row>
    <row r="165" spans="1:19" ht="8.1" customHeight="1">
      <c r="A165" s="1516">
        <v>59</v>
      </c>
      <c r="B165" s="5037"/>
      <c r="C165" s="5043"/>
      <c r="D165" s="5045" t="s">
        <v>1480</v>
      </c>
      <c r="E165" s="5045"/>
      <c r="F165" s="5045"/>
      <c r="G165" s="5045"/>
      <c r="H165" s="5045"/>
      <c r="I165" s="5043"/>
      <c r="J165" s="5043"/>
      <c r="K165" s="5043"/>
      <c r="L165" s="5045" t="s">
        <v>1480</v>
      </c>
      <c r="M165" s="5045"/>
      <c r="N165" s="5045"/>
      <c r="O165" s="5045"/>
      <c r="P165" s="5045"/>
      <c r="Q165" s="5043"/>
      <c r="R165" s="5035"/>
      <c r="S165" s="1513"/>
    </row>
    <row r="166" spans="1:19" ht="8.1" customHeight="1">
      <c r="A166" s="1516">
        <v>60</v>
      </c>
      <c r="B166" s="5037"/>
      <c r="C166" s="5043"/>
      <c r="D166" s="5046"/>
      <c r="E166" s="5046"/>
      <c r="F166" s="5046"/>
      <c r="G166" s="5046"/>
      <c r="H166" s="5046"/>
      <c r="I166" s="5043"/>
      <c r="J166" s="5043"/>
      <c r="K166" s="5043"/>
      <c r="L166" s="5046"/>
      <c r="M166" s="5046"/>
      <c r="N166" s="5046"/>
      <c r="O166" s="5046"/>
      <c r="P166" s="5046"/>
      <c r="Q166" s="5043"/>
      <c r="R166" s="5035"/>
      <c r="S166" s="1513"/>
    </row>
    <row r="167" spans="1:19" ht="8.1" customHeight="1">
      <c r="A167" s="1516">
        <v>61</v>
      </c>
      <c r="B167" s="5037"/>
      <c r="C167" s="5043"/>
      <c r="D167" s="5043"/>
      <c r="E167" s="5043"/>
      <c r="F167" s="5043"/>
      <c r="G167" s="5043"/>
      <c r="H167" s="5043"/>
      <c r="I167" s="5043"/>
      <c r="J167" s="5043"/>
      <c r="K167" s="5043"/>
      <c r="L167" s="5043"/>
      <c r="M167" s="5043"/>
      <c r="N167" s="5043"/>
      <c r="O167" s="5043"/>
      <c r="P167" s="5043"/>
      <c r="Q167" s="5043"/>
      <c r="R167" s="5035"/>
      <c r="S167" s="1513"/>
    </row>
    <row r="168" spans="1:19" ht="8.1" customHeight="1">
      <c r="A168" s="1516">
        <v>62</v>
      </c>
      <c r="B168" s="5037"/>
      <c r="C168" s="5043"/>
      <c r="D168" s="5043"/>
      <c r="E168" s="5043"/>
      <c r="F168" s="5043"/>
      <c r="G168" s="5043"/>
      <c r="H168" s="5043"/>
      <c r="I168" s="5043"/>
      <c r="J168" s="5043"/>
      <c r="K168" s="5043"/>
      <c r="L168" s="5043"/>
      <c r="M168" s="5043"/>
      <c r="N168" s="5043"/>
      <c r="O168" s="5043"/>
      <c r="P168" s="5043"/>
      <c r="Q168" s="5043"/>
      <c r="R168" s="5035"/>
      <c r="S168" s="1513"/>
    </row>
    <row r="169" spans="1:19" ht="8.1" customHeight="1">
      <c r="A169" s="1516">
        <v>63</v>
      </c>
      <c r="B169" s="5037"/>
      <c r="C169" s="5043"/>
      <c r="D169" s="5060" t="str">
        <f>D74</f>
        <v>KATIA DIAZ ORTIZ</v>
      </c>
      <c r="E169" s="5061"/>
      <c r="F169" s="5061"/>
      <c r="G169" s="5061"/>
      <c r="H169" s="5062"/>
      <c r="I169" s="5043"/>
      <c r="J169" s="5043"/>
      <c r="K169" s="5043"/>
      <c r="L169" s="5060" t="str">
        <f>D169</f>
        <v>KATIA DIAZ ORTIZ</v>
      </c>
      <c r="M169" s="5061"/>
      <c r="N169" s="5061"/>
      <c r="O169" s="5061"/>
      <c r="P169" s="5062"/>
      <c r="Q169" s="5043"/>
      <c r="R169" s="5035"/>
      <c r="S169" s="1513"/>
    </row>
    <row r="170" spans="1:19" ht="8.1" customHeight="1">
      <c r="A170" s="1516">
        <v>64</v>
      </c>
      <c r="B170" s="5037"/>
      <c r="C170" s="5043"/>
      <c r="D170" s="5063"/>
      <c r="E170" s="5064"/>
      <c r="F170" s="5064"/>
      <c r="G170" s="5064"/>
      <c r="H170" s="5065"/>
      <c r="I170" s="5043"/>
      <c r="J170" s="5043"/>
      <c r="K170" s="5043"/>
      <c r="L170" s="5063"/>
      <c r="M170" s="5064"/>
      <c r="N170" s="5064"/>
      <c r="O170" s="5064"/>
      <c r="P170" s="5065"/>
      <c r="Q170" s="5043"/>
      <c r="R170" s="5035"/>
      <c r="S170" s="1513"/>
    </row>
    <row r="171" spans="1:19" ht="8.1" customHeight="1">
      <c r="A171" s="1516">
        <v>65</v>
      </c>
      <c r="B171" s="5037"/>
      <c r="C171" s="5043"/>
      <c r="D171" s="5045" t="s">
        <v>1481</v>
      </c>
      <c r="E171" s="5045"/>
      <c r="F171" s="5045"/>
      <c r="G171" s="5045"/>
      <c r="H171" s="5045"/>
      <c r="I171" s="5043"/>
      <c r="J171" s="5043"/>
      <c r="K171" s="5043"/>
      <c r="L171" s="5045" t="s">
        <v>1481</v>
      </c>
      <c r="M171" s="5045"/>
      <c r="N171" s="5045"/>
      <c r="O171" s="5045"/>
      <c r="P171" s="5045"/>
      <c r="Q171" s="5043"/>
      <c r="R171" s="5035"/>
      <c r="S171" s="1513"/>
    </row>
    <row r="172" spans="1:19" ht="8.1" customHeight="1">
      <c r="A172" s="1516">
        <v>66</v>
      </c>
      <c r="B172" s="5037"/>
      <c r="C172" s="5043"/>
      <c r="D172" s="5046"/>
      <c r="E172" s="5046"/>
      <c r="F172" s="5046"/>
      <c r="G172" s="5046"/>
      <c r="H172" s="5046"/>
      <c r="I172" s="5043"/>
      <c r="J172" s="5043"/>
      <c r="K172" s="5043"/>
      <c r="L172" s="5046"/>
      <c r="M172" s="5046"/>
      <c r="N172" s="5046"/>
      <c r="O172" s="5046"/>
      <c r="P172" s="5046"/>
      <c r="Q172" s="5043"/>
      <c r="R172" s="5035"/>
      <c r="S172" s="1513"/>
    </row>
    <row r="173" spans="1:19" ht="8.1" customHeight="1">
      <c r="A173" s="1516">
        <v>67</v>
      </c>
      <c r="B173" s="5037"/>
      <c r="C173" s="5043"/>
      <c r="D173" s="5043"/>
      <c r="E173" s="5043"/>
      <c r="F173" s="5043"/>
      <c r="G173" s="5043"/>
      <c r="H173" s="5043"/>
      <c r="I173" s="5043"/>
      <c r="J173" s="5043"/>
      <c r="K173" s="5043"/>
      <c r="L173" s="5043"/>
      <c r="M173" s="5043"/>
      <c r="N173" s="5043"/>
      <c r="O173" s="5043"/>
      <c r="P173" s="5043"/>
      <c r="Q173" s="5043"/>
      <c r="R173" s="5035"/>
      <c r="S173" s="1513"/>
    </row>
    <row r="174" spans="1:19" ht="8.1" customHeight="1">
      <c r="A174" s="1516">
        <v>68</v>
      </c>
      <c r="B174" s="5037"/>
      <c r="C174" s="5043"/>
      <c r="D174" s="5043"/>
      <c r="E174" s="5043"/>
      <c r="F174" s="5043"/>
      <c r="G174" s="5043"/>
      <c r="H174" s="5043"/>
      <c r="I174" s="5043"/>
      <c r="J174" s="5043"/>
      <c r="K174" s="5043"/>
      <c r="L174" s="5043"/>
      <c r="M174" s="5043"/>
      <c r="N174" s="5043"/>
      <c r="O174" s="5043"/>
      <c r="P174" s="5043"/>
      <c r="Q174" s="5043"/>
      <c r="R174" s="5035"/>
      <c r="S174" s="1513"/>
    </row>
    <row r="175" spans="1:19" ht="8.1" customHeight="1">
      <c r="A175" s="1516">
        <v>69</v>
      </c>
      <c r="B175" s="5037"/>
      <c r="C175" s="5043"/>
      <c r="D175" s="5043"/>
      <c r="E175" s="5054" t="str">
        <f>E80</f>
        <v>19 DE NOVIEMBRE DE 2013</v>
      </c>
      <c r="F175" s="5055"/>
      <c r="G175" s="5056"/>
      <c r="H175" s="5118"/>
      <c r="I175" s="4926">
        <f>I80</f>
        <v>0</v>
      </c>
      <c r="J175" s="4927"/>
      <c r="K175" s="4928"/>
      <c r="L175" s="5118"/>
      <c r="M175" s="5048" t="str">
        <f>M80</f>
        <v>09 DE OCTUBRE DE 2013</v>
      </c>
      <c r="N175" s="5049"/>
      <c r="O175" s="5050"/>
      <c r="P175" s="5043"/>
      <c r="Q175" s="5043"/>
      <c r="R175" s="5035"/>
      <c r="S175" s="1513"/>
    </row>
    <row r="176" spans="1:19" ht="8.1" customHeight="1">
      <c r="A176" s="1516">
        <v>70</v>
      </c>
      <c r="B176" s="5037"/>
      <c r="C176" s="5043"/>
      <c r="D176" s="5043"/>
      <c r="E176" s="5057"/>
      <c r="F176" s="5058"/>
      <c r="G176" s="5059"/>
      <c r="H176" s="5118"/>
      <c r="I176" s="4929"/>
      <c r="J176" s="4930"/>
      <c r="K176" s="4931"/>
      <c r="L176" s="5118"/>
      <c r="M176" s="5051"/>
      <c r="N176" s="5052"/>
      <c r="O176" s="5053"/>
      <c r="P176" s="5043"/>
      <c r="Q176" s="5043"/>
      <c r="R176" s="5035"/>
      <c r="S176" s="1513"/>
    </row>
    <row r="177" spans="1:19" ht="8.1" customHeight="1">
      <c r="A177" s="1516">
        <v>71</v>
      </c>
      <c r="B177" s="5037"/>
      <c r="C177" s="5043"/>
      <c r="D177" s="5043"/>
      <c r="E177" s="5044"/>
      <c r="F177" s="5045" t="s">
        <v>1458</v>
      </c>
      <c r="G177" s="5044"/>
      <c r="H177" s="5043"/>
      <c r="I177" s="4920"/>
      <c r="J177" s="4921" t="s">
        <v>1458</v>
      </c>
      <c r="K177" s="4920"/>
      <c r="L177" s="5043"/>
      <c r="M177" s="5044"/>
      <c r="N177" s="5045" t="s">
        <v>1458</v>
      </c>
      <c r="O177" s="5044"/>
      <c r="P177" s="5043"/>
      <c r="Q177" s="5043"/>
      <c r="R177" s="5035"/>
      <c r="S177" s="1513"/>
    </row>
    <row r="178" spans="1:19" ht="8.1" customHeight="1">
      <c r="A178" s="1516">
        <v>72</v>
      </c>
      <c r="B178" s="5037"/>
      <c r="C178" s="5043"/>
      <c r="D178" s="5043"/>
      <c r="E178" s="5043"/>
      <c r="F178" s="5046"/>
      <c r="G178" s="5043"/>
      <c r="H178" s="5043"/>
      <c r="I178" s="4919"/>
      <c r="J178" s="4922"/>
      <c r="K178" s="4919"/>
      <c r="L178" s="5043"/>
      <c r="M178" s="5043"/>
      <c r="N178" s="5046"/>
      <c r="O178" s="5043"/>
      <c r="P178" s="5043"/>
      <c r="Q178" s="5043"/>
      <c r="R178" s="5035"/>
      <c r="S178" s="1513"/>
    </row>
    <row r="179" spans="1:19" ht="8.1" customHeight="1">
      <c r="A179" s="1516">
        <v>73</v>
      </c>
      <c r="B179" s="5037"/>
      <c r="C179" s="5033"/>
      <c r="D179" s="5033"/>
      <c r="E179" s="5033"/>
      <c r="F179" s="5033"/>
      <c r="G179" s="5033"/>
      <c r="H179" s="5033"/>
      <c r="I179" s="5033"/>
      <c r="J179" s="5033"/>
      <c r="K179" s="5033"/>
      <c r="L179" s="5033"/>
      <c r="M179" s="5033"/>
      <c r="N179" s="5033"/>
      <c r="O179" s="5033"/>
      <c r="P179" s="5033"/>
      <c r="Q179" s="5033"/>
      <c r="R179" s="5035"/>
      <c r="S179" s="1513"/>
    </row>
    <row r="180" spans="1:19" ht="8.1" customHeight="1">
      <c r="A180" s="1516">
        <v>74</v>
      </c>
      <c r="B180" s="5037"/>
      <c r="C180" s="5033"/>
      <c r="D180" s="5033"/>
      <c r="E180" s="5033"/>
      <c r="F180" s="5033"/>
      <c r="G180" s="5033"/>
      <c r="H180" s="5033"/>
      <c r="I180" s="5033"/>
      <c r="J180" s="5033"/>
      <c r="K180" s="5033"/>
      <c r="L180" s="5033"/>
      <c r="M180" s="5033"/>
      <c r="N180" s="5033"/>
      <c r="O180" s="5033"/>
      <c r="P180" s="5033"/>
      <c r="Q180" s="5033"/>
      <c r="R180" s="5035"/>
      <c r="S180" s="1513"/>
    </row>
    <row r="181" spans="1:19" ht="8.1" customHeight="1">
      <c r="A181" s="1516">
        <v>75</v>
      </c>
      <c r="B181" s="5037"/>
      <c r="C181" s="5033"/>
      <c r="D181" s="5033"/>
      <c r="E181" s="5033"/>
      <c r="F181" s="5033"/>
      <c r="G181" s="5033"/>
      <c r="H181" s="5033"/>
      <c r="I181" s="5033"/>
      <c r="J181" s="5033"/>
      <c r="K181" s="5033"/>
      <c r="L181" s="5033"/>
      <c r="M181" s="5033"/>
      <c r="N181" s="5033"/>
      <c r="O181" s="5033"/>
      <c r="P181" s="5033"/>
      <c r="Q181" s="5033"/>
      <c r="R181" s="5035"/>
      <c r="S181" s="1513"/>
    </row>
    <row r="182" spans="1:19" ht="8.1" customHeight="1">
      <c r="A182" s="1516">
        <v>76</v>
      </c>
      <c r="B182" s="5038"/>
      <c r="C182" s="5034"/>
      <c r="D182" s="5034"/>
      <c r="E182" s="5034"/>
      <c r="F182" s="5034"/>
      <c r="G182" s="5034"/>
      <c r="H182" s="5034"/>
      <c r="I182" s="5034"/>
      <c r="J182" s="5034"/>
      <c r="K182" s="5034"/>
      <c r="L182" s="5034"/>
      <c r="M182" s="5034"/>
      <c r="N182" s="5034"/>
      <c r="O182" s="5034"/>
      <c r="P182" s="5034"/>
      <c r="Q182" s="5034"/>
      <c r="R182" s="5036"/>
      <c r="S182" s="1513"/>
    </row>
    <row r="183" spans="1:19" ht="8.1" customHeight="1">
      <c r="A183" s="1516"/>
      <c r="B183" s="1534"/>
      <c r="C183" s="1534"/>
      <c r="D183" s="1535"/>
      <c r="E183" s="1536"/>
      <c r="F183" s="1536"/>
      <c r="G183" s="1536"/>
      <c r="H183" s="1536"/>
      <c r="I183" s="1536"/>
      <c r="J183" s="1536"/>
      <c r="K183" s="1536"/>
      <c r="L183" s="1536"/>
      <c r="M183" s="1536"/>
      <c r="N183" s="1536"/>
      <c r="O183" s="1536"/>
      <c r="P183" s="1536"/>
      <c r="Q183" s="1536"/>
      <c r="R183" s="1537"/>
      <c r="S183" s="1513"/>
    </row>
    <row r="184" spans="1:19" ht="8.1" customHeight="1">
      <c r="A184" s="1516"/>
      <c r="B184" s="1538"/>
      <c r="C184" s="1538"/>
      <c r="D184" s="1539"/>
      <c r="E184" s="1540"/>
      <c r="F184" s="1540"/>
      <c r="G184" s="1540"/>
      <c r="H184" s="1540"/>
      <c r="I184" s="1540"/>
      <c r="J184" s="1540"/>
      <c r="K184" s="1540"/>
      <c r="L184" s="1540"/>
      <c r="M184" s="1540"/>
      <c r="N184" s="1540"/>
      <c r="O184" s="1540"/>
      <c r="P184" s="1540"/>
      <c r="Q184" s="1540"/>
      <c r="R184" s="1541"/>
      <c r="S184" s="1513"/>
    </row>
    <row r="185" spans="1:19" ht="8.1" customHeight="1">
      <c r="A185" s="1516"/>
      <c r="B185" s="1538"/>
      <c r="C185" s="1538"/>
      <c r="D185" s="1539"/>
      <c r="E185" s="1540"/>
      <c r="F185" s="1540"/>
      <c r="G185" s="1540"/>
      <c r="H185" s="1540"/>
      <c r="I185" s="1540"/>
      <c r="J185" s="1540"/>
      <c r="K185" s="1540"/>
      <c r="L185" s="1540"/>
      <c r="M185" s="1540"/>
      <c r="N185" s="1540"/>
      <c r="O185" s="1540"/>
      <c r="P185" s="1540"/>
      <c r="Q185" s="1540"/>
      <c r="R185" s="1541"/>
      <c r="S185" s="1513"/>
    </row>
    <row r="186" spans="1:19" ht="8.1" customHeight="1">
      <c r="A186" s="1516"/>
      <c r="B186" s="1538"/>
      <c r="C186" s="1538"/>
      <c r="D186" s="1539"/>
      <c r="E186" s="1540"/>
      <c r="F186" s="1540"/>
      <c r="G186" s="1540"/>
      <c r="H186" s="1540"/>
      <c r="I186" s="1540"/>
      <c r="J186" s="1540"/>
      <c r="K186" s="1540"/>
      <c r="L186" s="1540"/>
      <c r="M186" s="1540"/>
      <c r="N186" s="1540"/>
      <c r="O186" s="1540"/>
      <c r="P186" s="1540"/>
      <c r="Q186" s="1540"/>
      <c r="R186" s="1541"/>
      <c r="S186" s="1513"/>
    </row>
    <row r="187" spans="1:19" ht="8.1" customHeight="1">
      <c r="A187" s="1516"/>
      <c r="B187" s="1538"/>
      <c r="C187" s="1538"/>
      <c r="D187" s="1539"/>
      <c r="E187" s="1540"/>
      <c r="F187" s="1540"/>
      <c r="G187" s="1540"/>
      <c r="H187" s="1540"/>
      <c r="I187" s="1540"/>
      <c r="J187" s="1540"/>
      <c r="K187" s="1540"/>
      <c r="L187" s="1540"/>
      <c r="M187" s="1540"/>
      <c r="N187" s="1540"/>
      <c r="O187" s="1540"/>
      <c r="P187" s="1540"/>
      <c r="Q187" s="1540"/>
      <c r="R187" s="1541"/>
      <c r="S187" s="1513"/>
    </row>
    <row r="188" spans="1:19" ht="8.1" customHeight="1">
      <c r="A188" s="1516"/>
      <c r="B188" s="1538"/>
      <c r="C188" s="1538"/>
      <c r="D188" s="1539"/>
      <c r="E188" s="1540"/>
      <c r="F188" s="1540"/>
      <c r="G188" s="1540"/>
      <c r="H188" s="1540"/>
      <c r="I188" s="1540"/>
      <c r="J188" s="1540"/>
      <c r="K188" s="1540"/>
      <c r="L188" s="1540"/>
      <c r="M188" s="1540"/>
      <c r="N188" s="1540"/>
      <c r="O188" s="1540"/>
      <c r="P188" s="1540"/>
      <c r="Q188" s="1540"/>
      <c r="R188" s="1541"/>
      <c r="S188" s="1513"/>
    </row>
    <row r="189" spans="1:19" ht="8.1" customHeight="1">
      <c r="A189" s="1516"/>
      <c r="B189" s="1538"/>
      <c r="C189" s="1538"/>
      <c r="D189" s="1539"/>
      <c r="E189" s="1540"/>
      <c r="F189" s="1540"/>
      <c r="G189" s="1540"/>
      <c r="H189" s="1540"/>
      <c r="I189" s="1540"/>
      <c r="J189" s="1540"/>
      <c r="K189" s="1540"/>
      <c r="L189" s="1540"/>
      <c r="M189" s="1540"/>
      <c r="N189" s="1540"/>
      <c r="O189" s="1540"/>
      <c r="P189" s="1540"/>
      <c r="Q189" s="1540"/>
      <c r="R189" s="1541"/>
      <c r="S189" s="1513"/>
    </row>
    <row r="190" spans="1:19" ht="8.1" customHeight="1">
      <c r="A190" s="1507"/>
      <c r="B190" s="1542"/>
      <c r="C190" s="1542"/>
      <c r="D190" s="1543"/>
      <c r="E190" s="1544"/>
      <c r="F190" s="1544"/>
      <c r="G190" s="1545"/>
      <c r="H190" s="1545"/>
      <c r="I190" s="1545"/>
      <c r="J190" s="1545"/>
      <c r="K190" s="1545"/>
      <c r="L190" s="1545"/>
      <c r="M190" s="1545"/>
      <c r="N190" s="1545"/>
      <c r="O190" s="1545"/>
      <c r="P190" s="1544"/>
      <c r="Q190" s="1544"/>
      <c r="R190" s="1546"/>
      <c r="S190" s="1513"/>
    </row>
    <row r="191" spans="1:19" ht="12" customHeight="1">
      <c r="A191" s="1507"/>
      <c r="B191" s="1542"/>
      <c r="C191" s="1542"/>
      <c r="D191" s="1543"/>
      <c r="E191" s="1544"/>
      <c r="F191" s="2241" t="str">
        <f>F1</f>
        <v>SERVICIOS EDUCATIVOS DE  QUINTANA  ROO</v>
      </c>
      <c r="G191" s="1509"/>
      <c r="H191" s="1510"/>
      <c r="I191" s="1510"/>
      <c r="J191" s="1510"/>
      <c r="K191" s="1510"/>
      <c r="L191" s="1510"/>
      <c r="M191" s="1510"/>
      <c r="N191" s="1510"/>
      <c r="O191" s="1547"/>
      <c r="P191" s="1548"/>
      <c r="Q191" s="1548"/>
      <c r="R191" s="1549"/>
      <c r="S191" s="1513"/>
    </row>
    <row r="192" spans="1:19" ht="12" customHeight="1">
      <c r="A192" s="1507"/>
      <c r="B192" s="1542"/>
      <c r="C192" s="1542"/>
      <c r="D192" s="1543"/>
      <c r="E192" s="1544"/>
      <c r="F192" s="2241" t="str">
        <f>F2</f>
        <v>COORDINACION GENERAL DE PLANEACION</v>
      </c>
      <c r="G192" s="1509"/>
      <c r="H192" s="1510"/>
      <c r="I192" s="1510"/>
      <c r="J192" s="1510"/>
      <c r="K192" s="1510"/>
      <c r="L192" s="1510"/>
      <c r="M192" s="1510"/>
      <c r="N192" s="1510"/>
      <c r="O192" s="1547"/>
      <c r="P192" s="1547"/>
      <c r="Q192" s="1548"/>
      <c r="R192" s="1550"/>
      <c r="S192" s="1513"/>
    </row>
    <row r="193" spans="1:19" ht="12" customHeight="1">
      <c r="A193" s="1507"/>
      <c r="B193" s="1542"/>
      <c r="C193" s="1542"/>
      <c r="D193" s="1543"/>
      <c r="E193" s="1544"/>
      <c r="F193" s="2241" t="str">
        <f>F3</f>
        <v>DIRECCION DE PROFESIONES Y SERVICIOS ESCOLARES</v>
      </c>
      <c r="G193" s="1509"/>
      <c r="H193" s="1510"/>
      <c r="I193" s="1510"/>
      <c r="J193" s="1510"/>
      <c r="K193" s="1510"/>
      <c r="L193" s="1510"/>
      <c r="M193" s="1510"/>
      <c r="N193" s="1510"/>
      <c r="O193" s="1547"/>
      <c r="P193" s="1548"/>
      <c r="Q193" s="1548"/>
      <c r="R193" s="1550"/>
      <c r="S193" s="1513"/>
    </row>
    <row r="194" spans="1:19" ht="12" customHeight="1">
      <c r="A194" s="1507"/>
      <c r="B194" s="1542"/>
      <c r="C194" s="1542"/>
      <c r="D194" s="1543"/>
      <c r="E194" s="1544"/>
      <c r="F194" s="2241" t="str">
        <f>F4</f>
        <v>DEPARTAMENTO DE CONTROL ESCOLAR</v>
      </c>
      <c r="G194" s="1509"/>
      <c r="H194" s="1510"/>
      <c r="I194" s="1510"/>
      <c r="J194" s="1510"/>
      <c r="K194" s="1510"/>
      <c r="L194" s="1510"/>
      <c r="M194" s="1510"/>
      <c r="N194" s="1510"/>
      <c r="O194" s="1547"/>
      <c r="P194" s="1548"/>
      <c r="Q194" s="1548"/>
      <c r="R194" s="1550"/>
      <c r="S194" s="1513"/>
    </row>
    <row r="195" spans="1:19" ht="8.1" customHeight="1">
      <c r="A195" s="1507"/>
      <c r="B195" s="1542"/>
      <c r="C195" s="1542"/>
      <c r="D195" s="1543"/>
      <c r="E195" s="1544"/>
      <c r="F195" s="1511"/>
      <c r="G195" s="1509"/>
      <c r="H195" s="1509"/>
      <c r="I195" s="1509"/>
      <c r="J195" s="1509"/>
      <c r="K195" s="1509"/>
      <c r="L195" s="1509"/>
      <c r="M195" s="1509"/>
      <c r="N195" s="1509"/>
      <c r="O195" s="1551"/>
      <c r="P195" s="1548"/>
      <c r="Q195" s="1548"/>
      <c r="R195" s="1550"/>
      <c r="S195" s="1513"/>
    </row>
    <row r="196" spans="1:19" ht="8.1" customHeight="1">
      <c r="A196" s="1507"/>
      <c r="B196" s="1542"/>
      <c r="C196" s="1542"/>
      <c r="D196" s="1543"/>
      <c r="E196" s="1544"/>
      <c r="F196" s="1511"/>
      <c r="G196" s="1509"/>
      <c r="H196" s="1509"/>
      <c r="I196" s="1509"/>
      <c r="J196" s="1509"/>
      <c r="K196" s="1509"/>
      <c r="L196" s="1509"/>
      <c r="M196" s="1509"/>
      <c r="N196" s="1509"/>
      <c r="O196" s="5011" t="str">
        <f>O101</f>
        <v>EDUCACION: PRIMARIA</v>
      </c>
      <c r="P196" s="5011"/>
      <c r="Q196" s="5011"/>
      <c r="R196" s="5011"/>
      <c r="S196" s="1513"/>
    </row>
    <row r="197" spans="1:19" ht="8.1" customHeight="1">
      <c r="A197" s="1507"/>
      <c r="B197" s="1542"/>
      <c r="C197" s="1542"/>
      <c r="D197" s="1543"/>
      <c r="E197" s="1544"/>
      <c r="F197" s="5117" t="str">
        <f>F102</f>
        <v>ZONA ESCOLAR : 042</v>
      </c>
      <c r="G197" s="5011"/>
      <c r="H197" s="5011"/>
      <c r="I197" s="5011"/>
      <c r="J197" s="5012" t="s">
        <v>108</v>
      </c>
      <c r="K197" s="5011" t="s">
        <v>1444</v>
      </c>
      <c r="L197" s="5011"/>
      <c r="M197" s="1509"/>
      <c r="N197" s="1509"/>
      <c r="O197" s="5011"/>
      <c r="P197" s="5011"/>
      <c r="Q197" s="5011"/>
      <c r="R197" s="5011"/>
      <c r="S197" s="1513"/>
    </row>
    <row r="198" spans="1:19" ht="8.1" customHeight="1">
      <c r="A198" s="1507"/>
      <c r="B198" s="1542"/>
      <c r="C198" s="1542"/>
      <c r="D198" s="1543"/>
      <c r="E198" s="1544"/>
      <c r="F198" s="5117"/>
      <c r="G198" s="5011"/>
      <c r="H198" s="5011"/>
      <c r="I198" s="5011"/>
      <c r="J198" s="5012"/>
      <c r="K198" s="5011"/>
      <c r="L198" s="5011"/>
      <c r="M198" s="1509"/>
      <c r="N198" s="1509"/>
      <c r="O198" s="5129" t="str">
        <f>O103</f>
        <v>PERIODO ESCOLAR: 2012 / 2013</v>
      </c>
      <c r="P198" s="5129"/>
      <c r="Q198" s="5129"/>
      <c r="R198" s="5129"/>
      <c r="S198" s="1513"/>
    </row>
    <row r="199" spans="1:19" ht="8.1" customHeight="1">
      <c r="A199" s="1507"/>
      <c r="B199" s="5178" t="str">
        <f>B104</f>
        <v>2do. Informe</v>
      </c>
      <c r="C199" s="5178"/>
      <c r="D199" s="5179" t="str">
        <f>D104</f>
        <v>INICIO</v>
      </c>
      <c r="E199" s="5179"/>
      <c r="F199" s="1511"/>
      <c r="G199" s="1509"/>
      <c r="H199" s="1514"/>
      <c r="I199" s="1514"/>
      <c r="J199" s="1514"/>
      <c r="K199" s="1509"/>
      <c r="L199" s="1509"/>
      <c r="M199" s="1509"/>
      <c r="N199" s="1509"/>
      <c r="O199" s="5129"/>
      <c r="P199" s="5129"/>
      <c r="Q199" s="5129"/>
      <c r="R199" s="5129"/>
      <c r="S199" s="1513"/>
    </row>
    <row r="200" spans="1:19" ht="8.1" customHeight="1">
      <c r="A200" s="1507"/>
      <c r="B200" s="5178"/>
      <c r="C200" s="5178"/>
      <c r="D200" s="5179"/>
      <c r="E200" s="5179"/>
      <c r="F200" s="1511"/>
      <c r="G200" s="1509"/>
      <c r="H200" s="1514"/>
      <c r="I200" s="1514"/>
      <c r="J200" s="1514"/>
      <c r="K200" s="1509"/>
      <c r="L200" s="1509"/>
      <c r="M200" s="1509"/>
      <c r="N200" s="1509"/>
      <c r="O200" s="5181" t="str">
        <f>O105</f>
        <v>2do. Informe</v>
      </c>
      <c r="P200" s="5181"/>
      <c r="Q200" s="5181"/>
      <c r="R200" s="5181"/>
      <c r="S200" s="1513"/>
    </row>
    <row r="201" spans="1:19" ht="8.1" customHeight="1">
      <c r="A201" s="1507"/>
      <c r="B201" s="1542"/>
      <c r="C201" s="1542"/>
      <c r="D201" s="1543"/>
      <c r="E201" s="1544"/>
      <c r="F201" s="1508"/>
      <c r="G201" s="1515"/>
      <c r="H201" s="1515"/>
      <c r="I201" s="1515"/>
      <c r="J201" s="1515"/>
      <c r="K201" s="1515"/>
      <c r="L201" s="1515"/>
      <c r="M201" s="1515"/>
      <c r="N201" s="1515"/>
      <c r="O201" s="5182"/>
      <c r="P201" s="5182"/>
      <c r="Q201" s="5182"/>
      <c r="R201" s="5182"/>
      <c r="S201" s="1513"/>
    </row>
    <row r="202" spans="1:19" ht="8.1" customHeight="1">
      <c r="A202" s="1516">
        <v>1</v>
      </c>
      <c r="B202" s="5013" t="s">
        <v>1466</v>
      </c>
      <c r="C202" s="5017" t="s">
        <v>1467</v>
      </c>
      <c r="D202" s="5017"/>
      <c r="E202" s="5017"/>
      <c r="F202" s="5101" t="s">
        <v>1468</v>
      </c>
      <c r="G202" s="5101"/>
      <c r="H202" s="5101"/>
      <c r="I202" s="5101"/>
      <c r="J202" s="5101" t="s">
        <v>423</v>
      </c>
      <c r="K202" s="5113" t="s">
        <v>434</v>
      </c>
      <c r="L202" s="5101" t="s">
        <v>408</v>
      </c>
      <c r="M202" s="5102" t="s">
        <v>1469</v>
      </c>
      <c r="N202" s="5103"/>
      <c r="O202" s="5103"/>
      <c r="P202" s="5104"/>
      <c r="Q202" s="5101" t="s">
        <v>1470</v>
      </c>
      <c r="R202" s="5108" t="s">
        <v>117</v>
      </c>
      <c r="S202" s="1513"/>
    </row>
    <row r="203" spans="1:19" ht="8.1" customHeight="1">
      <c r="A203" s="1516">
        <v>2</v>
      </c>
      <c r="B203" s="5015"/>
      <c r="C203" s="5008"/>
      <c r="D203" s="5008"/>
      <c r="E203" s="5008"/>
      <c r="F203" s="5097"/>
      <c r="G203" s="5097"/>
      <c r="H203" s="5097"/>
      <c r="I203" s="5097"/>
      <c r="J203" s="5097"/>
      <c r="K203" s="5114"/>
      <c r="L203" s="5097"/>
      <c r="M203" s="5105"/>
      <c r="N203" s="5106"/>
      <c r="O203" s="5106"/>
      <c r="P203" s="5107"/>
      <c r="Q203" s="5097"/>
      <c r="R203" s="5099"/>
      <c r="S203" s="1513"/>
    </row>
    <row r="204" spans="1:19" ht="8.1" customHeight="1">
      <c r="A204" s="1516">
        <v>3</v>
      </c>
      <c r="B204" s="5015"/>
      <c r="C204" s="5008"/>
      <c r="D204" s="5008"/>
      <c r="E204" s="5008"/>
      <c r="F204" s="5097" t="s">
        <v>1471</v>
      </c>
      <c r="G204" s="5097" t="s">
        <v>1472</v>
      </c>
      <c r="H204" s="5097" t="s">
        <v>1473</v>
      </c>
      <c r="I204" s="5097" t="s">
        <v>408</v>
      </c>
      <c r="J204" s="5097"/>
      <c r="K204" s="5114"/>
      <c r="L204" s="5097"/>
      <c r="M204" s="5109" t="s">
        <v>1474</v>
      </c>
      <c r="N204" s="5110"/>
      <c r="O204" s="5109" t="s">
        <v>1472</v>
      </c>
      <c r="P204" s="5110"/>
      <c r="Q204" s="5097"/>
      <c r="R204" s="5099" t="s">
        <v>1470</v>
      </c>
      <c r="S204" s="1513"/>
    </row>
    <row r="205" spans="1:19" ht="8.1" customHeight="1">
      <c r="A205" s="1516">
        <v>4</v>
      </c>
      <c r="B205" s="5016"/>
      <c r="C205" s="5009"/>
      <c r="D205" s="5009"/>
      <c r="E205" s="5009"/>
      <c r="F205" s="5098"/>
      <c r="G205" s="5098"/>
      <c r="H205" s="5098"/>
      <c r="I205" s="5098"/>
      <c r="J205" s="5098"/>
      <c r="K205" s="5115"/>
      <c r="L205" s="5098"/>
      <c r="M205" s="5111"/>
      <c r="N205" s="5112"/>
      <c r="O205" s="5111"/>
      <c r="P205" s="5112"/>
      <c r="Q205" s="5098"/>
      <c r="R205" s="5100"/>
      <c r="S205" s="1513"/>
    </row>
    <row r="206" spans="1:19" ht="8.1" customHeight="1">
      <c r="A206" s="1516">
        <v>5</v>
      </c>
      <c r="B206" s="4975">
        <f>B16</f>
        <v>1</v>
      </c>
      <c r="C206" s="4975" t="str">
        <f>C111</f>
        <v>23DPR0055K</v>
      </c>
      <c r="D206" s="4975"/>
      <c r="E206" s="4975"/>
      <c r="F206" s="4975">
        <f>'VISITA DE INSP.'!JF3</f>
        <v>62</v>
      </c>
      <c r="G206" s="4975">
        <f>'VISITA DE INSP.'!IX3</f>
        <v>2</v>
      </c>
      <c r="H206" s="4975"/>
      <c r="I206" s="5089">
        <f>F206-H206</f>
        <v>62</v>
      </c>
      <c r="J206" s="4975">
        <f>'VISITA DE INSP.'!JL3</f>
        <v>1</v>
      </c>
      <c r="K206" s="4975">
        <f>'VISITA DE INSP.'!JR3</f>
        <v>6</v>
      </c>
      <c r="L206" s="4988">
        <f>I206+J206-K206</f>
        <v>57</v>
      </c>
      <c r="M206" s="4989">
        <f>L206</f>
        <v>57</v>
      </c>
      <c r="N206" s="4990"/>
      <c r="O206" s="4989">
        <f>G206</f>
        <v>2</v>
      </c>
      <c r="P206" s="4990"/>
      <c r="Q206" s="4988">
        <f>L206-R206</f>
        <v>57</v>
      </c>
      <c r="R206" s="5096">
        <f>'VISITA DE INSP.'!KD3</f>
        <v>0</v>
      </c>
      <c r="S206" s="1513"/>
    </row>
    <row r="207" spans="1:19" ht="8.1" customHeight="1">
      <c r="A207" s="1516">
        <v>6</v>
      </c>
      <c r="B207" s="4972"/>
      <c r="C207" s="4972"/>
      <c r="D207" s="4972"/>
      <c r="E207" s="4972"/>
      <c r="F207" s="4972"/>
      <c r="G207" s="4972"/>
      <c r="H207" s="4972"/>
      <c r="I207" s="5085"/>
      <c r="J207" s="4972"/>
      <c r="K207" s="4972"/>
      <c r="L207" s="4969"/>
      <c r="M207" s="4967"/>
      <c r="N207" s="4968"/>
      <c r="O207" s="4967"/>
      <c r="P207" s="4968"/>
      <c r="Q207" s="4969"/>
      <c r="R207" s="4972"/>
      <c r="S207" s="1513"/>
    </row>
    <row r="208" spans="1:19" ht="8.1" customHeight="1">
      <c r="A208" s="1516">
        <v>7</v>
      </c>
      <c r="B208" s="4975">
        <f t="shared" ref="B208" si="22">B18</f>
        <v>2</v>
      </c>
      <c r="C208" s="4972" t="str">
        <f>C113</f>
        <v>23DPR0491L</v>
      </c>
      <c r="D208" s="4972"/>
      <c r="E208" s="4972"/>
      <c r="F208" s="4975">
        <f>'VISITA DE INSP.'!JF4</f>
        <v>61</v>
      </c>
      <c r="G208" s="4975">
        <f>'VISITA DE INSP.'!IX4</f>
        <v>2</v>
      </c>
      <c r="H208" s="4972"/>
      <c r="I208" s="4972">
        <f>F208-H208</f>
        <v>61</v>
      </c>
      <c r="J208" s="4975">
        <f>'VISITA DE INSP.'!JL4</f>
        <v>6</v>
      </c>
      <c r="K208" s="4975">
        <f>'VISITA DE INSP.'!JR4</f>
        <v>4</v>
      </c>
      <c r="L208" s="4969">
        <f>I208+J208-K208</f>
        <v>63</v>
      </c>
      <c r="M208" s="4965">
        <f>L208</f>
        <v>63</v>
      </c>
      <c r="N208" s="4966"/>
      <c r="O208" s="4965">
        <f>G208</f>
        <v>2</v>
      </c>
      <c r="P208" s="4966"/>
      <c r="Q208" s="4969">
        <f>L208-R208</f>
        <v>63</v>
      </c>
      <c r="R208" s="4972">
        <f>'VISITA DE INSP.'!KD4</f>
        <v>0</v>
      </c>
      <c r="S208" s="1513"/>
    </row>
    <row r="209" spans="1:19" ht="8.1" customHeight="1">
      <c r="A209" s="1516">
        <v>8</v>
      </c>
      <c r="B209" s="4972"/>
      <c r="C209" s="4972"/>
      <c r="D209" s="4972"/>
      <c r="E209" s="4972"/>
      <c r="F209" s="4972"/>
      <c r="G209" s="4972"/>
      <c r="H209" s="4972"/>
      <c r="I209" s="4972"/>
      <c r="J209" s="4972"/>
      <c r="K209" s="4972"/>
      <c r="L209" s="4969"/>
      <c r="M209" s="4967"/>
      <c r="N209" s="4968"/>
      <c r="O209" s="4967"/>
      <c r="P209" s="4968"/>
      <c r="Q209" s="4969"/>
      <c r="R209" s="4972"/>
      <c r="S209" s="1513"/>
    </row>
    <row r="210" spans="1:19" ht="8.1" customHeight="1">
      <c r="A210" s="1516">
        <v>9</v>
      </c>
      <c r="B210" s="4975">
        <f t="shared" ref="B210" si="23">B20</f>
        <v>3</v>
      </c>
      <c r="C210" s="4972" t="str">
        <f>C115</f>
        <v>23DPR0492K</v>
      </c>
      <c r="D210" s="4972"/>
      <c r="E210" s="4972"/>
      <c r="F210" s="4975">
        <f>'VISITA DE INSP.'!JF5</f>
        <v>51</v>
      </c>
      <c r="G210" s="4975">
        <f>'VISITA DE INSP.'!IX5</f>
        <v>2</v>
      </c>
      <c r="H210" s="4972"/>
      <c r="I210" s="4972">
        <f>F210-H210</f>
        <v>51</v>
      </c>
      <c r="J210" s="4975">
        <f>'VISITA DE INSP.'!JL5</f>
        <v>6</v>
      </c>
      <c r="K210" s="4975">
        <f>'VISITA DE INSP.'!JR5</f>
        <v>8</v>
      </c>
      <c r="L210" s="4969">
        <f>I210+J210-K210</f>
        <v>49</v>
      </c>
      <c r="M210" s="4965">
        <f>L210</f>
        <v>49</v>
      </c>
      <c r="N210" s="4966"/>
      <c r="O210" s="4965">
        <f>G210</f>
        <v>2</v>
      </c>
      <c r="P210" s="4966"/>
      <c r="Q210" s="4969">
        <f>L210-R210</f>
        <v>49</v>
      </c>
      <c r="R210" s="4972">
        <f>'VISITA DE INSP.'!KD5</f>
        <v>0</v>
      </c>
      <c r="S210" s="1513"/>
    </row>
    <row r="211" spans="1:19" ht="8.1" customHeight="1">
      <c r="A211" s="1516">
        <v>10</v>
      </c>
      <c r="B211" s="4972"/>
      <c r="C211" s="4972"/>
      <c r="D211" s="4972"/>
      <c r="E211" s="4972"/>
      <c r="F211" s="4972"/>
      <c r="G211" s="4972"/>
      <c r="H211" s="4972"/>
      <c r="I211" s="4972"/>
      <c r="J211" s="4972"/>
      <c r="K211" s="4972"/>
      <c r="L211" s="4969"/>
      <c r="M211" s="4967"/>
      <c r="N211" s="4968"/>
      <c r="O211" s="4967"/>
      <c r="P211" s="4968"/>
      <c r="Q211" s="4969"/>
      <c r="R211" s="4972"/>
      <c r="S211" s="1513"/>
    </row>
    <row r="212" spans="1:19" ht="8.1" customHeight="1">
      <c r="A212" s="1516">
        <v>11</v>
      </c>
      <c r="B212" s="4975">
        <f t="shared" ref="B212" si="24">B22</f>
        <v>4</v>
      </c>
      <c r="C212" s="4972" t="str">
        <f>C117</f>
        <v>23DPR0564N</v>
      </c>
      <c r="D212" s="4972"/>
      <c r="E212" s="4972"/>
      <c r="F212" s="4975">
        <f>'VISITA DE INSP.'!JF6</f>
        <v>67</v>
      </c>
      <c r="G212" s="4975">
        <f>'VISITA DE INSP.'!IX6</f>
        <v>2</v>
      </c>
      <c r="H212" s="4972"/>
      <c r="I212" s="4972">
        <f>F212-H212</f>
        <v>67</v>
      </c>
      <c r="J212" s="4975">
        <f>'VISITA DE INSP.'!JL6</f>
        <v>1</v>
      </c>
      <c r="K212" s="4975">
        <f>'VISITA DE INSP.'!JR6</f>
        <v>5</v>
      </c>
      <c r="L212" s="4969">
        <f>I212+J212-K212</f>
        <v>63</v>
      </c>
      <c r="M212" s="4965">
        <f>L212</f>
        <v>63</v>
      </c>
      <c r="N212" s="4966"/>
      <c r="O212" s="4965">
        <f>G212</f>
        <v>2</v>
      </c>
      <c r="P212" s="4966"/>
      <c r="Q212" s="4969">
        <f>L212-R212</f>
        <v>63</v>
      </c>
      <c r="R212" s="4972">
        <f>'VISITA DE INSP.'!KD6</f>
        <v>0</v>
      </c>
      <c r="S212" s="1513"/>
    </row>
    <row r="213" spans="1:19" ht="8.1" customHeight="1">
      <c r="A213" s="1516">
        <v>12</v>
      </c>
      <c r="B213" s="4972"/>
      <c r="C213" s="4972"/>
      <c r="D213" s="4972"/>
      <c r="E213" s="4972"/>
      <c r="F213" s="4972"/>
      <c r="G213" s="4972"/>
      <c r="H213" s="4972"/>
      <c r="I213" s="4972"/>
      <c r="J213" s="4972"/>
      <c r="K213" s="4972"/>
      <c r="L213" s="4969"/>
      <c r="M213" s="4967"/>
      <c r="N213" s="4968"/>
      <c r="O213" s="4967"/>
      <c r="P213" s="4968"/>
      <c r="Q213" s="4969"/>
      <c r="R213" s="4972"/>
      <c r="S213" s="1513"/>
    </row>
    <row r="214" spans="1:19" ht="8.1" customHeight="1">
      <c r="A214" s="1516">
        <v>13</v>
      </c>
      <c r="B214" s="4975">
        <f t="shared" ref="B214" si="25">B24</f>
        <v>5</v>
      </c>
      <c r="C214" s="4972" t="str">
        <f>C119</f>
        <v>23DPR0570Y</v>
      </c>
      <c r="D214" s="4972"/>
      <c r="E214" s="4972"/>
      <c r="F214" s="4975">
        <f>'VISITA DE INSP.'!JF7</f>
        <v>31</v>
      </c>
      <c r="G214" s="4975">
        <f>'VISITA DE INSP.'!IX7</f>
        <v>1</v>
      </c>
      <c r="H214" s="4972"/>
      <c r="I214" s="4972">
        <f>F214-H214</f>
        <v>31</v>
      </c>
      <c r="J214" s="4975">
        <f>'VISITA DE INSP.'!JL7</f>
        <v>6</v>
      </c>
      <c r="K214" s="4975">
        <f>'VISITA DE INSP.'!JR7</f>
        <v>9</v>
      </c>
      <c r="L214" s="4969">
        <f>I214+J214-K214</f>
        <v>28</v>
      </c>
      <c r="M214" s="4965">
        <f>L214</f>
        <v>28</v>
      </c>
      <c r="N214" s="4966"/>
      <c r="O214" s="4965">
        <f>G214</f>
        <v>1</v>
      </c>
      <c r="P214" s="4966"/>
      <c r="Q214" s="4969">
        <f>L214-R214</f>
        <v>28</v>
      </c>
      <c r="R214" s="4972">
        <f>'VISITA DE INSP.'!KD7</f>
        <v>0</v>
      </c>
      <c r="S214" s="1513"/>
    </row>
    <row r="215" spans="1:19" ht="8.1" customHeight="1">
      <c r="A215" s="1516">
        <v>14</v>
      </c>
      <c r="B215" s="4972"/>
      <c r="C215" s="4972"/>
      <c r="D215" s="4972"/>
      <c r="E215" s="4972"/>
      <c r="F215" s="4972"/>
      <c r="G215" s="4972"/>
      <c r="H215" s="4972"/>
      <c r="I215" s="4972"/>
      <c r="J215" s="4972"/>
      <c r="K215" s="4972"/>
      <c r="L215" s="4969"/>
      <c r="M215" s="4967"/>
      <c r="N215" s="4968"/>
      <c r="O215" s="4967"/>
      <c r="P215" s="4968"/>
      <c r="Q215" s="4969"/>
      <c r="R215" s="4972"/>
      <c r="S215" s="1513"/>
    </row>
    <row r="216" spans="1:19" ht="8.1" customHeight="1">
      <c r="A216" s="1516">
        <v>15</v>
      </c>
      <c r="B216" s="4975">
        <f t="shared" ref="B216" si="26">B26</f>
        <v>6</v>
      </c>
      <c r="C216" s="4972" t="str">
        <f>C121</f>
        <v>23DPR0572W</v>
      </c>
      <c r="D216" s="4972"/>
      <c r="E216" s="4972"/>
      <c r="F216" s="4975">
        <f>'VISITA DE INSP.'!JF8</f>
        <v>53</v>
      </c>
      <c r="G216" s="4975">
        <f>'VISITA DE INSP.'!IX8</f>
        <v>2</v>
      </c>
      <c r="H216" s="4972"/>
      <c r="I216" s="4972">
        <f>F216-H216</f>
        <v>53</v>
      </c>
      <c r="J216" s="4975">
        <f>'VISITA DE INSP.'!JL8</f>
        <v>7</v>
      </c>
      <c r="K216" s="4975">
        <f>'VISITA DE INSP.'!JR8</f>
        <v>6</v>
      </c>
      <c r="L216" s="4969">
        <f>I216+J216-K216</f>
        <v>54</v>
      </c>
      <c r="M216" s="4965">
        <f>L216</f>
        <v>54</v>
      </c>
      <c r="N216" s="4966"/>
      <c r="O216" s="4965">
        <f>G216</f>
        <v>2</v>
      </c>
      <c r="P216" s="4966"/>
      <c r="Q216" s="4969">
        <f>L216-R216</f>
        <v>54</v>
      </c>
      <c r="R216" s="4972">
        <f>'VISITA DE INSP.'!KD8</f>
        <v>0</v>
      </c>
      <c r="S216" s="1513"/>
    </row>
    <row r="217" spans="1:19" ht="8.1" customHeight="1">
      <c r="A217" s="1516">
        <v>16</v>
      </c>
      <c r="B217" s="4972"/>
      <c r="C217" s="4972"/>
      <c r="D217" s="4972"/>
      <c r="E217" s="4972"/>
      <c r="F217" s="4972"/>
      <c r="G217" s="4972"/>
      <c r="H217" s="4972"/>
      <c r="I217" s="4972"/>
      <c r="J217" s="4972"/>
      <c r="K217" s="4972"/>
      <c r="L217" s="4969"/>
      <c r="M217" s="4967"/>
      <c r="N217" s="4968"/>
      <c r="O217" s="4967"/>
      <c r="P217" s="4968"/>
      <c r="Q217" s="4969"/>
      <c r="R217" s="4972"/>
      <c r="S217" s="1513"/>
    </row>
    <row r="218" spans="1:19" ht="8.1" customHeight="1">
      <c r="A218" s="1516">
        <v>17</v>
      </c>
      <c r="B218" s="4975">
        <f t="shared" ref="B218" si="27">B28</f>
        <v>7</v>
      </c>
      <c r="C218" s="4972" t="str">
        <f>C123</f>
        <v>23DPR0581D</v>
      </c>
      <c r="D218" s="4972"/>
      <c r="E218" s="4972"/>
      <c r="F218" s="4975">
        <f>'VISITA DE INSP.'!JF9</f>
        <v>22</v>
      </c>
      <c r="G218" s="4975">
        <f>'VISITA DE INSP.'!IX9</f>
        <v>1</v>
      </c>
      <c r="H218" s="4972"/>
      <c r="I218" s="4972">
        <f>F218-H218</f>
        <v>22</v>
      </c>
      <c r="J218" s="4975">
        <f>'VISITA DE INSP.'!JL9</f>
        <v>2</v>
      </c>
      <c r="K218" s="4975">
        <f>'VISITA DE INSP.'!JR9</f>
        <v>2</v>
      </c>
      <c r="L218" s="4969">
        <f>I218+J218-K218</f>
        <v>22</v>
      </c>
      <c r="M218" s="4965">
        <f>L218</f>
        <v>22</v>
      </c>
      <c r="N218" s="4966"/>
      <c r="O218" s="4965">
        <f>G218</f>
        <v>1</v>
      </c>
      <c r="P218" s="4966"/>
      <c r="Q218" s="4969">
        <f>L218-R218</f>
        <v>22</v>
      </c>
      <c r="R218" s="4972">
        <f>'VISITA DE INSP.'!KD9</f>
        <v>0</v>
      </c>
      <c r="S218" s="1513"/>
    </row>
    <row r="219" spans="1:19" ht="8.1" customHeight="1">
      <c r="A219" s="1516">
        <v>18</v>
      </c>
      <c r="B219" s="4972"/>
      <c r="C219" s="4972"/>
      <c r="D219" s="4972"/>
      <c r="E219" s="4972"/>
      <c r="F219" s="4972"/>
      <c r="G219" s="4972"/>
      <c r="H219" s="4972"/>
      <c r="I219" s="4972"/>
      <c r="J219" s="4972"/>
      <c r="K219" s="4972"/>
      <c r="L219" s="4969"/>
      <c r="M219" s="4967"/>
      <c r="N219" s="4968"/>
      <c r="O219" s="4967"/>
      <c r="P219" s="4968"/>
      <c r="Q219" s="4969"/>
      <c r="R219" s="4972"/>
      <c r="S219" s="1513"/>
    </row>
    <row r="220" spans="1:19" ht="8.1" customHeight="1">
      <c r="A220" s="1516">
        <v>19</v>
      </c>
      <c r="B220" s="4975">
        <f t="shared" ref="B220" si="28">B30</f>
        <v>8</v>
      </c>
      <c r="C220" s="4972" t="str">
        <f>C125</f>
        <v>23DPR0593I</v>
      </c>
      <c r="D220" s="4972"/>
      <c r="E220" s="4972"/>
      <c r="F220" s="4975">
        <f>'VISITA DE INSP.'!JF10</f>
        <v>0</v>
      </c>
      <c r="G220" s="4975">
        <f>'VISITA DE INSP.'!IX10</f>
        <v>0</v>
      </c>
      <c r="H220" s="4972"/>
      <c r="I220" s="4972">
        <f>F220-H220</f>
        <v>0</v>
      </c>
      <c r="J220" s="4975">
        <f>'VISITA DE INSP.'!JL10</f>
        <v>0</v>
      </c>
      <c r="K220" s="4975">
        <f>'VISITA DE INSP.'!JR10</f>
        <v>0</v>
      </c>
      <c r="L220" s="4969">
        <f>I220+J220-K220</f>
        <v>0</v>
      </c>
      <c r="M220" s="4965">
        <f>L220</f>
        <v>0</v>
      </c>
      <c r="N220" s="4966"/>
      <c r="O220" s="4965">
        <f>G220</f>
        <v>0</v>
      </c>
      <c r="P220" s="4966"/>
      <c r="Q220" s="4969">
        <f>L220-R220</f>
        <v>0</v>
      </c>
      <c r="R220" s="4972">
        <f>'VISITA DE INSP.'!KD10</f>
        <v>0</v>
      </c>
      <c r="S220" s="1513"/>
    </row>
    <row r="221" spans="1:19" ht="8.1" customHeight="1">
      <c r="A221" s="1516">
        <v>20</v>
      </c>
      <c r="B221" s="4972"/>
      <c r="C221" s="4972"/>
      <c r="D221" s="4972"/>
      <c r="E221" s="4972"/>
      <c r="F221" s="4972"/>
      <c r="G221" s="4972"/>
      <c r="H221" s="4972"/>
      <c r="I221" s="4972"/>
      <c r="J221" s="4972"/>
      <c r="K221" s="4972"/>
      <c r="L221" s="4969"/>
      <c r="M221" s="4967"/>
      <c r="N221" s="4968"/>
      <c r="O221" s="4967"/>
      <c r="P221" s="4968"/>
      <c r="Q221" s="4969"/>
      <c r="R221" s="4972"/>
      <c r="S221" s="1513"/>
    </row>
    <row r="222" spans="1:19" ht="8.1" customHeight="1">
      <c r="A222" s="1516">
        <v>21</v>
      </c>
      <c r="B222" s="4975">
        <f t="shared" ref="B222" si="29">B32</f>
        <v>9</v>
      </c>
      <c r="C222" s="4972" t="str">
        <f>C127</f>
        <v>23DPR0640C</v>
      </c>
      <c r="D222" s="4972"/>
      <c r="E222" s="4972"/>
      <c r="F222" s="4975">
        <f>'VISITA DE INSP.'!JF11</f>
        <v>67</v>
      </c>
      <c r="G222" s="4975">
        <f>'VISITA DE INSP.'!IX11</f>
        <v>2</v>
      </c>
      <c r="H222" s="4972"/>
      <c r="I222" s="4972">
        <f>F222-H222</f>
        <v>67</v>
      </c>
      <c r="J222" s="4975">
        <f>'VISITA DE INSP.'!JL11</f>
        <v>4</v>
      </c>
      <c r="K222" s="4975">
        <f>'VISITA DE INSP.'!JR11</f>
        <v>24</v>
      </c>
      <c r="L222" s="4969">
        <f>I222+J222-K222</f>
        <v>47</v>
      </c>
      <c r="M222" s="4965">
        <f>L222</f>
        <v>47</v>
      </c>
      <c r="N222" s="4966"/>
      <c r="O222" s="4965">
        <f>G222</f>
        <v>2</v>
      </c>
      <c r="P222" s="4966"/>
      <c r="Q222" s="4969">
        <f>L222-R222</f>
        <v>47</v>
      </c>
      <c r="R222" s="4972">
        <f>'VISITA DE INSP.'!KD11</f>
        <v>0</v>
      </c>
      <c r="S222" s="1513"/>
    </row>
    <row r="223" spans="1:19" ht="8.1" customHeight="1">
      <c r="A223" s="1516">
        <v>22</v>
      </c>
      <c r="B223" s="4972"/>
      <c r="C223" s="4972"/>
      <c r="D223" s="4972"/>
      <c r="E223" s="4972"/>
      <c r="F223" s="4972"/>
      <c r="G223" s="4972"/>
      <c r="H223" s="4972"/>
      <c r="I223" s="4972"/>
      <c r="J223" s="4972"/>
      <c r="K223" s="4972"/>
      <c r="L223" s="4969"/>
      <c r="M223" s="4967"/>
      <c r="N223" s="4968"/>
      <c r="O223" s="4967"/>
      <c r="P223" s="4968"/>
      <c r="Q223" s="4969"/>
      <c r="R223" s="4972"/>
      <c r="S223" s="1513"/>
    </row>
    <row r="224" spans="1:19" ht="8.1" customHeight="1">
      <c r="A224" s="1516">
        <v>23</v>
      </c>
      <c r="B224" s="4975">
        <f t="shared" ref="B224" si="30">B34</f>
        <v>10</v>
      </c>
      <c r="C224" s="4972" t="str">
        <f>C129</f>
        <v>23DPR0681C</v>
      </c>
      <c r="D224" s="4972"/>
      <c r="E224" s="4972"/>
      <c r="F224" s="4975">
        <f>'VISITA DE INSP.'!JF12</f>
        <v>34</v>
      </c>
      <c r="G224" s="4975">
        <f>'VISITA DE INSP.'!IX12</f>
        <v>1</v>
      </c>
      <c r="H224" s="4972"/>
      <c r="I224" s="4972">
        <f>F224-H224</f>
        <v>34</v>
      </c>
      <c r="J224" s="4975">
        <f>'VISITA DE INSP.'!JL12</f>
        <v>3</v>
      </c>
      <c r="K224" s="4975">
        <f>'VISITA DE INSP.'!JR12</f>
        <v>2</v>
      </c>
      <c r="L224" s="4969">
        <f>I224+J224-K224</f>
        <v>35</v>
      </c>
      <c r="M224" s="4965">
        <f>L224</f>
        <v>35</v>
      </c>
      <c r="N224" s="4966"/>
      <c r="O224" s="4965">
        <f>G224</f>
        <v>1</v>
      </c>
      <c r="P224" s="4966"/>
      <c r="Q224" s="4969">
        <f>L224-R224</f>
        <v>35</v>
      </c>
      <c r="R224" s="4972">
        <f>'VISITA DE INSP.'!KD12</f>
        <v>0</v>
      </c>
      <c r="S224" s="1513"/>
    </row>
    <row r="225" spans="1:19" ht="8.1" customHeight="1">
      <c r="A225" s="1516">
        <v>24</v>
      </c>
      <c r="B225" s="4972"/>
      <c r="C225" s="4972"/>
      <c r="D225" s="4972"/>
      <c r="E225" s="4972"/>
      <c r="F225" s="4972"/>
      <c r="G225" s="4972"/>
      <c r="H225" s="4972"/>
      <c r="I225" s="4972"/>
      <c r="J225" s="4972"/>
      <c r="K225" s="4972"/>
      <c r="L225" s="4969"/>
      <c r="M225" s="4967"/>
      <c r="N225" s="4968"/>
      <c r="O225" s="4967"/>
      <c r="P225" s="4968"/>
      <c r="Q225" s="4969"/>
      <c r="R225" s="4972"/>
      <c r="S225" s="1513"/>
    </row>
    <row r="226" spans="1:19" ht="8.1" hidden="1" customHeight="1">
      <c r="A226" s="1516">
        <v>25</v>
      </c>
      <c r="B226" s="4975">
        <f t="shared" ref="B226" si="31">B36</f>
        <v>0</v>
      </c>
      <c r="C226" s="4972">
        <f>C131</f>
        <v>0</v>
      </c>
      <c r="D226" s="4972"/>
      <c r="E226" s="4972"/>
      <c r="F226" s="4975">
        <f>'VISITA DE INSP.'!JF13</f>
        <v>0</v>
      </c>
      <c r="G226" s="4975">
        <f>'VISITA DE INSP.'!IX13</f>
        <v>0</v>
      </c>
      <c r="H226" s="4972"/>
      <c r="I226" s="4972">
        <f>F226-H226</f>
        <v>0</v>
      </c>
      <c r="J226" s="4975">
        <f>'VISITA DE INSP.'!JL13</f>
        <v>0</v>
      </c>
      <c r="K226" s="4975">
        <f>'VISITA DE INSP.'!JR13</f>
        <v>0</v>
      </c>
      <c r="L226" s="4969">
        <f>I226+J226-K226</f>
        <v>0</v>
      </c>
      <c r="M226" s="4965">
        <f>L226</f>
        <v>0</v>
      </c>
      <c r="N226" s="4966"/>
      <c r="O226" s="4965">
        <f>G226</f>
        <v>0</v>
      </c>
      <c r="P226" s="4966"/>
      <c r="Q226" s="4969">
        <f>L226-R226</f>
        <v>0</v>
      </c>
      <c r="R226" s="4972">
        <f>'VISITA DE INSP.'!KD13</f>
        <v>0</v>
      </c>
      <c r="S226" s="1513"/>
    </row>
    <row r="227" spans="1:19" ht="8.1" hidden="1" customHeight="1">
      <c r="A227" s="1516">
        <v>26</v>
      </c>
      <c r="B227" s="4972"/>
      <c r="C227" s="4972"/>
      <c r="D227" s="4972"/>
      <c r="E227" s="4972"/>
      <c r="F227" s="4972"/>
      <c r="G227" s="4972"/>
      <c r="H227" s="4972"/>
      <c r="I227" s="4972"/>
      <c r="J227" s="4972"/>
      <c r="K227" s="4972"/>
      <c r="L227" s="4969"/>
      <c r="M227" s="4967"/>
      <c r="N227" s="4968"/>
      <c r="O227" s="4967"/>
      <c r="P227" s="4968"/>
      <c r="Q227" s="4969"/>
      <c r="R227" s="4972"/>
      <c r="S227" s="1513"/>
    </row>
    <row r="228" spans="1:19" ht="8.1" customHeight="1">
      <c r="A228" s="1516">
        <v>27</v>
      </c>
      <c r="B228" s="4975">
        <f t="shared" ref="B228" si="32">B38</f>
        <v>11</v>
      </c>
      <c r="C228" s="4981" t="str">
        <f>C133</f>
        <v>23PPR0099M</v>
      </c>
      <c r="D228" s="4982"/>
      <c r="E228" s="4983"/>
      <c r="F228" s="4975">
        <f>'VISITA DE INSP.'!JF14</f>
        <v>8</v>
      </c>
      <c r="G228" s="4975">
        <f>'VISITA DE INSP.'!IX14</f>
        <v>1</v>
      </c>
      <c r="H228" s="4972"/>
      <c r="I228" s="4972">
        <f>F228-H228</f>
        <v>8</v>
      </c>
      <c r="J228" s="4975">
        <f>'VISITA DE INSP.'!JL14</f>
        <v>3</v>
      </c>
      <c r="K228" s="4975">
        <f>'VISITA DE INSP.'!JR14</f>
        <v>0</v>
      </c>
      <c r="L228" s="4969">
        <f>I228+J228-K228</f>
        <v>11</v>
      </c>
      <c r="M228" s="4965">
        <f>L228</f>
        <v>11</v>
      </c>
      <c r="N228" s="4966"/>
      <c r="O228" s="4965">
        <f>G228</f>
        <v>1</v>
      </c>
      <c r="P228" s="4966"/>
      <c r="Q228" s="4969">
        <f>L228-R228</f>
        <v>11</v>
      </c>
      <c r="R228" s="4972">
        <f>'VISITA DE INSP.'!KD14</f>
        <v>0</v>
      </c>
      <c r="S228" s="1513"/>
    </row>
    <row r="229" spans="1:19" ht="8.1" customHeight="1">
      <c r="A229" s="1516">
        <v>28</v>
      </c>
      <c r="B229" s="4972"/>
      <c r="C229" s="4984"/>
      <c r="D229" s="4985"/>
      <c r="E229" s="4986"/>
      <c r="F229" s="4972"/>
      <c r="G229" s="4972"/>
      <c r="H229" s="4972"/>
      <c r="I229" s="4972"/>
      <c r="J229" s="4972"/>
      <c r="K229" s="4972"/>
      <c r="L229" s="4969"/>
      <c r="M229" s="4967"/>
      <c r="N229" s="4968"/>
      <c r="O229" s="4967"/>
      <c r="P229" s="4968"/>
      <c r="Q229" s="4969"/>
      <c r="R229" s="4972"/>
      <c r="S229" s="1513"/>
    </row>
    <row r="230" spans="1:19" ht="8.1" customHeight="1">
      <c r="A230" s="1516">
        <v>29</v>
      </c>
      <c r="B230" s="4975">
        <f t="shared" ref="B230" si="33">B40</f>
        <v>12</v>
      </c>
      <c r="C230" s="4981" t="str">
        <f>C135</f>
        <v>23PPR0100L</v>
      </c>
      <c r="D230" s="4982"/>
      <c r="E230" s="4983"/>
      <c r="F230" s="4975">
        <f>'VISITA DE INSP.'!JF15</f>
        <v>24</v>
      </c>
      <c r="G230" s="4975">
        <f>'VISITA DE INSP.'!IX15</f>
        <v>1</v>
      </c>
      <c r="H230" s="4972"/>
      <c r="I230" s="4972">
        <f>F230-H230</f>
        <v>24</v>
      </c>
      <c r="J230" s="4975">
        <f>'VISITA DE INSP.'!JL15</f>
        <v>3</v>
      </c>
      <c r="K230" s="4975">
        <f>'VISITA DE INSP.'!JR15</f>
        <v>1</v>
      </c>
      <c r="L230" s="4969">
        <f>I230+J230-K230</f>
        <v>26</v>
      </c>
      <c r="M230" s="4965">
        <f>L230</f>
        <v>26</v>
      </c>
      <c r="N230" s="4966"/>
      <c r="O230" s="4965">
        <f>G230</f>
        <v>1</v>
      </c>
      <c r="P230" s="4966"/>
      <c r="Q230" s="4969">
        <f>L230-R230</f>
        <v>26</v>
      </c>
      <c r="R230" s="4972">
        <f>'VISITA DE INSP.'!KD15</f>
        <v>0</v>
      </c>
      <c r="S230" s="1513"/>
    </row>
    <row r="231" spans="1:19" ht="8.1" customHeight="1">
      <c r="A231" s="1516">
        <v>30</v>
      </c>
      <c r="B231" s="4972"/>
      <c r="C231" s="4984"/>
      <c r="D231" s="4985"/>
      <c r="E231" s="4986"/>
      <c r="F231" s="4972"/>
      <c r="G231" s="4972"/>
      <c r="H231" s="4972"/>
      <c r="I231" s="4972"/>
      <c r="J231" s="4972"/>
      <c r="K231" s="4972"/>
      <c r="L231" s="4969"/>
      <c r="M231" s="4967"/>
      <c r="N231" s="4968"/>
      <c r="O231" s="4967"/>
      <c r="P231" s="4968"/>
      <c r="Q231" s="4969"/>
      <c r="R231" s="4972"/>
      <c r="S231" s="1513"/>
    </row>
    <row r="232" spans="1:19" ht="8.1" customHeight="1">
      <c r="A232" s="1516">
        <v>31</v>
      </c>
      <c r="B232" s="4975">
        <f t="shared" ref="B232" si="34">B42</f>
        <v>13</v>
      </c>
      <c r="C232" s="4980" t="str">
        <f>C137</f>
        <v>23PPR0125U</v>
      </c>
      <c r="D232" s="4980"/>
      <c r="E232" s="4980"/>
      <c r="F232" s="4975">
        <f>'VISITA DE INSP.'!JF16</f>
        <v>12</v>
      </c>
      <c r="G232" s="4975">
        <f>'VISITA DE INSP.'!IX16</f>
        <v>1</v>
      </c>
      <c r="H232" s="4972"/>
      <c r="I232" s="4972">
        <f>F232-H232</f>
        <v>12</v>
      </c>
      <c r="J232" s="4975">
        <f>'VISITA DE INSP.'!JL16</f>
        <v>1</v>
      </c>
      <c r="K232" s="4975">
        <f>'VISITA DE INSP.'!JR16</f>
        <v>0</v>
      </c>
      <c r="L232" s="4969">
        <f>I232+J232-K232</f>
        <v>13</v>
      </c>
      <c r="M232" s="4965">
        <f>L232</f>
        <v>13</v>
      </c>
      <c r="N232" s="4966"/>
      <c r="O232" s="4965">
        <f>G232</f>
        <v>1</v>
      </c>
      <c r="P232" s="4966"/>
      <c r="Q232" s="4969">
        <f>L232-R232</f>
        <v>13</v>
      </c>
      <c r="R232" s="4972">
        <f>'VISITA DE INSP.'!KD16</f>
        <v>0</v>
      </c>
      <c r="S232" s="1513"/>
    </row>
    <row r="233" spans="1:19" ht="8.1" customHeight="1">
      <c r="A233" s="1516">
        <v>32</v>
      </c>
      <c r="B233" s="4972"/>
      <c r="C233" s="4975"/>
      <c r="D233" s="4975"/>
      <c r="E233" s="4975"/>
      <c r="F233" s="4972"/>
      <c r="G233" s="4972"/>
      <c r="H233" s="4972"/>
      <c r="I233" s="4972"/>
      <c r="J233" s="4972"/>
      <c r="K233" s="4972"/>
      <c r="L233" s="4969"/>
      <c r="M233" s="4967"/>
      <c r="N233" s="4968"/>
      <c r="O233" s="4967"/>
      <c r="P233" s="4968"/>
      <c r="Q233" s="4969"/>
      <c r="R233" s="4972"/>
      <c r="S233" s="1513"/>
    </row>
    <row r="234" spans="1:19" ht="8.1" customHeight="1">
      <c r="A234" s="1516">
        <v>33</v>
      </c>
      <c r="B234" s="4975">
        <f t="shared" ref="B234" si="35">B44</f>
        <v>14</v>
      </c>
      <c r="C234" s="4978" t="str">
        <f>C139</f>
        <v>23PPR0156N</v>
      </c>
      <c r="D234" s="4978"/>
      <c r="E234" s="4978"/>
      <c r="F234" s="4975">
        <f>'VISITA DE INSP.'!JF17</f>
        <v>9</v>
      </c>
      <c r="G234" s="4975">
        <f>'VISITA DE INSP.'!IX17</f>
        <v>1</v>
      </c>
      <c r="H234" s="4978"/>
      <c r="I234" s="4972">
        <f>F234-H234</f>
        <v>9</v>
      </c>
      <c r="J234" s="4975">
        <f>'VISITA DE INSP.'!JL17</f>
        <v>1</v>
      </c>
      <c r="K234" s="4975">
        <f>'VISITA DE INSP.'!JR17</f>
        <v>0</v>
      </c>
      <c r="L234" s="4969">
        <f>I234+J234-K234</f>
        <v>10</v>
      </c>
      <c r="M234" s="4965">
        <f>L234</f>
        <v>10</v>
      </c>
      <c r="N234" s="4966"/>
      <c r="O234" s="4965">
        <f>G234</f>
        <v>1</v>
      </c>
      <c r="P234" s="4966"/>
      <c r="Q234" s="4969">
        <f>L234-R234</f>
        <v>10</v>
      </c>
      <c r="R234" s="4972">
        <f>'VISITA DE INSP.'!KD17</f>
        <v>0</v>
      </c>
      <c r="S234" s="1513"/>
    </row>
    <row r="235" spans="1:19" ht="8.1" customHeight="1">
      <c r="A235" s="1516">
        <v>34</v>
      </c>
      <c r="B235" s="4972"/>
      <c r="C235" s="4979"/>
      <c r="D235" s="4979"/>
      <c r="E235" s="4979"/>
      <c r="F235" s="4972"/>
      <c r="G235" s="4972"/>
      <c r="H235" s="4979"/>
      <c r="I235" s="4972"/>
      <c r="J235" s="4972"/>
      <c r="K235" s="4972"/>
      <c r="L235" s="4969"/>
      <c r="M235" s="4967"/>
      <c r="N235" s="4968"/>
      <c r="O235" s="4967"/>
      <c r="P235" s="4968"/>
      <c r="Q235" s="4969"/>
      <c r="R235" s="4972"/>
      <c r="S235" s="1513"/>
    </row>
    <row r="236" spans="1:19" ht="8.1" customHeight="1">
      <c r="A236" s="1516">
        <v>35</v>
      </c>
      <c r="B236" s="4975">
        <f t="shared" ref="B236" si="36">B46</f>
        <v>15</v>
      </c>
      <c r="C236" s="4978" t="str">
        <f>C141</f>
        <v>23PPR0163X</v>
      </c>
      <c r="D236" s="4978"/>
      <c r="E236" s="4978"/>
      <c r="F236" s="4975">
        <f>'VISITA DE INSP.'!JF18</f>
        <v>25</v>
      </c>
      <c r="G236" s="4975">
        <f>'VISITA DE INSP.'!IX18</f>
        <v>2</v>
      </c>
      <c r="H236" s="4978"/>
      <c r="I236" s="4972">
        <f>F236-H236</f>
        <v>25</v>
      </c>
      <c r="J236" s="4975">
        <f>'VISITA DE INSP.'!JL18</f>
        <v>2</v>
      </c>
      <c r="K236" s="4975">
        <f>'VISITA DE INSP.'!JR18</f>
        <v>1</v>
      </c>
      <c r="L236" s="4969">
        <f>I236+J236-K236</f>
        <v>26</v>
      </c>
      <c r="M236" s="4965">
        <f>L236</f>
        <v>26</v>
      </c>
      <c r="N236" s="4966"/>
      <c r="O236" s="4965">
        <f>G236</f>
        <v>2</v>
      </c>
      <c r="P236" s="4966"/>
      <c r="Q236" s="4969">
        <f>L236-R236</f>
        <v>26</v>
      </c>
      <c r="R236" s="4972">
        <f>'VISITA DE INSP.'!KD18</f>
        <v>0</v>
      </c>
      <c r="S236" s="1513"/>
    </row>
    <row r="237" spans="1:19" ht="8.1" customHeight="1">
      <c r="A237" s="1516">
        <v>36</v>
      </c>
      <c r="B237" s="4972"/>
      <c r="C237" s="4979"/>
      <c r="D237" s="4979"/>
      <c r="E237" s="4979"/>
      <c r="F237" s="4972"/>
      <c r="G237" s="4972"/>
      <c r="H237" s="4979"/>
      <c r="I237" s="4972"/>
      <c r="J237" s="4972"/>
      <c r="K237" s="4972"/>
      <c r="L237" s="4969"/>
      <c r="M237" s="4967"/>
      <c r="N237" s="4968"/>
      <c r="O237" s="4967"/>
      <c r="P237" s="4968"/>
      <c r="Q237" s="4969"/>
      <c r="R237" s="4972"/>
      <c r="S237" s="1513"/>
    </row>
    <row r="238" spans="1:19" ht="8.1" customHeight="1">
      <c r="A238" s="1516">
        <v>37</v>
      </c>
      <c r="B238" s="4975">
        <f t="shared" ref="B238" si="37">B48</f>
        <v>0</v>
      </c>
      <c r="C238" s="4969">
        <f>C143</f>
        <v>0</v>
      </c>
      <c r="D238" s="4969"/>
      <c r="E238" s="4969"/>
      <c r="F238" s="4975">
        <f>'VISITA DE INSP.'!JF19</f>
        <v>0</v>
      </c>
      <c r="G238" s="4975">
        <f>'VISITA DE INSP.'!IX19</f>
        <v>0</v>
      </c>
      <c r="H238" s="4972"/>
      <c r="I238" s="4972">
        <f>F238-H238</f>
        <v>0</v>
      </c>
      <c r="J238" s="4975">
        <f>'VISITA DE INSP.'!JL19</f>
        <v>0</v>
      </c>
      <c r="K238" s="4975">
        <f>'VISITA DE INSP.'!JR19</f>
        <v>0</v>
      </c>
      <c r="L238" s="4969">
        <f>I238+J238-K238</f>
        <v>0</v>
      </c>
      <c r="M238" s="4965">
        <f>L238</f>
        <v>0</v>
      </c>
      <c r="N238" s="4966"/>
      <c r="O238" s="4965">
        <f>G238</f>
        <v>0</v>
      </c>
      <c r="P238" s="4966"/>
      <c r="Q238" s="4969">
        <f>L238-R238</f>
        <v>0</v>
      </c>
      <c r="R238" s="4972">
        <f>'VISITA DE INSP.'!KD19</f>
        <v>0</v>
      </c>
      <c r="S238" s="1513"/>
    </row>
    <row r="239" spans="1:19" ht="8.1" customHeight="1">
      <c r="A239" s="1516">
        <v>38</v>
      </c>
      <c r="B239" s="4972"/>
      <c r="C239" s="4969"/>
      <c r="D239" s="4969"/>
      <c r="E239" s="4969"/>
      <c r="F239" s="4972"/>
      <c r="G239" s="4972"/>
      <c r="H239" s="4972"/>
      <c r="I239" s="4972"/>
      <c r="J239" s="4972"/>
      <c r="K239" s="4972"/>
      <c r="L239" s="4969"/>
      <c r="M239" s="4967"/>
      <c r="N239" s="4968"/>
      <c r="O239" s="4967"/>
      <c r="P239" s="4968"/>
      <c r="Q239" s="4969"/>
      <c r="R239" s="4972"/>
      <c r="S239" s="1513"/>
    </row>
    <row r="240" spans="1:19" ht="8.1" customHeight="1">
      <c r="A240" s="1516">
        <v>39</v>
      </c>
      <c r="B240" s="4975">
        <f t="shared" ref="B240" si="38">B50</f>
        <v>0</v>
      </c>
      <c r="C240" s="4969">
        <f>C145</f>
        <v>0</v>
      </c>
      <c r="D240" s="4969"/>
      <c r="E240" s="4969"/>
      <c r="F240" s="4975">
        <f>'VISITA DE INSP.'!JF20</f>
        <v>0</v>
      </c>
      <c r="G240" s="4975">
        <f>'VISITA DE INSP.'!IX20</f>
        <v>0</v>
      </c>
      <c r="H240" s="4972"/>
      <c r="I240" s="4972">
        <f>F240-H240</f>
        <v>0</v>
      </c>
      <c r="J240" s="4975">
        <f>'VISITA DE INSP.'!JL20</f>
        <v>0</v>
      </c>
      <c r="K240" s="4975">
        <f>'VISITA DE INSP.'!JR20</f>
        <v>0</v>
      </c>
      <c r="L240" s="4969">
        <f>I240+J240-K240</f>
        <v>0</v>
      </c>
      <c r="M240" s="4965">
        <f>L240</f>
        <v>0</v>
      </c>
      <c r="N240" s="4966"/>
      <c r="O240" s="4965">
        <f>G240</f>
        <v>0</v>
      </c>
      <c r="P240" s="4966"/>
      <c r="Q240" s="4969">
        <f>L240-R240</f>
        <v>0</v>
      </c>
      <c r="R240" s="4972">
        <f>'VISITA DE INSP.'!KD20</f>
        <v>0</v>
      </c>
      <c r="S240" s="1513"/>
    </row>
    <row r="241" spans="1:19" ht="8.1" customHeight="1">
      <c r="A241" s="1516">
        <v>40</v>
      </c>
      <c r="B241" s="4972"/>
      <c r="C241" s="4969"/>
      <c r="D241" s="4969"/>
      <c r="E241" s="4969"/>
      <c r="F241" s="4972"/>
      <c r="G241" s="4972"/>
      <c r="H241" s="4972"/>
      <c r="I241" s="4972"/>
      <c r="J241" s="4972"/>
      <c r="K241" s="4972"/>
      <c r="L241" s="4969"/>
      <c r="M241" s="4967"/>
      <c r="N241" s="4968"/>
      <c r="O241" s="4967"/>
      <c r="P241" s="4968"/>
      <c r="Q241" s="4969"/>
      <c r="R241" s="4972"/>
      <c r="S241" s="1513"/>
    </row>
    <row r="242" spans="1:19" ht="8.1" customHeight="1">
      <c r="A242" s="1516">
        <v>41</v>
      </c>
      <c r="B242" s="4975">
        <f t="shared" ref="B242" si="39">B52</f>
        <v>0</v>
      </c>
      <c r="C242" s="4969">
        <f>C147</f>
        <v>0</v>
      </c>
      <c r="D242" s="4969"/>
      <c r="E242" s="4969"/>
      <c r="F242" s="4975">
        <f>'VISITA DE INSP.'!JF21</f>
        <v>0</v>
      </c>
      <c r="G242" s="4975">
        <f>'VISITA DE INSP.'!IX21</f>
        <v>0</v>
      </c>
      <c r="H242" s="4972"/>
      <c r="I242" s="4972">
        <f>F242-H242</f>
        <v>0</v>
      </c>
      <c r="J242" s="4975">
        <f>'VISITA DE INSP.'!JL21</f>
        <v>0</v>
      </c>
      <c r="K242" s="4975">
        <f>'VISITA DE INSP.'!JR21</f>
        <v>0</v>
      </c>
      <c r="L242" s="4969">
        <f>I242+J242-K242</f>
        <v>0</v>
      </c>
      <c r="M242" s="4965">
        <f>L242</f>
        <v>0</v>
      </c>
      <c r="N242" s="4966"/>
      <c r="O242" s="4965">
        <f>G242</f>
        <v>0</v>
      </c>
      <c r="P242" s="4966"/>
      <c r="Q242" s="4969">
        <f>L242-R242</f>
        <v>0</v>
      </c>
      <c r="R242" s="4972">
        <f>'VISITA DE INSP.'!KD21</f>
        <v>0</v>
      </c>
      <c r="S242" s="1513"/>
    </row>
    <row r="243" spans="1:19" ht="8.1" customHeight="1">
      <c r="A243" s="1516">
        <v>42</v>
      </c>
      <c r="B243" s="4972"/>
      <c r="C243" s="4969"/>
      <c r="D243" s="4969"/>
      <c r="E243" s="4969"/>
      <c r="F243" s="4972"/>
      <c r="G243" s="4972"/>
      <c r="H243" s="4972"/>
      <c r="I243" s="4972"/>
      <c r="J243" s="4972"/>
      <c r="K243" s="4972"/>
      <c r="L243" s="4969"/>
      <c r="M243" s="4967"/>
      <c r="N243" s="4968"/>
      <c r="O243" s="4967"/>
      <c r="P243" s="4968"/>
      <c r="Q243" s="4969"/>
      <c r="R243" s="4972"/>
      <c r="S243" s="1513"/>
    </row>
    <row r="244" spans="1:19" ht="8.1" customHeight="1">
      <c r="A244" s="1516">
        <v>43</v>
      </c>
      <c r="B244" s="4975">
        <f t="shared" ref="B244" si="40">B54</f>
        <v>0</v>
      </c>
      <c r="C244" s="4969">
        <f>C149</f>
        <v>0</v>
      </c>
      <c r="D244" s="4969"/>
      <c r="E244" s="4969"/>
      <c r="F244" s="4972"/>
      <c r="G244" s="4975"/>
      <c r="H244" s="4972"/>
      <c r="I244" s="4972">
        <f>F244-H244</f>
        <v>0</v>
      </c>
      <c r="J244" s="4972"/>
      <c r="K244" s="4972"/>
      <c r="L244" s="4969">
        <f>I244+J244-K244</f>
        <v>0</v>
      </c>
      <c r="M244" s="4965">
        <f>L244</f>
        <v>0</v>
      </c>
      <c r="N244" s="4966"/>
      <c r="O244" s="4969">
        <f>G244</f>
        <v>0</v>
      </c>
      <c r="P244" s="4969"/>
      <c r="Q244" s="4969">
        <f>L244-R244</f>
        <v>0</v>
      </c>
      <c r="R244" s="4972"/>
      <c r="S244" s="1513"/>
    </row>
    <row r="245" spans="1:19" ht="8.1" customHeight="1">
      <c r="A245" s="1516">
        <v>44</v>
      </c>
      <c r="B245" s="4972"/>
      <c r="C245" s="4969"/>
      <c r="D245" s="4969"/>
      <c r="E245" s="4969"/>
      <c r="F245" s="4972"/>
      <c r="G245" s="4972"/>
      <c r="H245" s="4972"/>
      <c r="I245" s="4972"/>
      <c r="J245" s="4972"/>
      <c r="K245" s="4972"/>
      <c r="L245" s="4969"/>
      <c r="M245" s="4967"/>
      <c r="N245" s="4968"/>
      <c r="O245" s="4969"/>
      <c r="P245" s="4969"/>
      <c r="Q245" s="4969"/>
      <c r="R245" s="4972"/>
      <c r="S245" s="1513"/>
    </row>
    <row r="246" spans="1:19" ht="8.1" customHeight="1">
      <c r="A246" s="1516">
        <v>45</v>
      </c>
      <c r="B246" s="4975">
        <f t="shared" ref="B246" si="41">B56</f>
        <v>0</v>
      </c>
      <c r="C246" s="4972" t="s">
        <v>408</v>
      </c>
      <c r="D246" s="4972"/>
      <c r="E246" s="4972"/>
      <c r="F246" s="4972">
        <f>SUM(F206:F245)</f>
        <v>526</v>
      </c>
      <c r="G246" s="4972">
        <f t="shared" ref="G246:L246" si="42">SUM(G206:G245)</f>
        <v>21</v>
      </c>
      <c r="H246" s="4972">
        <f t="shared" si="42"/>
        <v>0</v>
      </c>
      <c r="I246" s="4972">
        <f t="shared" si="42"/>
        <v>526</v>
      </c>
      <c r="J246" s="4972">
        <f t="shared" si="42"/>
        <v>46</v>
      </c>
      <c r="K246" s="4972">
        <f t="shared" si="42"/>
        <v>68</v>
      </c>
      <c r="L246" s="4969">
        <f t="shared" si="42"/>
        <v>504</v>
      </c>
      <c r="M246" s="4965">
        <f>SUM(M206:N245)</f>
        <v>504</v>
      </c>
      <c r="N246" s="4966"/>
      <c r="O246" s="4965">
        <f>SUM(O206:P245)</f>
        <v>21</v>
      </c>
      <c r="P246" s="4966"/>
      <c r="Q246" s="4969">
        <f>SUM(Q206:Q245)</f>
        <v>504</v>
      </c>
      <c r="R246" s="4972">
        <f>SUM(R206:R245)</f>
        <v>0</v>
      </c>
      <c r="S246" s="1513"/>
    </row>
    <row r="247" spans="1:19" ht="8.1" customHeight="1">
      <c r="A247" s="1516">
        <v>46</v>
      </c>
      <c r="B247" s="4972"/>
      <c r="C247" s="4972"/>
      <c r="D247" s="4972"/>
      <c r="E247" s="4972"/>
      <c r="F247" s="4972"/>
      <c r="G247" s="4972"/>
      <c r="H247" s="4972"/>
      <c r="I247" s="4972"/>
      <c r="J247" s="4972"/>
      <c r="K247" s="4972"/>
      <c r="L247" s="4969"/>
      <c r="M247" s="4967"/>
      <c r="N247" s="4968"/>
      <c r="O247" s="4967"/>
      <c r="P247" s="4968"/>
      <c r="Q247" s="4969"/>
      <c r="R247" s="4972"/>
      <c r="S247" s="1513"/>
    </row>
    <row r="248" spans="1:19" ht="8.1" customHeight="1">
      <c r="A248" s="1516">
        <v>47</v>
      </c>
      <c r="B248" s="1552"/>
      <c r="C248" s="1553"/>
      <c r="D248" s="1553"/>
      <c r="E248" s="1553"/>
      <c r="F248" s="4970">
        <f>F246</f>
        <v>526</v>
      </c>
      <c r="G248" s="4973"/>
      <c r="H248" s="4973"/>
      <c r="I248" s="4973"/>
      <c r="J248" s="4970">
        <f>F248+J246</f>
        <v>572</v>
      </c>
      <c r="K248" s="4970">
        <f>J248-K246</f>
        <v>504</v>
      </c>
      <c r="L248" s="4970">
        <f>J248-K246</f>
        <v>504</v>
      </c>
      <c r="M248" s="5123"/>
      <c r="N248" s="5124"/>
      <c r="O248" s="5123"/>
      <c r="P248" s="5124"/>
      <c r="Q248" s="4970"/>
      <c r="R248" s="5083"/>
      <c r="S248" s="1513"/>
    </row>
    <row r="249" spans="1:19" ht="8.1" customHeight="1">
      <c r="A249" s="1516">
        <v>48</v>
      </c>
      <c r="B249" s="1554"/>
      <c r="C249" s="1555"/>
      <c r="D249" s="1555"/>
      <c r="E249" s="1555"/>
      <c r="F249" s="4971"/>
      <c r="G249" s="4974"/>
      <c r="H249" s="4974"/>
      <c r="I249" s="4974"/>
      <c r="J249" s="4971"/>
      <c r="K249" s="4971"/>
      <c r="L249" s="4971"/>
      <c r="M249" s="5125"/>
      <c r="N249" s="5126"/>
      <c r="O249" s="5125"/>
      <c r="P249" s="5126"/>
      <c r="Q249" s="4971"/>
      <c r="R249" s="5084"/>
      <c r="S249" s="1513"/>
    </row>
    <row r="250" spans="1:19" ht="8.1" customHeight="1">
      <c r="A250" s="1516">
        <v>49</v>
      </c>
      <c r="B250" s="5037"/>
      <c r="C250" s="1556"/>
      <c r="D250" s="1564"/>
      <c r="E250" s="5061" t="s">
        <v>1475</v>
      </c>
      <c r="F250" s="5061"/>
      <c r="G250" s="5062"/>
      <c r="H250" s="5043"/>
      <c r="I250" s="5043"/>
      <c r="J250" s="5043"/>
      <c r="K250" s="5043"/>
      <c r="L250" s="5043"/>
      <c r="M250" s="5066" t="s">
        <v>1476</v>
      </c>
      <c r="N250" s="5066"/>
      <c r="O250" s="5066"/>
      <c r="P250" s="5043"/>
      <c r="Q250" s="5033"/>
      <c r="R250" s="5035"/>
      <c r="S250" s="1513"/>
    </row>
    <row r="251" spans="1:19" ht="8.1" customHeight="1">
      <c r="A251" s="1516">
        <v>50</v>
      </c>
      <c r="B251" s="5037"/>
      <c r="C251" s="1557"/>
      <c r="D251" s="1564"/>
      <c r="E251" s="5077"/>
      <c r="F251" s="5077"/>
      <c r="G251" s="5078"/>
      <c r="H251" s="5043"/>
      <c r="I251" s="5043"/>
      <c r="J251" s="5043"/>
      <c r="K251" s="5043"/>
      <c r="L251" s="5043"/>
      <c r="M251" s="5066"/>
      <c r="N251" s="5066"/>
      <c r="O251" s="5066"/>
      <c r="P251" s="5043"/>
      <c r="Q251" s="5033"/>
      <c r="R251" s="5035"/>
      <c r="S251" s="1513"/>
    </row>
    <row r="252" spans="1:19" ht="8.1" customHeight="1">
      <c r="A252" s="1516">
        <v>51</v>
      </c>
      <c r="B252" s="5037"/>
      <c r="C252" s="1556"/>
      <c r="D252" s="1564"/>
      <c r="E252" s="5073" t="s">
        <v>1477</v>
      </c>
      <c r="F252" s="5073"/>
      <c r="G252" s="5074"/>
      <c r="H252" s="5043"/>
      <c r="I252" s="5043"/>
      <c r="J252" s="5043"/>
      <c r="K252" s="5043"/>
      <c r="L252" s="5043"/>
      <c r="M252" s="5043" t="s">
        <v>1478</v>
      </c>
      <c r="N252" s="5043"/>
      <c r="O252" s="5043"/>
      <c r="P252" s="5043"/>
      <c r="Q252" s="5033"/>
      <c r="R252" s="5035"/>
      <c r="S252" s="1513"/>
    </row>
    <row r="253" spans="1:19" ht="8.1" customHeight="1">
      <c r="A253" s="1516">
        <v>52</v>
      </c>
      <c r="B253" s="5037"/>
      <c r="C253" s="1557"/>
      <c r="D253" s="1564"/>
      <c r="E253" s="5075"/>
      <c r="F253" s="5075"/>
      <c r="G253" s="5076"/>
      <c r="H253" s="5043"/>
      <c r="I253" s="5043"/>
      <c r="J253" s="5043"/>
      <c r="K253" s="5043"/>
      <c r="L253" s="5043"/>
      <c r="M253" s="5043"/>
      <c r="N253" s="5043"/>
      <c r="O253" s="5043"/>
      <c r="P253" s="5043"/>
      <c r="Q253" s="5033"/>
      <c r="R253" s="5035"/>
      <c r="S253" s="1513"/>
    </row>
    <row r="254" spans="1:19" ht="8.1" customHeight="1">
      <c r="A254" s="1516">
        <v>53</v>
      </c>
      <c r="B254" s="5037"/>
      <c r="C254" s="1556"/>
      <c r="D254" s="1564"/>
      <c r="E254" s="5069" t="s">
        <v>1483</v>
      </c>
      <c r="F254" s="5069"/>
      <c r="G254" s="5070"/>
      <c r="H254" s="5043"/>
      <c r="I254" s="5043"/>
      <c r="J254" s="5043"/>
      <c r="K254" s="5043"/>
      <c r="L254" s="5043"/>
      <c r="M254" s="5069" t="s">
        <v>1483</v>
      </c>
      <c r="N254" s="5069"/>
      <c r="O254" s="5070"/>
      <c r="P254" s="5043"/>
      <c r="Q254" s="5033"/>
      <c r="R254" s="5035"/>
      <c r="S254" s="1513"/>
    </row>
    <row r="255" spans="1:19" ht="8.1" customHeight="1">
      <c r="A255" s="1516">
        <v>54</v>
      </c>
      <c r="B255" s="5037"/>
      <c r="C255" s="1557"/>
      <c r="D255" s="1564"/>
      <c r="E255" s="5071"/>
      <c r="F255" s="5071"/>
      <c r="G255" s="5072"/>
      <c r="H255" s="5043"/>
      <c r="I255" s="5043"/>
      <c r="J255" s="5043"/>
      <c r="K255" s="5043"/>
      <c r="L255" s="5043"/>
      <c r="M255" s="5071"/>
      <c r="N255" s="5071"/>
      <c r="O255" s="5072"/>
      <c r="P255" s="5043"/>
      <c r="Q255" s="5033"/>
      <c r="R255" s="5035"/>
      <c r="S255" s="1513"/>
    </row>
    <row r="256" spans="1:19" ht="8.1" customHeight="1">
      <c r="A256" s="1516">
        <v>55</v>
      </c>
      <c r="B256" s="5037"/>
      <c r="C256" s="5033"/>
      <c r="D256" s="5043"/>
      <c r="E256" s="5043"/>
      <c r="F256" s="5043"/>
      <c r="G256" s="5043"/>
      <c r="H256" s="5043"/>
      <c r="I256" s="5043"/>
      <c r="J256" s="5043"/>
      <c r="K256" s="5043"/>
      <c r="L256" s="5043"/>
      <c r="M256" s="5043"/>
      <c r="N256" s="5043"/>
      <c r="O256" s="5043"/>
      <c r="P256" s="5043"/>
      <c r="Q256" s="5033"/>
      <c r="R256" s="5035"/>
      <c r="S256" s="1513"/>
    </row>
    <row r="257" spans="1:19" ht="8.1" customHeight="1">
      <c r="A257" s="1516">
        <v>56</v>
      </c>
      <c r="B257" s="5037"/>
      <c r="C257" s="5033"/>
      <c r="D257" s="5043"/>
      <c r="E257" s="5043"/>
      <c r="F257" s="5043"/>
      <c r="G257" s="5043"/>
      <c r="H257" s="5043"/>
      <c r="I257" s="5043"/>
      <c r="J257" s="5043"/>
      <c r="K257" s="5043"/>
      <c r="L257" s="5043"/>
      <c r="M257" s="5043"/>
      <c r="N257" s="5043"/>
      <c r="O257" s="5043"/>
      <c r="P257" s="5043"/>
      <c r="Q257" s="5033"/>
      <c r="R257" s="5035"/>
      <c r="S257" s="1513"/>
    </row>
    <row r="258" spans="1:19" ht="8.1" customHeight="1">
      <c r="A258" s="1516">
        <v>57</v>
      </c>
      <c r="B258" s="5037"/>
      <c r="C258" s="5033"/>
      <c r="D258" s="5066" t="str">
        <f>L163</f>
        <v>JESUS MARTIN RICALDE CASTRO</v>
      </c>
      <c r="E258" s="5066"/>
      <c r="F258" s="5066"/>
      <c r="G258" s="5066"/>
      <c r="H258" s="5066"/>
      <c r="I258" s="5043"/>
      <c r="J258" s="5043"/>
      <c r="K258" s="5043"/>
      <c r="L258" s="5066" t="str">
        <f>D258</f>
        <v>JESUS MARTIN RICALDE CASTRO</v>
      </c>
      <c r="M258" s="5066"/>
      <c r="N258" s="5066"/>
      <c r="O258" s="5066"/>
      <c r="P258" s="5066"/>
      <c r="Q258" s="5033"/>
      <c r="R258" s="5035"/>
      <c r="S258" s="1513"/>
    </row>
    <row r="259" spans="1:19" ht="8.1" customHeight="1">
      <c r="A259" s="1516">
        <v>58</v>
      </c>
      <c r="B259" s="5037"/>
      <c r="C259" s="5033"/>
      <c r="D259" s="5067"/>
      <c r="E259" s="5067"/>
      <c r="F259" s="5067"/>
      <c r="G259" s="5067"/>
      <c r="H259" s="5067"/>
      <c r="I259" s="5043"/>
      <c r="J259" s="5043"/>
      <c r="K259" s="5043"/>
      <c r="L259" s="5067"/>
      <c r="M259" s="5067"/>
      <c r="N259" s="5067"/>
      <c r="O259" s="5067"/>
      <c r="P259" s="5067"/>
      <c r="Q259" s="5033"/>
      <c r="R259" s="5035"/>
      <c r="S259" s="1513"/>
    </row>
    <row r="260" spans="1:19" ht="8.1" customHeight="1">
      <c r="A260" s="1516">
        <v>59</v>
      </c>
      <c r="B260" s="5037"/>
      <c r="C260" s="5033"/>
      <c r="D260" s="5045" t="s">
        <v>1480</v>
      </c>
      <c r="E260" s="5045"/>
      <c r="F260" s="5045"/>
      <c r="G260" s="5045"/>
      <c r="H260" s="5045"/>
      <c r="I260" s="5043"/>
      <c r="J260" s="5043"/>
      <c r="K260" s="5043"/>
      <c r="L260" s="5045" t="s">
        <v>1480</v>
      </c>
      <c r="M260" s="5045"/>
      <c r="N260" s="5045"/>
      <c r="O260" s="5045"/>
      <c r="P260" s="5045"/>
      <c r="Q260" s="5033"/>
      <c r="R260" s="5035"/>
      <c r="S260" s="1513"/>
    </row>
    <row r="261" spans="1:19" ht="8.1" customHeight="1">
      <c r="A261" s="1516">
        <v>60</v>
      </c>
      <c r="B261" s="5037"/>
      <c r="C261" s="5033"/>
      <c r="D261" s="5046"/>
      <c r="E261" s="5046"/>
      <c r="F261" s="5046"/>
      <c r="G261" s="5046"/>
      <c r="H261" s="5046"/>
      <c r="I261" s="5043"/>
      <c r="J261" s="5043"/>
      <c r="K261" s="5043"/>
      <c r="L261" s="5046"/>
      <c r="M261" s="5046"/>
      <c r="N261" s="5046"/>
      <c r="O261" s="5046"/>
      <c r="P261" s="5046"/>
      <c r="Q261" s="5033"/>
      <c r="R261" s="5035"/>
      <c r="S261" s="1513"/>
    </row>
    <row r="262" spans="1:19" ht="8.1" customHeight="1">
      <c r="A262" s="1516">
        <v>61</v>
      </c>
      <c r="B262" s="5037"/>
      <c r="C262" s="5033"/>
      <c r="D262" s="5043"/>
      <c r="E262" s="5043"/>
      <c r="F262" s="5043"/>
      <c r="G262" s="5043"/>
      <c r="H262" s="5043"/>
      <c r="I262" s="5043"/>
      <c r="J262" s="5043"/>
      <c r="K262" s="5043"/>
      <c r="L262" s="5043"/>
      <c r="M262" s="5043"/>
      <c r="N262" s="5043"/>
      <c r="O262" s="5043"/>
      <c r="P262" s="5043"/>
      <c r="Q262" s="5033"/>
      <c r="R262" s="5035"/>
      <c r="S262" s="1513"/>
    </row>
    <row r="263" spans="1:19" ht="8.1" customHeight="1">
      <c r="A263" s="1516">
        <v>62</v>
      </c>
      <c r="B263" s="5037"/>
      <c r="C263" s="5033"/>
      <c r="D263" s="5043"/>
      <c r="E263" s="5043"/>
      <c r="F263" s="5043"/>
      <c r="G263" s="5043"/>
      <c r="H263" s="5043"/>
      <c r="I263" s="5043"/>
      <c r="J263" s="5043"/>
      <c r="K263" s="5043"/>
      <c r="L263" s="5043"/>
      <c r="M263" s="5043"/>
      <c r="N263" s="5043"/>
      <c r="O263" s="5043"/>
      <c r="P263" s="5043"/>
      <c r="Q263" s="5033"/>
      <c r="R263" s="5035"/>
      <c r="S263" s="1513"/>
    </row>
    <row r="264" spans="1:19" ht="8.1" customHeight="1">
      <c r="A264" s="1516">
        <v>63</v>
      </c>
      <c r="B264" s="5037"/>
      <c r="C264" s="5033"/>
      <c r="D264" s="5060" t="str">
        <f>D169</f>
        <v>KATIA DIAZ ORTIZ</v>
      </c>
      <c r="E264" s="5061"/>
      <c r="F264" s="5061"/>
      <c r="G264" s="5061"/>
      <c r="H264" s="5062"/>
      <c r="I264" s="5043"/>
      <c r="J264" s="5043"/>
      <c r="K264" s="5043"/>
      <c r="L264" s="5060" t="str">
        <f>D264</f>
        <v>KATIA DIAZ ORTIZ</v>
      </c>
      <c r="M264" s="5061"/>
      <c r="N264" s="5061"/>
      <c r="O264" s="5061"/>
      <c r="P264" s="5062"/>
      <c r="Q264" s="5033"/>
      <c r="R264" s="5035"/>
      <c r="S264" s="1513"/>
    </row>
    <row r="265" spans="1:19" ht="8.1" customHeight="1">
      <c r="A265" s="1516">
        <v>64</v>
      </c>
      <c r="B265" s="5037"/>
      <c r="C265" s="5033"/>
      <c r="D265" s="5063"/>
      <c r="E265" s="5064"/>
      <c r="F265" s="5064"/>
      <c r="G265" s="5064"/>
      <c r="H265" s="5065"/>
      <c r="I265" s="5043"/>
      <c r="J265" s="5043"/>
      <c r="K265" s="5043"/>
      <c r="L265" s="5063"/>
      <c r="M265" s="5064"/>
      <c r="N265" s="5064"/>
      <c r="O265" s="5064"/>
      <c r="P265" s="5065"/>
      <c r="Q265" s="5033"/>
      <c r="R265" s="5035"/>
      <c r="S265" s="1513"/>
    </row>
    <row r="266" spans="1:19" ht="8.1" customHeight="1">
      <c r="A266" s="1516">
        <v>65</v>
      </c>
      <c r="B266" s="5037"/>
      <c r="C266" s="5033"/>
      <c r="D266" s="5119" t="s">
        <v>1481</v>
      </c>
      <c r="E266" s="5120"/>
      <c r="F266" s="5120"/>
      <c r="G266" s="5120"/>
      <c r="H266" s="5121"/>
      <c r="I266" s="5043"/>
      <c r="J266" s="5043"/>
      <c r="K266" s="5043"/>
      <c r="L266" s="5045" t="s">
        <v>1481</v>
      </c>
      <c r="M266" s="5045"/>
      <c r="N266" s="5045"/>
      <c r="O266" s="5045"/>
      <c r="P266" s="5045"/>
      <c r="Q266" s="5033"/>
      <c r="R266" s="5035"/>
      <c r="S266" s="1513"/>
    </row>
    <row r="267" spans="1:19" ht="8.1" customHeight="1">
      <c r="A267" s="1516">
        <v>66</v>
      </c>
      <c r="B267" s="5037"/>
      <c r="C267" s="5033"/>
      <c r="D267" s="5122"/>
      <c r="E267" s="5071"/>
      <c r="F267" s="5071"/>
      <c r="G267" s="5071"/>
      <c r="H267" s="5072"/>
      <c r="I267" s="5043"/>
      <c r="J267" s="5043"/>
      <c r="K267" s="5043"/>
      <c r="L267" s="5046"/>
      <c r="M267" s="5046"/>
      <c r="N267" s="5046"/>
      <c r="O267" s="5046"/>
      <c r="P267" s="5046"/>
      <c r="Q267" s="5033"/>
      <c r="R267" s="5035"/>
      <c r="S267" s="1513"/>
    </row>
    <row r="268" spans="1:19" ht="8.1" customHeight="1">
      <c r="A268" s="1516">
        <v>67</v>
      </c>
      <c r="B268" s="5037"/>
      <c r="C268" s="5033"/>
      <c r="D268" s="5043"/>
      <c r="E268" s="5043"/>
      <c r="F268" s="5043"/>
      <c r="G268" s="5043"/>
      <c r="H268" s="5043"/>
      <c r="I268" s="5043"/>
      <c r="J268" s="5043"/>
      <c r="K268" s="5043"/>
      <c r="L268" s="5043"/>
      <c r="M268" s="5043"/>
      <c r="N268" s="5043"/>
      <c r="O268" s="5043"/>
      <c r="P268" s="5043"/>
      <c r="Q268" s="5033"/>
      <c r="R268" s="5035"/>
      <c r="S268" s="1513"/>
    </row>
    <row r="269" spans="1:19" ht="8.1" customHeight="1">
      <c r="A269" s="1516">
        <v>68</v>
      </c>
      <c r="B269" s="5037"/>
      <c r="C269" s="5033"/>
      <c r="D269" s="5043"/>
      <c r="E269" s="5043"/>
      <c r="F269" s="5043"/>
      <c r="G269" s="5043"/>
      <c r="H269" s="5043"/>
      <c r="I269" s="5043"/>
      <c r="J269" s="5043"/>
      <c r="K269" s="5043"/>
      <c r="L269" s="5043"/>
      <c r="M269" s="5043"/>
      <c r="N269" s="5043"/>
      <c r="O269" s="5043"/>
      <c r="P269" s="5043"/>
      <c r="Q269" s="5033"/>
      <c r="R269" s="5035"/>
      <c r="S269" s="1513"/>
    </row>
    <row r="270" spans="1:19" ht="8.1" customHeight="1">
      <c r="A270" s="1516">
        <v>69</v>
      </c>
      <c r="B270" s="5037"/>
      <c r="C270" s="5033"/>
      <c r="D270" s="5043"/>
      <c r="E270" s="5054" t="str">
        <f>E175</f>
        <v>19 DE NOVIEMBRE DE 2013</v>
      </c>
      <c r="F270" s="5055"/>
      <c r="G270" s="5056"/>
      <c r="H270" s="5118"/>
      <c r="I270" s="4926">
        <f>I175</f>
        <v>0</v>
      </c>
      <c r="J270" s="4927"/>
      <c r="K270" s="4928"/>
      <c r="L270" s="5118"/>
      <c r="M270" s="5048" t="str">
        <f>M175</f>
        <v>09 DE OCTUBRE DE 2013</v>
      </c>
      <c r="N270" s="5049"/>
      <c r="O270" s="5050"/>
      <c r="P270" s="5043"/>
      <c r="Q270" s="5033"/>
      <c r="R270" s="5035"/>
      <c r="S270" s="1513"/>
    </row>
    <row r="271" spans="1:19" ht="8.1" customHeight="1">
      <c r="A271" s="1516">
        <v>70</v>
      </c>
      <c r="B271" s="5037"/>
      <c r="C271" s="5033"/>
      <c r="D271" s="5043"/>
      <c r="E271" s="5057"/>
      <c r="F271" s="5058"/>
      <c r="G271" s="5059"/>
      <c r="H271" s="5118"/>
      <c r="I271" s="4929"/>
      <c r="J271" s="4930"/>
      <c r="K271" s="4931"/>
      <c r="L271" s="5118"/>
      <c r="M271" s="5051"/>
      <c r="N271" s="5052"/>
      <c r="O271" s="5053"/>
      <c r="P271" s="5043"/>
      <c r="Q271" s="5033"/>
      <c r="R271" s="5035"/>
      <c r="S271" s="1513"/>
    </row>
    <row r="272" spans="1:19" ht="8.1" customHeight="1">
      <c r="A272" s="1516">
        <v>71</v>
      </c>
      <c r="B272" s="5037"/>
      <c r="C272" s="5033"/>
      <c r="D272" s="5043"/>
      <c r="E272" s="5044"/>
      <c r="F272" s="5045" t="s">
        <v>1458</v>
      </c>
      <c r="G272" s="5044"/>
      <c r="H272" s="5043"/>
      <c r="I272" s="4920"/>
      <c r="J272" s="4921" t="s">
        <v>1458</v>
      </c>
      <c r="K272" s="4920"/>
      <c r="L272" s="5043"/>
      <c r="M272" s="5044"/>
      <c r="N272" s="5045" t="s">
        <v>1458</v>
      </c>
      <c r="O272" s="5044"/>
      <c r="P272" s="5043"/>
      <c r="Q272" s="5033"/>
      <c r="R272" s="5035"/>
      <c r="S272" s="1513"/>
    </row>
    <row r="273" spans="1:19" ht="8.1" customHeight="1">
      <c r="A273" s="1516">
        <v>72</v>
      </c>
      <c r="B273" s="5037"/>
      <c r="C273" s="5033"/>
      <c r="D273" s="5043"/>
      <c r="E273" s="5043"/>
      <c r="F273" s="5046"/>
      <c r="G273" s="5043"/>
      <c r="H273" s="5043"/>
      <c r="I273" s="4919"/>
      <c r="J273" s="4922"/>
      <c r="K273" s="4919"/>
      <c r="L273" s="5043"/>
      <c r="M273" s="5043"/>
      <c r="N273" s="5046"/>
      <c r="O273" s="5043"/>
      <c r="P273" s="5043"/>
      <c r="Q273" s="5033"/>
      <c r="R273" s="5035"/>
      <c r="S273" s="1513"/>
    </row>
    <row r="274" spans="1:19" ht="8.1" customHeight="1">
      <c r="A274" s="1516">
        <v>73</v>
      </c>
      <c r="B274" s="5037"/>
      <c r="C274" s="5033"/>
      <c r="D274" s="5033"/>
      <c r="E274" s="5033"/>
      <c r="F274" s="5033"/>
      <c r="G274" s="5033"/>
      <c r="H274" s="5033"/>
      <c r="I274" s="5033"/>
      <c r="J274" s="5033"/>
      <c r="K274" s="5033"/>
      <c r="L274" s="5033"/>
      <c r="M274" s="5033"/>
      <c r="N274" s="5033"/>
      <c r="O274" s="5033"/>
      <c r="P274" s="5033"/>
      <c r="Q274" s="5033"/>
      <c r="R274" s="5035"/>
      <c r="S274" s="1513"/>
    </row>
    <row r="275" spans="1:19" ht="8.1" customHeight="1">
      <c r="A275" s="1516">
        <v>74</v>
      </c>
      <c r="B275" s="5037"/>
      <c r="C275" s="5033"/>
      <c r="D275" s="5033"/>
      <c r="E275" s="5033"/>
      <c r="F275" s="5033"/>
      <c r="G275" s="5033"/>
      <c r="H275" s="5033"/>
      <c r="I275" s="5033"/>
      <c r="J275" s="5033"/>
      <c r="K275" s="5033"/>
      <c r="L275" s="5033"/>
      <c r="M275" s="5033"/>
      <c r="N275" s="5033"/>
      <c r="O275" s="5033"/>
      <c r="P275" s="5033"/>
      <c r="Q275" s="5033"/>
      <c r="R275" s="5035"/>
      <c r="S275" s="1513"/>
    </row>
    <row r="276" spans="1:19" ht="8.1" customHeight="1">
      <c r="A276" s="1516">
        <v>75</v>
      </c>
      <c r="B276" s="5037"/>
      <c r="C276" s="5033"/>
      <c r="D276" s="5033"/>
      <c r="E276" s="5033"/>
      <c r="F276" s="5033"/>
      <c r="G276" s="5033"/>
      <c r="H276" s="5033"/>
      <c r="I276" s="5033"/>
      <c r="J276" s="5033"/>
      <c r="K276" s="5033"/>
      <c r="L276" s="5033"/>
      <c r="M276" s="5033"/>
      <c r="N276" s="5033"/>
      <c r="O276" s="5033"/>
      <c r="P276" s="5033"/>
      <c r="Q276" s="5033"/>
      <c r="R276" s="5035"/>
      <c r="S276" s="1513"/>
    </row>
    <row r="277" spans="1:19" ht="8.1" customHeight="1">
      <c r="A277" s="1516">
        <v>76</v>
      </c>
      <c r="B277" s="5038"/>
      <c r="C277" s="5034"/>
      <c r="D277" s="5034"/>
      <c r="E277" s="5034"/>
      <c r="F277" s="5034"/>
      <c r="G277" s="5034"/>
      <c r="H277" s="5034"/>
      <c r="I277" s="5034"/>
      <c r="J277" s="5034"/>
      <c r="K277" s="5034"/>
      <c r="L277" s="5034"/>
      <c r="M277" s="5034"/>
      <c r="N277" s="5034"/>
      <c r="O277" s="5034"/>
      <c r="P277" s="5034"/>
      <c r="Q277" s="5034"/>
      <c r="R277" s="5036"/>
      <c r="S277" s="1513"/>
    </row>
    <row r="278" spans="1:19" ht="8.1" customHeight="1">
      <c r="A278" s="1516"/>
      <c r="B278" s="1558"/>
      <c r="C278" s="1558"/>
      <c r="D278" s="1558"/>
      <c r="E278" s="1558"/>
      <c r="F278" s="1558"/>
      <c r="G278" s="1558"/>
      <c r="H278" s="1558"/>
      <c r="I278" s="1558"/>
      <c r="J278" s="1558"/>
      <c r="K278" s="1558"/>
      <c r="L278" s="1558"/>
      <c r="M278" s="1558"/>
      <c r="N278" s="1558"/>
      <c r="O278" s="1558"/>
      <c r="P278" s="1558"/>
      <c r="Q278" s="1558"/>
      <c r="R278" s="1558"/>
      <c r="S278" s="1513"/>
    </row>
    <row r="279" spans="1:19" ht="8.1" customHeight="1">
      <c r="A279" s="1516"/>
      <c r="B279" s="2249"/>
      <c r="C279" s="2249"/>
      <c r="D279" s="2249"/>
      <c r="E279" s="2249"/>
      <c r="F279" s="2249"/>
      <c r="G279" s="2249"/>
      <c r="H279" s="2249"/>
      <c r="I279" s="2249"/>
      <c r="J279" s="2249"/>
      <c r="K279" s="2249"/>
      <c r="L279" s="2249"/>
      <c r="M279" s="2249"/>
      <c r="N279" s="2249"/>
      <c r="O279" s="2249"/>
      <c r="P279" s="2249"/>
      <c r="Q279" s="2249"/>
      <c r="R279" s="2249"/>
      <c r="S279" s="1513"/>
    </row>
    <row r="280" spans="1:19" ht="8.1" customHeight="1">
      <c r="A280" s="1516"/>
      <c r="B280" s="2249"/>
      <c r="C280" s="2249"/>
      <c r="D280" s="2249"/>
      <c r="E280" s="2249"/>
      <c r="F280" s="2249"/>
      <c r="G280" s="2249"/>
      <c r="H280" s="2249"/>
      <c r="I280" s="2249"/>
      <c r="J280" s="2249"/>
      <c r="K280" s="2249"/>
      <c r="L280" s="2249"/>
      <c r="M280" s="2249"/>
      <c r="N280" s="2249"/>
      <c r="O280" s="2249"/>
      <c r="P280" s="2249"/>
      <c r="Q280" s="2249"/>
      <c r="R280" s="2249"/>
      <c r="S280" s="1513"/>
    </row>
    <row r="281" spans="1:19" ht="8.1" customHeight="1">
      <c r="A281" s="1516"/>
      <c r="B281" s="2249"/>
      <c r="C281" s="2249"/>
      <c r="D281" s="2249"/>
      <c r="E281" s="2249"/>
      <c r="F281" s="2249"/>
      <c r="G281" s="2249"/>
      <c r="H281" s="2249"/>
      <c r="I281" s="2249"/>
      <c r="J281" s="2249"/>
      <c r="K281" s="2249"/>
      <c r="L281" s="2249"/>
      <c r="M281" s="2249"/>
      <c r="N281" s="2249"/>
      <c r="O281" s="2249"/>
      <c r="P281" s="2249"/>
      <c r="Q281" s="2249"/>
      <c r="R281" s="2249"/>
      <c r="S281" s="1513"/>
    </row>
    <row r="282" spans="1:19" ht="8.1" customHeight="1">
      <c r="A282" s="1516"/>
      <c r="B282" s="2249"/>
      <c r="C282" s="2249"/>
      <c r="D282" s="2249"/>
      <c r="E282" s="2249"/>
      <c r="F282" s="2249"/>
      <c r="G282" s="2249"/>
      <c r="H282" s="2249"/>
      <c r="I282" s="2249"/>
      <c r="J282" s="2249"/>
      <c r="K282" s="2249"/>
      <c r="L282" s="2249"/>
      <c r="M282" s="2249"/>
      <c r="N282" s="2249"/>
      <c r="O282" s="2249"/>
      <c r="P282" s="2249"/>
      <c r="Q282" s="2249"/>
      <c r="R282" s="2249"/>
      <c r="S282" s="1513"/>
    </row>
    <row r="283" spans="1:19" ht="8.1" customHeight="1">
      <c r="A283" s="1516"/>
      <c r="B283" s="2249"/>
      <c r="C283" s="2249"/>
      <c r="D283" s="2249"/>
      <c r="E283" s="2249"/>
      <c r="F283" s="2249"/>
      <c r="G283" s="2249"/>
      <c r="H283" s="2249"/>
      <c r="I283" s="2249"/>
      <c r="J283" s="2249"/>
      <c r="K283" s="2249"/>
      <c r="L283" s="2249"/>
      <c r="M283" s="2249"/>
      <c r="N283" s="2249"/>
      <c r="O283" s="2249"/>
      <c r="P283" s="2249"/>
      <c r="Q283" s="2249"/>
      <c r="R283" s="2249"/>
      <c r="S283" s="1513"/>
    </row>
    <row r="284" spans="1:19" ht="8.1" customHeight="1">
      <c r="A284" s="1516"/>
      <c r="B284" s="2249"/>
      <c r="C284" s="2249"/>
      <c r="D284" s="2249"/>
      <c r="E284" s="2249"/>
      <c r="F284" s="2249"/>
      <c r="G284" s="2249"/>
      <c r="H284" s="2249"/>
      <c r="I284" s="2249"/>
      <c r="J284" s="2249"/>
      <c r="K284" s="2249"/>
      <c r="L284" s="2249"/>
      <c r="M284" s="2249"/>
      <c r="N284" s="2249"/>
      <c r="O284" s="2249"/>
      <c r="P284" s="2249"/>
      <c r="Q284" s="2249"/>
      <c r="R284" s="2249"/>
      <c r="S284" s="1513"/>
    </row>
    <row r="285" spans="1:19" ht="8.1" customHeight="1">
      <c r="A285" s="1507"/>
      <c r="B285" s="1559"/>
      <c r="C285" s="1559"/>
      <c r="D285" s="1559"/>
      <c r="E285" s="1559"/>
      <c r="F285" s="1559"/>
      <c r="G285" s="1560"/>
      <c r="H285" s="1560"/>
      <c r="I285" s="1560"/>
      <c r="J285" s="1560"/>
      <c r="K285" s="1560"/>
      <c r="L285" s="1560"/>
      <c r="M285" s="1560"/>
      <c r="N285" s="1560"/>
      <c r="O285" s="1560"/>
      <c r="P285" s="1559"/>
      <c r="Q285" s="1559"/>
      <c r="R285" s="1559"/>
      <c r="S285" s="1513"/>
    </row>
    <row r="286" spans="1:19" ht="12" customHeight="1">
      <c r="A286" s="1507"/>
      <c r="B286" s="1559"/>
      <c r="C286" s="1559"/>
      <c r="D286" s="1559"/>
      <c r="E286" s="1559"/>
      <c r="F286" s="2241" t="str">
        <f>F1</f>
        <v>SERVICIOS EDUCATIVOS DE  QUINTANA  ROO</v>
      </c>
      <c r="G286" s="1509"/>
      <c r="H286" s="1510"/>
      <c r="I286" s="1510"/>
      <c r="J286" s="1510"/>
      <c r="K286" s="1510"/>
      <c r="L286" s="1510"/>
      <c r="M286" s="1510"/>
      <c r="N286" s="1510"/>
      <c r="O286" s="1561"/>
      <c r="P286" s="1562"/>
      <c r="Q286" s="1562"/>
      <c r="R286" s="2248"/>
      <c r="S286" s="1513"/>
    </row>
    <row r="287" spans="1:19" ht="12" customHeight="1">
      <c r="A287" s="1507"/>
      <c r="B287" s="1559"/>
      <c r="C287" s="1559"/>
      <c r="D287" s="1559"/>
      <c r="E287" s="1559"/>
      <c r="F287" s="2241" t="str">
        <f>F2</f>
        <v>COORDINACION GENERAL DE PLANEACION</v>
      </c>
      <c r="G287" s="1509"/>
      <c r="H287" s="1510"/>
      <c r="I287" s="1510"/>
      <c r="J287" s="1510"/>
      <c r="K287" s="1510"/>
      <c r="L287" s="1510"/>
      <c r="M287" s="1510"/>
      <c r="N287" s="1510"/>
      <c r="O287" s="1562"/>
      <c r="P287" s="1562"/>
      <c r="Q287" s="1562"/>
      <c r="R287" s="1562"/>
      <c r="S287" s="1513"/>
    </row>
    <row r="288" spans="1:19" ht="12" customHeight="1">
      <c r="A288" s="1507"/>
      <c r="B288" s="1559"/>
      <c r="C288" s="1559"/>
      <c r="D288" s="1559"/>
      <c r="E288" s="1559"/>
      <c r="F288" s="2241" t="str">
        <f>F3</f>
        <v>DIRECCION DE PROFESIONES Y SERVICIOS ESCOLARES</v>
      </c>
      <c r="G288" s="1509"/>
      <c r="H288" s="1510"/>
      <c r="I288" s="1510"/>
      <c r="J288" s="1510"/>
      <c r="K288" s="1510"/>
      <c r="L288" s="1510"/>
      <c r="M288" s="1510"/>
      <c r="N288" s="1510"/>
      <c r="O288" s="1561"/>
      <c r="P288" s="1562"/>
      <c r="Q288" s="1562"/>
      <c r="R288" s="1562"/>
      <c r="S288" s="1513"/>
    </row>
    <row r="289" spans="1:19" ht="12" customHeight="1">
      <c r="A289" s="1507"/>
      <c r="B289" s="1559"/>
      <c r="C289" s="1559"/>
      <c r="D289" s="1559"/>
      <c r="E289" s="1559"/>
      <c r="F289" s="2241" t="str">
        <f>F4</f>
        <v>DEPARTAMENTO DE CONTROL ESCOLAR</v>
      </c>
      <c r="G289" s="1509"/>
      <c r="H289" s="1510"/>
      <c r="I289" s="1510"/>
      <c r="J289" s="1510"/>
      <c r="K289" s="1510"/>
      <c r="L289" s="1510"/>
      <c r="M289" s="1510"/>
      <c r="N289" s="1510"/>
      <c r="O289" s="1561"/>
      <c r="P289" s="1562"/>
      <c r="Q289" s="1562"/>
      <c r="R289" s="1562"/>
      <c r="S289" s="1513"/>
    </row>
    <row r="290" spans="1:19" ht="8.1" customHeight="1">
      <c r="A290" s="1507"/>
      <c r="B290" s="1559"/>
      <c r="C290" s="1559"/>
      <c r="D290" s="1559"/>
      <c r="E290" s="1559"/>
      <c r="F290" s="1511"/>
      <c r="G290" s="1509"/>
      <c r="H290" s="1509"/>
      <c r="I290" s="1509"/>
      <c r="J290" s="1509"/>
      <c r="K290" s="1509"/>
      <c r="L290" s="1509"/>
      <c r="M290" s="1509"/>
      <c r="N290" s="1509"/>
      <c r="O290" s="1563"/>
      <c r="P290" s="1562"/>
      <c r="Q290" s="1562"/>
      <c r="R290" s="1562"/>
      <c r="S290" s="1513"/>
    </row>
    <row r="291" spans="1:19" ht="8.1" customHeight="1">
      <c r="A291" s="1507"/>
      <c r="B291" s="1559"/>
      <c r="C291" s="1559"/>
      <c r="D291" s="1559"/>
      <c r="E291" s="1559"/>
      <c r="F291" s="1511"/>
      <c r="G291" s="1509"/>
      <c r="H291" s="1509"/>
      <c r="I291" s="1509"/>
      <c r="J291" s="1509"/>
      <c r="K291" s="1509"/>
      <c r="L291" s="1509"/>
      <c r="M291" s="1509"/>
      <c r="N291" s="1509"/>
      <c r="O291" s="5011" t="str">
        <f>O196</f>
        <v>EDUCACION: PRIMARIA</v>
      </c>
      <c r="P291" s="5011"/>
      <c r="Q291" s="5011"/>
      <c r="R291" s="5011"/>
      <c r="S291" s="1513"/>
    </row>
    <row r="292" spans="1:19" ht="8.1" customHeight="1">
      <c r="A292" s="1507"/>
      <c r="B292" s="1559"/>
      <c r="C292" s="1559"/>
      <c r="D292" s="1559"/>
      <c r="E292" s="1559"/>
      <c r="F292" s="5117" t="s">
        <v>1464</v>
      </c>
      <c r="G292" s="5011"/>
      <c r="H292" s="5011"/>
      <c r="I292" s="5011"/>
      <c r="J292" s="5012" t="s">
        <v>108</v>
      </c>
      <c r="K292" s="5011" t="s">
        <v>1445</v>
      </c>
      <c r="L292" s="5011"/>
      <c r="M292" s="1509"/>
      <c r="N292" s="1509"/>
      <c r="O292" s="5011"/>
      <c r="P292" s="5011"/>
      <c r="Q292" s="5011"/>
      <c r="R292" s="5011"/>
      <c r="S292" s="1513"/>
    </row>
    <row r="293" spans="1:19" ht="8.1" customHeight="1">
      <c r="A293" s="1507"/>
      <c r="B293" s="1559"/>
      <c r="C293" s="1559"/>
      <c r="D293" s="1559"/>
      <c r="E293" s="1559"/>
      <c r="F293" s="5117"/>
      <c r="G293" s="5011"/>
      <c r="H293" s="5011"/>
      <c r="I293" s="5011"/>
      <c r="J293" s="5012"/>
      <c r="K293" s="5011"/>
      <c r="L293" s="5011"/>
      <c r="M293" s="1509"/>
      <c r="N293" s="1509"/>
      <c r="O293" s="5129" t="str">
        <f>O198</f>
        <v>PERIODO ESCOLAR: 2012 / 2013</v>
      </c>
      <c r="P293" s="5129"/>
      <c r="Q293" s="5129"/>
      <c r="R293" s="5129"/>
      <c r="S293" s="1513"/>
    </row>
    <row r="294" spans="1:19" ht="8.1" customHeight="1">
      <c r="A294" s="1507"/>
      <c r="B294" s="5178" t="str">
        <f>B199</f>
        <v>2do. Informe</v>
      </c>
      <c r="C294" s="5178"/>
      <c r="D294" s="5179" t="str">
        <f>D199</f>
        <v>INICIO</v>
      </c>
      <c r="E294" s="5179"/>
      <c r="F294" s="1511"/>
      <c r="G294" s="1509"/>
      <c r="H294" s="1514"/>
      <c r="I294" s="1514"/>
      <c r="J294" s="1514"/>
      <c r="K294" s="1509"/>
      <c r="L294" s="1509"/>
      <c r="M294" s="1509"/>
      <c r="N294" s="1509"/>
      <c r="O294" s="5129"/>
      <c r="P294" s="5129"/>
      <c r="Q294" s="5129"/>
      <c r="R294" s="5129"/>
      <c r="S294" s="1513"/>
    </row>
    <row r="295" spans="1:19" ht="8.1" customHeight="1">
      <c r="A295" s="1507"/>
      <c r="B295" s="5178"/>
      <c r="C295" s="5178"/>
      <c r="D295" s="5179"/>
      <c r="E295" s="5179"/>
      <c r="F295" s="1511"/>
      <c r="G295" s="1509"/>
      <c r="H295" s="1514"/>
      <c r="I295" s="1514"/>
      <c r="J295" s="1514"/>
      <c r="K295" s="1509"/>
      <c r="L295" s="1509"/>
      <c r="M295" s="1509"/>
      <c r="N295" s="1509"/>
      <c r="O295" s="5181" t="str">
        <f>O200</f>
        <v>2do. Informe</v>
      </c>
      <c r="P295" s="5181"/>
      <c r="Q295" s="5181"/>
      <c r="R295" s="5181"/>
      <c r="S295" s="1513"/>
    </row>
    <row r="296" spans="1:19" ht="8.1" customHeight="1">
      <c r="A296" s="1507"/>
      <c r="B296" s="1559"/>
      <c r="C296" s="1559"/>
      <c r="D296" s="1559"/>
      <c r="E296" s="1559"/>
      <c r="F296" s="1508"/>
      <c r="G296" s="1515"/>
      <c r="H296" s="1515"/>
      <c r="I296" s="1515"/>
      <c r="J296" s="1515"/>
      <c r="K296" s="1515"/>
      <c r="L296" s="1515"/>
      <c r="M296" s="1515"/>
      <c r="N296" s="1515"/>
      <c r="O296" s="5182"/>
      <c r="P296" s="5182"/>
      <c r="Q296" s="5182"/>
      <c r="R296" s="5182"/>
      <c r="S296" s="1513"/>
    </row>
    <row r="297" spans="1:19" ht="8.1" customHeight="1">
      <c r="A297" s="1516">
        <v>1</v>
      </c>
      <c r="B297" s="5013" t="s">
        <v>1466</v>
      </c>
      <c r="C297" s="5017" t="s">
        <v>1467</v>
      </c>
      <c r="D297" s="5017"/>
      <c r="E297" s="5017"/>
      <c r="F297" s="5101" t="s">
        <v>1468</v>
      </c>
      <c r="G297" s="5101"/>
      <c r="H297" s="5101"/>
      <c r="I297" s="5101"/>
      <c r="J297" s="5101" t="s">
        <v>423</v>
      </c>
      <c r="K297" s="5113" t="s">
        <v>434</v>
      </c>
      <c r="L297" s="5101" t="s">
        <v>408</v>
      </c>
      <c r="M297" s="5102" t="s">
        <v>1469</v>
      </c>
      <c r="N297" s="5103"/>
      <c r="O297" s="5103"/>
      <c r="P297" s="5104"/>
      <c r="Q297" s="5101" t="s">
        <v>1470</v>
      </c>
      <c r="R297" s="5108" t="s">
        <v>117</v>
      </c>
      <c r="S297" s="1513"/>
    </row>
    <row r="298" spans="1:19" ht="8.1" customHeight="1">
      <c r="A298" s="1516">
        <v>2</v>
      </c>
      <c r="B298" s="5015"/>
      <c r="C298" s="5008"/>
      <c r="D298" s="5008"/>
      <c r="E298" s="5008"/>
      <c r="F298" s="5097"/>
      <c r="G298" s="5097"/>
      <c r="H298" s="5097"/>
      <c r="I298" s="5097"/>
      <c r="J298" s="5097"/>
      <c r="K298" s="5114"/>
      <c r="L298" s="5097"/>
      <c r="M298" s="5105"/>
      <c r="N298" s="5106"/>
      <c r="O298" s="5106"/>
      <c r="P298" s="5107"/>
      <c r="Q298" s="5097"/>
      <c r="R298" s="5099"/>
      <c r="S298" s="1513"/>
    </row>
    <row r="299" spans="1:19" ht="8.1" customHeight="1">
      <c r="A299" s="1516">
        <v>3</v>
      </c>
      <c r="B299" s="5015"/>
      <c r="C299" s="5008"/>
      <c r="D299" s="5008"/>
      <c r="E299" s="5008"/>
      <c r="F299" s="5097" t="s">
        <v>1471</v>
      </c>
      <c r="G299" s="5097" t="s">
        <v>1472</v>
      </c>
      <c r="H299" s="5097" t="s">
        <v>1473</v>
      </c>
      <c r="I299" s="5097" t="s">
        <v>408</v>
      </c>
      <c r="J299" s="5097"/>
      <c r="K299" s="5114"/>
      <c r="L299" s="5097"/>
      <c r="M299" s="5109" t="s">
        <v>1474</v>
      </c>
      <c r="N299" s="5110"/>
      <c r="O299" s="5109" t="s">
        <v>1472</v>
      </c>
      <c r="P299" s="5110"/>
      <c r="Q299" s="5097"/>
      <c r="R299" s="5099" t="s">
        <v>1470</v>
      </c>
      <c r="S299" s="1513"/>
    </row>
    <row r="300" spans="1:19" ht="8.1" customHeight="1">
      <c r="A300" s="1516">
        <v>4</v>
      </c>
      <c r="B300" s="5016"/>
      <c r="C300" s="5009"/>
      <c r="D300" s="5009"/>
      <c r="E300" s="5009"/>
      <c r="F300" s="5098"/>
      <c r="G300" s="5098"/>
      <c r="H300" s="5098"/>
      <c r="I300" s="5098"/>
      <c r="J300" s="5098"/>
      <c r="K300" s="5115"/>
      <c r="L300" s="5098"/>
      <c r="M300" s="5111"/>
      <c r="N300" s="5112"/>
      <c r="O300" s="5111"/>
      <c r="P300" s="5112"/>
      <c r="Q300" s="5098"/>
      <c r="R300" s="5100"/>
      <c r="S300" s="1513"/>
    </row>
    <row r="301" spans="1:19" ht="8.1" customHeight="1">
      <c r="A301" s="1516">
        <v>5</v>
      </c>
      <c r="B301" s="4975">
        <f>B16</f>
        <v>1</v>
      </c>
      <c r="C301" s="5089" t="str">
        <f>C206</f>
        <v>23DPR0055K</v>
      </c>
      <c r="D301" s="5089"/>
      <c r="E301" s="5089"/>
      <c r="F301" s="4975">
        <f>'VISITA DE INSP.'!JG3</f>
        <v>68</v>
      </c>
      <c r="G301" s="4975">
        <f>'VISITA DE INSP.'!IY3</f>
        <v>2</v>
      </c>
      <c r="H301" s="4975"/>
      <c r="I301" s="5089">
        <f>F301-H301</f>
        <v>68</v>
      </c>
      <c r="J301" s="4975">
        <f>'VISITA DE INSP.'!JM3</f>
        <v>1</v>
      </c>
      <c r="K301" s="4975">
        <f>'VISITA DE INSP.'!JS3</f>
        <v>9</v>
      </c>
      <c r="L301" s="4988">
        <f>I301+J301-K301</f>
        <v>60</v>
      </c>
      <c r="M301" s="4989">
        <f>L301</f>
        <v>60</v>
      </c>
      <c r="N301" s="4990"/>
      <c r="O301" s="4989">
        <f>G301</f>
        <v>2</v>
      </c>
      <c r="P301" s="4990"/>
      <c r="Q301" s="4988">
        <f>L301-R301</f>
        <v>60</v>
      </c>
      <c r="R301" s="5096">
        <f>'VISITA DE INSP.'!KE3</f>
        <v>0</v>
      </c>
      <c r="S301" s="1513"/>
    </row>
    <row r="302" spans="1:19" ht="8.1" customHeight="1">
      <c r="A302" s="1516">
        <v>6</v>
      </c>
      <c r="B302" s="4972"/>
      <c r="C302" s="5085"/>
      <c r="D302" s="5085"/>
      <c r="E302" s="5085"/>
      <c r="F302" s="4972"/>
      <c r="G302" s="4972"/>
      <c r="H302" s="4972"/>
      <c r="I302" s="5085"/>
      <c r="J302" s="4972"/>
      <c r="K302" s="4972"/>
      <c r="L302" s="4969"/>
      <c r="M302" s="4967"/>
      <c r="N302" s="4968"/>
      <c r="O302" s="4967"/>
      <c r="P302" s="4968"/>
      <c r="Q302" s="4969"/>
      <c r="R302" s="4972"/>
      <c r="S302" s="1513"/>
    </row>
    <row r="303" spans="1:19" ht="8.1" customHeight="1">
      <c r="A303" s="1516">
        <v>7</v>
      </c>
      <c r="B303" s="4975">
        <f t="shared" ref="B303" si="43">B18</f>
        <v>2</v>
      </c>
      <c r="C303" s="5085" t="str">
        <f>C208</f>
        <v>23DPR0491L</v>
      </c>
      <c r="D303" s="5085"/>
      <c r="E303" s="5085"/>
      <c r="F303" s="4975">
        <f>'VISITA DE INSP.'!JG4</f>
        <v>86</v>
      </c>
      <c r="G303" s="4975">
        <f>'VISITA DE INSP.'!IY4</f>
        <v>3</v>
      </c>
      <c r="H303" s="4972"/>
      <c r="I303" s="4972">
        <f>F303-H303</f>
        <v>86</v>
      </c>
      <c r="J303" s="4975">
        <f>'VISITA DE INSP.'!JM4</f>
        <v>5</v>
      </c>
      <c r="K303" s="4975">
        <f>'VISITA DE INSP.'!JS4</f>
        <v>7</v>
      </c>
      <c r="L303" s="4969">
        <f>I303+J303-K303</f>
        <v>84</v>
      </c>
      <c r="M303" s="4965">
        <f>L303</f>
        <v>84</v>
      </c>
      <c r="N303" s="4966"/>
      <c r="O303" s="4965">
        <f>G303</f>
        <v>3</v>
      </c>
      <c r="P303" s="4966"/>
      <c r="Q303" s="4969">
        <f>L303-R303</f>
        <v>84</v>
      </c>
      <c r="R303" s="4972">
        <f>'VISITA DE INSP.'!KE4</f>
        <v>0</v>
      </c>
      <c r="S303" s="1513"/>
    </row>
    <row r="304" spans="1:19" ht="8.1" customHeight="1">
      <c r="A304" s="1516">
        <v>8</v>
      </c>
      <c r="B304" s="4972"/>
      <c r="C304" s="5085"/>
      <c r="D304" s="5085"/>
      <c r="E304" s="5085"/>
      <c r="F304" s="4972"/>
      <c r="G304" s="4972"/>
      <c r="H304" s="4972"/>
      <c r="I304" s="4972"/>
      <c r="J304" s="4972"/>
      <c r="K304" s="4972"/>
      <c r="L304" s="4969"/>
      <c r="M304" s="4967"/>
      <c r="N304" s="4968"/>
      <c r="O304" s="4967"/>
      <c r="P304" s="4968"/>
      <c r="Q304" s="4969"/>
      <c r="R304" s="4972"/>
      <c r="S304" s="1513"/>
    </row>
    <row r="305" spans="1:19" ht="8.1" customHeight="1">
      <c r="A305" s="1516">
        <v>9</v>
      </c>
      <c r="B305" s="4975">
        <f t="shared" ref="B305" si="44">B20</f>
        <v>3</v>
      </c>
      <c r="C305" s="5085" t="str">
        <f>C210</f>
        <v>23DPR0492K</v>
      </c>
      <c r="D305" s="5085"/>
      <c r="E305" s="5085"/>
      <c r="F305" s="4975">
        <f>'VISITA DE INSP.'!JG5</f>
        <v>34</v>
      </c>
      <c r="G305" s="4975">
        <f>'VISITA DE INSP.'!IY5</f>
        <v>1</v>
      </c>
      <c r="H305" s="4972"/>
      <c r="I305" s="4972">
        <f>F305-H305</f>
        <v>34</v>
      </c>
      <c r="J305" s="4975">
        <f>'VISITA DE INSP.'!JM5</f>
        <v>3</v>
      </c>
      <c r="K305" s="4975">
        <f>'VISITA DE INSP.'!JS5</f>
        <v>2</v>
      </c>
      <c r="L305" s="4969">
        <f>I305+J305-K305</f>
        <v>35</v>
      </c>
      <c r="M305" s="4965">
        <f>L305</f>
        <v>35</v>
      </c>
      <c r="N305" s="4966"/>
      <c r="O305" s="4965">
        <f>G305</f>
        <v>1</v>
      </c>
      <c r="P305" s="4966"/>
      <c r="Q305" s="4969">
        <f>L305-R305</f>
        <v>35</v>
      </c>
      <c r="R305" s="4972">
        <f>'VISITA DE INSP.'!KE5</f>
        <v>0</v>
      </c>
      <c r="S305" s="1513"/>
    </row>
    <row r="306" spans="1:19" ht="8.1" customHeight="1">
      <c r="A306" s="1516">
        <v>10</v>
      </c>
      <c r="B306" s="4972"/>
      <c r="C306" s="5085"/>
      <c r="D306" s="5085"/>
      <c r="E306" s="5085"/>
      <c r="F306" s="4972"/>
      <c r="G306" s="4972"/>
      <c r="H306" s="4972"/>
      <c r="I306" s="4972"/>
      <c r="J306" s="4972"/>
      <c r="K306" s="4972"/>
      <c r="L306" s="4969"/>
      <c r="M306" s="4967"/>
      <c r="N306" s="4968"/>
      <c r="O306" s="4967"/>
      <c r="P306" s="4968"/>
      <c r="Q306" s="4969"/>
      <c r="R306" s="4972"/>
      <c r="S306" s="1513"/>
    </row>
    <row r="307" spans="1:19" ht="8.1" customHeight="1">
      <c r="A307" s="1516">
        <v>11</v>
      </c>
      <c r="B307" s="4975">
        <f t="shared" ref="B307" si="45">B22</f>
        <v>4</v>
      </c>
      <c r="C307" s="5085" t="str">
        <f>C212</f>
        <v>23DPR0564N</v>
      </c>
      <c r="D307" s="5085"/>
      <c r="E307" s="5085"/>
      <c r="F307" s="4975">
        <f>'VISITA DE INSP.'!JG6</f>
        <v>57</v>
      </c>
      <c r="G307" s="4975">
        <f>'VISITA DE INSP.'!IY6</f>
        <v>2</v>
      </c>
      <c r="H307" s="4972"/>
      <c r="I307" s="4972">
        <f>F307-H307</f>
        <v>57</v>
      </c>
      <c r="J307" s="4975">
        <f>'VISITA DE INSP.'!JM6</f>
        <v>2</v>
      </c>
      <c r="K307" s="4975">
        <f>'VISITA DE INSP.'!JS6</f>
        <v>3</v>
      </c>
      <c r="L307" s="4969">
        <f>I307+J307-K307</f>
        <v>56</v>
      </c>
      <c r="M307" s="4965">
        <f>L307</f>
        <v>56</v>
      </c>
      <c r="N307" s="4966"/>
      <c r="O307" s="4965">
        <f>G307</f>
        <v>2</v>
      </c>
      <c r="P307" s="4966"/>
      <c r="Q307" s="4969">
        <f>L307-R307</f>
        <v>56</v>
      </c>
      <c r="R307" s="4972">
        <f>'VISITA DE INSP.'!KE6</f>
        <v>0</v>
      </c>
      <c r="S307" s="1513"/>
    </row>
    <row r="308" spans="1:19" ht="8.1" customHeight="1">
      <c r="A308" s="1516">
        <v>12</v>
      </c>
      <c r="B308" s="4972"/>
      <c r="C308" s="5085"/>
      <c r="D308" s="5085"/>
      <c r="E308" s="5085"/>
      <c r="F308" s="4972"/>
      <c r="G308" s="4972"/>
      <c r="H308" s="4972"/>
      <c r="I308" s="4972"/>
      <c r="J308" s="4972"/>
      <c r="K308" s="4972"/>
      <c r="L308" s="4969"/>
      <c r="M308" s="4967"/>
      <c r="N308" s="4968"/>
      <c r="O308" s="4967"/>
      <c r="P308" s="4968"/>
      <c r="Q308" s="4969"/>
      <c r="R308" s="4972"/>
      <c r="S308" s="1513"/>
    </row>
    <row r="309" spans="1:19" ht="8.1" customHeight="1">
      <c r="A309" s="1516">
        <v>13</v>
      </c>
      <c r="B309" s="4975">
        <f t="shared" ref="B309" si="46">B24</f>
        <v>5</v>
      </c>
      <c r="C309" s="5085" t="str">
        <f>C214</f>
        <v>23DPR0570Y</v>
      </c>
      <c r="D309" s="5085"/>
      <c r="E309" s="5085"/>
      <c r="F309" s="4975">
        <f>'VISITA DE INSP.'!JG7</f>
        <v>23</v>
      </c>
      <c r="G309" s="4975">
        <f>'VISITA DE INSP.'!IY7</f>
        <v>1</v>
      </c>
      <c r="H309" s="4972"/>
      <c r="I309" s="4972">
        <f>F309-H309</f>
        <v>23</v>
      </c>
      <c r="J309" s="4975">
        <f>'VISITA DE INSP.'!JM7</f>
        <v>6</v>
      </c>
      <c r="K309" s="4975">
        <f>'VISITA DE INSP.'!JS7</f>
        <v>3</v>
      </c>
      <c r="L309" s="4969">
        <f>I309+J309-K309</f>
        <v>26</v>
      </c>
      <c r="M309" s="4965">
        <f>L309</f>
        <v>26</v>
      </c>
      <c r="N309" s="4966"/>
      <c r="O309" s="4965">
        <f>G309</f>
        <v>1</v>
      </c>
      <c r="P309" s="4966"/>
      <c r="Q309" s="4969">
        <f>L309-R309</f>
        <v>26</v>
      </c>
      <c r="R309" s="4972">
        <f>'VISITA DE INSP.'!KE7</f>
        <v>0</v>
      </c>
      <c r="S309" s="1513"/>
    </row>
    <row r="310" spans="1:19" ht="8.1" customHeight="1">
      <c r="A310" s="1516">
        <v>14</v>
      </c>
      <c r="B310" s="4972"/>
      <c r="C310" s="5085"/>
      <c r="D310" s="5085"/>
      <c r="E310" s="5085"/>
      <c r="F310" s="4972"/>
      <c r="G310" s="4972"/>
      <c r="H310" s="4972"/>
      <c r="I310" s="4972"/>
      <c r="J310" s="4972"/>
      <c r="K310" s="4972"/>
      <c r="L310" s="4969"/>
      <c r="M310" s="4967"/>
      <c r="N310" s="4968"/>
      <c r="O310" s="4967"/>
      <c r="P310" s="4968"/>
      <c r="Q310" s="4969"/>
      <c r="R310" s="4972"/>
      <c r="S310" s="1513"/>
    </row>
    <row r="311" spans="1:19" ht="8.1" customHeight="1">
      <c r="A311" s="1516">
        <v>15</v>
      </c>
      <c r="B311" s="4975">
        <f t="shared" ref="B311" si="47">B26</f>
        <v>6</v>
      </c>
      <c r="C311" s="5085" t="str">
        <f>C216</f>
        <v>23DPR0572W</v>
      </c>
      <c r="D311" s="5085"/>
      <c r="E311" s="5085"/>
      <c r="F311" s="4975">
        <f>'VISITA DE INSP.'!JG8</f>
        <v>66</v>
      </c>
      <c r="G311" s="4975">
        <f>'VISITA DE INSP.'!IY8</f>
        <v>2</v>
      </c>
      <c r="H311" s="4972"/>
      <c r="I311" s="4972">
        <f>F311-H311</f>
        <v>66</v>
      </c>
      <c r="J311" s="4975">
        <f>'VISITA DE INSP.'!JM8</f>
        <v>3</v>
      </c>
      <c r="K311" s="4975">
        <f>'VISITA DE INSP.'!JS8</f>
        <v>3</v>
      </c>
      <c r="L311" s="4969">
        <f>I311+J311-K311</f>
        <v>66</v>
      </c>
      <c r="M311" s="4965">
        <f>L311</f>
        <v>66</v>
      </c>
      <c r="N311" s="4966"/>
      <c r="O311" s="4965">
        <f>G311</f>
        <v>2</v>
      </c>
      <c r="P311" s="4966"/>
      <c r="Q311" s="4969">
        <f>L311-R311</f>
        <v>66</v>
      </c>
      <c r="R311" s="4972">
        <f>'VISITA DE INSP.'!KE8</f>
        <v>0</v>
      </c>
      <c r="S311" s="1513"/>
    </row>
    <row r="312" spans="1:19" ht="8.1" customHeight="1">
      <c r="A312" s="1516">
        <v>16</v>
      </c>
      <c r="B312" s="4972"/>
      <c r="C312" s="5085"/>
      <c r="D312" s="5085"/>
      <c r="E312" s="5085"/>
      <c r="F312" s="4972"/>
      <c r="G312" s="4972"/>
      <c r="H312" s="4972"/>
      <c r="I312" s="4972"/>
      <c r="J312" s="4972"/>
      <c r="K312" s="4972"/>
      <c r="L312" s="4969"/>
      <c r="M312" s="4967"/>
      <c r="N312" s="4968"/>
      <c r="O312" s="4967"/>
      <c r="P312" s="4968"/>
      <c r="Q312" s="4969"/>
      <c r="R312" s="4972"/>
      <c r="S312" s="1513"/>
    </row>
    <row r="313" spans="1:19" ht="8.1" customHeight="1">
      <c r="A313" s="1516">
        <v>17</v>
      </c>
      <c r="B313" s="4975">
        <f t="shared" ref="B313" si="48">B28</f>
        <v>7</v>
      </c>
      <c r="C313" s="5085" t="str">
        <f>C218</f>
        <v>23DPR0581D</v>
      </c>
      <c r="D313" s="5085"/>
      <c r="E313" s="5085"/>
      <c r="F313" s="4975">
        <f>'VISITA DE INSP.'!JG9</f>
        <v>22</v>
      </c>
      <c r="G313" s="4975">
        <f>'VISITA DE INSP.'!IY9</f>
        <v>1</v>
      </c>
      <c r="H313" s="4972"/>
      <c r="I313" s="4972">
        <f>F313-H313</f>
        <v>22</v>
      </c>
      <c r="J313" s="4975">
        <f>'VISITA DE INSP.'!JM9</f>
        <v>1</v>
      </c>
      <c r="K313" s="4975">
        <f>'VISITA DE INSP.'!JS9</f>
        <v>2</v>
      </c>
      <c r="L313" s="4969">
        <f>I313+J313-K313</f>
        <v>21</v>
      </c>
      <c r="M313" s="4965">
        <f>L313</f>
        <v>21</v>
      </c>
      <c r="N313" s="4966"/>
      <c r="O313" s="4965">
        <f>G313</f>
        <v>1</v>
      </c>
      <c r="P313" s="4966"/>
      <c r="Q313" s="4969">
        <f>L313-R313</f>
        <v>21</v>
      </c>
      <c r="R313" s="4972">
        <f>'VISITA DE INSP.'!KE9</f>
        <v>0</v>
      </c>
      <c r="S313" s="1513"/>
    </row>
    <row r="314" spans="1:19" ht="8.1" customHeight="1">
      <c r="A314" s="1516">
        <v>18</v>
      </c>
      <c r="B314" s="4972"/>
      <c r="C314" s="5085"/>
      <c r="D314" s="5085"/>
      <c r="E314" s="5085"/>
      <c r="F314" s="4972"/>
      <c r="G314" s="4972"/>
      <c r="H314" s="4972"/>
      <c r="I314" s="4972"/>
      <c r="J314" s="4972"/>
      <c r="K314" s="4972"/>
      <c r="L314" s="4969"/>
      <c r="M314" s="4967"/>
      <c r="N314" s="4968"/>
      <c r="O314" s="4967"/>
      <c r="P314" s="4968"/>
      <c r="Q314" s="4969"/>
      <c r="R314" s="4972"/>
      <c r="S314" s="1513"/>
    </row>
    <row r="315" spans="1:19" ht="8.1" customHeight="1">
      <c r="A315" s="1516">
        <v>19</v>
      </c>
      <c r="B315" s="4975">
        <f t="shared" ref="B315" si="49">B30</f>
        <v>8</v>
      </c>
      <c r="C315" s="5085" t="str">
        <f>C220</f>
        <v>23DPR0593I</v>
      </c>
      <c r="D315" s="5085"/>
      <c r="E315" s="5085"/>
      <c r="F315" s="4975">
        <f>'VISITA DE INSP.'!JG10</f>
        <v>0</v>
      </c>
      <c r="G315" s="4975">
        <f>'VISITA DE INSP.'!IY10</f>
        <v>0</v>
      </c>
      <c r="H315" s="4972"/>
      <c r="I315" s="4972">
        <f>F315-H315</f>
        <v>0</v>
      </c>
      <c r="J315" s="4975">
        <f>'VISITA DE INSP.'!JM10</f>
        <v>0</v>
      </c>
      <c r="K315" s="4975">
        <f>'VISITA DE INSP.'!JS10</f>
        <v>0</v>
      </c>
      <c r="L315" s="4969">
        <f>I315+J315-K315</f>
        <v>0</v>
      </c>
      <c r="M315" s="4965">
        <f>L315</f>
        <v>0</v>
      </c>
      <c r="N315" s="4966"/>
      <c r="O315" s="4965">
        <f>G315</f>
        <v>0</v>
      </c>
      <c r="P315" s="4966"/>
      <c r="Q315" s="4969">
        <f>L315-R315</f>
        <v>0</v>
      </c>
      <c r="R315" s="4972">
        <f>'VISITA DE INSP.'!KE10</f>
        <v>0</v>
      </c>
      <c r="S315" s="1513"/>
    </row>
    <row r="316" spans="1:19" ht="8.1" customHeight="1">
      <c r="A316" s="1516">
        <v>20</v>
      </c>
      <c r="B316" s="4972"/>
      <c r="C316" s="5085"/>
      <c r="D316" s="5085"/>
      <c r="E316" s="5085"/>
      <c r="F316" s="4972"/>
      <c r="G316" s="4972"/>
      <c r="H316" s="4972"/>
      <c r="I316" s="4972"/>
      <c r="J316" s="4972"/>
      <c r="K316" s="4972"/>
      <c r="L316" s="4969"/>
      <c r="M316" s="4967"/>
      <c r="N316" s="4968"/>
      <c r="O316" s="4967"/>
      <c r="P316" s="4968"/>
      <c r="Q316" s="4969"/>
      <c r="R316" s="4972"/>
      <c r="S316" s="1513"/>
    </row>
    <row r="317" spans="1:19" ht="8.1" customHeight="1">
      <c r="A317" s="1516">
        <v>21</v>
      </c>
      <c r="B317" s="4975">
        <f t="shared" ref="B317" si="50">B32</f>
        <v>9</v>
      </c>
      <c r="C317" s="5085" t="str">
        <f>C222</f>
        <v>23DPR0640C</v>
      </c>
      <c r="D317" s="5085"/>
      <c r="E317" s="5085"/>
      <c r="F317" s="4975">
        <f>'VISITA DE INSP.'!JG11</f>
        <v>65</v>
      </c>
      <c r="G317" s="4975">
        <f>'VISITA DE INSP.'!IY11</f>
        <v>2</v>
      </c>
      <c r="H317" s="4972"/>
      <c r="I317" s="4972">
        <f>F317-H317</f>
        <v>65</v>
      </c>
      <c r="J317" s="4975">
        <f>'VISITA DE INSP.'!JM11</f>
        <v>5</v>
      </c>
      <c r="K317" s="4975">
        <f>'VISITA DE INSP.'!JS11</f>
        <v>6</v>
      </c>
      <c r="L317" s="4969">
        <f>I317+J317-K317</f>
        <v>64</v>
      </c>
      <c r="M317" s="4965">
        <f>L317</f>
        <v>64</v>
      </c>
      <c r="N317" s="4966"/>
      <c r="O317" s="4965">
        <f>G317</f>
        <v>2</v>
      </c>
      <c r="P317" s="4966"/>
      <c r="Q317" s="4969">
        <f>L317-R317</f>
        <v>64</v>
      </c>
      <c r="R317" s="4972">
        <f>'VISITA DE INSP.'!KE11</f>
        <v>0</v>
      </c>
      <c r="S317" s="1513"/>
    </row>
    <row r="318" spans="1:19" ht="8.1" customHeight="1">
      <c r="A318" s="1516">
        <v>22</v>
      </c>
      <c r="B318" s="4972"/>
      <c r="C318" s="5085"/>
      <c r="D318" s="5085"/>
      <c r="E318" s="5085"/>
      <c r="F318" s="4972"/>
      <c r="G318" s="4972"/>
      <c r="H318" s="4972"/>
      <c r="I318" s="4972"/>
      <c r="J318" s="4972"/>
      <c r="K318" s="4972"/>
      <c r="L318" s="4969"/>
      <c r="M318" s="4967"/>
      <c r="N318" s="4968"/>
      <c r="O318" s="4967"/>
      <c r="P318" s="4968"/>
      <c r="Q318" s="4969"/>
      <c r="R318" s="4972"/>
      <c r="S318" s="1513"/>
    </row>
    <row r="319" spans="1:19" ht="8.1" customHeight="1">
      <c r="A319" s="1516">
        <v>23</v>
      </c>
      <c r="B319" s="4975">
        <f t="shared" ref="B319" si="51">B34</f>
        <v>10</v>
      </c>
      <c r="C319" s="5085" t="str">
        <f>C224</f>
        <v>23DPR0681C</v>
      </c>
      <c r="D319" s="5085"/>
      <c r="E319" s="5085"/>
      <c r="F319" s="4975">
        <f>'VISITA DE INSP.'!JG12</f>
        <v>34</v>
      </c>
      <c r="G319" s="4975">
        <f>'VISITA DE INSP.'!IY12</f>
        <v>1</v>
      </c>
      <c r="H319" s="4972"/>
      <c r="I319" s="4972">
        <f>F319-H319</f>
        <v>34</v>
      </c>
      <c r="J319" s="4975">
        <f>'VISITA DE INSP.'!JM12</f>
        <v>3</v>
      </c>
      <c r="K319" s="4975">
        <f>'VISITA DE INSP.'!JS12</f>
        <v>2</v>
      </c>
      <c r="L319" s="4969">
        <f>I319+J319-K319</f>
        <v>35</v>
      </c>
      <c r="M319" s="4965">
        <f>L319</f>
        <v>35</v>
      </c>
      <c r="N319" s="4966"/>
      <c r="O319" s="4965">
        <f>G319</f>
        <v>1</v>
      </c>
      <c r="P319" s="4966"/>
      <c r="Q319" s="4969">
        <f>L319-R319</f>
        <v>35</v>
      </c>
      <c r="R319" s="4972">
        <f>'VISITA DE INSP.'!KE12</f>
        <v>0</v>
      </c>
      <c r="S319" s="1513"/>
    </row>
    <row r="320" spans="1:19" ht="8.1" customHeight="1">
      <c r="A320" s="1516">
        <v>24</v>
      </c>
      <c r="B320" s="4972"/>
      <c r="C320" s="5085"/>
      <c r="D320" s="5085"/>
      <c r="E320" s="5085"/>
      <c r="F320" s="4972"/>
      <c r="G320" s="4972"/>
      <c r="H320" s="4972"/>
      <c r="I320" s="4972"/>
      <c r="J320" s="4972"/>
      <c r="K320" s="4972"/>
      <c r="L320" s="4969"/>
      <c r="M320" s="4967"/>
      <c r="N320" s="4968"/>
      <c r="O320" s="4967"/>
      <c r="P320" s="4968"/>
      <c r="Q320" s="4969"/>
      <c r="R320" s="4972"/>
      <c r="S320" s="1513"/>
    </row>
    <row r="321" spans="1:19" ht="8.1" hidden="1" customHeight="1">
      <c r="A321" s="1516">
        <v>25</v>
      </c>
      <c r="B321" s="4975">
        <f t="shared" ref="B321" si="52">B36</f>
        <v>0</v>
      </c>
      <c r="C321" s="5085">
        <f>C226</f>
        <v>0</v>
      </c>
      <c r="D321" s="5085"/>
      <c r="E321" s="5085"/>
      <c r="F321" s="4975">
        <f>'VISITA DE INSP.'!JG13</f>
        <v>0</v>
      </c>
      <c r="G321" s="4975">
        <f>'VISITA DE INSP.'!IY13</f>
        <v>0</v>
      </c>
      <c r="H321" s="4972"/>
      <c r="I321" s="4972">
        <f>F321-H321</f>
        <v>0</v>
      </c>
      <c r="J321" s="4975">
        <f>'VISITA DE INSP.'!JM13</f>
        <v>0</v>
      </c>
      <c r="K321" s="4975">
        <f>'VISITA DE INSP.'!JS13</f>
        <v>0</v>
      </c>
      <c r="L321" s="4969">
        <f>I321+J321-K321</f>
        <v>0</v>
      </c>
      <c r="M321" s="4965">
        <f>L321</f>
        <v>0</v>
      </c>
      <c r="N321" s="4966"/>
      <c r="O321" s="4965">
        <f>G321</f>
        <v>0</v>
      </c>
      <c r="P321" s="4966"/>
      <c r="Q321" s="4969">
        <f>L321-R321</f>
        <v>0</v>
      </c>
      <c r="R321" s="4972">
        <f>'VISITA DE INSP.'!KE13</f>
        <v>0</v>
      </c>
      <c r="S321" s="1513"/>
    </row>
    <row r="322" spans="1:19" ht="8.1" hidden="1" customHeight="1">
      <c r="A322" s="1516">
        <v>26</v>
      </c>
      <c r="B322" s="4972"/>
      <c r="C322" s="5085"/>
      <c r="D322" s="5085"/>
      <c r="E322" s="5085"/>
      <c r="F322" s="4972"/>
      <c r="G322" s="4972"/>
      <c r="H322" s="4972"/>
      <c r="I322" s="4972"/>
      <c r="J322" s="4972"/>
      <c r="K322" s="4972"/>
      <c r="L322" s="4969"/>
      <c r="M322" s="4967"/>
      <c r="N322" s="4968"/>
      <c r="O322" s="4967"/>
      <c r="P322" s="4968"/>
      <c r="Q322" s="4969"/>
      <c r="R322" s="4972"/>
      <c r="S322" s="1513"/>
    </row>
    <row r="323" spans="1:19" ht="8.1" customHeight="1">
      <c r="A323" s="1516">
        <v>27</v>
      </c>
      <c r="B323" s="4975">
        <f t="shared" ref="B323" si="53">B38</f>
        <v>11</v>
      </c>
      <c r="C323" s="5090" t="str">
        <f>C228</f>
        <v>23PPR0099M</v>
      </c>
      <c r="D323" s="5091"/>
      <c r="E323" s="5092"/>
      <c r="F323" s="4975">
        <f>'VISITA DE INSP.'!JG14</f>
        <v>13</v>
      </c>
      <c r="G323" s="4975">
        <f>'VISITA DE INSP.'!IY14</f>
        <v>1</v>
      </c>
      <c r="H323" s="4972"/>
      <c r="I323" s="4972">
        <f>F323-H323</f>
        <v>13</v>
      </c>
      <c r="J323" s="4975">
        <f>'VISITA DE INSP.'!JM14</f>
        <v>1</v>
      </c>
      <c r="K323" s="4975">
        <f>'VISITA DE INSP.'!JS14</f>
        <v>1</v>
      </c>
      <c r="L323" s="4969">
        <f>I323+J323-K323</f>
        <v>13</v>
      </c>
      <c r="M323" s="4965">
        <f>L323</f>
        <v>13</v>
      </c>
      <c r="N323" s="4966"/>
      <c r="O323" s="4965">
        <f>G323</f>
        <v>1</v>
      </c>
      <c r="P323" s="4966"/>
      <c r="Q323" s="4969">
        <f>L323-R323</f>
        <v>13</v>
      </c>
      <c r="R323" s="4972">
        <f>'VISITA DE INSP.'!KE14</f>
        <v>0</v>
      </c>
      <c r="S323" s="1513"/>
    </row>
    <row r="324" spans="1:19" ht="8.1" customHeight="1">
      <c r="A324" s="1516">
        <v>28</v>
      </c>
      <c r="B324" s="4972"/>
      <c r="C324" s="5093"/>
      <c r="D324" s="5094"/>
      <c r="E324" s="5095"/>
      <c r="F324" s="4972"/>
      <c r="G324" s="4972"/>
      <c r="H324" s="4972"/>
      <c r="I324" s="4972"/>
      <c r="J324" s="4972"/>
      <c r="K324" s="4972"/>
      <c r="L324" s="4969"/>
      <c r="M324" s="4967"/>
      <c r="N324" s="4968"/>
      <c r="O324" s="4967"/>
      <c r="P324" s="4968"/>
      <c r="Q324" s="4969"/>
      <c r="R324" s="4972"/>
      <c r="S324" s="1513"/>
    </row>
    <row r="325" spans="1:19" ht="8.1" customHeight="1">
      <c r="A325" s="1516">
        <v>29</v>
      </c>
      <c r="B325" s="4975">
        <f t="shared" ref="B325" si="54">B40</f>
        <v>12</v>
      </c>
      <c r="C325" s="5090" t="str">
        <f>C230</f>
        <v>23PPR0100L</v>
      </c>
      <c r="D325" s="5091"/>
      <c r="E325" s="5092"/>
      <c r="F325" s="4975">
        <f>'VISITA DE INSP.'!JG15</f>
        <v>12</v>
      </c>
      <c r="G325" s="4975">
        <f>'VISITA DE INSP.'!IY15</f>
        <v>1</v>
      </c>
      <c r="H325" s="4972"/>
      <c r="I325" s="4972">
        <f>F325-H325</f>
        <v>12</v>
      </c>
      <c r="J325" s="4975">
        <f>'VISITA DE INSP.'!JM15</f>
        <v>3</v>
      </c>
      <c r="K325" s="4975">
        <f>'VISITA DE INSP.'!JS15</f>
        <v>0</v>
      </c>
      <c r="L325" s="4969">
        <f>I325+J325-K325</f>
        <v>15</v>
      </c>
      <c r="M325" s="4965">
        <f>L325</f>
        <v>15</v>
      </c>
      <c r="N325" s="4966"/>
      <c r="O325" s="4965">
        <f>G325</f>
        <v>1</v>
      </c>
      <c r="P325" s="4966"/>
      <c r="Q325" s="4969">
        <f>L325-R325</f>
        <v>15</v>
      </c>
      <c r="R325" s="4972">
        <f>'VISITA DE INSP.'!KE15</f>
        <v>0</v>
      </c>
      <c r="S325" s="1513"/>
    </row>
    <row r="326" spans="1:19" ht="8.1" customHeight="1">
      <c r="A326" s="1516">
        <v>30</v>
      </c>
      <c r="B326" s="4972"/>
      <c r="C326" s="5093"/>
      <c r="D326" s="5094"/>
      <c r="E326" s="5095"/>
      <c r="F326" s="4972"/>
      <c r="G326" s="4972"/>
      <c r="H326" s="4972"/>
      <c r="I326" s="4972"/>
      <c r="J326" s="4972"/>
      <c r="K326" s="4972"/>
      <c r="L326" s="4969"/>
      <c r="M326" s="4967"/>
      <c r="N326" s="4968"/>
      <c r="O326" s="4967"/>
      <c r="P326" s="4968"/>
      <c r="Q326" s="4969"/>
      <c r="R326" s="4972"/>
      <c r="S326" s="1513"/>
    </row>
    <row r="327" spans="1:19" ht="8.1" customHeight="1">
      <c r="A327" s="1516">
        <v>31</v>
      </c>
      <c r="B327" s="4975">
        <f t="shared" ref="B327" si="55">B42</f>
        <v>13</v>
      </c>
      <c r="C327" s="5088" t="str">
        <f>C232</f>
        <v>23PPR0125U</v>
      </c>
      <c r="D327" s="5088"/>
      <c r="E327" s="5088"/>
      <c r="F327" s="4975">
        <f>'VISITA DE INSP.'!JG16</f>
        <v>11</v>
      </c>
      <c r="G327" s="4975">
        <f>'VISITA DE INSP.'!IY16</f>
        <v>1</v>
      </c>
      <c r="H327" s="4972"/>
      <c r="I327" s="4972">
        <f>F327-H327</f>
        <v>11</v>
      </c>
      <c r="J327" s="4975">
        <f>'VISITA DE INSP.'!JM16</f>
        <v>2</v>
      </c>
      <c r="K327" s="4975">
        <f>'VISITA DE INSP.'!JS16</f>
        <v>2</v>
      </c>
      <c r="L327" s="4969">
        <f>I327+J327-K327</f>
        <v>11</v>
      </c>
      <c r="M327" s="4965">
        <f>L327</f>
        <v>11</v>
      </c>
      <c r="N327" s="4966"/>
      <c r="O327" s="4965">
        <f>G327</f>
        <v>1</v>
      </c>
      <c r="P327" s="4966"/>
      <c r="Q327" s="4969">
        <f>L327-R327</f>
        <v>11</v>
      </c>
      <c r="R327" s="4972">
        <f>'VISITA DE INSP.'!KE16</f>
        <v>0</v>
      </c>
      <c r="S327" s="1513"/>
    </row>
    <row r="328" spans="1:19" ht="8.1" customHeight="1">
      <c r="A328" s="1516">
        <v>32</v>
      </c>
      <c r="B328" s="4972"/>
      <c r="C328" s="5089"/>
      <c r="D328" s="5089"/>
      <c r="E328" s="5089"/>
      <c r="F328" s="4972"/>
      <c r="G328" s="4972"/>
      <c r="H328" s="4972"/>
      <c r="I328" s="4972"/>
      <c r="J328" s="4972"/>
      <c r="K328" s="4972"/>
      <c r="L328" s="4969"/>
      <c r="M328" s="4967"/>
      <c r="N328" s="4968"/>
      <c r="O328" s="4967"/>
      <c r="P328" s="4968"/>
      <c r="Q328" s="4969"/>
      <c r="R328" s="4972"/>
      <c r="S328" s="1513"/>
    </row>
    <row r="329" spans="1:19" ht="8.1" customHeight="1">
      <c r="A329" s="1516">
        <v>33</v>
      </c>
      <c r="B329" s="4975">
        <f t="shared" ref="B329" si="56">B44</f>
        <v>14</v>
      </c>
      <c r="C329" s="5086" t="str">
        <f>C234</f>
        <v>23PPR0156N</v>
      </c>
      <c r="D329" s="5086"/>
      <c r="E329" s="5086"/>
      <c r="F329" s="4975">
        <f>'VISITA DE INSP.'!JG17</f>
        <v>11</v>
      </c>
      <c r="G329" s="4975">
        <f>'VISITA DE INSP.'!IY17</f>
        <v>1</v>
      </c>
      <c r="H329" s="4978"/>
      <c r="I329" s="4972">
        <f>F329-H329</f>
        <v>11</v>
      </c>
      <c r="J329" s="4975">
        <f>'VISITA DE INSP.'!JM17</f>
        <v>1</v>
      </c>
      <c r="K329" s="4975">
        <f>'VISITA DE INSP.'!JS17</f>
        <v>1</v>
      </c>
      <c r="L329" s="4969">
        <f>I329+J329-K329</f>
        <v>11</v>
      </c>
      <c r="M329" s="4965">
        <f>L329</f>
        <v>11</v>
      </c>
      <c r="N329" s="4966"/>
      <c r="O329" s="4965">
        <f>G329</f>
        <v>1</v>
      </c>
      <c r="P329" s="4966"/>
      <c r="Q329" s="4969">
        <f>L329-R329</f>
        <v>11</v>
      </c>
      <c r="R329" s="4972">
        <f>'VISITA DE INSP.'!KE17</f>
        <v>0</v>
      </c>
      <c r="S329" s="1513"/>
    </row>
    <row r="330" spans="1:19" ht="8.1" customHeight="1">
      <c r="A330" s="1516">
        <v>34</v>
      </c>
      <c r="B330" s="4972"/>
      <c r="C330" s="5087"/>
      <c r="D330" s="5087"/>
      <c r="E330" s="5087"/>
      <c r="F330" s="4972"/>
      <c r="G330" s="4972"/>
      <c r="H330" s="4979"/>
      <c r="I330" s="4972"/>
      <c r="J330" s="4972"/>
      <c r="K330" s="4972"/>
      <c r="L330" s="4969"/>
      <c r="M330" s="4967"/>
      <c r="N330" s="4968"/>
      <c r="O330" s="4967"/>
      <c r="P330" s="4968"/>
      <c r="Q330" s="4969"/>
      <c r="R330" s="4972"/>
      <c r="S330" s="1513"/>
    </row>
    <row r="331" spans="1:19" ht="8.1" customHeight="1">
      <c r="A331" s="1516">
        <v>35</v>
      </c>
      <c r="B331" s="4975">
        <f t="shared" ref="B331" si="57">B46</f>
        <v>15</v>
      </c>
      <c r="C331" s="5086" t="str">
        <f>C236</f>
        <v>23PPR0163X</v>
      </c>
      <c r="D331" s="5086"/>
      <c r="E331" s="5086"/>
      <c r="F331" s="4975">
        <f>'VISITA DE INSP.'!JG18</f>
        <v>23</v>
      </c>
      <c r="G331" s="4975">
        <f>'VISITA DE INSP.'!IY18</f>
        <v>1</v>
      </c>
      <c r="H331" s="4978"/>
      <c r="I331" s="4972">
        <f>F331-H331</f>
        <v>23</v>
      </c>
      <c r="J331" s="4975">
        <f>'VISITA DE INSP.'!JM18</f>
        <v>1</v>
      </c>
      <c r="K331" s="4975">
        <f>'VISITA DE INSP.'!JS18</f>
        <v>1</v>
      </c>
      <c r="L331" s="4969">
        <f>I331+J331-K331</f>
        <v>23</v>
      </c>
      <c r="M331" s="4965">
        <f>L331</f>
        <v>23</v>
      </c>
      <c r="N331" s="4966"/>
      <c r="O331" s="4965">
        <f>G331</f>
        <v>1</v>
      </c>
      <c r="P331" s="4966"/>
      <c r="Q331" s="4969">
        <f>L331-R331</f>
        <v>23</v>
      </c>
      <c r="R331" s="4972">
        <f>'VISITA DE INSP.'!KE18</f>
        <v>0</v>
      </c>
      <c r="S331" s="1513"/>
    </row>
    <row r="332" spans="1:19" ht="8.1" customHeight="1">
      <c r="A332" s="1516">
        <v>36</v>
      </c>
      <c r="B332" s="4972"/>
      <c r="C332" s="5087"/>
      <c r="D332" s="5087"/>
      <c r="E332" s="5087"/>
      <c r="F332" s="4972"/>
      <c r="G332" s="4972"/>
      <c r="H332" s="4979"/>
      <c r="I332" s="4972"/>
      <c r="J332" s="4972"/>
      <c r="K332" s="4972"/>
      <c r="L332" s="4969"/>
      <c r="M332" s="4967"/>
      <c r="N332" s="4968"/>
      <c r="O332" s="4967"/>
      <c r="P332" s="4968"/>
      <c r="Q332" s="4969"/>
      <c r="R332" s="4972"/>
      <c r="S332" s="1513"/>
    </row>
    <row r="333" spans="1:19" ht="8.1" customHeight="1">
      <c r="A333" s="1516">
        <v>37</v>
      </c>
      <c r="B333" s="4975">
        <f t="shared" ref="B333" si="58">B48</f>
        <v>0</v>
      </c>
      <c r="C333" s="5116">
        <f>C238</f>
        <v>0</v>
      </c>
      <c r="D333" s="5116"/>
      <c r="E333" s="5116"/>
      <c r="F333" s="4975">
        <f>'VISITA DE INSP.'!JG19</f>
        <v>0</v>
      </c>
      <c r="G333" s="4975">
        <f>'VISITA DE INSP.'!IY19</f>
        <v>0</v>
      </c>
      <c r="H333" s="4972"/>
      <c r="I333" s="4972">
        <f>F333-H333</f>
        <v>0</v>
      </c>
      <c r="J333" s="4975">
        <f>'VISITA DE INSP.'!JM19</f>
        <v>0</v>
      </c>
      <c r="K333" s="4975">
        <f>'VISITA DE INSP.'!JS19</f>
        <v>0</v>
      </c>
      <c r="L333" s="4969">
        <f>I333+J333-K333</f>
        <v>0</v>
      </c>
      <c r="M333" s="4965">
        <f>L333</f>
        <v>0</v>
      </c>
      <c r="N333" s="4966"/>
      <c r="O333" s="4969">
        <f>G333</f>
        <v>0</v>
      </c>
      <c r="P333" s="4969"/>
      <c r="Q333" s="4969">
        <f>L333-R333</f>
        <v>0</v>
      </c>
      <c r="R333" s="4972">
        <f>'VISITA DE INSP.'!KE19</f>
        <v>0</v>
      </c>
      <c r="S333" s="1513"/>
    </row>
    <row r="334" spans="1:19" ht="8.1" customHeight="1">
      <c r="A334" s="1516">
        <v>38</v>
      </c>
      <c r="B334" s="4972"/>
      <c r="C334" s="5116"/>
      <c r="D334" s="5116"/>
      <c r="E334" s="5116"/>
      <c r="F334" s="4972"/>
      <c r="G334" s="4972"/>
      <c r="H334" s="4972"/>
      <c r="I334" s="4972"/>
      <c r="J334" s="4972"/>
      <c r="K334" s="4972"/>
      <c r="L334" s="4969"/>
      <c r="M334" s="4967"/>
      <c r="N334" s="4968"/>
      <c r="O334" s="4969"/>
      <c r="P334" s="4969"/>
      <c r="Q334" s="4969"/>
      <c r="R334" s="4972"/>
      <c r="S334" s="1513"/>
    </row>
    <row r="335" spans="1:19" ht="8.1" customHeight="1">
      <c r="A335" s="1516">
        <v>39</v>
      </c>
      <c r="B335" s="4975">
        <f t="shared" ref="B335" si="59">B50</f>
        <v>0</v>
      </c>
      <c r="C335" s="5116">
        <f>C240</f>
        <v>0</v>
      </c>
      <c r="D335" s="5116"/>
      <c r="E335" s="5116"/>
      <c r="F335" s="4975">
        <f>'VISITA DE INSP.'!JG20</f>
        <v>0</v>
      </c>
      <c r="G335" s="4975">
        <f>'VISITA DE INSP.'!IY20</f>
        <v>0</v>
      </c>
      <c r="H335" s="4972"/>
      <c r="I335" s="4972">
        <f>F335-H335</f>
        <v>0</v>
      </c>
      <c r="J335" s="4975">
        <f>'VISITA DE INSP.'!JM20</f>
        <v>0</v>
      </c>
      <c r="K335" s="4975">
        <f>'VISITA DE INSP.'!JS20</f>
        <v>0</v>
      </c>
      <c r="L335" s="4969">
        <f>I335+J335-K335</f>
        <v>0</v>
      </c>
      <c r="M335" s="4965">
        <f>L335</f>
        <v>0</v>
      </c>
      <c r="N335" s="4966"/>
      <c r="O335" s="4969">
        <f>G335</f>
        <v>0</v>
      </c>
      <c r="P335" s="4969"/>
      <c r="Q335" s="4969">
        <f>L335-R335</f>
        <v>0</v>
      </c>
      <c r="R335" s="4972">
        <f>'VISITA DE INSP.'!KE20</f>
        <v>0</v>
      </c>
      <c r="S335" s="1513"/>
    </row>
    <row r="336" spans="1:19" ht="8.1" customHeight="1">
      <c r="A336" s="1516">
        <v>40</v>
      </c>
      <c r="B336" s="4972"/>
      <c r="C336" s="5116"/>
      <c r="D336" s="5116"/>
      <c r="E336" s="5116"/>
      <c r="F336" s="4972"/>
      <c r="G336" s="4972"/>
      <c r="H336" s="4972"/>
      <c r="I336" s="4972"/>
      <c r="J336" s="4972"/>
      <c r="K336" s="4972"/>
      <c r="L336" s="4969"/>
      <c r="M336" s="4967"/>
      <c r="N336" s="4968"/>
      <c r="O336" s="4969"/>
      <c r="P336" s="4969"/>
      <c r="Q336" s="4969"/>
      <c r="R336" s="4972"/>
      <c r="S336" s="1513"/>
    </row>
    <row r="337" spans="1:19" ht="8.1" customHeight="1">
      <c r="A337" s="1516">
        <v>41</v>
      </c>
      <c r="B337" s="4975">
        <f t="shared" ref="B337" si="60">B52</f>
        <v>0</v>
      </c>
      <c r="C337" s="5116">
        <f>C242</f>
        <v>0</v>
      </c>
      <c r="D337" s="5116"/>
      <c r="E337" s="5116"/>
      <c r="F337" s="4975">
        <f>'VISITA DE INSP.'!JG21</f>
        <v>0</v>
      </c>
      <c r="G337" s="4975">
        <f>'VISITA DE INSP.'!IY21</f>
        <v>0</v>
      </c>
      <c r="H337" s="4972"/>
      <c r="I337" s="4972">
        <f>F337-H337</f>
        <v>0</v>
      </c>
      <c r="J337" s="4975">
        <f>'VISITA DE INSP.'!JM21</f>
        <v>0</v>
      </c>
      <c r="K337" s="4975">
        <f>'VISITA DE INSP.'!JS21</f>
        <v>0</v>
      </c>
      <c r="L337" s="4969">
        <f>I337+J337-K337</f>
        <v>0</v>
      </c>
      <c r="M337" s="4965">
        <f>L337</f>
        <v>0</v>
      </c>
      <c r="N337" s="4966"/>
      <c r="O337" s="4969">
        <f>G337</f>
        <v>0</v>
      </c>
      <c r="P337" s="4969"/>
      <c r="Q337" s="4969">
        <f>L337-R337</f>
        <v>0</v>
      </c>
      <c r="R337" s="4972">
        <f>'VISITA DE INSP.'!KE21</f>
        <v>0</v>
      </c>
      <c r="S337" s="1513"/>
    </row>
    <row r="338" spans="1:19" ht="8.1" customHeight="1">
      <c r="A338" s="1516">
        <v>42</v>
      </c>
      <c r="B338" s="4972"/>
      <c r="C338" s="5116"/>
      <c r="D338" s="5116"/>
      <c r="E338" s="5116"/>
      <c r="F338" s="4972"/>
      <c r="G338" s="4972"/>
      <c r="H338" s="4972"/>
      <c r="I338" s="4972"/>
      <c r="J338" s="4972"/>
      <c r="K338" s="4972"/>
      <c r="L338" s="4969"/>
      <c r="M338" s="4967"/>
      <c r="N338" s="4968"/>
      <c r="O338" s="4969"/>
      <c r="P338" s="4969"/>
      <c r="Q338" s="4969"/>
      <c r="R338" s="4972"/>
      <c r="S338" s="1513"/>
    </row>
    <row r="339" spans="1:19" ht="8.1" customHeight="1">
      <c r="A339" s="1516">
        <v>43</v>
      </c>
      <c r="B339" s="4975">
        <f t="shared" ref="B339" si="61">B54</f>
        <v>0</v>
      </c>
      <c r="C339" s="5116">
        <f>C244</f>
        <v>0</v>
      </c>
      <c r="D339" s="5116"/>
      <c r="E339" s="5116"/>
      <c r="F339" s="4972"/>
      <c r="G339" s="4972"/>
      <c r="H339" s="4972"/>
      <c r="I339" s="4972">
        <f>F339-H339</f>
        <v>0</v>
      </c>
      <c r="J339" s="4972"/>
      <c r="K339" s="4972"/>
      <c r="L339" s="4969">
        <f>I339+J339-K339</f>
        <v>0</v>
      </c>
      <c r="M339" s="4965">
        <f>L339</f>
        <v>0</v>
      </c>
      <c r="N339" s="4966"/>
      <c r="O339" s="4969">
        <f>G339</f>
        <v>0</v>
      </c>
      <c r="P339" s="4969"/>
      <c r="Q339" s="4969">
        <f>L339-R339</f>
        <v>0</v>
      </c>
      <c r="R339" s="4972"/>
      <c r="S339" s="1513"/>
    </row>
    <row r="340" spans="1:19" ht="8.1" customHeight="1">
      <c r="A340" s="1516">
        <v>44</v>
      </c>
      <c r="B340" s="4972"/>
      <c r="C340" s="5116"/>
      <c r="D340" s="5116"/>
      <c r="E340" s="5116"/>
      <c r="F340" s="4972"/>
      <c r="G340" s="4972"/>
      <c r="H340" s="4972"/>
      <c r="I340" s="4972"/>
      <c r="J340" s="4972"/>
      <c r="K340" s="4972"/>
      <c r="L340" s="4969"/>
      <c r="M340" s="4967"/>
      <c r="N340" s="4968"/>
      <c r="O340" s="4969"/>
      <c r="P340" s="4969"/>
      <c r="Q340" s="4969"/>
      <c r="R340" s="4972"/>
      <c r="S340" s="1513"/>
    </row>
    <row r="341" spans="1:19" ht="8.1" customHeight="1">
      <c r="A341" s="1516">
        <v>45</v>
      </c>
      <c r="B341" s="4975">
        <f t="shared" ref="B341" si="62">B56</f>
        <v>0</v>
      </c>
      <c r="C341" s="4972" t="s">
        <v>408</v>
      </c>
      <c r="D341" s="4972"/>
      <c r="E341" s="4972"/>
      <c r="F341" s="4972">
        <f>SUM(F301:F340)</f>
        <v>525</v>
      </c>
      <c r="G341" s="4972">
        <f t="shared" ref="G341:L341" si="63">SUM(G301:G340)</f>
        <v>20</v>
      </c>
      <c r="H341" s="4972">
        <f t="shared" si="63"/>
        <v>0</v>
      </c>
      <c r="I341" s="4972">
        <f t="shared" si="63"/>
        <v>525</v>
      </c>
      <c r="J341" s="4972">
        <f t="shared" si="63"/>
        <v>37</v>
      </c>
      <c r="K341" s="4972">
        <f t="shared" si="63"/>
        <v>42</v>
      </c>
      <c r="L341" s="4969">
        <f t="shared" si="63"/>
        <v>520</v>
      </c>
      <c r="M341" s="4965">
        <f>SUM(M301:N340)</f>
        <v>520</v>
      </c>
      <c r="N341" s="4966"/>
      <c r="O341" s="4965">
        <f>SUM(O301:P340)</f>
        <v>20</v>
      </c>
      <c r="P341" s="4966"/>
      <c r="Q341" s="4969">
        <f>SUM(Q301:Q340)</f>
        <v>520</v>
      </c>
      <c r="R341" s="4972">
        <f>SUM(R301:R340)</f>
        <v>0</v>
      </c>
      <c r="S341" s="1513"/>
    </row>
    <row r="342" spans="1:19" ht="8.1" customHeight="1">
      <c r="A342" s="1516">
        <v>46</v>
      </c>
      <c r="B342" s="4972"/>
      <c r="C342" s="4972"/>
      <c r="D342" s="4972"/>
      <c r="E342" s="4972"/>
      <c r="F342" s="4972"/>
      <c r="G342" s="4972"/>
      <c r="H342" s="4972"/>
      <c r="I342" s="4972"/>
      <c r="J342" s="4972"/>
      <c r="K342" s="4972"/>
      <c r="L342" s="4969"/>
      <c r="M342" s="4967"/>
      <c r="N342" s="4968"/>
      <c r="O342" s="4967"/>
      <c r="P342" s="4968"/>
      <c r="Q342" s="4969"/>
      <c r="R342" s="4972"/>
      <c r="S342" s="1513"/>
    </row>
    <row r="343" spans="1:19" ht="8.1" customHeight="1">
      <c r="A343" s="1516">
        <v>47</v>
      </c>
      <c r="B343" s="1552"/>
      <c r="C343" s="1553"/>
      <c r="D343" s="1553"/>
      <c r="E343" s="1553"/>
      <c r="F343" s="4970">
        <f>F341</f>
        <v>525</v>
      </c>
      <c r="G343" s="4973"/>
      <c r="H343" s="4973"/>
      <c r="I343" s="4973"/>
      <c r="J343" s="4970">
        <f>F343+J341</f>
        <v>562</v>
      </c>
      <c r="K343" s="4970">
        <f>J343-K341</f>
        <v>520</v>
      </c>
      <c r="L343" s="4970">
        <f>J343-K341</f>
        <v>520</v>
      </c>
      <c r="M343" s="5079"/>
      <c r="N343" s="5080"/>
      <c r="O343" s="5079"/>
      <c r="P343" s="5080"/>
      <c r="Q343" s="4973"/>
      <c r="R343" s="5083"/>
      <c r="S343" s="1513"/>
    </row>
    <row r="344" spans="1:19" ht="8.1" customHeight="1">
      <c r="A344" s="1516">
        <v>48</v>
      </c>
      <c r="B344" s="1554"/>
      <c r="C344" s="1555"/>
      <c r="D344" s="1555"/>
      <c r="E344" s="1555"/>
      <c r="F344" s="4971"/>
      <c r="G344" s="4974"/>
      <c r="H344" s="4974"/>
      <c r="I344" s="4974"/>
      <c r="J344" s="4971"/>
      <c r="K344" s="4971"/>
      <c r="L344" s="4971"/>
      <c r="M344" s="5081"/>
      <c r="N344" s="5082"/>
      <c r="O344" s="5081"/>
      <c r="P344" s="5082"/>
      <c r="Q344" s="4974"/>
      <c r="R344" s="5084"/>
      <c r="S344" s="1513"/>
    </row>
    <row r="345" spans="1:19" ht="8.1" customHeight="1">
      <c r="A345" s="1516">
        <v>49</v>
      </c>
      <c r="B345" s="5037"/>
      <c r="C345" s="1556"/>
      <c r="D345" s="1564"/>
      <c r="E345" s="5061" t="s">
        <v>1475</v>
      </c>
      <c r="F345" s="5061"/>
      <c r="G345" s="5062"/>
      <c r="H345" s="5043"/>
      <c r="I345" s="5043"/>
      <c r="J345" s="5043"/>
      <c r="K345" s="5043"/>
      <c r="L345" s="5043"/>
      <c r="M345" s="5066" t="s">
        <v>1476</v>
      </c>
      <c r="N345" s="5066"/>
      <c r="O345" s="5066"/>
      <c r="P345" s="5043"/>
      <c r="Q345" s="5033"/>
      <c r="R345" s="5035"/>
      <c r="S345" s="1513"/>
    </row>
    <row r="346" spans="1:19" ht="8.1" customHeight="1">
      <c r="A346" s="1516">
        <v>50</v>
      </c>
      <c r="B346" s="5037"/>
      <c r="C346" s="1557"/>
      <c r="D346" s="1564"/>
      <c r="E346" s="5077"/>
      <c r="F346" s="5077"/>
      <c r="G346" s="5078"/>
      <c r="H346" s="5043"/>
      <c r="I346" s="5043"/>
      <c r="J346" s="5043"/>
      <c r="K346" s="5043"/>
      <c r="L346" s="5043"/>
      <c r="M346" s="5066"/>
      <c r="N346" s="5066"/>
      <c r="O346" s="5066"/>
      <c r="P346" s="5043"/>
      <c r="Q346" s="5033"/>
      <c r="R346" s="5035"/>
      <c r="S346" s="1513"/>
    </row>
    <row r="347" spans="1:19" ht="8.1" customHeight="1">
      <c r="A347" s="1516">
        <v>51</v>
      </c>
      <c r="B347" s="5037"/>
      <c r="C347" s="1557"/>
      <c r="D347" s="1564"/>
      <c r="E347" s="5073" t="s">
        <v>1477</v>
      </c>
      <c r="F347" s="5073"/>
      <c r="G347" s="5074"/>
      <c r="H347" s="5043"/>
      <c r="I347" s="5043"/>
      <c r="J347" s="5043"/>
      <c r="K347" s="5043"/>
      <c r="L347" s="5043"/>
      <c r="M347" s="5043" t="s">
        <v>1478</v>
      </c>
      <c r="N347" s="5043"/>
      <c r="O347" s="5043"/>
      <c r="P347" s="5043"/>
      <c r="Q347" s="5033"/>
      <c r="R347" s="5035"/>
      <c r="S347" s="1513"/>
    </row>
    <row r="348" spans="1:19" ht="8.1" customHeight="1">
      <c r="A348" s="1516">
        <v>52</v>
      </c>
      <c r="B348" s="5037"/>
      <c r="C348" s="1557"/>
      <c r="D348" s="1564"/>
      <c r="E348" s="5075"/>
      <c r="F348" s="5075"/>
      <c r="G348" s="5076"/>
      <c r="H348" s="5043"/>
      <c r="I348" s="5043"/>
      <c r="J348" s="5043"/>
      <c r="K348" s="5043"/>
      <c r="L348" s="5043"/>
      <c r="M348" s="5043"/>
      <c r="N348" s="5043"/>
      <c r="O348" s="5043"/>
      <c r="P348" s="5043"/>
      <c r="Q348" s="5033"/>
      <c r="R348" s="5035"/>
      <c r="S348" s="1513"/>
    </row>
    <row r="349" spans="1:19" ht="8.1" customHeight="1">
      <c r="A349" s="1516">
        <v>53</v>
      </c>
      <c r="B349" s="5037"/>
      <c r="C349" s="1556"/>
      <c r="D349" s="1564"/>
      <c r="E349" s="5069" t="s">
        <v>1484</v>
      </c>
      <c r="F349" s="5069"/>
      <c r="G349" s="5070"/>
      <c r="H349" s="5043"/>
      <c r="I349" s="5043"/>
      <c r="J349" s="5043"/>
      <c r="K349" s="5043"/>
      <c r="L349" s="5043"/>
      <c r="M349" s="5069" t="s">
        <v>1484</v>
      </c>
      <c r="N349" s="5069"/>
      <c r="O349" s="5070"/>
      <c r="P349" s="5043"/>
      <c r="Q349" s="5033"/>
      <c r="R349" s="5035"/>
      <c r="S349" s="1513"/>
    </row>
    <row r="350" spans="1:19" ht="8.1" customHeight="1">
      <c r="A350" s="1516">
        <v>54</v>
      </c>
      <c r="B350" s="5037"/>
      <c r="C350" s="1557"/>
      <c r="D350" s="1564"/>
      <c r="E350" s="5071"/>
      <c r="F350" s="5071"/>
      <c r="G350" s="5072"/>
      <c r="H350" s="5043"/>
      <c r="I350" s="5043"/>
      <c r="J350" s="5043"/>
      <c r="K350" s="5043"/>
      <c r="L350" s="5043"/>
      <c r="M350" s="5071"/>
      <c r="N350" s="5071"/>
      <c r="O350" s="5072"/>
      <c r="P350" s="5043"/>
      <c r="Q350" s="5033"/>
      <c r="R350" s="5035"/>
      <c r="S350" s="1513"/>
    </row>
    <row r="351" spans="1:19" ht="8.1" customHeight="1">
      <c r="A351" s="1516">
        <v>55</v>
      </c>
      <c r="B351" s="5037"/>
      <c r="C351" s="5033"/>
      <c r="D351" s="5043"/>
      <c r="E351" s="5043"/>
      <c r="F351" s="5043"/>
      <c r="G351" s="5043"/>
      <c r="H351" s="5043"/>
      <c r="I351" s="5043"/>
      <c r="J351" s="5043"/>
      <c r="K351" s="5043"/>
      <c r="L351" s="5043"/>
      <c r="M351" s="5043"/>
      <c r="N351" s="5043"/>
      <c r="O351" s="5043"/>
      <c r="P351" s="5043"/>
      <c r="Q351" s="5033"/>
      <c r="R351" s="5035"/>
      <c r="S351" s="1513"/>
    </row>
    <row r="352" spans="1:19" ht="8.1" customHeight="1">
      <c r="A352" s="1516">
        <v>56</v>
      </c>
      <c r="B352" s="5037"/>
      <c r="C352" s="5033"/>
      <c r="D352" s="5043"/>
      <c r="E352" s="5043"/>
      <c r="F352" s="5043"/>
      <c r="G352" s="5043"/>
      <c r="H352" s="5043"/>
      <c r="I352" s="5043"/>
      <c r="J352" s="5043"/>
      <c r="K352" s="5043"/>
      <c r="L352" s="5043"/>
      <c r="M352" s="5043"/>
      <c r="N352" s="5043"/>
      <c r="O352" s="5043"/>
      <c r="P352" s="5043"/>
      <c r="Q352" s="5033"/>
      <c r="R352" s="5035"/>
      <c r="S352" s="1513"/>
    </row>
    <row r="353" spans="1:19" ht="8.1" customHeight="1">
      <c r="A353" s="1516">
        <v>57</v>
      </c>
      <c r="B353" s="5037"/>
      <c r="C353" s="5033"/>
      <c r="D353" s="5066" t="str">
        <f>L258</f>
        <v>JESUS MARTIN RICALDE CASTRO</v>
      </c>
      <c r="E353" s="5066"/>
      <c r="F353" s="5066"/>
      <c r="G353" s="5066"/>
      <c r="H353" s="5066"/>
      <c r="I353" s="5043"/>
      <c r="J353" s="5043"/>
      <c r="K353" s="5043"/>
      <c r="L353" s="5066" t="str">
        <f>D353</f>
        <v>JESUS MARTIN RICALDE CASTRO</v>
      </c>
      <c r="M353" s="5066"/>
      <c r="N353" s="5066"/>
      <c r="O353" s="5066"/>
      <c r="P353" s="5066"/>
      <c r="Q353" s="5033"/>
      <c r="R353" s="5035"/>
      <c r="S353" s="1513"/>
    </row>
    <row r="354" spans="1:19" ht="8.1" customHeight="1">
      <c r="A354" s="1516">
        <v>58</v>
      </c>
      <c r="B354" s="5037"/>
      <c r="C354" s="5033"/>
      <c r="D354" s="5067"/>
      <c r="E354" s="5067"/>
      <c r="F354" s="5067"/>
      <c r="G354" s="5067"/>
      <c r="H354" s="5067"/>
      <c r="I354" s="5043"/>
      <c r="J354" s="5043"/>
      <c r="K354" s="5043"/>
      <c r="L354" s="5067"/>
      <c r="M354" s="5067"/>
      <c r="N354" s="5067"/>
      <c r="O354" s="5067"/>
      <c r="P354" s="5067"/>
      <c r="Q354" s="5033"/>
      <c r="R354" s="5035"/>
      <c r="S354" s="1513"/>
    </row>
    <row r="355" spans="1:19" ht="8.1" customHeight="1">
      <c r="A355" s="1516">
        <v>59</v>
      </c>
      <c r="B355" s="5037"/>
      <c r="C355" s="5033"/>
      <c r="D355" s="5045" t="s">
        <v>1480</v>
      </c>
      <c r="E355" s="5045"/>
      <c r="F355" s="5045"/>
      <c r="G355" s="5045"/>
      <c r="H355" s="5045"/>
      <c r="I355" s="5043"/>
      <c r="J355" s="5043"/>
      <c r="K355" s="5043"/>
      <c r="L355" s="5045" t="s">
        <v>1480</v>
      </c>
      <c r="M355" s="5045"/>
      <c r="N355" s="5045"/>
      <c r="O355" s="5045"/>
      <c r="P355" s="5045"/>
      <c r="Q355" s="5033"/>
      <c r="R355" s="5035"/>
      <c r="S355" s="1513"/>
    </row>
    <row r="356" spans="1:19" ht="8.1" customHeight="1">
      <c r="A356" s="1516">
        <v>60</v>
      </c>
      <c r="B356" s="5037"/>
      <c r="C356" s="5033"/>
      <c r="D356" s="5046"/>
      <c r="E356" s="5046"/>
      <c r="F356" s="5046"/>
      <c r="G356" s="5046"/>
      <c r="H356" s="5046"/>
      <c r="I356" s="5043"/>
      <c r="J356" s="5043"/>
      <c r="K356" s="5043"/>
      <c r="L356" s="5046"/>
      <c r="M356" s="5046"/>
      <c r="N356" s="5046"/>
      <c r="O356" s="5046"/>
      <c r="P356" s="5046"/>
      <c r="Q356" s="5033"/>
      <c r="R356" s="5035"/>
      <c r="S356" s="1513"/>
    </row>
    <row r="357" spans="1:19" ht="8.1" customHeight="1">
      <c r="A357" s="1516">
        <v>61</v>
      </c>
      <c r="B357" s="5037"/>
      <c r="C357" s="5033"/>
      <c r="D357" s="5043"/>
      <c r="E357" s="5043"/>
      <c r="F357" s="5043"/>
      <c r="G357" s="5043"/>
      <c r="H357" s="5043"/>
      <c r="I357" s="5043"/>
      <c r="J357" s="5043"/>
      <c r="K357" s="5043"/>
      <c r="L357" s="5043"/>
      <c r="M357" s="5043"/>
      <c r="N357" s="5043"/>
      <c r="O357" s="5043"/>
      <c r="P357" s="5043"/>
      <c r="Q357" s="5033"/>
      <c r="R357" s="5035"/>
      <c r="S357" s="1513"/>
    </row>
    <row r="358" spans="1:19" ht="8.1" customHeight="1">
      <c r="A358" s="1516">
        <v>62</v>
      </c>
      <c r="B358" s="5037"/>
      <c r="C358" s="5033"/>
      <c r="D358" s="5043"/>
      <c r="E358" s="5043"/>
      <c r="F358" s="5043"/>
      <c r="G358" s="5043"/>
      <c r="H358" s="5043"/>
      <c r="I358" s="5043"/>
      <c r="J358" s="5043"/>
      <c r="K358" s="5043"/>
      <c r="L358" s="5043"/>
      <c r="M358" s="5043"/>
      <c r="N358" s="5043"/>
      <c r="O358" s="5043"/>
      <c r="P358" s="5043"/>
      <c r="Q358" s="5033"/>
      <c r="R358" s="5035"/>
      <c r="S358" s="1513"/>
    </row>
    <row r="359" spans="1:19" ht="8.1" customHeight="1">
      <c r="A359" s="1516">
        <v>63</v>
      </c>
      <c r="B359" s="5037"/>
      <c r="C359" s="5033"/>
      <c r="D359" s="5060" t="str">
        <f>D264</f>
        <v>KATIA DIAZ ORTIZ</v>
      </c>
      <c r="E359" s="5061"/>
      <c r="F359" s="5061"/>
      <c r="G359" s="5061"/>
      <c r="H359" s="5062"/>
      <c r="I359" s="5043"/>
      <c r="J359" s="5043"/>
      <c r="K359" s="5043"/>
      <c r="L359" s="5060" t="str">
        <f>D359</f>
        <v>KATIA DIAZ ORTIZ</v>
      </c>
      <c r="M359" s="5061"/>
      <c r="N359" s="5061"/>
      <c r="O359" s="5061"/>
      <c r="P359" s="5062"/>
      <c r="Q359" s="5033"/>
      <c r="R359" s="5035"/>
      <c r="S359" s="1513"/>
    </row>
    <row r="360" spans="1:19" ht="8.1" customHeight="1">
      <c r="A360" s="1516">
        <v>64</v>
      </c>
      <c r="B360" s="5037"/>
      <c r="C360" s="5033"/>
      <c r="D360" s="5063"/>
      <c r="E360" s="5064"/>
      <c r="F360" s="5064"/>
      <c r="G360" s="5064"/>
      <c r="H360" s="5065"/>
      <c r="I360" s="5043"/>
      <c r="J360" s="5043"/>
      <c r="K360" s="5043"/>
      <c r="L360" s="5063"/>
      <c r="M360" s="5064"/>
      <c r="N360" s="5064"/>
      <c r="O360" s="5064"/>
      <c r="P360" s="5065"/>
      <c r="Q360" s="5033"/>
      <c r="R360" s="5035"/>
      <c r="S360" s="1513"/>
    </row>
    <row r="361" spans="1:19" ht="8.1" customHeight="1">
      <c r="A361" s="1516">
        <v>65</v>
      </c>
      <c r="B361" s="5037"/>
      <c r="C361" s="5033"/>
      <c r="D361" s="5045" t="s">
        <v>1481</v>
      </c>
      <c r="E361" s="5045"/>
      <c r="F361" s="5045"/>
      <c r="G361" s="5045"/>
      <c r="H361" s="5045"/>
      <c r="I361" s="5043"/>
      <c r="J361" s="5043"/>
      <c r="K361" s="5043"/>
      <c r="L361" s="5045" t="s">
        <v>1481</v>
      </c>
      <c r="M361" s="5045"/>
      <c r="N361" s="5045"/>
      <c r="O361" s="5045"/>
      <c r="P361" s="5045"/>
      <c r="Q361" s="5033"/>
      <c r="R361" s="5035"/>
      <c r="S361" s="1513"/>
    </row>
    <row r="362" spans="1:19" ht="8.1" customHeight="1">
      <c r="A362" s="1516">
        <v>66</v>
      </c>
      <c r="B362" s="5037"/>
      <c r="C362" s="5033"/>
      <c r="D362" s="5046"/>
      <c r="E362" s="5046"/>
      <c r="F362" s="5046"/>
      <c r="G362" s="5046"/>
      <c r="H362" s="5046"/>
      <c r="I362" s="5043"/>
      <c r="J362" s="5043"/>
      <c r="K362" s="5043"/>
      <c r="L362" s="5046"/>
      <c r="M362" s="5046"/>
      <c r="N362" s="5046"/>
      <c r="O362" s="5046"/>
      <c r="P362" s="5046"/>
      <c r="Q362" s="5033"/>
      <c r="R362" s="5035"/>
      <c r="S362" s="1513"/>
    </row>
    <row r="363" spans="1:19" ht="8.1" customHeight="1">
      <c r="A363" s="1516">
        <v>67</v>
      </c>
      <c r="B363" s="5037"/>
      <c r="C363" s="5033"/>
      <c r="D363" s="5043"/>
      <c r="E363" s="5043"/>
      <c r="F363" s="5043"/>
      <c r="G363" s="5043"/>
      <c r="H363" s="5043"/>
      <c r="I363" s="5043"/>
      <c r="J363" s="5043"/>
      <c r="K363" s="5043"/>
      <c r="L363" s="5043"/>
      <c r="M363" s="5043"/>
      <c r="N363" s="5043"/>
      <c r="O363" s="5043"/>
      <c r="P363" s="5043"/>
      <c r="Q363" s="5033"/>
      <c r="R363" s="5035"/>
      <c r="S363" s="1513"/>
    </row>
    <row r="364" spans="1:19" ht="8.1" customHeight="1">
      <c r="A364" s="1516">
        <v>68</v>
      </c>
      <c r="B364" s="5037"/>
      <c r="C364" s="5033"/>
      <c r="D364" s="5043"/>
      <c r="E364" s="5043"/>
      <c r="F364" s="5043"/>
      <c r="G364" s="5043"/>
      <c r="H364" s="5043"/>
      <c r="I364" s="5043"/>
      <c r="J364" s="5043"/>
      <c r="K364" s="5043"/>
      <c r="L364" s="5043"/>
      <c r="M364" s="5043"/>
      <c r="N364" s="5043"/>
      <c r="O364" s="5043"/>
      <c r="P364" s="5043"/>
      <c r="Q364" s="5033"/>
      <c r="R364" s="5035"/>
      <c r="S364" s="1513"/>
    </row>
    <row r="365" spans="1:19" ht="8.1" customHeight="1">
      <c r="A365" s="1516">
        <v>69</v>
      </c>
      <c r="B365" s="5037"/>
      <c r="C365" s="5033"/>
      <c r="D365" s="5043"/>
      <c r="E365" s="5054" t="str">
        <f>E270</f>
        <v>19 DE NOVIEMBRE DE 2013</v>
      </c>
      <c r="F365" s="5055"/>
      <c r="G365" s="5056"/>
      <c r="H365" s="5047"/>
      <c r="I365" s="4926">
        <f>I270</f>
        <v>0</v>
      </c>
      <c r="J365" s="4927"/>
      <c r="K365" s="4928"/>
      <c r="L365" s="5047"/>
      <c r="M365" s="5048" t="str">
        <f>M270</f>
        <v>09 DE OCTUBRE DE 2013</v>
      </c>
      <c r="N365" s="5049"/>
      <c r="O365" s="5050"/>
      <c r="P365" s="5043"/>
      <c r="Q365" s="5033"/>
      <c r="R365" s="5035"/>
      <c r="S365" s="1513"/>
    </row>
    <row r="366" spans="1:19" ht="8.1" customHeight="1">
      <c r="A366" s="1516">
        <v>70</v>
      </c>
      <c r="B366" s="5037"/>
      <c r="C366" s="5033"/>
      <c r="D366" s="5043"/>
      <c r="E366" s="5057"/>
      <c r="F366" s="5058"/>
      <c r="G366" s="5059"/>
      <c r="H366" s="5047"/>
      <c r="I366" s="4929"/>
      <c r="J366" s="4930"/>
      <c r="K366" s="4931"/>
      <c r="L366" s="5047"/>
      <c r="M366" s="5051"/>
      <c r="N366" s="5052"/>
      <c r="O366" s="5053"/>
      <c r="P366" s="5043"/>
      <c r="Q366" s="5033"/>
      <c r="R366" s="5035"/>
      <c r="S366" s="1513"/>
    </row>
    <row r="367" spans="1:19" ht="8.1" customHeight="1">
      <c r="A367" s="1516">
        <v>71</v>
      </c>
      <c r="B367" s="5037"/>
      <c r="C367" s="5033"/>
      <c r="D367" s="5043"/>
      <c r="E367" s="5044"/>
      <c r="F367" s="5045" t="s">
        <v>1458</v>
      </c>
      <c r="G367" s="5044"/>
      <c r="H367" s="5043"/>
      <c r="I367" s="4920"/>
      <c r="J367" s="4921" t="s">
        <v>1458</v>
      </c>
      <c r="K367" s="4920"/>
      <c r="L367" s="5043"/>
      <c r="M367" s="5044"/>
      <c r="N367" s="5045" t="s">
        <v>1458</v>
      </c>
      <c r="O367" s="5044"/>
      <c r="P367" s="5043"/>
      <c r="Q367" s="5033"/>
      <c r="R367" s="5035"/>
      <c r="S367" s="1513"/>
    </row>
    <row r="368" spans="1:19" ht="8.1" customHeight="1">
      <c r="A368" s="1516">
        <v>72</v>
      </c>
      <c r="B368" s="5037"/>
      <c r="C368" s="5033"/>
      <c r="D368" s="5043"/>
      <c r="E368" s="5043"/>
      <c r="F368" s="5046"/>
      <c r="G368" s="5043"/>
      <c r="H368" s="5043"/>
      <c r="I368" s="4919"/>
      <c r="J368" s="4922"/>
      <c r="K368" s="4919"/>
      <c r="L368" s="5043"/>
      <c r="M368" s="5043"/>
      <c r="N368" s="5046"/>
      <c r="O368" s="5043"/>
      <c r="P368" s="5043"/>
      <c r="Q368" s="5033"/>
      <c r="R368" s="5035"/>
      <c r="S368" s="1513"/>
    </row>
    <row r="369" spans="1:19" ht="8.1" customHeight="1">
      <c r="A369" s="1516">
        <v>73</v>
      </c>
      <c r="B369" s="5037"/>
      <c r="C369" s="5033"/>
      <c r="D369" s="5033"/>
      <c r="E369" s="5033"/>
      <c r="F369" s="5033"/>
      <c r="G369" s="5033"/>
      <c r="H369" s="5033"/>
      <c r="I369" s="5033"/>
      <c r="J369" s="5033"/>
      <c r="K369" s="5033"/>
      <c r="L369" s="5033"/>
      <c r="M369" s="5033"/>
      <c r="N369" s="5033"/>
      <c r="O369" s="5033"/>
      <c r="P369" s="5033"/>
      <c r="Q369" s="5033"/>
      <c r="R369" s="5035"/>
      <c r="S369" s="1513"/>
    </row>
    <row r="370" spans="1:19" ht="8.1" customHeight="1">
      <c r="A370" s="1516">
        <v>74</v>
      </c>
      <c r="B370" s="5037"/>
      <c r="C370" s="5033"/>
      <c r="D370" s="5033"/>
      <c r="E370" s="5033"/>
      <c r="F370" s="5033"/>
      <c r="G370" s="5033"/>
      <c r="H370" s="5033"/>
      <c r="I370" s="5033"/>
      <c r="J370" s="5033"/>
      <c r="K370" s="5033"/>
      <c r="L370" s="5033"/>
      <c r="M370" s="5033"/>
      <c r="N370" s="5033"/>
      <c r="O370" s="5033"/>
      <c r="P370" s="5033"/>
      <c r="Q370" s="5033"/>
      <c r="R370" s="5035"/>
      <c r="S370" s="1513"/>
    </row>
    <row r="371" spans="1:19" ht="8.1" customHeight="1">
      <c r="A371" s="1516">
        <v>75</v>
      </c>
      <c r="B371" s="5037"/>
      <c r="C371" s="5033"/>
      <c r="D371" s="5033"/>
      <c r="E371" s="5033"/>
      <c r="F371" s="5033"/>
      <c r="G371" s="5033"/>
      <c r="H371" s="5033"/>
      <c r="I371" s="5033"/>
      <c r="J371" s="5033"/>
      <c r="K371" s="5033"/>
      <c r="L371" s="5033"/>
      <c r="M371" s="5033"/>
      <c r="N371" s="5033"/>
      <c r="O371" s="5033"/>
      <c r="P371" s="5033"/>
      <c r="Q371" s="5033"/>
      <c r="R371" s="5035"/>
      <c r="S371" s="1513"/>
    </row>
    <row r="372" spans="1:19" ht="8.1" customHeight="1">
      <c r="A372" s="1516">
        <v>76</v>
      </c>
      <c r="B372" s="5038"/>
      <c r="C372" s="5034"/>
      <c r="D372" s="5034"/>
      <c r="E372" s="5034"/>
      <c r="F372" s="5034"/>
      <c r="G372" s="5034"/>
      <c r="H372" s="5034"/>
      <c r="I372" s="5034"/>
      <c r="J372" s="5034"/>
      <c r="K372" s="5034"/>
      <c r="L372" s="5034"/>
      <c r="M372" s="5034"/>
      <c r="N372" s="5034"/>
      <c r="O372" s="5034"/>
      <c r="P372" s="5034"/>
      <c r="Q372" s="5034"/>
      <c r="R372" s="5036"/>
      <c r="S372" s="1513"/>
    </row>
    <row r="373" spans="1:19" ht="8.1" customHeight="1">
      <c r="A373" s="1516"/>
      <c r="B373" s="1538"/>
      <c r="C373" s="1538"/>
      <c r="D373" s="1538"/>
      <c r="E373" s="1538"/>
      <c r="F373" s="1538"/>
      <c r="G373" s="1538"/>
      <c r="H373" s="1538"/>
      <c r="I373" s="1538"/>
      <c r="J373" s="1538"/>
      <c r="K373" s="1538"/>
      <c r="L373" s="1538"/>
      <c r="M373" s="1538"/>
      <c r="N373" s="1538"/>
      <c r="O373" s="1538"/>
      <c r="P373" s="1538"/>
      <c r="Q373" s="1538"/>
      <c r="R373" s="1538"/>
      <c r="S373" s="1513"/>
    </row>
    <row r="374" spans="1:19" ht="8.1" customHeight="1">
      <c r="A374" s="1516"/>
      <c r="B374" s="1538"/>
      <c r="C374" s="1538"/>
      <c r="D374" s="1538"/>
      <c r="E374" s="1538"/>
      <c r="F374" s="1538"/>
      <c r="G374" s="1538"/>
      <c r="H374" s="1538"/>
      <c r="I374" s="1538"/>
      <c r="J374" s="1538"/>
      <c r="K374" s="1538"/>
      <c r="L374" s="1538"/>
      <c r="M374" s="1538"/>
      <c r="N374" s="1538"/>
      <c r="O374" s="1538"/>
      <c r="P374" s="1538"/>
      <c r="Q374" s="1538"/>
      <c r="R374" s="1538"/>
      <c r="S374" s="1513"/>
    </row>
    <row r="375" spans="1:19" ht="8.1" customHeight="1">
      <c r="A375" s="1516"/>
      <c r="B375" s="1538"/>
      <c r="C375" s="1538"/>
      <c r="D375" s="1538"/>
      <c r="E375" s="1538"/>
      <c r="F375" s="1538"/>
      <c r="G375" s="1538"/>
      <c r="H375" s="1538"/>
      <c r="I375" s="1538"/>
      <c r="J375" s="1538"/>
      <c r="K375" s="1538"/>
      <c r="L375" s="1538"/>
      <c r="M375" s="1538"/>
      <c r="N375" s="1538"/>
      <c r="O375" s="1538"/>
      <c r="P375" s="1538"/>
      <c r="Q375" s="1538"/>
      <c r="R375" s="1538"/>
      <c r="S375" s="1513"/>
    </row>
    <row r="376" spans="1:19" ht="8.1" customHeight="1">
      <c r="A376" s="1516"/>
      <c r="B376" s="1538"/>
      <c r="C376" s="1538"/>
      <c r="D376" s="1538"/>
      <c r="E376" s="1538"/>
      <c r="F376" s="1538"/>
      <c r="G376" s="1538"/>
      <c r="H376" s="1538"/>
      <c r="I376" s="1538"/>
      <c r="J376" s="1538"/>
      <c r="K376" s="1538"/>
      <c r="L376" s="1538"/>
      <c r="M376" s="1538"/>
      <c r="N376" s="1538"/>
      <c r="O376" s="1538"/>
      <c r="P376" s="1538"/>
      <c r="Q376" s="1538"/>
      <c r="R376" s="1538"/>
      <c r="S376" s="1513"/>
    </row>
    <row r="377" spans="1:19" ht="8.1" customHeight="1">
      <c r="A377" s="1516"/>
      <c r="B377" s="1538"/>
      <c r="C377" s="1538"/>
      <c r="D377" s="1538"/>
      <c r="E377" s="1538"/>
      <c r="F377" s="1538"/>
      <c r="G377" s="1538"/>
      <c r="H377" s="1538"/>
      <c r="I377" s="1538"/>
      <c r="J377" s="1538"/>
      <c r="K377" s="1538"/>
      <c r="L377" s="1538"/>
      <c r="M377" s="1538"/>
      <c r="N377" s="1538"/>
      <c r="O377" s="1538"/>
      <c r="P377" s="1538"/>
      <c r="Q377" s="1538"/>
      <c r="R377" s="1538"/>
      <c r="S377" s="1513"/>
    </row>
    <row r="378" spans="1:19" ht="8.1" customHeight="1">
      <c r="A378" s="1516"/>
      <c r="B378" s="1538"/>
      <c r="C378" s="1538"/>
      <c r="D378" s="1538"/>
      <c r="E378" s="1538"/>
      <c r="F378" s="1538"/>
      <c r="G378" s="1538"/>
      <c r="H378" s="1538"/>
      <c r="I378" s="1538"/>
      <c r="J378" s="1538"/>
      <c r="K378" s="1538"/>
      <c r="L378" s="1538"/>
      <c r="M378" s="1538"/>
      <c r="N378" s="1538"/>
      <c r="O378" s="1538"/>
      <c r="P378" s="1538"/>
      <c r="Q378" s="1538"/>
      <c r="R378" s="1538"/>
      <c r="S378" s="1513"/>
    </row>
    <row r="379" spans="1:19" ht="8.1" customHeight="1">
      <c r="A379" s="1516"/>
      <c r="B379" s="1538"/>
      <c r="C379" s="1538"/>
      <c r="D379" s="1538"/>
      <c r="E379" s="1538"/>
      <c r="F379" s="1538"/>
      <c r="G379" s="1538"/>
      <c r="H379" s="1538"/>
      <c r="I379" s="1538"/>
      <c r="J379" s="1538"/>
      <c r="K379" s="1538"/>
      <c r="L379" s="1538"/>
      <c r="M379" s="1538"/>
      <c r="N379" s="1538"/>
      <c r="O379" s="1538"/>
      <c r="P379" s="1538"/>
      <c r="Q379" s="1538"/>
      <c r="R379" s="1538"/>
      <c r="S379" s="1513"/>
    </row>
    <row r="380" spans="1:19" ht="8.1" customHeight="1">
      <c r="A380" s="1507"/>
      <c r="B380" s="1542"/>
      <c r="C380" s="1542"/>
      <c r="D380" s="1542"/>
      <c r="E380" s="1542"/>
      <c r="F380" s="1542"/>
      <c r="G380" s="1565"/>
      <c r="H380" s="1565"/>
      <c r="I380" s="1565"/>
      <c r="J380" s="1565"/>
      <c r="K380" s="1565"/>
      <c r="L380" s="1565"/>
      <c r="M380" s="1565"/>
      <c r="N380" s="1565"/>
      <c r="O380" s="1565"/>
      <c r="P380" s="1542"/>
      <c r="Q380" s="1542"/>
      <c r="R380" s="1542"/>
      <c r="S380" s="1513"/>
    </row>
    <row r="381" spans="1:19" ht="12" customHeight="1">
      <c r="A381" s="1507"/>
      <c r="B381" s="1542"/>
      <c r="C381" s="1542"/>
      <c r="D381" s="1542"/>
      <c r="E381" s="1542"/>
      <c r="F381" s="2241" t="str">
        <f>F1</f>
        <v>SERVICIOS EDUCATIVOS DE  QUINTANA  ROO</v>
      </c>
      <c r="G381" s="1509"/>
      <c r="H381" s="1510"/>
      <c r="I381" s="1510"/>
      <c r="J381" s="1510"/>
      <c r="K381" s="1510"/>
      <c r="L381" s="1510"/>
      <c r="M381" s="1510"/>
      <c r="N381" s="1510"/>
      <c r="O381" s="1566"/>
      <c r="P381" s="1567"/>
      <c r="Q381" s="1567"/>
      <c r="R381" s="1568"/>
      <c r="S381" s="1513"/>
    </row>
    <row r="382" spans="1:19" ht="12" customHeight="1">
      <c r="A382" s="1507"/>
      <c r="B382" s="1542"/>
      <c r="C382" s="1542"/>
      <c r="D382" s="1542"/>
      <c r="E382" s="1542"/>
      <c r="F382" s="2241" t="str">
        <f>F2</f>
        <v>COORDINACION GENERAL DE PLANEACION</v>
      </c>
      <c r="G382" s="1509"/>
      <c r="H382" s="1510"/>
      <c r="I382" s="1510"/>
      <c r="J382" s="1510"/>
      <c r="K382" s="1510"/>
      <c r="L382" s="1510"/>
      <c r="M382" s="1510"/>
      <c r="N382" s="1510"/>
      <c r="O382" s="1569"/>
      <c r="P382" s="1567"/>
      <c r="Q382" s="1567"/>
      <c r="R382" s="1567"/>
      <c r="S382" s="1513"/>
    </row>
    <row r="383" spans="1:19" ht="12" customHeight="1">
      <c r="A383" s="1507"/>
      <c r="B383" s="1542"/>
      <c r="C383" s="1542"/>
      <c r="D383" s="1542"/>
      <c r="E383" s="1542"/>
      <c r="F383" s="2241" t="str">
        <f>F3</f>
        <v>DIRECCION DE PROFESIONES Y SERVICIOS ESCOLARES</v>
      </c>
      <c r="G383" s="1509"/>
      <c r="H383" s="1510"/>
      <c r="I383" s="1510"/>
      <c r="J383" s="1510"/>
      <c r="K383" s="1510"/>
      <c r="L383" s="1510"/>
      <c r="M383" s="1510"/>
      <c r="N383" s="1510"/>
      <c r="O383" s="1566"/>
      <c r="P383" s="1567"/>
      <c r="Q383" s="1567"/>
      <c r="R383" s="1567"/>
      <c r="S383" s="1513"/>
    </row>
    <row r="384" spans="1:19" ht="12" customHeight="1">
      <c r="A384" s="1507"/>
      <c r="B384" s="1542"/>
      <c r="C384" s="1542"/>
      <c r="D384" s="1542"/>
      <c r="E384" s="1542"/>
      <c r="F384" s="2241" t="str">
        <f>F4</f>
        <v>DEPARTAMENTO DE CONTROL ESCOLAR</v>
      </c>
      <c r="G384" s="1509"/>
      <c r="H384" s="1510"/>
      <c r="I384" s="1510"/>
      <c r="J384" s="1510"/>
      <c r="K384" s="1510"/>
      <c r="L384" s="1510"/>
      <c r="M384" s="1510"/>
      <c r="N384" s="1510"/>
      <c r="O384" s="1566"/>
      <c r="P384" s="1567"/>
      <c r="Q384" s="1567"/>
      <c r="R384" s="1567"/>
      <c r="S384" s="1513"/>
    </row>
    <row r="385" spans="1:19" ht="8.1" customHeight="1">
      <c r="A385" s="1507"/>
      <c r="B385" s="1542"/>
      <c r="C385" s="1542"/>
      <c r="D385" s="1542"/>
      <c r="E385" s="1542"/>
      <c r="F385" s="1511"/>
      <c r="G385" s="1509"/>
      <c r="H385" s="1509"/>
      <c r="I385" s="1509"/>
      <c r="J385" s="1509"/>
      <c r="K385" s="1509"/>
      <c r="L385" s="1509"/>
      <c r="M385" s="1509"/>
      <c r="N385" s="1509"/>
      <c r="O385" s="1570"/>
      <c r="P385" s="1567"/>
      <c r="Q385" s="1567"/>
      <c r="R385" s="1567"/>
      <c r="S385" s="1513"/>
    </row>
    <row r="386" spans="1:19" ht="8.1" customHeight="1">
      <c r="A386" s="1507"/>
      <c r="B386" s="1542"/>
      <c r="C386" s="1542"/>
      <c r="D386" s="1542"/>
      <c r="E386" s="1542"/>
      <c r="F386" s="1511"/>
      <c r="G386" s="1509"/>
      <c r="H386" s="1509"/>
      <c r="I386" s="1509"/>
      <c r="J386" s="1509"/>
      <c r="K386" s="1509"/>
      <c r="L386" s="1509"/>
      <c r="M386" s="1509"/>
      <c r="N386" s="1509"/>
      <c r="O386" s="5011" t="str">
        <f>O291</f>
        <v>EDUCACION: PRIMARIA</v>
      </c>
      <c r="P386" s="5011"/>
      <c r="Q386" s="5011"/>
      <c r="R386" s="5011"/>
      <c r="S386" s="1513"/>
    </row>
    <row r="387" spans="1:19" ht="8.1" customHeight="1">
      <c r="A387" s="1507"/>
      <c r="B387" s="1542"/>
      <c r="C387" s="1542"/>
      <c r="D387" s="1542"/>
      <c r="E387" s="1542"/>
      <c r="F387" s="5010" t="str">
        <f>F292</f>
        <v>ZONA ESCOLAR : 042</v>
      </c>
      <c r="G387" s="5011"/>
      <c r="H387" s="5011"/>
      <c r="I387" s="5011"/>
      <c r="J387" s="5012" t="s">
        <v>108</v>
      </c>
      <c r="K387" s="5011" t="s">
        <v>1446</v>
      </c>
      <c r="L387" s="5011"/>
      <c r="M387" s="1509"/>
      <c r="N387" s="1509"/>
      <c r="O387" s="5011"/>
      <c r="P387" s="5011"/>
      <c r="Q387" s="5011"/>
      <c r="R387" s="5011"/>
      <c r="S387" s="1513"/>
    </row>
    <row r="388" spans="1:19" ht="8.1" customHeight="1">
      <c r="A388" s="1507"/>
      <c r="B388" s="1542"/>
      <c r="C388" s="1542"/>
      <c r="D388" s="1542"/>
      <c r="E388" s="1542"/>
      <c r="F388" s="5010"/>
      <c r="G388" s="5011"/>
      <c r="H388" s="5011"/>
      <c r="I388" s="5011"/>
      <c r="J388" s="5012"/>
      <c r="K388" s="5011"/>
      <c r="L388" s="5011"/>
      <c r="M388" s="1509"/>
      <c r="N388" s="1509"/>
      <c r="O388" s="5129" t="str">
        <f>O293</f>
        <v>PERIODO ESCOLAR: 2012 / 2013</v>
      </c>
      <c r="P388" s="5129"/>
      <c r="Q388" s="5129"/>
      <c r="R388" s="5129"/>
      <c r="S388" s="1513"/>
    </row>
    <row r="389" spans="1:19" ht="8.1" customHeight="1">
      <c r="A389" s="1507"/>
      <c r="B389" s="5178" t="str">
        <f>B294</f>
        <v>2do. Informe</v>
      </c>
      <c r="C389" s="5178"/>
      <c r="D389" s="5179" t="str">
        <f>D294</f>
        <v>INICIO</v>
      </c>
      <c r="E389" s="5179"/>
      <c r="F389" s="1511"/>
      <c r="G389" s="1509"/>
      <c r="H389" s="1514"/>
      <c r="I389" s="1514"/>
      <c r="J389" s="1514"/>
      <c r="K389" s="1509"/>
      <c r="L389" s="1509"/>
      <c r="M389" s="1509"/>
      <c r="N389" s="1509"/>
      <c r="O389" s="5129"/>
      <c r="P389" s="5129"/>
      <c r="Q389" s="5129"/>
      <c r="R389" s="5129"/>
      <c r="S389" s="1513"/>
    </row>
    <row r="390" spans="1:19" ht="8.1" customHeight="1">
      <c r="A390" s="1507"/>
      <c r="B390" s="5178"/>
      <c r="C390" s="5178"/>
      <c r="D390" s="5179"/>
      <c r="E390" s="5179"/>
      <c r="F390" s="1511"/>
      <c r="G390" s="1509"/>
      <c r="H390" s="1514"/>
      <c r="I390" s="1514"/>
      <c r="J390" s="1514"/>
      <c r="K390" s="1509"/>
      <c r="L390" s="1509"/>
      <c r="M390" s="1509"/>
      <c r="N390" s="1509"/>
      <c r="O390" s="5181" t="str">
        <f>O295</f>
        <v>2do. Informe</v>
      </c>
      <c r="P390" s="5181"/>
      <c r="Q390" s="5181"/>
      <c r="R390" s="5181"/>
      <c r="S390" s="1513"/>
    </row>
    <row r="391" spans="1:19" ht="8.1" customHeight="1">
      <c r="A391" s="1507"/>
      <c r="B391" s="1542"/>
      <c r="C391" s="1542"/>
      <c r="D391" s="1542"/>
      <c r="E391" s="1542"/>
      <c r="F391" s="1508"/>
      <c r="G391" s="1515"/>
      <c r="H391" s="1515"/>
      <c r="I391" s="1515"/>
      <c r="J391" s="1515"/>
      <c r="K391" s="1515"/>
      <c r="L391" s="1515"/>
      <c r="M391" s="1515"/>
      <c r="N391" s="1515"/>
      <c r="O391" s="5182"/>
      <c r="P391" s="5182"/>
      <c r="Q391" s="5182"/>
      <c r="R391" s="5182"/>
      <c r="S391" s="1513"/>
    </row>
    <row r="392" spans="1:19" ht="8.1" customHeight="1">
      <c r="A392" s="1516">
        <v>1</v>
      </c>
      <c r="B392" s="5013" t="s">
        <v>1466</v>
      </c>
      <c r="C392" s="5017" t="s">
        <v>1467</v>
      </c>
      <c r="D392" s="5017"/>
      <c r="E392" s="5017"/>
      <c r="F392" s="5101" t="s">
        <v>1468</v>
      </c>
      <c r="G392" s="5101"/>
      <c r="H392" s="5101"/>
      <c r="I392" s="5101"/>
      <c r="J392" s="5101" t="s">
        <v>423</v>
      </c>
      <c r="K392" s="5113" t="s">
        <v>434</v>
      </c>
      <c r="L392" s="5101" t="s">
        <v>408</v>
      </c>
      <c r="M392" s="5102" t="s">
        <v>1469</v>
      </c>
      <c r="N392" s="5103"/>
      <c r="O392" s="5103"/>
      <c r="P392" s="5104"/>
      <c r="Q392" s="5101" t="s">
        <v>1470</v>
      </c>
      <c r="R392" s="5108" t="s">
        <v>117</v>
      </c>
      <c r="S392" s="1513"/>
    </row>
    <row r="393" spans="1:19" ht="8.1" customHeight="1">
      <c r="A393" s="1516">
        <v>2</v>
      </c>
      <c r="B393" s="5015"/>
      <c r="C393" s="5008"/>
      <c r="D393" s="5008"/>
      <c r="E393" s="5008"/>
      <c r="F393" s="5097"/>
      <c r="G393" s="5097"/>
      <c r="H393" s="5097"/>
      <c r="I393" s="5097"/>
      <c r="J393" s="5097"/>
      <c r="K393" s="5114"/>
      <c r="L393" s="5097"/>
      <c r="M393" s="5105"/>
      <c r="N393" s="5106"/>
      <c r="O393" s="5106"/>
      <c r="P393" s="5107"/>
      <c r="Q393" s="5097"/>
      <c r="R393" s="5099"/>
      <c r="S393" s="1513"/>
    </row>
    <row r="394" spans="1:19" ht="8.1" customHeight="1">
      <c r="A394" s="1516">
        <v>3</v>
      </c>
      <c r="B394" s="5015"/>
      <c r="C394" s="5008"/>
      <c r="D394" s="5008"/>
      <c r="E394" s="5008"/>
      <c r="F394" s="5097" t="s">
        <v>1471</v>
      </c>
      <c r="G394" s="5097" t="s">
        <v>1472</v>
      </c>
      <c r="H394" s="5097" t="s">
        <v>1473</v>
      </c>
      <c r="I394" s="5097" t="s">
        <v>408</v>
      </c>
      <c r="J394" s="5097"/>
      <c r="K394" s="5114"/>
      <c r="L394" s="5097"/>
      <c r="M394" s="5109" t="s">
        <v>1474</v>
      </c>
      <c r="N394" s="5110"/>
      <c r="O394" s="5109" t="s">
        <v>1472</v>
      </c>
      <c r="P394" s="5110"/>
      <c r="Q394" s="5097"/>
      <c r="R394" s="5099" t="s">
        <v>1470</v>
      </c>
      <c r="S394" s="1513"/>
    </row>
    <row r="395" spans="1:19" ht="8.1" customHeight="1">
      <c r="A395" s="1516">
        <v>4</v>
      </c>
      <c r="B395" s="5016"/>
      <c r="C395" s="5009"/>
      <c r="D395" s="5009"/>
      <c r="E395" s="5009"/>
      <c r="F395" s="5098"/>
      <c r="G395" s="5098"/>
      <c r="H395" s="5098"/>
      <c r="I395" s="5098"/>
      <c r="J395" s="5098"/>
      <c r="K395" s="5115"/>
      <c r="L395" s="5098"/>
      <c r="M395" s="5111"/>
      <c r="N395" s="5112"/>
      <c r="O395" s="5111"/>
      <c r="P395" s="5112"/>
      <c r="Q395" s="5098"/>
      <c r="R395" s="5100"/>
      <c r="S395" s="1513"/>
    </row>
    <row r="396" spans="1:19" ht="8.1" customHeight="1">
      <c r="A396" s="1516">
        <v>5</v>
      </c>
      <c r="B396" s="4975">
        <f>B16</f>
        <v>1</v>
      </c>
      <c r="C396" s="5089" t="str">
        <f>C301</f>
        <v>23DPR0055K</v>
      </c>
      <c r="D396" s="5089"/>
      <c r="E396" s="5089"/>
      <c r="F396" s="4975">
        <f>'VISITA DE INSP.'!JH3</f>
        <v>65</v>
      </c>
      <c r="G396" s="4975">
        <f>'VISITA DE INSP.'!IZ3</f>
        <v>2</v>
      </c>
      <c r="H396" s="4975"/>
      <c r="I396" s="5089">
        <f>F396-H396</f>
        <v>65</v>
      </c>
      <c r="J396" s="4975">
        <f>'VISITA DE INSP.'!JN3</f>
        <v>2</v>
      </c>
      <c r="K396" s="4975">
        <f>'VISITA DE INSP.'!JT3</f>
        <v>14</v>
      </c>
      <c r="L396" s="4988">
        <f>I396+J396-K396</f>
        <v>53</v>
      </c>
      <c r="M396" s="4989">
        <f>L396</f>
        <v>53</v>
      </c>
      <c r="N396" s="4990"/>
      <c r="O396" s="4989">
        <f>G396</f>
        <v>2</v>
      </c>
      <c r="P396" s="4990"/>
      <c r="Q396" s="4988">
        <f>L396-R396</f>
        <v>53</v>
      </c>
      <c r="R396" s="5096">
        <f>'VISITA DE INSP.'!KF3</f>
        <v>0</v>
      </c>
      <c r="S396" s="1513"/>
    </row>
    <row r="397" spans="1:19" ht="8.1" customHeight="1">
      <c r="A397" s="1516">
        <v>6</v>
      </c>
      <c r="B397" s="4972"/>
      <c r="C397" s="5085"/>
      <c r="D397" s="5085"/>
      <c r="E397" s="5085"/>
      <c r="F397" s="4972"/>
      <c r="G397" s="4972"/>
      <c r="H397" s="4972"/>
      <c r="I397" s="5085"/>
      <c r="J397" s="4972"/>
      <c r="K397" s="4972"/>
      <c r="L397" s="4969"/>
      <c r="M397" s="4967"/>
      <c r="N397" s="4968"/>
      <c r="O397" s="4967"/>
      <c r="P397" s="4968"/>
      <c r="Q397" s="4969"/>
      <c r="R397" s="4972"/>
      <c r="S397" s="1513"/>
    </row>
    <row r="398" spans="1:19" ht="8.1" customHeight="1">
      <c r="A398" s="1516">
        <v>7</v>
      </c>
      <c r="B398" s="4975">
        <f t="shared" ref="B398" si="64">B18</f>
        <v>2</v>
      </c>
      <c r="C398" s="5085" t="str">
        <f>C303</f>
        <v>23DPR0491L</v>
      </c>
      <c r="D398" s="5085"/>
      <c r="E398" s="5085"/>
      <c r="F398" s="4975">
        <f>'VISITA DE INSP.'!JH4</f>
        <v>70</v>
      </c>
      <c r="G398" s="4975">
        <f>'VISITA DE INSP.'!IZ4</f>
        <v>2</v>
      </c>
      <c r="H398" s="4972"/>
      <c r="I398" s="4972">
        <f>F398-H398</f>
        <v>70</v>
      </c>
      <c r="J398" s="4975">
        <f>'VISITA DE INSP.'!JN4</f>
        <v>0</v>
      </c>
      <c r="K398" s="4975">
        <f>'VISITA DE INSP.'!JT4</f>
        <v>1</v>
      </c>
      <c r="L398" s="4969">
        <f>I398+J398-K398</f>
        <v>69</v>
      </c>
      <c r="M398" s="4965">
        <f>L398</f>
        <v>69</v>
      </c>
      <c r="N398" s="4966"/>
      <c r="O398" s="4965">
        <f>G398</f>
        <v>2</v>
      </c>
      <c r="P398" s="4966"/>
      <c r="Q398" s="4969">
        <f>L398-R398</f>
        <v>69</v>
      </c>
      <c r="R398" s="4972">
        <f>'VISITA DE INSP.'!KF4</f>
        <v>0</v>
      </c>
      <c r="S398" s="1513"/>
    </row>
    <row r="399" spans="1:19" ht="8.1" customHeight="1">
      <c r="A399" s="1516">
        <v>8</v>
      </c>
      <c r="B399" s="4972"/>
      <c r="C399" s="5085"/>
      <c r="D399" s="5085"/>
      <c r="E399" s="5085"/>
      <c r="F399" s="4972"/>
      <c r="G399" s="4972"/>
      <c r="H399" s="4972"/>
      <c r="I399" s="4972"/>
      <c r="J399" s="4972"/>
      <c r="K399" s="4972"/>
      <c r="L399" s="4969"/>
      <c r="M399" s="4967"/>
      <c r="N399" s="4968"/>
      <c r="O399" s="4967"/>
      <c r="P399" s="4968"/>
      <c r="Q399" s="4969"/>
      <c r="R399" s="4972"/>
      <c r="S399" s="1513"/>
    </row>
    <row r="400" spans="1:19" ht="8.1" customHeight="1">
      <c r="A400" s="1516">
        <v>9</v>
      </c>
      <c r="B400" s="4975">
        <f t="shared" ref="B400" si="65">B20</f>
        <v>3</v>
      </c>
      <c r="C400" s="5085" t="str">
        <f>C305</f>
        <v>23DPR0492K</v>
      </c>
      <c r="D400" s="5085"/>
      <c r="E400" s="5085"/>
      <c r="F400" s="4975">
        <f>'VISITA DE INSP.'!JH5</f>
        <v>48</v>
      </c>
      <c r="G400" s="4975">
        <f>'VISITA DE INSP.'!IZ5</f>
        <v>2</v>
      </c>
      <c r="H400" s="4972"/>
      <c r="I400" s="4972">
        <f>F400-H400</f>
        <v>48</v>
      </c>
      <c r="J400" s="4975">
        <f>'VISITA DE INSP.'!JN5</f>
        <v>3</v>
      </c>
      <c r="K400" s="4975">
        <f>'VISITA DE INSP.'!JT5</f>
        <v>5</v>
      </c>
      <c r="L400" s="4969">
        <f>I400+J400-K400</f>
        <v>46</v>
      </c>
      <c r="M400" s="4965">
        <f>L400</f>
        <v>46</v>
      </c>
      <c r="N400" s="4966"/>
      <c r="O400" s="4965">
        <f>G400</f>
        <v>2</v>
      </c>
      <c r="P400" s="4966"/>
      <c r="Q400" s="4969">
        <f>L400-R400</f>
        <v>46</v>
      </c>
      <c r="R400" s="4972">
        <f>'VISITA DE INSP.'!KF5</f>
        <v>0</v>
      </c>
      <c r="S400" s="1513"/>
    </row>
    <row r="401" spans="1:19" ht="8.1" customHeight="1">
      <c r="A401" s="1516">
        <v>10</v>
      </c>
      <c r="B401" s="4972"/>
      <c r="C401" s="5085"/>
      <c r="D401" s="5085"/>
      <c r="E401" s="5085"/>
      <c r="F401" s="4972"/>
      <c r="G401" s="4972"/>
      <c r="H401" s="4972"/>
      <c r="I401" s="4972"/>
      <c r="J401" s="4972"/>
      <c r="K401" s="4972"/>
      <c r="L401" s="4969"/>
      <c r="M401" s="4967"/>
      <c r="N401" s="4968"/>
      <c r="O401" s="4967"/>
      <c r="P401" s="4968"/>
      <c r="Q401" s="4969"/>
      <c r="R401" s="4972"/>
      <c r="S401" s="1513"/>
    </row>
    <row r="402" spans="1:19" ht="8.1" customHeight="1">
      <c r="A402" s="1516">
        <v>11</v>
      </c>
      <c r="B402" s="4975">
        <f t="shared" ref="B402" si="66">B22</f>
        <v>4</v>
      </c>
      <c r="C402" s="5085" t="str">
        <f>C307</f>
        <v>23DPR0564N</v>
      </c>
      <c r="D402" s="5085"/>
      <c r="E402" s="5085"/>
      <c r="F402" s="4975">
        <f>'VISITA DE INSP.'!JH6</f>
        <v>50</v>
      </c>
      <c r="G402" s="4975">
        <f>'VISITA DE INSP.'!IZ6</f>
        <v>2</v>
      </c>
      <c r="H402" s="4972"/>
      <c r="I402" s="4972">
        <f>F402-H402</f>
        <v>50</v>
      </c>
      <c r="J402" s="4975">
        <f>'VISITA DE INSP.'!JN6</f>
        <v>0</v>
      </c>
      <c r="K402" s="4975">
        <f>'VISITA DE INSP.'!JT6</f>
        <v>5</v>
      </c>
      <c r="L402" s="4969">
        <f>I402+J402-K402</f>
        <v>45</v>
      </c>
      <c r="M402" s="4965">
        <f>L402</f>
        <v>45</v>
      </c>
      <c r="N402" s="4966"/>
      <c r="O402" s="4965">
        <f>G402</f>
        <v>2</v>
      </c>
      <c r="P402" s="4966"/>
      <c r="Q402" s="4969">
        <f>L402-R402</f>
        <v>45</v>
      </c>
      <c r="R402" s="4972">
        <f>'VISITA DE INSP.'!KF6</f>
        <v>0</v>
      </c>
      <c r="S402" s="1513"/>
    </row>
    <row r="403" spans="1:19" ht="8.1" customHeight="1">
      <c r="A403" s="1516">
        <v>12</v>
      </c>
      <c r="B403" s="4972"/>
      <c r="C403" s="5085"/>
      <c r="D403" s="5085"/>
      <c r="E403" s="5085"/>
      <c r="F403" s="4972"/>
      <c r="G403" s="4972"/>
      <c r="H403" s="4972"/>
      <c r="I403" s="4972"/>
      <c r="J403" s="4972"/>
      <c r="K403" s="4972"/>
      <c r="L403" s="4969"/>
      <c r="M403" s="4967"/>
      <c r="N403" s="4968"/>
      <c r="O403" s="4967"/>
      <c r="P403" s="4968"/>
      <c r="Q403" s="4969"/>
      <c r="R403" s="4972"/>
      <c r="S403" s="1513"/>
    </row>
    <row r="404" spans="1:19" ht="8.1" customHeight="1">
      <c r="A404" s="1516">
        <v>13</v>
      </c>
      <c r="B404" s="4975">
        <f t="shared" ref="B404" si="67">B24</f>
        <v>5</v>
      </c>
      <c r="C404" s="5085" t="str">
        <f>C309</f>
        <v>23DPR0570Y</v>
      </c>
      <c r="D404" s="5085"/>
      <c r="E404" s="5085"/>
      <c r="F404" s="4975">
        <f>'VISITA DE INSP.'!JH7</f>
        <v>32</v>
      </c>
      <c r="G404" s="4975">
        <f>'VISITA DE INSP.'!IZ7</f>
        <v>1</v>
      </c>
      <c r="H404" s="4972"/>
      <c r="I404" s="4972">
        <f>F404-H404</f>
        <v>32</v>
      </c>
      <c r="J404" s="4975">
        <f>'VISITA DE INSP.'!JN7</f>
        <v>2</v>
      </c>
      <c r="K404" s="4975">
        <f>'VISITA DE INSP.'!JT7</f>
        <v>3</v>
      </c>
      <c r="L404" s="4969">
        <f>I404+J404-K404</f>
        <v>31</v>
      </c>
      <c r="M404" s="4965">
        <f>L404</f>
        <v>31</v>
      </c>
      <c r="N404" s="4966"/>
      <c r="O404" s="4965">
        <f>G404</f>
        <v>1</v>
      </c>
      <c r="P404" s="4966"/>
      <c r="Q404" s="4969">
        <f>L404-R404</f>
        <v>31</v>
      </c>
      <c r="R404" s="4972">
        <f>'VISITA DE INSP.'!KF7</f>
        <v>0</v>
      </c>
      <c r="S404" s="1513"/>
    </row>
    <row r="405" spans="1:19" ht="8.1" customHeight="1">
      <c r="A405" s="1516">
        <v>14</v>
      </c>
      <c r="B405" s="4972"/>
      <c r="C405" s="5085"/>
      <c r="D405" s="5085"/>
      <c r="E405" s="5085"/>
      <c r="F405" s="4972"/>
      <c r="G405" s="4972"/>
      <c r="H405" s="4972"/>
      <c r="I405" s="4972"/>
      <c r="J405" s="4972"/>
      <c r="K405" s="4972"/>
      <c r="L405" s="4969"/>
      <c r="M405" s="4967"/>
      <c r="N405" s="4968"/>
      <c r="O405" s="4967"/>
      <c r="P405" s="4968"/>
      <c r="Q405" s="4969"/>
      <c r="R405" s="4972"/>
      <c r="S405" s="1513"/>
    </row>
    <row r="406" spans="1:19" ht="8.1" customHeight="1">
      <c r="A406" s="1516">
        <v>15</v>
      </c>
      <c r="B406" s="4975">
        <f t="shared" ref="B406" si="68">B26</f>
        <v>6</v>
      </c>
      <c r="C406" s="5085" t="str">
        <f>C311</f>
        <v>23DPR0572W</v>
      </c>
      <c r="D406" s="5085"/>
      <c r="E406" s="5085"/>
      <c r="F406" s="4975">
        <f>'VISITA DE INSP.'!JH8</f>
        <v>68</v>
      </c>
      <c r="G406" s="4975">
        <f>'VISITA DE INSP.'!IZ8</f>
        <v>2</v>
      </c>
      <c r="H406" s="4972"/>
      <c r="I406" s="4972">
        <f>F406-H406</f>
        <v>68</v>
      </c>
      <c r="J406" s="4975">
        <f>'VISITA DE INSP.'!JN8</f>
        <v>4</v>
      </c>
      <c r="K406" s="4975">
        <f>'VISITA DE INSP.'!JT8</f>
        <v>3</v>
      </c>
      <c r="L406" s="4969">
        <f>I406+J406-K406</f>
        <v>69</v>
      </c>
      <c r="M406" s="4965">
        <f>L406</f>
        <v>69</v>
      </c>
      <c r="N406" s="4966"/>
      <c r="O406" s="4965">
        <f>G406</f>
        <v>2</v>
      </c>
      <c r="P406" s="4966"/>
      <c r="Q406" s="4969">
        <f>L406-R406</f>
        <v>69</v>
      </c>
      <c r="R406" s="4972">
        <f>'VISITA DE INSP.'!KF8</f>
        <v>0</v>
      </c>
      <c r="S406" s="1513"/>
    </row>
    <row r="407" spans="1:19" ht="8.1" customHeight="1">
      <c r="A407" s="1516">
        <v>16</v>
      </c>
      <c r="B407" s="4972"/>
      <c r="C407" s="5085"/>
      <c r="D407" s="5085"/>
      <c r="E407" s="5085"/>
      <c r="F407" s="4972"/>
      <c r="G407" s="4972"/>
      <c r="H407" s="4972"/>
      <c r="I407" s="4972"/>
      <c r="J407" s="4972"/>
      <c r="K407" s="4972"/>
      <c r="L407" s="4969"/>
      <c r="M407" s="4967"/>
      <c r="N407" s="4968"/>
      <c r="O407" s="4967"/>
      <c r="P407" s="4968"/>
      <c r="Q407" s="4969"/>
      <c r="R407" s="4972"/>
      <c r="S407" s="1513"/>
    </row>
    <row r="408" spans="1:19" ht="8.1" customHeight="1">
      <c r="A408" s="1516">
        <v>17</v>
      </c>
      <c r="B408" s="4975">
        <f t="shared" ref="B408" si="69">B28</f>
        <v>7</v>
      </c>
      <c r="C408" s="5085" t="str">
        <f>C313</f>
        <v>23DPR0581D</v>
      </c>
      <c r="D408" s="5085"/>
      <c r="E408" s="5085"/>
      <c r="F408" s="4975">
        <f>'VISITA DE INSP.'!JH9</f>
        <v>27</v>
      </c>
      <c r="G408" s="4975">
        <f>'VISITA DE INSP.'!IZ9</f>
        <v>1</v>
      </c>
      <c r="H408" s="4972"/>
      <c r="I408" s="4972">
        <f>F408-H408</f>
        <v>27</v>
      </c>
      <c r="J408" s="4975">
        <f>'VISITA DE INSP.'!JN9</f>
        <v>1</v>
      </c>
      <c r="K408" s="4975">
        <f>'VISITA DE INSP.'!JT9</f>
        <v>4</v>
      </c>
      <c r="L408" s="4969">
        <f>I408+J408-K408</f>
        <v>24</v>
      </c>
      <c r="M408" s="4965">
        <f>L408</f>
        <v>24</v>
      </c>
      <c r="N408" s="4966"/>
      <c r="O408" s="4965">
        <f>G408</f>
        <v>1</v>
      </c>
      <c r="P408" s="4966"/>
      <c r="Q408" s="4969">
        <f>L408-R408</f>
        <v>24</v>
      </c>
      <c r="R408" s="4972">
        <f>'VISITA DE INSP.'!KF9</f>
        <v>0</v>
      </c>
      <c r="S408" s="1513"/>
    </row>
    <row r="409" spans="1:19" ht="8.1" customHeight="1">
      <c r="A409" s="1516">
        <v>18</v>
      </c>
      <c r="B409" s="4972"/>
      <c r="C409" s="5085"/>
      <c r="D409" s="5085"/>
      <c r="E409" s="5085"/>
      <c r="F409" s="4972"/>
      <c r="G409" s="4972"/>
      <c r="H409" s="4972"/>
      <c r="I409" s="4972"/>
      <c r="J409" s="4972"/>
      <c r="K409" s="4972"/>
      <c r="L409" s="4969"/>
      <c r="M409" s="4967"/>
      <c r="N409" s="4968"/>
      <c r="O409" s="4967"/>
      <c r="P409" s="4968"/>
      <c r="Q409" s="4969"/>
      <c r="R409" s="4972"/>
      <c r="S409" s="1513"/>
    </row>
    <row r="410" spans="1:19" ht="8.1" customHeight="1">
      <c r="A410" s="1516">
        <v>19</v>
      </c>
      <c r="B410" s="4975">
        <f t="shared" ref="B410" si="70">B30</f>
        <v>8</v>
      </c>
      <c r="C410" s="5085" t="str">
        <f>C315</f>
        <v>23DPR0593I</v>
      </c>
      <c r="D410" s="5085"/>
      <c r="E410" s="5085"/>
      <c r="F410" s="4975">
        <f>'VISITA DE INSP.'!JH10</f>
        <v>20</v>
      </c>
      <c r="G410" s="4975">
        <f>'VISITA DE INSP.'!IZ10</f>
        <v>1</v>
      </c>
      <c r="H410" s="4972"/>
      <c r="I410" s="4972">
        <f>F410-H410</f>
        <v>20</v>
      </c>
      <c r="J410" s="4975">
        <f>'VISITA DE INSP.'!JN10</f>
        <v>1</v>
      </c>
      <c r="K410" s="4975">
        <f>'VISITA DE INSP.'!JT10</f>
        <v>2</v>
      </c>
      <c r="L410" s="4969">
        <f>I410+J410-K410</f>
        <v>19</v>
      </c>
      <c r="M410" s="4965">
        <f>L410</f>
        <v>19</v>
      </c>
      <c r="N410" s="4966"/>
      <c r="O410" s="4965">
        <f>G410</f>
        <v>1</v>
      </c>
      <c r="P410" s="4966"/>
      <c r="Q410" s="4969">
        <f>L410-R410</f>
        <v>19</v>
      </c>
      <c r="R410" s="4972">
        <f>'VISITA DE INSP.'!KF10</f>
        <v>0</v>
      </c>
      <c r="S410" s="1513"/>
    </row>
    <row r="411" spans="1:19" ht="8.1" customHeight="1">
      <c r="A411" s="1516">
        <v>20</v>
      </c>
      <c r="B411" s="4972"/>
      <c r="C411" s="5085"/>
      <c r="D411" s="5085"/>
      <c r="E411" s="5085"/>
      <c r="F411" s="4972"/>
      <c r="G411" s="4972"/>
      <c r="H411" s="4972"/>
      <c r="I411" s="4972"/>
      <c r="J411" s="4972"/>
      <c r="K411" s="4972"/>
      <c r="L411" s="4969"/>
      <c r="M411" s="4967"/>
      <c r="N411" s="4968"/>
      <c r="O411" s="4967"/>
      <c r="P411" s="4968"/>
      <c r="Q411" s="4969"/>
      <c r="R411" s="4972"/>
      <c r="S411" s="1513"/>
    </row>
    <row r="412" spans="1:19" ht="8.1" customHeight="1">
      <c r="A412" s="1516">
        <v>21</v>
      </c>
      <c r="B412" s="4975">
        <f t="shared" ref="B412" si="71">B32</f>
        <v>9</v>
      </c>
      <c r="C412" s="5085" t="str">
        <f>C317</f>
        <v>23DPR0640C</v>
      </c>
      <c r="D412" s="5085"/>
      <c r="E412" s="5085"/>
      <c r="F412" s="4975">
        <f>'VISITA DE INSP.'!JH11</f>
        <v>68</v>
      </c>
      <c r="G412" s="4975">
        <f>'VISITA DE INSP.'!IZ11</f>
        <v>2</v>
      </c>
      <c r="H412" s="4972"/>
      <c r="I412" s="4972">
        <f>F412-H412</f>
        <v>68</v>
      </c>
      <c r="J412" s="4975">
        <f>'VISITA DE INSP.'!JN11</f>
        <v>6</v>
      </c>
      <c r="K412" s="4975">
        <f>'VISITA DE INSP.'!JT11</f>
        <v>10</v>
      </c>
      <c r="L412" s="4969">
        <f>I412+J412-K412</f>
        <v>64</v>
      </c>
      <c r="M412" s="4965">
        <f>L412</f>
        <v>64</v>
      </c>
      <c r="N412" s="4966"/>
      <c r="O412" s="4965">
        <f>G412</f>
        <v>2</v>
      </c>
      <c r="P412" s="4966"/>
      <c r="Q412" s="4969">
        <f>L412-R412</f>
        <v>64</v>
      </c>
      <c r="R412" s="4972">
        <f>'VISITA DE INSP.'!KF11</f>
        <v>0</v>
      </c>
      <c r="S412" s="1513"/>
    </row>
    <row r="413" spans="1:19" ht="8.1" customHeight="1">
      <c r="A413" s="1516">
        <v>22</v>
      </c>
      <c r="B413" s="4972"/>
      <c r="C413" s="5085"/>
      <c r="D413" s="5085"/>
      <c r="E413" s="5085"/>
      <c r="F413" s="4972"/>
      <c r="G413" s="4972"/>
      <c r="H413" s="4972"/>
      <c r="I413" s="4972"/>
      <c r="J413" s="4972"/>
      <c r="K413" s="4972"/>
      <c r="L413" s="4969"/>
      <c r="M413" s="4967"/>
      <c r="N413" s="4968"/>
      <c r="O413" s="4967"/>
      <c r="P413" s="4968"/>
      <c r="Q413" s="4969"/>
      <c r="R413" s="4972"/>
      <c r="S413" s="1513"/>
    </row>
    <row r="414" spans="1:19" ht="8.1" customHeight="1">
      <c r="A414" s="1516">
        <v>23</v>
      </c>
      <c r="B414" s="4975">
        <f t="shared" ref="B414" si="72">B34</f>
        <v>10</v>
      </c>
      <c r="C414" s="5085" t="str">
        <f>C319</f>
        <v>23DPR0681C</v>
      </c>
      <c r="D414" s="5085"/>
      <c r="E414" s="5085"/>
      <c r="F414" s="4975">
        <f>'VISITA DE INSP.'!JH12</f>
        <v>58</v>
      </c>
      <c r="G414" s="4975">
        <f>'VISITA DE INSP.'!IZ12</f>
        <v>2</v>
      </c>
      <c r="H414" s="4972"/>
      <c r="I414" s="4972">
        <f>F414-H414</f>
        <v>58</v>
      </c>
      <c r="J414" s="4975">
        <f>'VISITA DE INSP.'!JN12</f>
        <v>6</v>
      </c>
      <c r="K414" s="4975">
        <f>'VISITA DE INSP.'!JT12</f>
        <v>7</v>
      </c>
      <c r="L414" s="4969">
        <f>I414+J414-K414</f>
        <v>57</v>
      </c>
      <c r="M414" s="4965">
        <f>L414</f>
        <v>57</v>
      </c>
      <c r="N414" s="4966"/>
      <c r="O414" s="4965">
        <f>G414</f>
        <v>2</v>
      </c>
      <c r="P414" s="4966"/>
      <c r="Q414" s="4969">
        <f>L414-R414</f>
        <v>57</v>
      </c>
      <c r="R414" s="4972">
        <f>'VISITA DE INSP.'!KF12</f>
        <v>0</v>
      </c>
      <c r="S414" s="1513"/>
    </row>
    <row r="415" spans="1:19" ht="8.1" customHeight="1">
      <c r="A415" s="1516">
        <v>24</v>
      </c>
      <c r="B415" s="4972"/>
      <c r="C415" s="5085"/>
      <c r="D415" s="5085"/>
      <c r="E415" s="5085"/>
      <c r="F415" s="4972"/>
      <c r="G415" s="4972"/>
      <c r="H415" s="4972"/>
      <c r="I415" s="4972"/>
      <c r="J415" s="4972"/>
      <c r="K415" s="4972"/>
      <c r="L415" s="4969"/>
      <c r="M415" s="4967"/>
      <c r="N415" s="4968"/>
      <c r="O415" s="4967"/>
      <c r="P415" s="4968"/>
      <c r="Q415" s="4969"/>
      <c r="R415" s="4972"/>
      <c r="S415" s="1513"/>
    </row>
    <row r="416" spans="1:19" ht="8.1" hidden="1" customHeight="1">
      <c r="A416" s="1516">
        <v>25</v>
      </c>
      <c r="B416" s="4975">
        <f t="shared" ref="B416" si="73">B36</f>
        <v>0</v>
      </c>
      <c r="C416" s="5085">
        <f>C321</f>
        <v>0</v>
      </c>
      <c r="D416" s="5085"/>
      <c r="E416" s="5085"/>
      <c r="F416" s="4975">
        <f>'VISITA DE INSP.'!JH13</f>
        <v>0</v>
      </c>
      <c r="G416" s="4975">
        <f>'VISITA DE INSP.'!IZ13</f>
        <v>0</v>
      </c>
      <c r="H416" s="4972"/>
      <c r="I416" s="4972">
        <f>F416-H416</f>
        <v>0</v>
      </c>
      <c r="J416" s="4975">
        <f>'VISITA DE INSP.'!JN13</f>
        <v>0</v>
      </c>
      <c r="K416" s="4975">
        <f>'VISITA DE INSP.'!JT13</f>
        <v>0</v>
      </c>
      <c r="L416" s="4969">
        <f>I416+J416-K416</f>
        <v>0</v>
      </c>
      <c r="M416" s="4965">
        <f>L416</f>
        <v>0</v>
      </c>
      <c r="N416" s="4966"/>
      <c r="O416" s="4965">
        <f>G416</f>
        <v>0</v>
      </c>
      <c r="P416" s="4966"/>
      <c r="Q416" s="4969">
        <f>L416-R416</f>
        <v>0</v>
      </c>
      <c r="R416" s="4972">
        <f>'VISITA DE INSP.'!KF13</f>
        <v>0</v>
      </c>
      <c r="S416" s="1513"/>
    </row>
    <row r="417" spans="1:19" ht="8.1" hidden="1" customHeight="1">
      <c r="A417" s="1516">
        <v>26</v>
      </c>
      <c r="B417" s="4972"/>
      <c r="C417" s="5085"/>
      <c r="D417" s="5085"/>
      <c r="E417" s="5085"/>
      <c r="F417" s="4972"/>
      <c r="G417" s="4972"/>
      <c r="H417" s="4972"/>
      <c r="I417" s="4972"/>
      <c r="J417" s="4972"/>
      <c r="K417" s="4972"/>
      <c r="L417" s="4969"/>
      <c r="M417" s="4967"/>
      <c r="N417" s="4968"/>
      <c r="O417" s="4967"/>
      <c r="P417" s="4968"/>
      <c r="Q417" s="4969"/>
      <c r="R417" s="4972"/>
      <c r="S417" s="1513"/>
    </row>
    <row r="418" spans="1:19" ht="8.1" customHeight="1">
      <c r="A418" s="1516">
        <v>27</v>
      </c>
      <c r="B418" s="4975">
        <f t="shared" ref="B418" si="74">B38</f>
        <v>11</v>
      </c>
      <c r="C418" s="5090" t="str">
        <f>C323</f>
        <v>23PPR0099M</v>
      </c>
      <c r="D418" s="5091"/>
      <c r="E418" s="5092"/>
      <c r="F418" s="4975">
        <f>'VISITA DE INSP.'!JH14</f>
        <v>17</v>
      </c>
      <c r="G418" s="4975">
        <f>'VISITA DE INSP.'!IZ14</f>
        <v>1</v>
      </c>
      <c r="H418" s="4972"/>
      <c r="I418" s="4972">
        <f>F418-H418</f>
        <v>17</v>
      </c>
      <c r="J418" s="4975">
        <f>'VISITA DE INSP.'!JN14</f>
        <v>3</v>
      </c>
      <c r="K418" s="4975">
        <f>'VISITA DE INSP.'!JT14</f>
        <v>1</v>
      </c>
      <c r="L418" s="4969">
        <f>I418+J418-K418</f>
        <v>19</v>
      </c>
      <c r="M418" s="4965">
        <f>L418</f>
        <v>19</v>
      </c>
      <c r="N418" s="4966"/>
      <c r="O418" s="4965">
        <f>G418</f>
        <v>1</v>
      </c>
      <c r="P418" s="4966"/>
      <c r="Q418" s="4969">
        <f>L418-R418</f>
        <v>19</v>
      </c>
      <c r="R418" s="4972">
        <f>'VISITA DE INSP.'!KF14</f>
        <v>0</v>
      </c>
      <c r="S418" s="1513"/>
    </row>
    <row r="419" spans="1:19" ht="8.1" customHeight="1">
      <c r="A419" s="1516">
        <v>28</v>
      </c>
      <c r="B419" s="4972"/>
      <c r="C419" s="5093"/>
      <c r="D419" s="5094"/>
      <c r="E419" s="5095"/>
      <c r="F419" s="4972"/>
      <c r="G419" s="4972"/>
      <c r="H419" s="4972"/>
      <c r="I419" s="4972"/>
      <c r="J419" s="4972"/>
      <c r="K419" s="4972"/>
      <c r="L419" s="4969"/>
      <c r="M419" s="4967"/>
      <c r="N419" s="4968"/>
      <c r="O419" s="4967"/>
      <c r="P419" s="4968"/>
      <c r="Q419" s="4969"/>
      <c r="R419" s="4972"/>
      <c r="S419" s="1513"/>
    </row>
    <row r="420" spans="1:19" ht="8.1" customHeight="1">
      <c r="A420" s="1516">
        <v>29</v>
      </c>
      <c r="B420" s="4975">
        <f t="shared" ref="B420" si="75">B40</f>
        <v>12</v>
      </c>
      <c r="C420" s="5090" t="str">
        <f>C325</f>
        <v>23PPR0100L</v>
      </c>
      <c r="D420" s="5091"/>
      <c r="E420" s="5092"/>
      <c r="F420" s="4975">
        <f>'VISITA DE INSP.'!JH15</f>
        <v>19</v>
      </c>
      <c r="G420" s="4975">
        <f>'VISITA DE INSP.'!IZ15</f>
        <v>1</v>
      </c>
      <c r="H420" s="4972"/>
      <c r="I420" s="4972">
        <f>F420-H420</f>
        <v>19</v>
      </c>
      <c r="J420" s="4975">
        <f>'VISITA DE INSP.'!JN15</f>
        <v>6</v>
      </c>
      <c r="K420" s="4975">
        <f>'VISITA DE INSP.'!JT15</f>
        <v>1</v>
      </c>
      <c r="L420" s="4969">
        <f>I420+J420-K420</f>
        <v>24</v>
      </c>
      <c r="M420" s="4965">
        <f>L420</f>
        <v>24</v>
      </c>
      <c r="N420" s="4966"/>
      <c r="O420" s="4965">
        <f>G420</f>
        <v>1</v>
      </c>
      <c r="P420" s="4966"/>
      <c r="Q420" s="4969">
        <f>L420-R420</f>
        <v>24</v>
      </c>
      <c r="R420" s="4972">
        <f>'VISITA DE INSP.'!KF15</f>
        <v>0</v>
      </c>
      <c r="S420" s="1513"/>
    </row>
    <row r="421" spans="1:19" ht="8.1" customHeight="1">
      <c r="A421" s="1516">
        <v>30</v>
      </c>
      <c r="B421" s="4972"/>
      <c r="C421" s="5093"/>
      <c r="D421" s="5094"/>
      <c r="E421" s="5095"/>
      <c r="F421" s="4972"/>
      <c r="G421" s="4972"/>
      <c r="H421" s="4972"/>
      <c r="I421" s="4972"/>
      <c r="J421" s="4972"/>
      <c r="K421" s="4972"/>
      <c r="L421" s="4969"/>
      <c r="M421" s="4967"/>
      <c r="N421" s="4968"/>
      <c r="O421" s="4967"/>
      <c r="P421" s="4968"/>
      <c r="Q421" s="4969"/>
      <c r="R421" s="4972"/>
      <c r="S421" s="1513"/>
    </row>
    <row r="422" spans="1:19" ht="8.1" customHeight="1">
      <c r="A422" s="1516">
        <v>31</v>
      </c>
      <c r="B422" s="4975">
        <f t="shared" ref="B422" si="76">B42</f>
        <v>13</v>
      </c>
      <c r="C422" s="5088" t="str">
        <f>C327</f>
        <v>23PPR0125U</v>
      </c>
      <c r="D422" s="5088"/>
      <c r="E422" s="5088"/>
      <c r="F422" s="4975">
        <f>'VISITA DE INSP.'!JH16</f>
        <v>12</v>
      </c>
      <c r="G422" s="4975">
        <f>'VISITA DE INSP.'!IZ16</f>
        <v>1</v>
      </c>
      <c r="H422" s="4972"/>
      <c r="I422" s="4972">
        <f>F422-H422</f>
        <v>12</v>
      </c>
      <c r="J422" s="4975">
        <f>'VISITA DE INSP.'!JN16</f>
        <v>1</v>
      </c>
      <c r="K422" s="4975">
        <f>'VISITA DE INSP.'!JT16</f>
        <v>2</v>
      </c>
      <c r="L422" s="4969">
        <f>I422+J422-K422</f>
        <v>11</v>
      </c>
      <c r="M422" s="4965">
        <f>L422</f>
        <v>11</v>
      </c>
      <c r="N422" s="4966"/>
      <c r="O422" s="4965">
        <f>G422</f>
        <v>1</v>
      </c>
      <c r="P422" s="4966"/>
      <c r="Q422" s="4969">
        <f>L422-R422</f>
        <v>11</v>
      </c>
      <c r="R422" s="4972">
        <f>'VISITA DE INSP.'!KF16</f>
        <v>0</v>
      </c>
      <c r="S422" s="1513"/>
    </row>
    <row r="423" spans="1:19" ht="8.1" customHeight="1">
      <c r="A423" s="1516">
        <v>32</v>
      </c>
      <c r="B423" s="4972"/>
      <c r="C423" s="5089"/>
      <c r="D423" s="5089"/>
      <c r="E423" s="5089"/>
      <c r="F423" s="4972"/>
      <c r="G423" s="4972"/>
      <c r="H423" s="4972"/>
      <c r="I423" s="4972"/>
      <c r="J423" s="4972"/>
      <c r="K423" s="4972"/>
      <c r="L423" s="4969"/>
      <c r="M423" s="4967"/>
      <c r="N423" s="4968"/>
      <c r="O423" s="4967"/>
      <c r="P423" s="4968"/>
      <c r="Q423" s="4969"/>
      <c r="R423" s="4972"/>
      <c r="S423" s="1513"/>
    </row>
    <row r="424" spans="1:19" ht="8.1" customHeight="1">
      <c r="A424" s="1516">
        <v>33</v>
      </c>
      <c r="B424" s="4975">
        <f t="shared" ref="B424" si="77">B44</f>
        <v>14</v>
      </c>
      <c r="C424" s="5086" t="str">
        <f>C329</f>
        <v>23PPR0156N</v>
      </c>
      <c r="D424" s="5086"/>
      <c r="E424" s="5086"/>
      <c r="F424" s="4975">
        <f>'VISITA DE INSP.'!JH17</f>
        <v>0</v>
      </c>
      <c r="G424" s="4975">
        <f>'VISITA DE INSP.'!IZ17</f>
        <v>0</v>
      </c>
      <c r="H424" s="4978"/>
      <c r="I424" s="4972">
        <f>F424-H424</f>
        <v>0</v>
      </c>
      <c r="J424" s="4975">
        <f>'VISITA DE INSP.'!JN17</f>
        <v>0</v>
      </c>
      <c r="K424" s="4975">
        <f>'VISITA DE INSP.'!JT17</f>
        <v>0</v>
      </c>
      <c r="L424" s="4969">
        <f>I424+J424-K424</f>
        <v>0</v>
      </c>
      <c r="M424" s="4965">
        <f>L424</f>
        <v>0</v>
      </c>
      <c r="N424" s="4966"/>
      <c r="O424" s="4965">
        <f>G424</f>
        <v>0</v>
      </c>
      <c r="P424" s="4966"/>
      <c r="Q424" s="4969">
        <f>L424-R424</f>
        <v>0</v>
      </c>
      <c r="R424" s="4972">
        <f>'VISITA DE INSP.'!KF17</f>
        <v>0</v>
      </c>
      <c r="S424" s="1513"/>
    </row>
    <row r="425" spans="1:19" ht="8.1" customHeight="1">
      <c r="A425" s="1516">
        <v>34</v>
      </c>
      <c r="B425" s="4972"/>
      <c r="C425" s="5087"/>
      <c r="D425" s="5087"/>
      <c r="E425" s="5087"/>
      <c r="F425" s="4972"/>
      <c r="G425" s="4972"/>
      <c r="H425" s="4979"/>
      <c r="I425" s="4972"/>
      <c r="J425" s="4972"/>
      <c r="K425" s="4972"/>
      <c r="L425" s="4969"/>
      <c r="M425" s="4967"/>
      <c r="N425" s="4968"/>
      <c r="O425" s="4967"/>
      <c r="P425" s="4968"/>
      <c r="Q425" s="4969"/>
      <c r="R425" s="4972"/>
      <c r="S425" s="1513"/>
    </row>
    <row r="426" spans="1:19" ht="8.1" customHeight="1">
      <c r="A426" s="1516">
        <v>35</v>
      </c>
      <c r="B426" s="4975">
        <f t="shared" ref="B426" si="78">B46</f>
        <v>15</v>
      </c>
      <c r="C426" s="5086" t="str">
        <f>C331</f>
        <v>23PPR0163X</v>
      </c>
      <c r="D426" s="5086"/>
      <c r="E426" s="5086"/>
      <c r="F426" s="4975">
        <f>'VISITA DE INSP.'!JH18</f>
        <v>33</v>
      </c>
      <c r="G426" s="4975">
        <f>'VISITA DE INSP.'!IZ18</f>
        <v>2</v>
      </c>
      <c r="H426" s="4978"/>
      <c r="I426" s="4972">
        <f>F426-H426</f>
        <v>33</v>
      </c>
      <c r="J426" s="4975">
        <f>'VISITA DE INSP.'!JN18</f>
        <v>0</v>
      </c>
      <c r="K426" s="4975">
        <f>'VISITA DE INSP.'!JT18</f>
        <v>1</v>
      </c>
      <c r="L426" s="4969">
        <f>I426+J426-K426</f>
        <v>32</v>
      </c>
      <c r="M426" s="4965">
        <f>L426</f>
        <v>32</v>
      </c>
      <c r="N426" s="4966"/>
      <c r="O426" s="4965">
        <f>G426</f>
        <v>2</v>
      </c>
      <c r="P426" s="4966"/>
      <c r="Q426" s="4969">
        <f>L426-R426</f>
        <v>32</v>
      </c>
      <c r="R426" s="4972">
        <f>'VISITA DE INSP.'!KF18</f>
        <v>0</v>
      </c>
      <c r="S426" s="1513"/>
    </row>
    <row r="427" spans="1:19" ht="8.1" customHeight="1">
      <c r="A427" s="1516">
        <v>36</v>
      </c>
      <c r="B427" s="4972"/>
      <c r="C427" s="5087"/>
      <c r="D427" s="5087"/>
      <c r="E427" s="5087"/>
      <c r="F427" s="4972"/>
      <c r="G427" s="4972"/>
      <c r="H427" s="4979"/>
      <c r="I427" s="4972"/>
      <c r="J427" s="4972"/>
      <c r="K427" s="4972"/>
      <c r="L427" s="4969"/>
      <c r="M427" s="4967"/>
      <c r="N427" s="4968"/>
      <c r="O427" s="4967"/>
      <c r="P427" s="4968"/>
      <c r="Q427" s="4969"/>
      <c r="R427" s="4972"/>
      <c r="S427" s="1513"/>
    </row>
    <row r="428" spans="1:19" ht="8.1" customHeight="1">
      <c r="A428" s="1516">
        <v>37</v>
      </c>
      <c r="B428" s="4975">
        <f t="shared" ref="B428" si="79">B48</f>
        <v>0</v>
      </c>
      <c r="C428" s="5085">
        <f>C333</f>
        <v>0</v>
      </c>
      <c r="D428" s="5085"/>
      <c r="E428" s="5085"/>
      <c r="F428" s="4975">
        <f>'VISITA DE INSP.'!JH19</f>
        <v>0</v>
      </c>
      <c r="G428" s="4975">
        <f>'VISITA DE INSP.'!IZ19</f>
        <v>0</v>
      </c>
      <c r="H428" s="4972"/>
      <c r="I428" s="4972">
        <f>F428-H428</f>
        <v>0</v>
      </c>
      <c r="J428" s="4975">
        <f>'VISITA DE INSP.'!JN19</f>
        <v>0</v>
      </c>
      <c r="K428" s="4975">
        <f>'VISITA DE INSP.'!JT19</f>
        <v>0</v>
      </c>
      <c r="L428" s="4969">
        <f>I428+J428-K428</f>
        <v>0</v>
      </c>
      <c r="M428" s="4965">
        <f>L428</f>
        <v>0</v>
      </c>
      <c r="N428" s="4966"/>
      <c r="O428" s="4965">
        <f>G428</f>
        <v>0</v>
      </c>
      <c r="P428" s="4966"/>
      <c r="Q428" s="4969">
        <f>L428-R428</f>
        <v>0</v>
      </c>
      <c r="R428" s="4972">
        <f>'VISITA DE INSP.'!KF19</f>
        <v>0</v>
      </c>
      <c r="S428" s="1513"/>
    </row>
    <row r="429" spans="1:19" ht="8.1" customHeight="1">
      <c r="A429" s="1516">
        <v>38</v>
      </c>
      <c r="B429" s="4972"/>
      <c r="C429" s="5085"/>
      <c r="D429" s="5085"/>
      <c r="E429" s="5085"/>
      <c r="F429" s="4972"/>
      <c r="G429" s="4972"/>
      <c r="H429" s="4972"/>
      <c r="I429" s="4972"/>
      <c r="J429" s="4972"/>
      <c r="K429" s="4972"/>
      <c r="L429" s="4969"/>
      <c r="M429" s="4967"/>
      <c r="N429" s="4968"/>
      <c r="O429" s="4967"/>
      <c r="P429" s="4968"/>
      <c r="Q429" s="4969"/>
      <c r="R429" s="4972"/>
      <c r="S429" s="1513"/>
    </row>
    <row r="430" spans="1:19" ht="8.1" customHeight="1">
      <c r="A430" s="1516">
        <v>39</v>
      </c>
      <c r="B430" s="4975">
        <f t="shared" ref="B430" si="80">B50</f>
        <v>0</v>
      </c>
      <c r="C430" s="5085">
        <f>C335</f>
        <v>0</v>
      </c>
      <c r="D430" s="5085"/>
      <c r="E430" s="5085"/>
      <c r="F430" s="4975">
        <f>'VISITA DE INSP.'!JH20</f>
        <v>0</v>
      </c>
      <c r="G430" s="4975">
        <f>'VISITA DE INSP.'!IZ20</f>
        <v>0</v>
      </c>
      <c r="H430" s="4972"/>
      <c r="I430" s="4972">
        <f>F430-H430</f>
        <v>0</v>
      </c>
      <c r="J430" s="4975">
        <f>'VISITA DE INSP.'!JN20</f>
        <v>0</v>
      </c>
      <c r="K430" s="4975">
        <f>'VISITA DE INSP.'!JT20</f>
        <v>0</v>
      </c>
      <c r="L430" s="4969">
        <f>I430+J430-K430</f>
        <v>0</v>
      </c>
      <c r="M430" s="4965">
        <f>L430</f>
        <v>0</v>
      </c>
      <c r="N430" s="4966"/>
      <c r="O430" s="4965">
        <f>G430</f>
        <v>0</v>
      </c>
      <c r="P430" s="4966"/>
      <c r="Q430" s="4969">
        <f>L430-R430</f>
        <v>0</v>
      </c>
      <c r="R430" s="4972">
        <f>'VISITA DE INSP.'!KF20</f>
        <v>0</v>
      </c>
      <c r="S430" s="1513"/>
    </row>
    <row r="431" spans="1:19" ht="8.1" customHeight="1">
      <c r="A431" s="1516">
        <v>40</v>
      </c>
      <c r="B431" s="4972"/>
      <c r="C431" s="5085"/>
      <c r="D431" s="5085"/>
      <c r="E431" s="5085"/>
      <c r="F431" s="4972"/>
      <c r="G431" s="4972"/>
      <c r="H431" s="4972"/>
      <c r="I431" s="4972"/>
      <c r="J431" s="4972"/>
      <c r="K431" s="4972"/>
      <c r="L431" s="4969"/>
      <c r="M431" s="4967"/>
      <c r="N431" s="4968"/>
      <c r="O431" s="4967"/>
      <c r="P431" s="4968"/>
      <c r="Q431" s="4969"/>
      <c r="R431" s="4972"/>
      <c r="S431" s="1513"/>
    </row>
    <row r="432" spans="1:19" ht="8.1" customHeight="1">
      <c r="A432" s="1516">
        <v>41</v>
      </c>
      <c r="B432" s="4975">
        <f t="shared" ref="B432" si="81">B52</f>
        <v>0</v>
      </c>
      <c r="C432" s="5085">
        <f>C337</f>
        <v>0</v>
      </c>
      <c r="D432" s="5085"/>
      <c r="E432" s="5085"/>
      <c r="F432" s="4975">
        <f>'VISITA DE INSP.'!JH21</f>
        <v>0</v>
      </c>
      <c r="G432" s="4975">
        <f>'VISITA DE INSP.'!IZ21</f>
        <v>0</v>
      </c>
      <c r="H432" s="4972"/>
      <c r="I432" s="4972">
        <f>F432-H432</f>
        <v>0</v>
      </c>
      <c r="J432" s="4975">
        <f>'VISITA DE INSP.'!JN21</f>
        <v>0</v>
      </c>
      <c r="K432" s="4975">
        <f>'VISITA DE INSP.'!JT21</f>
        <v>0</v>
      </c>
      <c r="L432" s="4969">
        <f>I432+J432-K432</f>
        <v>0</v>
      </c>
      <c r="M432" s="4965">
        <f>L432</f>
        <v>0</v>
      </c>
      <c r="N432" s="4966"/>
      <c r="O432" s="4965">
        <f>G432</f>
        <v>0</v>
      </c>
      <c r="P432" s="4966"/>
      <c r="Q432" s="4969">
        <f>L432-R432</f>
        <v>0</v>
      </c>
      <c r="R432" s="4972">
        <f>'VISITA DE INSP.'!KF21</f>
        <v>0</v>
      </c>
      <c r="S432" s="1513"/>
    </row>
    <row r="433" spans="1:19" ht="8.1" customHeight="1">
      <c r="A433" s="1516">
        <v>42</v>
      </c>
      <c r="B433" s="4972"/>
      <c r="C433" s="5085"/>
      <c r="D433" s="5085"/>
      <c r="E433" s="5085"/>
      <c r="F433" s="4972"/>
      <c r="G433" s="4972"/>
      <c r="H433" s="4972"/>
      <c r="I433" s="4972"/>
      <c r="J433" s="4972"/>
      <c r="K433" s="4972"/>
      <c r="L433" s="4969"/>
      <c r="M433" s="4967"/>
      <c r="N433" s="4968"/>
      <c r="O433" s="4967"/>
      <c r="P433" s="4968"/>
      <c r="Q433" s="4969"/>
      <c r="R433" s="4972"/>
      <c r="S433" s="1513"/>
    </row>
    <row r="434" spans="1:19" ht="8.1" customHeight="1">
      <c r="A434" s="1516">
        <v>43</v>
      </c>
      <c r="B434" s="4975">
        <f t="shared" ref="B434" si="82">B54</f>
        <v>0</v>
      </c>
      <c r="C434" s="5085">
        <f>C339</f>
        <v>0</v>
      </c>
      <c r="D434" s="5085"/>
      <c r="E434" s="5085"/>
      <c r="F434" s="4972"/>
      <c r="G434" s="4972"/>
      <c r="H434" s="4972"/>
      <c r="I434" s="4972">
        <f>F434-H434</f>
        <v>0</v>
      </c>
      <c r="J434" s="4972"/>
      <c r="K434" s="4972"/>
      <c r="L434" s="4969">
        <f>I434+J434-K434</f>
        <v>0</v>
      </c>
      <c r="M434" s="4965">
        <f>L434</f>
        <v>0</v>
      </c>
      <c r="N434" s="4966"/>
      <c r="O434" s="4965">
        <f>G434</f>
        <v>0</v>
      </c>
      <c r="P434" s="4966"/>
      <c r="Q434" s="4969">
        <f>L434-R434</f>
        <v>0</v>
      </c>
      <c r="R434" s="4972"/>
      <c r="S434" s="1513"/>
    </row>
    <row r="435" spans="1:19" ht="8.1" customHeight="1">
      <c r="A435" s="1516">
        <v>44</v>
      </c>
      <c r="B435" s="4972"/>
      <c r="C435" s="5085"/>
      <c r="D435" s="5085"/>
      <c r="E435" s="5085"/>
      <c r="F435" s="4972"/>
      <c r="G435" s="4972"/>
      <c r="H435" s="4972"/>
      <c r="I435" s="4972"/>
      <c r="J435" s="4972"/>
      <c r="K435" s="4972"/>
      <c r="L435" s="4969"/>
      <c r="M435" s="4967"/>
      <c r="N435" s="4968"/>
      <c r="O435" s="4967"/>
      <c r="P435" s="4968"/>
      <c r="Q435" s="4969"/>
      <c r="R435" s="4972"/>
      <c r="S435" s="1513"/>
    </row>
    <row r="436" spans="1:19" ht="8.1" customHeight="1">
      <c r="A436" s="1516">
        <v>45</v>
      </c>
      <c r="B436" s="4975">
        <f t="shared" ref="B436" si="83">B56</f>
        <v>0</v>
      </c>
      <c r="C436" s="4972" t="s">
        <v>408</v>
      </c>
      <c r="D436" s="4972"/>
      <c r="E436" s="4972"/>
      <c r="F436" s="4972">
        <f>SUM(F396:F435)</f>
        <v>587</v>
      </c>
      <c r="G436" s="4972">
        <f t="shared" ref="G436:L436" si="84">SUM(G396:G435)</f>
        <v>22</v>
      </c>
      <c r="H436" s="4972">
        <f t="shared" si="84"/>
        <v>0</v>
      </c>
      <c r="I436" s="4972">
        <f t="shared" si="84"/>
        <v>587</v>
      </c>
      <c r="J436" s="4972">
        <f t="shared" si="84"/>
        <v>35</v>
      </c>
      <c r="K436" s="4972">
        <f t="shared" si="84"/>
        <v>59</v>
      </c>
      <c r="L436" s="4969">
        <f t="shared" si="84"/>
        <v>563</v>
      </c>
      <c r="M436" s="4965">
        <f>SUM(M396:N435)</f>
        <v>563</v>
      </c>
      <c r="N436" s="4966"/>
      <c r="O436" s="4965">
        <f>SUM(O396:P435)</f>
        <v>22</v>
      </c>
      <c r="P436" s="4966"/>
      <c r="Q436" s="4969">
        <f>SUM(Q396:Q435)</f>
        <v>563</v>
      </c>
      <c r="R436" s="4972">
        <f>SUM(R396:R435)</f>
        <v>0</v>
      </c>
      <c r="S436" s="1513"/>
    </row>
    <row r="437" spans="1:19" ht="8.1" customHeight="1">
      <c r="A437" s="1516">
        <v>46</v>
      </c>
      <c r="B437" s="4972"/>
      <c r="C437" s="4972"/>
      <c r="D437" s="4972"/>
      <c r="E437" s="4972"/>
      <c r="F437" s="4972"/>
      <c r="G437" s="4972"/>
      <c r="H437" s="4972"/>
      <c r="I437" s="4972"/>
      <c r="J437" s="4972"/>
      <c r="K437" s="4972"/>
      <c r="L437" s="4969"/>
      <c r="M437" s="4967"/>
      <c r="N437" s="4968"/>
      <c r="O437" s="4967"/>
      <c r="P437" s="4968"/>
      <c r="Q437" s="4969"/>
      <c r="R437" s="4972"/>
      <c r="S437" s="1513"/>
    </row>
    <row r="438" spans="1:19" ht="8.1" customHeight="1">
      <c r="A438" s="1516">
        <v>47</v>
      </c>
      <c r="B438" s="1552"/>
      <c r="C438" s="1553"/>
      <c r="D438" s="1553"/>
      <c r="E438" s="1553"/>
      <c r="F438" s="4970">
        <f>F436</f>
        <v>587</v>
      </c>
      <c r="G438" s="4973"/>
      <c r="H438" s="4973"/>
      <c r="I438" s="4973"/>
      <c r="J438" s="4970">
        <f>F438+J436</f>
        <v>622</v>
      </c>
      <c r="K438" s="4970">
        <f>J438-K436</f>
        <v>563</v>
      </c>
      <c r="L438" s="4970">
        <f>J438-K436</f>
        <v>563</v>
      </c>
      <c r="M438" s="5079"/>
      <c r="N438" s="5080"/>
      <c r="O438" s="5079"/>
      <c r="P438" s="5080"/>
      <c r="Q438" s="4973"/>
      <c r="R438" s="5083"/>
      <c r="S438" s="1513"/>
    </row>
    <row r="439" spans="1:19" ht="8.1" customHeight="1">
      <c r="A439" s="1516">
        <v>48</v>
      </c>
      <c r="B439" s="1554"/>
      <c r="C439" s="1555"/>
      <c r="D439" s="1555"/>
      <c r="E439" s="1555"/>
      <c r="F439" s="4971"/>
      <c r="G439" s="4974"/>
      <c r="H439" s="4974"/>
      <c r="I439" s="4974"/>
      <c r="J439" s="4971"/>
      <c r="K439" s="4971"/>
      <c r="L439" s="4971"/>
      <c r="M439" s="5081"/>
      <c r="N439" s="5082"/>
      <c r="O439" s="5081"/>
      <c r="P439" s="5082"/>
      <c r="Q439" s="4974"/>
      <c r="R439" s="5084"/>
      <c r="S439" s="1513"/>
    </row>
    <row r="440" spans="1:19" ht="8.1" customHeight="1">
      <c r="A440" s="1516">
        <v>49</v>
      </c>
      <c r="B440" s="5037"/>
      <c r="C440" s="1556"/>
      <c r="D440" s="1564"/>
      <c r="E440" s="5061" t="s">
        <v>1475</v>
      </c>
      <c r="F440" s="5061"/>
      <c r="G440" s="5062"/>
      <c r="H440" s="5043"/>
      <c r="I440" s="5043"/>
      <c r="J440" s="5043"/>
      <c r="K440" s="5043"/>
      <c r="L440" s="5043"/>
      <c r="M440" s="5066" t="s">
        <v>1476</v>
      </c>
      <c r="N440" s="5066"/>
      <c r="O440" s="5066"/>
      <c r="P440" s="5043"/>
      <c r="Q440" s="5033"/>
      <c r="R440" s="5035"/>
      <c r="S440" s="1513"/>
    </row>
    <row r="441" spans="1:19" ht="8.1" customHeight="1">
      <c r="A441" s="1516">
        <v>50</v>
      </c>
      <c r="B441" s="5037"/>
      <c r="C441" s="1557"/>
      <c r="D441" s="1564"/>
      <c r="E441" s="5077"/>
      <c r="F441" s="5077"/>
      <c r="G441" s="5078"/>
      <c r="H441" s="5043"/>
      <c r="I441" s="5043"/>
      <c r="J441" s="5043"/>
      <c r="K441" s="5043"/>
      <c r="L441" s="5043"/>
      <c r="M441" s="5066"/>
      <c r="N441" s="5066"/>
      <c r="O441" s="5066"/>
      <c r="P441" s="5043"/>
      <c r="Q441" s="5033"/>
      <c r="R441" s="5035"/>
      <c r="S441" s="1513"/>
    </row>
    <row r="442" spans="1:19" ht="8.1" customHeight="1">
      <c r="A442" s="1516">
        <v>51</v>
      </c>
      <c r="B442" s="5037"/>
      <c r="C442" s="1556"/>
      <c r="D442" s="1564"/>
      <c r="E442" s="5073" t="s">
        <v>1477</v>
      </c>
      <c r="F442" s="5073"/>
      <c r="G442" s="5074"/>
      <c r="H442" s="5043"/>
      <c r="I442" s="5043"/>
      <c r="J442" s="5043"/>
      <c r="K442" s="5043"/>
      <c r="L442" s="5043"/>
      <c r="M442" s="5043" t="s">
        <v>1478</v>
      </c>
      <c r="N442" s="5043"/>
      <c r="O442" s="5043"/>
      <c r="P442" s="5043"/>
      <c r="Q442" s="5033"/>
      <c r="R442" s="5035"/>
      <c r="S442" s="1513"/>
    </row>
    <row r="443" spans="1:19" ht="8.1" customHeight="1">
      <c r="A443" s="1516">
        <v>52</v>
      </c>
      <c r="B443" s="5037"/>
      <c r="C443" s="1557"/>
      <c r="D443" s="1564"/>
      <c r="E443" s="5075"/>
      <c r="F443" s="5075"/>
      <c r="G443" s="5076"/>
      <c r="H443" s="5043"/>
      <c r="I443" s="5043"/>
      <c r="J443" s="5043"/>
      <c r="K443" s="5043"/>
      <c r="L443" s="5043"/>
      <c r="M443" s="5043"/>
      <c r="N443" s="5043"/>
      <c r="O443" s="5043"/>
      <c r="P443" s="5043"/>
      <c r="Q443" s="5033"/>
      <c r="R443" s="5035"/>
      <c r="S443" s="1513"/>
    </row>
    <row r="444" spans="1:19" ht="8.1" customHeight="1">
      <c r="A444" s="1516">
        <v>53</v>
      </c>
      <c r="B444" s="5037"/>
      <c r="C444" s="1556"/>
      <c r="D444" s="1564"/>
      <c r="E444" s="5069" t="s">
        <v>1485</v>
      </c>
      <c r="F444" s="5069"/>
      <c r="G444" s="5070"/>
      <c r="H444" s="5043"/>
      <c r="I444" s="5043"/>
      <c r="J444" s="5043"/>
      <c r="K444" s="5043"/>
      <c r="L444" s="5043"/>
      <c r="M444" s="5069" t="s">
        <v>1485</v>
      </c>
      <c r="N444" s="5069"/>
      <c r="O444" s="5070"/>
      <c r="P444" s="5043"/>
      <c r="Q444" s="5033"/>
      <c r="R444" s="5035"/>
      <c r="S444" s="1513"/>
    </row>
    <row r="445" spans="1:19" ht="8.1" customHeight="1">
      <c r="A445" s="1516">
        <v>54</v>
      </c>
      <c r="B445" s="5037"/>
      <c r="C445" s="1557"/>
      <c r="D445" s="1564"/>
      <c r="E445" s="5071"/>
      <c r="F445" s="5071"/>
      <c r="G445" s="5072"/>
      <c r="H445" s="5043"/>
      <c r="I445" s="5043"/>
      <c r="J445" s="5043"/>
      <c r="K445" s="5043"/>
      <c r="L445" s="5043"/>
      <c r="M445" s="5071"/>
      <c r="N445" s="5071"/>
      <c r="O445" s="5072"/>
      <c r="P445" s="5043"/>
      <c r="Q445" s="5033"/>
      <c r="R445" s="5035"/>
      <c r="S445" s="1513"/>
    </row>
    <row r="446" spans="1:19" ht="8.1" customHeight="1">
      <c r="A446" s="1516">
        <v>55</v>
      </c>
      <c r="B446" s="5037"/>
      <c r="C446" s="5033"/>
      <c r="D446" s="5043"/>
      <c r="E446" s="5068"/>
      <c r="F446" s="5043"/>
      <c r="G446" s="5043"/>
      <c r="H446" s="5043"/>
      <c r="I446" s="5043"/>
      <c r="J446" s="5043"/>
      <c r="K446" s="5043"/>
      <c r="L446" s="5043"/>
      <c r="M446" s="5043"/>
      <c r="N446" s="5043"/>
      <c r="O446" s="5043"/>
      <c r="P446" s="5043"/>
      <c r="Q446" s="5033"/>
      <c r="R446" s="5035"/>
      <c r="S446" s="1513"/>
    </row>
    <row r="447" spans="1:19" ht="8.1" customHeight="1">
      <c r="A447" s="1516">
        <v>56</v>
      </c>
      <c r="B447" s="5037"/>
      <c r="C447" s="5033"/>
      <c r="D447" s="5043"/>
      <c r="E447" s="5068"/>
      <c r="F447" s="5043"/>
      <c r="G447" s="5043"/>
      <c r="H447" s="5043"/>
      <c r="I447" s="5043"/>
      <c r="J447" s="5043"/>
      <c r="K447" s="5043"/>
      <c r="L447" s="5043"/>
      <c r="M447" s="5043"/>
      <c r="N447" s="5043"/>
      <c r="O447" s="5043"/>
      <c r="P447" s="5043"/>
      <c r="Q447" s="5033"/>
      <c r="R447" s="5035"/>
      <c r="S447" s="1513"/>
    </row>
    <row r="448" spans="1:19" ht="8.1" customHeight="1">
      <c r="A448" s="1516">
        <v>57</v>
      </c>
      <c r="B448" s="5037"/>
      <c r="C448" s="5033"/>
      <c r="D448" s="5060" t="str">
        <f>L353</f>
        <v>JESUS MARTIN RICALDE CASTRO</v>
      </c>
      <c r="E448" s="5061"/>
      <c r="F448" s="5061"/>
      <c r="G448" s="5061"/>
      <c r="H448" s="5062"/>
      <c r="I448" s="5043"/>
      <c r="J448" s="5043"/>
      <c r="K448" s="5043"/>
      <c r="L448" s="5066" t="str">
        <f>D448</f>
        <v>JESUS MARTIN RICALDE CASTRO</v>
      </c>
      <c r="M448" s="5066"/>
      <c r="N448" s="5066"/>
      <c r="O448" s="5066"/>
      <c r="P448" s="5066"/>
      <c r="Q448" s="5033"/>
      <c r="R448" s="5035"/>
      <c r="S448" s="1513"/>
    </row>
    <row r="449" spans="1:19" ht="8.1" customHeight="1">
      <c r="A449" s="1516">
        <v>58</v>
      </c>
      <c r="B449" s="5037"/>
      <c r="C449" s="5033"/>
      <c r="D449" s="5063"/>
      <c r="E449" s="5064"/>
      <c r="F449" s="5064"/>
      <c r="G449" s="5064"/>
      <c r="H449" s="5065"/>
      <c r="I449" s="5043"/>
      <c r="J449" s="5043"/>
      <c r="K449" s="5043"/>
      <c r="L449" s="5067"/>
      <c r="M449" s="5067"/>
      <c r="N449" s="5067"/>
      <c r="O449" s="5067"/>
      <c r="P449" s="5067"/>
      <c r="Q449" s="5033"/>
      <c r="R449" s="5035"/>
      <c r="S449" s="1513"/>
    </row>
    <row r="450" spans="1:19" ht="8.1" customHeight="1">
      <c r="A450" s="1516">
        <v>59</v>
      </c>
      <c r="B450" s="5037"/>
      <c r="C450" s="5033"/>
      <c r="D450" s="5045" t="s">
        <v>1480</v>
      </c>
      <c r="E450" s="5045"/>
      <c r="F450" s="5045"/>
      <c r="G450" s="5045"/>
      <c r="H450" s="5045"/>
      <c r="I450" s="5043"/>
      <c r="J450" s="5043"/>
      <c r="K450" s="5043"/>
      <c r="L450" s="5045" t="s">
        <v>1480</v>
      </c>
      <c r="M450" s="5045"/>
      <c r="N450" s="5045"/>
      <c r="O450" s="5045"/>
      <c r="P450" s="5045"/>
      <c r="Q450" s="5033"/>
      <c r="R450" s="5035"/>
      <c r="S450" s="1513"/>
    </row>
    <row r="451" spans="1:19" ht="8.1" customHeight="1">
      <c r="A451" s="1516">
        <v>60</v>
      </c>
      <c r="B451" s="5037"/>
      <c r="C451" s="5033"/>
      <c r="D451" s="5046"/>
      <c r="E451" s="5046"/>
      <c r="F451" s="5046"/>
      <c r="G451" s="5046"/>
      <c r="H451" s="5046"/>
      <c r="I451" s="5043"/>
      <c r="J451" s="5043"/>
      <c r="K451" s="5043"/>
      <c r="L451" s="5046"/>
      <c r="M451" s="5046"/>
      <c r="N451" s="5046"/>
      <c r="O451" s="5046"/>
      <c r="P451" s="5046"/>
      <c r="Q451" s="5033"/>
      <c r="R451" s="5035"/>
      <c r="S451" s="1513"/>
    </row>
    <row r="452" spans="1:19" ht="8.1" customHeight="1">
      <c r="A452" s="1516">
        <v>61</v>
      </c>
      <c r="B452" s="5037"/>
      <c r="C452" s="5033"/>
      <c r="D452" s="5043"/>
      <c r="E452" s="5043"/>
      <c r="F452" s="5043"/>
      <c r="G452" s="5043"/>
      <c r="H452" s="5043"/>
      <c r="I452" s="5043"/>
      <c r="J452" s="5043"/>
      <c r="K452" s="5043"/>
      <c r="L452" s="5043"/>
      <c r="M452" s="5043"/>
      <c r="N452" s="5043"/>
      <c r="O452" s="5043"/>
      <c r="P452" s="5043"/>
      <c r="Q452" s="5033"/>
      <c r="R452" s="5035"/>
      <c r="S452" s="1513"/>
    </row>
    <row r="453" spans="1:19" ht="8.1" customHeight="1">
      <c r="A453" s="1516">
        <v>62</v>
      </c>
      <c r="B453" s="5037"/>
      <c r="C453" s="5033"/>
      <c r="D453" s="5043"/>
      <c r="E453" s="5043"/>
      <c r="F453" s="5043"/>
      <c r="G453" s="5043"/>
      <c r="H453" s="5043"/>
      <c r="I453" s="5043"/>
      <c r="J453" s="5043"/>
      <c r="K453" s="5043"/>
      <c r="L453" s="5043"/>
      <c r="M453" s="5043"/>
      <c r="N453" s="5043"/>
      <c r="O453" s="5043"/>
      <c r="P453" s="5043"/>
      <c r="Q453" s="5033"/>
      <c r="R453" s="5035"/>
      <c r="S453" s="1513"/>
    </row>
    <row r="454" spans="1:19" ht="8.1" customHeight="1">
      <c r="A454" s="1516">
        <v>63</v>
      </c>
      <c r="B454" s="5037"/>
      <c r="C454" s="5033"/>
      <c r="D454" s="5060" t="str">
        <f>D359</f>
        <v>KATIA DIAZ ORTIZ</v>
      </c>
      <c r="E454" s="5061"/>
      <c r="F454" s="5061"/>
      <c r="G454" s="5061"/>
      <c r="H454" s="5062"/>
      <c r="I454" s="5043"/>
      <c r="J454" s="5043"/>
      <c r="K454" s="5043"/>
      <c r="L454" s="5060" t="str">
        <f>D454</f>
        <v>KATIA DIAZ ORTIZ</v>
      </c>
      <c r="M454" s="5061"/>
      <c r="N454" s="5061"/>
      <c r="O454" s="5061"/>
      <c r="P454" s="5062"/>
      <c r="Q454" s="5033"/>
      <c r="R454" s="5035"/>
      <c r="S454" s="1513"/>
    </row>
    <row r="455" spans="1:19" ht="8.1" customHeight="1">
      <c r="A455" s="1516">
        <v>64</v>
      </c>
      <c r="B455" s="5037"/>
      <c r="C455" s="5033"/>
      <c r="D455" s="5063"/>
      <c r="E455" s="5064"/>
      <c r="F455" s="5064"/>
      <c r="G455" s="5064"/>
      <c r="H455" s="5065"/>
      <c r="I455" s="5043"/>
      <c r="J455" s="5043"/>
      <c r="K455" s="5043"/>
      <c r="L455" s="5063"/>
      <c r="M455" s="5064"/>
      <c r="N455" s="5064"/>
      <c r="O455" s="5064"/>
      <c r="P455" s="5065"/>
      <c r="Q455" s="5033"/>
      <c r="R455" s="5035"/>
      <c r="S455" s="1513"/>
    </row>
    <row r="456" spans="1:19" ht="8.1" customHeight="1">
      <c r="A456" s="1516">
        <v>65</v>
      </c>
      <c r="B456" s="5037"/>
      <c r="C456" s="5033"/>
      <c r="D456" s="5045" t="s">
        <v>1481</v>
      </c>
      <c r="E456" s="5045"/>
      <c r="F456" s="5045"/>
      <c r="G456" s="5045"/>
      <c r="H456" s="5045"/>
      <c r="I456" s="5043"/>
      <c r="J456" s="5043"/>
      <c r="K456" s="5043"/>
      <c r="L456" s="5045" t="s">
        <v>1481</v>
      </c>
      <c r="M456" s="5045"/>
      <c r="N456" s="5045"/>
      <c r="O456" s="5045"/>
      <c r="P456" s="5045"/>
      <c r="Q456" s="5033"/>
      <c r="R456" s="5035"/>
      <c r="S456" s="1513"/>
    </row>
    <row r="457" spans="1:19" ht="8.1" customHeight="1">
      <c r="A457" s="1516">
        <v>66</v>
      </c>
      <c r="B457" s="5037"/>
      <c r="C457" s="5033"/>
      <c r="D457" s="5046"/>
      <c r="E457" s="5046"/>
      <c r="F457" s="5046"/>
      <c r="G457" s="5046"/>
      <c r="H457" s="5046"/>
      <c r="I457" s="5043"/>
      <c r="J457" s="5043"/>
      <c r="K457" s="5043"/>
      <c r="L457" s="5046"/>
      <c r="M457" s="5046"/>
      <c r="N457" s="5046"/>
      <c r="O457" s="5046"/>
      <c r="P457" s="5046"/>
      <c r="Q457" s="5033"/>
      <c r="R457" s="5035"/>
      <c r="S457" s="1513"/>
    </row>
    <row r="458" spans="1:19" ht="8.1" customHeight="1">
      <c r="A458" s="1516">
        <v>67</v>
      </c>
      <c r="B458" s="5037"/>
      <c r="C458" s="5033"/>
      <c r="D458" s="5043"/>
      <c r="E458" s="5043"/>
      <c r="F458" s="5043"/>
      <c r="G458" s="5043"/>
      <c r="H458" s="5043"/>
      <c r="I458" s="5043"/>
      <c r="J458" s="5043"/>
      <c r="K458" s="5043"/>
      <c r="L458" s="5043"/>
      <c r="M458" s="5043"/>
      <c r="N458" s="5043"/>
      <c r="O458" s="5043"/>
      <c r="P458" s="5043"/>
      <c r="Q458" s="5033"/>
      <c r="R458" s="5035"/>
      <c r="S458" s="1513"/>
    </row>
    <row r="459" spans="1:19" ht="8.1" customHeight="1">
      <c r="A459" s="1516">
        <v>68</v>
      </c>
      <c r="B459" s="5037"/>
      <c r="C459" s="5033"/>
      <c r="D459" s="5043"/>
      <c r="E459" s="5043"/>
      <c r="F459" s="5043"/>
      <c r="G459" s="5043"/>
      <c r="H459" s="5043"/>
      <c r="I459" s="5043"/>
      <c r="J459" s="5043"/>
      <c r="K459" s="5043"/>
      <c r="L459" s="5043"/>
      <c r="M459" s="5043"/>
      <c r="N459" s="5043"/>
      <c r="O459" s="5043"/>
      <c r="P459" s="5043"/>
      <c r="Q459" s="5033"/>
      <c r="R459" s="5035"/>
      <c r="S459" s="1513"/>
    </row>
    <row r="460" spans="1:19" ht="8.1" customHeight="1">
      <c r="A460" s="1516">
        <v>69</v>
      </c>
      <c r="B460" s="5037"/>
      <c r="C460" s="5033"/>
      <c r="D460" s="5047"/>
      <c r="E460" s="5054" t="str">
        <f>E365</f>
        <v>19 DE NOVIEMBRE DE 2013</v>
      </c>
      <c r="F460" s="5055"/>
      <c r="G460" s="5056"/>
      <c r="H460" s="5047"/>
      <c r="I460" s="4926">
        <f>I365</f>
        <v>0</v>
      </c>
      <c r="J460" s="4927"/>
      <c r="K460" s="4928"/>
      <c r="L460" s="5047"/>
      <c r="M460" s="5048" t="str">
        <f>M365</f>
        <v>09 DE OCTUBRE DE 2013</v>
      </c>
      <c r="N460" s="5049"/>
      <c r="O460" s="5050"/>
      <c r="P460" s="5047"/>
      <c r="Q460" s="5033"/>
      <c r="R460" s="5035"/>
      <c r="S460" s="1513"/>
    </row>
    <row r="461" spans="1:19" ht="8.1" customHeight="1">
      <c r="A461" s="1516">
        <v>70</v>
      </c>
      <c r="B461" s="5037"/>
      <c r="C461" s="5033"/>
      <c r="D461" s="5047"/>
      <c r="E461" s="5057"/>
      <c r="F461" s="5058"/>
      <c r="G461" s="5059"/>
      <c r="H461" s="5047"/>
      <c r="I461" s="4929"/>
      <c r="J461" s="4930"/>
      <c r="K461" s="4931"/>
      <c r="L461" s="5047"/>
      <c r="M461" s="5051"/>
      <c r="N461" s="5052"/>
      <c r="O461" s="5053"/>
      <c r="P461" s="5047"/>
      <c r="Q461" s="5033"/>
      <c r="R461" s="5035"/>
      <c r="S461" s="1513"/>
    </row>
    <row r="462" spans="1:19" ht="8.1" customHeight="1">
      <c r="A462" s="1516">
        <v>71</v>
      </c>
      <c r="B462" s="5037"/>
      <c r="C462" s="5033"/>
      <c r="D462" s="5043"/>
      <c r="E462" s="5044"/>
      <c r="F462" s="5045" t="s">
        <v>1458</v>
      </c>
      <c r="G462" s="5044"/>
      <c r="H462" s="5043"/>
      <c r="I462" s="4920"/>
      <c r="J462" s="4921" t="s">
        <v>1458</v>
      </c>
      <c r="K462" s="4920"/>
      <c r="L462" s="5043"/>
      <c r="M462" s="5044"/>
      <c r="N462" s="5045" t="s">
        <v>1458</v>
      </c>
      <c r="O462" s="5044"/>
      <c r="P462" s="5043"/>
      <c r="Q462" s="5033"/>
      <c r="R462" s="5035"/>
      <c r="S462" s="1513"/>
    </row>
    <row r="463" spans="1:19" ht="8.1" customHeight="1">
      <c r="A463" s="1516">
        <v>72</v>
      </c>
      <c r="B463" s="5037"/>
      <c r="C463" s="5033"/>
      <c r="D463" s="5043"/>
      <c r="E463" s="5043"/>
      <c r="F463" s="5046"/>
      <c r="G463" s="5043"/>
      <c r="H463" s="5043"/>
      <c r="I463" s="4919"/>
      <c r="J463" s="4922"/>
      <c r="K463" s="4919"/>
      <c r="L463" s="5043"/>
      <c r="M463" s="5043"/>
      <c r="N463" s="5046"/>
      <c r="O463" s="5043"/>
      <c r="P463" s="5043"/>
      <c r="Q463" s="5033"/>
      <c r="R463" s="5035"/>
      <c r="S463" s="1513"/>
    </row>
    <row r="464" spans="1:19" ht="8.1" customHeight="1">
      <c r="A464" s="1516">
        <v>73</v>
      </c>
      <c r="B464" s="5037"/>
      <c r="C464" s="5033"/>
      <c r="D464" s="5033"/>
      <c r="E464" s="5033"/>
      <c r="F464" s="5033"/>
      <c r="G464" s="5033"/>
      <c r="H464" s="5033"/>
      <c r="I464" s="5033"/>
      <c r="J464" s="5033"/>
      <c r="K464" s="5033"/>
      <c r="L464" s="5033"/>
      <c r="M464" s="5033"/>
      <c r="N464" s="5033"/>
      <c r="O464" s="5033"/>
      <c r="P464" s="5033"/>
      <c r="Q464" s="5033"/>
      <c r="R464" s="5035"/>
      <c r="S464" s="1513"/>
    </row>
    <row r="465" spans="1:19" ht="8.1" customHeight="1">
      <c r="A465" s="1516">
        <v>74</v>
      </c>
      <c r="B465" s="5037"/>
      <c r="C465" s="5033"/>
      <c r="D465" s="5033"/>
      <c r="E465" s="5033"/>
      <c r="F465" s="5033"/>
      <c r="G465" s="5033"/>
      <c r="H465" s="5033"/>
      <c r="I465" s="5033"/>
      <c r="J465" s="5033"/>
      <c r="K465" s="5033"/>
      <c r="L465" s="5033"/>
      <c r="M465" s="5033"/>
      <c r="N465" s="5033"/>
      <c r="O465" s="5033"/>
      <c r="P465" s="5033"/>
      <c r="Q465" s="5033"/>
      <c r="R465" s="5035"/>
      <c r="S465" s="1513"/>
    </row>
    <row r="466" spans="1:19" ht="8.1" customHeight="1">
      <c r="A466" s="1516">
        <v>75</v>
      </c>
      <c r="B466" s="5037"/>
      <c r="C466" s="5033"/>
      <c r="D466" s="5033"/>
      <c r="E466" s="5033"/>
      <c r="F466" s="5033"/>
      <c r="G466" s="5033"/>
      <c r="H466" s="5033"/>
      <c r="I466" s="5033"/>
      <c r="J466" s="5033"/>
      <c r="K466" s="5033"/>
      <c r="L466" s="5033"/>
      <c r="M466" s="5033"/>
      <c r="N466" s="5033"/>
      <c r="O466" s="5033"/>
      <c r="P466" s="5033"/>
      <c r="Q466" s="5033"/>
      <c r="R466" s="5035"/>
      <c r="S466" s="1513"/>
    </row>
    <row r="467" spans="1:19" ht="8.1" customHeight="1">
      <c r="A467" s="1516">
        <v>76</v>
      </c>
      <c r="B467" s="5038"/>
      <c r="C467" s="5034"/>
      <c r="D467" s="5034"/>
      <c r="E467" s="5034"/>
      <c r="F467" s="5034"/>
      <c r="G467" s="5034"/>
      <c r="H467" s="5034"/>
      <c r="I467" s="5034"/>
      <c r="J467" s="5034"/>
      <c r="K467" s="5034"/>
      <c r="L467" s="5034"/>
      <c r="M467" s="5034"/>
      <c r="N467" s="5034"/>
      <c r="O467" s="5034"/>
      <c r="P467" s="5034"/>
      <c r="Q467" s="5034"/>
      <c r="R467" s="5036"/>
      <c r="S467" s="1513"/>
    </row>
    <row r="468" spans="1:19" ht="8.1" customHeight="1">
      <c r="A468" s="1516"/>
      <c r="B468" s="1534"/>
      <c r="C468" s="1534"/>
      <c r="D468" s="1534"/>
      <c r="E468" s="1534"/>
      <c r="F468" s="1534"/>
      <c r="G468" s="1534"/>
      <c r="H468" s="1534"/>
      <c r="I468" s="1534"/>
      <c r="J468" s="1534"/>
      <c r="K468" s="1534"/>
      <c r="L468" s="1534"/>
      <c r="M468" s="1534"/>
      <c r="N468" s="1534"/>
      <c r="O468" s="1534"/>
      <c r="P468" s="1534"/>
      <c r="Q468" s="1534"/>
      <c r="R468" s="1534"/>
      <c r="S468" s="1513"/>
    </row>
    <row r="469" spans="1:19" ht="8.1" customHeight="1">
      <c r="A469" s="1516"/>
      <c r="B469" s="1538"/>
      <c r="C469" s="1538"/>
      <c r="D469" s="1538"/>
      <c r="E469" s="1538"/>
      <c r="F469" s="1538"/>
      <c r="G469" s="1538"/>
      <c r="H469" s="1538"/>
      <c r="I469" s="1538"/>
      <c r="J469" s="1538"/>
      <c r="K469" s="1538"/>
      <c r="L469" s="1538"/>
      <c r="M469" s="1538"/>
      <c r="N469" s="1538"/>
      <c r="O469" s="1538"/>
      <c r="P469" s="1538"/>
      <c r="Q469" s="1538"/>
      <c r="R469" s="1538"/>
      <c r="S469" s="1513"/>
    </row>
    <row r="470" spans="1:19" ht="8.1" customHeight="1">
      <c r="A470" s="1516"/>
      <c r="B470" s="1538"/>
      <c r="C470" s="1538"/>
      <c r="D470" s="1538"/>
      <c r="E470" s="1538"/>
      <c r="F470" s="1538"/>
      <c r="G470" s="1538"/>
      <c r="H470" s="1538"/>
      <c r="I470" s="1538"/>
      <c r="J470" s="1538"/>
      <c r="K470" s="1538"/>
      <c r="L470" s="1538"/>
      <c r="M470" s="1538"/>
      <c r="N470" s="1538"/>
      <c r="O470" s="1538"/>
      <c r="P470" s="1538"/>
      <c r="Q470" s="1538"/>
      <c r="R470" s="1538"/>
      <c r="S470" s="1513"/>
    </row>
    <row r="471" spans="1:19" ht="8.1" customHeight="1">
      <c r="A471" s="1516"/>
      <c r="B471" s="1538"/>
      <c r="C471" s="1538"/>
      <c r="D471" s="1538"/>
      <c r="E471" s="1538"/>
      <c r="F471" s="1538"/>
      <c r="G471" s="1538"/>
      <c r="H471" s="1538"/>
      <c r="I471" s="1538"/>
      <c r="J471" s="1538"/>
      <c r="K471" s="1538"/>
      <c r="L471" s="1571"/>
      <c r="M471" s="1538"/>
      <c r="N471" s="1538"/>
      <c r="O471" s="1538"/>
      <c r="P471" s="1538"/>
      <c r="Q471" s="1538"/>
      <c r="R471" s="1538"/>
      <c r="S471" s="1513"/>
    </row>
    <row r="472" spans="1:19" ht="8.1" customHeight="1">
      <c r="A472" s="1516"/>
      <c r="B472" s="1538"/>
      <c r="C472" s="1538"/>
      <c r="D472" s="1538"/>
      <c r="E472" s="1538"/>
      <c r="F472" s="1538"/>
      <c r="G472" s="1538"/>
      <c r="H472" s="1538"/>
      <c r="I472" s="1538"/>
      <c r="J472" s="1538"/>
      <c r="K472" s="1538"/>
      <c r="L472" s="1538"/>
      <c r="M472" s="1538"/>
      <c r="N472" s="1538"/>
      <c r="O472" s="1538"/>
      <c r="P472" s="1538"/>
      <c r="Q472" s="1538"/>
      <c r="R472" s="1538"/>
      <c r="S472" s="1513"/>
    </row>
    <row r="473" spans="1:19" ht="8.1" customHeight="1">
      <c r="A473" s="1516"/>
      <c r="B473" s="1538"/>
      <c r="C473" s="1538"/>
      <c r="D473" s="1538"/>
      <c r="E473" s="1538"/>
      <c r="F473" s="1538"/>
      <c r="G473" s="1538"/>
      <c r="H473" s="1538"/>
      <c r="I473" s="1538"/>
      <c r="J473" s="1538"/>
      <c r="K473" s="1538"/>
      <c r="L473" s="1538"/>
      <c r="M473" s="1538"/>
      <c r="N473" s="1538"/>
      <c r="O473" s="1538"/>
      <c r="P473" s="1538"/>
      <c r="Q473" s="1538"/>
      <c r="R473" s="1538"/>
      <c r="S473" s="1513"/>
    </row>
    <row r="474" spans="1:19" ht="8.1" customHeight="1">
      <c r="A474" s="1516"/>
      <c r="B474" s="1538"/>
      <c r="C474" s="1538"/>
      <c r="D474" s="1538"/>
      <c r="E474" s="1538"/>
      <c r="F474" s="1538"/>
      <c r="G474" s="1538"/>
      <c r="H474" s="1538"/>
      <c r="I474" s="1538"/>
      <c r="J474" s="1538"/>
      <c r="K474" s="1538"/>
      <c r="L474" s="1538"/>
      <c r="M474" s="1538"/>
      <c r="N474" s="1538"/>
      <c r="O474" s="1538"/>
      <c r="P474" s="1538"/>
      <c r="Q474" s="1538"/>
      <c r="R474" s="1538"/>
      <c r="S474" s="1513"/>
    </row>
    <row r="475" spans="1:19" ht="8.1" customHeight="1">
      <c r="A475" s="1516"/>
      <c r="B475" s="1538"/>
      <c r="C475" s="1538"/>
      <c r="D475" s="1538"/>
      <c r="E475" s="1538"/>
      <c r="F475" s="1538"/>
      <c r="G475" s="1538"/>
      <c r="H475" s="1538"/>
      <c r="I475" s="1538"/>
      <c r="J475" s="1538"/>
      <c r="K475" s="1538"/>
      <c r="L475" s="1538"/>
      <c r="M475" s="1538"/>
      <c r="N475" s="1538"/>
      <c r="O475" s="1538"/>
      <c r="P475" s="1538"/>
      <c r="Q475" s="1538"/>
      <c r="R475" s="1538"/>
      <c r="S475" s="1513"/>
    </row>
    <row r="476" spans="1:19" ht="12" customHeight="1">
      <c r="A476" s="1507"/>
      <c r="B476" s="1542"/>
      <c r="C476" s="1542"/>
      <c r="D476" s="1542"/>
      <c r="E476" s="1542"/>
      <c r="F476" s="2241" t="str">
        <f>F1</f>
        <v>SERVICIOS EDUCATIVOS DE  QUINTANA  ROO</v>
      </c>
      <c r="G476" s="1509"/>
      <c r="H476" s="1510"/>
      <c r="I476" s="1510"/>
      <c r="J476" s="1510"/>
      <c r="K476" s="1510"/>
      <c r="L476" s="1510"/>
      <c r="M476" s="1510"/>
      <c r="N476" s="1510"/>
      <c r="O476" s="1566"/>
      <c r="P476" s="1567"/>
      <c r="Q476" s="1567"/>
      <c r="R476" s="1568"/>
      <c r="S476" s="1513"/>
    </row>
    <row r="477" spans="1:19" ht="12" customHeight="1">
      <c r="A477" s="1507"/>
      <c r="B477" s="1542"/>
      <c r="C477" s="1542"/>
      <c r="D477" s="1542"/>
      <c r="E477" s="1542"/>
      <c r="F477" s="2241" t="str">
        <f>F2</f>
        <v>COORDINACION GENERAL DE PLANEACION</v>
      </c>
      <c r="G477" s="1509"/>
      <c r="H477" s="1510"/>
      <c r="I477" s="1510"/>
      <c r="J477" s="1510"/>
      <c r="K477" s="1510"/>
      <c r="L477" s="1510"/>
      <c r="M477" s="1510"/>
      <c r="N477" s="1510"/>
      <c r="O477" s="1569"/>
      <c r="P477" s="1567"/>
      <c r="Q477" s="1567"/>
      <c r="R477" s="1567"/>
      <c r="S477" s="1513"/>
    </row>
    <row r="478" spans="1:19" ht="12" customHeight="1">
      <c r="A478" s="1507"/>
      <c r="B478" s="1542"/>
      <c r="C478" s="1542"/>
      <c r="D478" s="1542"/>
      <c r="E478" s="1542"/>
      <c r="F478" s="2241" t="str">
        <f>F3</f>
        <v>DIRECCION DE PROFESIONES Y SERVICIOS ESCOLARES</v>
      </c>
      <c r="G478" s="1509"/>
      <c r="H478" s="1510"/>
      <c r="I478" s="1510"/>
      <c r="J478" s="1510"/>
      <c r="K478" s="1510"/>
      <c r="L478" s="1510"/>
      <c r="M478" s="1510"/>
      <c r="N478" s="1510"/>
      <c r="O478" s="1566"/>
      <c r="P478" s="1567"/>
      <c r="Q478" s="1567"/>
      <c r="R478" s="1567"/>
      <c r="S478" s="1513"/>
    </row>
    <row r="479" spans="1:19" ht="12" customHeight="1">
      <c r="A479" s="1507"/>
      <c r="B479" s="1542"/>
      <c r="C479" s="1542"/>
      <c r="D479" s="1542"/>
      <c r="E479" s="1542"/>
      <c r="F479" s="2241" t="str">
        <f>F4</f>
        <v>DEPARTAMENTO DE CONTROL ESCOLAR</v>
      </c>
      <c r="G479" s="1509"/>
      <c r="H479" s="1510"/>
      <c r="I479" s="1510"/>
      <c r="J479" s="1510"/>
      <c r="K479" s="1510"/>
      <c r="L479" s="1510"/>
      <c r="M479" s="1510"/>
      <c r="N479" s="1510"/>
      <c r="O479" s="1566"/>
      <c r="P479" s="1567"/>
      <c r="Q479" s="1567"/>
      <c r="R479" s="1567"/>
      <c r="S479" s="1513"/>
    </row>
    <row r="480" spans="1:19" ht="8.1" customHeight="1">
      <c r="A480" s="1507"/>
      <c r="B480" s="1542"/>
      <c r="C480" s="1542"/>
      <c r="D480" s="1542"/>
      <c r="E480" s="1542"/>
      <c r="F480" s="1511"/>
      <c r="G480" s="1509"/>
      <c r="H480" s="1509"/>
      <c r="I480" s="1509"/>
      <c r="J480" s="1509"/>
      <c r="K480" s="1509"/>
      <c r="L480" s="1509"/>
      <c r="M480" s="1509"/>
      <c r="N480" s="1509"/>
      <c r="O480" s="1570"/>
      <c r="P480" s="1567"/>
      <c r="Q480" s="1567"/>
      <c r="R480" s="1567"/>
      <c r="S480" s="1513"/>
    </row>
    <row r="481" spans="1:19" ht="8.1" customHeight="1">
      <c r="A481" s="1507"/>
      <c r="B481" s="1542"/>
      <c r="C481" s="1542"/>
      <c r="D481" s="1542"/>
      <c r="E481" s="1542"/>
      <c r="F481" s="1511"/>
      <c r="G481" s="1509"/>
      <c r="H481" s="1509"/>
      <c r="I481" s="1509"/>
      <c r="J481" s="1509"/>
      <c r="K481" s="1509"/>
      <c r="L481" s="1509"/>
      <c r="M481" s="1509"/>
      <c r="N481" s="1509"/>
      <c r="O481" s="5011" t="str">
        <f>O386</f>
        <v>EDUCACION: PRIMARIA</v>
      </c>
      <c r="P481" s="5011"/>
      <c r="Q481" s="5011"/>
      <c r="R481" s="5011"/>
      <c r="S481" s="1513"/>
    </row>
    <row r="482" spans="1:19" ht="8.1" customHeight="1">
      <c r="A482" s="1507"/>
      <c r="B482" s="1542"/>
      <c r="C482" s="1542"/>
      <c r="D482" s="1542"/>
      <c r="E482" s="1542"/>
      <c r="F482" s="5010" t="str">
        <f>F387</f>
        <v>ZONA ESCOLAR : 042</v>
      </c>
      <c r="G482" s="5011"/>
      <c r="H482" s="5011"/>
      <c r="I482" s="5011"/>
      <c r="J482" s="5012" t="s">
        <v>108</v>
      </c>
      <c r="K482" s="5011" t="s">
        <v>1447</v>
      </c>
      <c r="L482" s="5011"/>
      <c r="M482" s="1509"/>
      <c r="N482" s="1509"/>
      <c r="O482" s="5011"/>
      <c r="P482" s="5011"/>
      <c r="Q482" s="5011"/>
      <c r="R482" s="5011"/>
      <c r="S482" s="1513"/>
    </row>
    <row r="483" spans="1:19" ht="8.1" customHeight="1">
      <c r="A483" s="1507"/>
      <c r="B483" s="1542"/>
      <c r="C483" s="1542"/>
      <c r="D483" s="1542"/>
      <c r="E483" s="1542"/>
      <c r="F483" s="5010"/>
      <c r="G483" s="5011"/>
      <c r="H483" s="5011"/>
      <c r="I483" s="5011"/>
      <c r="J483" s="5012"/>
      <c r="K483" s="5011"/>
      <c r="L483" s="5011"/>
      <c r="M483" s="1509"/>
      <c r="N483" s="1509"/>
      <c r="O483" s="5129" t="str">
        <f>O388</f>
        <v>PERIODO ESCOLAR: 2012 / 2013</v>
      </c>
      <c r="P483" s="5129"/>
      <c r="Q483" s="5129"/>
      <c r="R483" s="5129"/>
      <c r="S483" s="1513"/>
    </row>
    <row r="484" spans="1:19" ht="8.1" customHeight="1">
      <c r="A484" s="1507"/>
      <c r="B484" s="5178" t="str">
        <f>B389</f>
        <v>2do. Informe</v>
      </c>
      <c r="C484" s="5178"/>
      <c r="D484" s="5179" t="str">
        <f>D389</f>
        <v>INICIO</v>
      </c>
      <c r="E484" s="5179"/>
      <c r="F484" s="1511"/>
      <c r="G484" s="1509"/>
      <c r="H484" s="1514"/>
      <c r="I484" s="1514"/>
      <c r="J484" s="1514"/>
      <c r="K484" s="1509"/>
      <c r="L484" s="1509"/>
      <c r="M484" s="1509"/>
      <c r="N484" s="1509"/>
      <c r="O484" s="5129"/>
      <c r="P484" s="5129"/>
      <c r="Q484" s="5129"/>
      <c r="R484" s="5129"/>
      <c r="S484" s="1513"/>
    </row>
    <row r="485" spans="1:19" ht="8.1" customHeight="1">
      <c r="A485" s="1507"/>
      <c r="B485" s="5178"/>
      <c r="C485" s="5178"/>
      <c r="D485" s="5179"/>
      <c r="E485" s="5179"/>
      <c r="F485" s="1511"/>
      <c r="G485" s="1509"/>
      <c r="H485" s="1514"/>
      <c r="I485" s="1514"/>
      <c r="J485" s="1514"/>
      <c r="K485" s="1509"/>
      <c r="L485" s="1509"/>
      <c r="M485" s="1509"/>
      <c r="N485" s="1509"/>
      <c r="O485" s="5181" t="str">
        <f>O390</f>
        <v>2do. Informe</v>
      </c>
      <c r="P485" s="5181"/>
      <c r="Q485" s="5181"/>
      <c r="R485" s="5181"/>
      <c r="S485" s="1513"/>
    </row>
    <row r="486" spans="1:19" ht="8.1" customHeight="1">
      <c r="A486" s="1507"/>
      <c r="B486" s="1542"/>
      <c r="C486" s="1542"/>
      <c r="D486" s="1542"/>
      <c r="E486" s="1542"/>
      <c r="F486" s="1508"/>
      <c r="G486" s="1515"/>
      <c r="H486" s="1515"/>
      <c r="I486" s="1515"/>
      <c r="J486" s="1515"/>
      <c r="K486" s="1515"/>
      <c r="L486" s="1515"/>
      <c r="M486" s="1515"/>
      <c r="N486" s="1515"/>
      <c r="O486" s="5182"/>
      <c r="P486" s="5182"/>
      <c r="Q486" s="5182"/>
      <c r="R486" s="5182"/>
      <c r="S486" s="1513"/>
    </row>
    <row r="487" spans="1:19" ht="8.1" customHeight="1">
      <c r="A487" s="1516">
        <v>1</v>
      </c>
      <c r="B487" s="5013" t="s">
        <v>1466</v>
      </c>
      <c r="C487" s="5017" t="s">
        <v>1467</v>
      </c>
      <c r="D487" s="5017"/>
      <c r="E487" s="5017"/>
      <c r="F487" s="5019" t="s">
        <v>1526</v>
      </c>
      <c r="G487" s="5000"/>
      <c r="H487" s="5000"/>
      <c r="I487" s="5020"/>
      <c r="J487" s="5019" t="s">
        <v>1527</v>
      </c>
      <c r="K487" s="5025"/>
      <c r="L487" s="5030" t="s">
        <v>1486</v>
      </c>
      <c r="M487" s="4993" t="s">
        <v>1528</v>
      </c>
      <c r="N487" s="4994"/>
      <c r="O487" s="4999" t="s">
        <v>1487</v>
      </c>
      <c r="P487" s="5000"/>
      <c r="Q487" s="5000"/>
      <c r="R487" s="5001"/>
      <c r="S487" s="1513"/>
    </row>
    <row r="488" spans="1:19" ht="8.1" customHeight="1">
      <c r="A488" s="1516">
        <v>2</v>
      </c>
      <c r="B488" s="5014"/>
      <c r="C488" s="5018"/>
      <c r="D488" s="5018"/>
      <c r="E488" s="5018"/>
      <c r="F488" s="5021"/>
      <c r="G488" s="5003"/>
      <c r="H488" s="5003"/>
      <c r="I488" s="5022"/>
      <c r="J488" s="5026"/>
      <c r="K488" s="5027"/>
      <c r="L488" s="5031"/>
      <c r="M488" s="4995"/>
      <c r="N488" s="4996"/>
      <c r="O488" s="5002"/>
      <c r="P488" s="5003"/>
      <c r="Q488" s="5003"/>
      <c r="R488" s="5004"/>
      <c r="S488" s="1513"/>
    </row>
    <row r="489" spans="1:19" ht="8.1" customHeight="1">
      <c r="A489" s="1516">
        <v>3</v>
      </c>
      <c r="B489" s="5014"/>
      <c r="C489" s="5018"/>
      <c r="D489" s="5018"/>
      <c r="E489" s="5018"/>
      <c r="F489" s="5021"/>
      <c r="G489" s="5003"/>
      <c r="H489" s="5003"/>
      <c r="I489" s="5022"/>
      <c r="J489" s="5026"/>
      <c r="K489" s="5027"/>
      <c r="L489" s="5031"/>
      <c r="M489" s="4995"/>
      <c r="N489" s="4996"/>
      <c r="O489" s="5002"/>
      <c r="P489" s="5003"/>
      <c r="Q489" s="5003"/>
      <c r="R489" s="5004"/>
      <c r="S489" s="1513"/>
    </row>
    <row r="490" spans="1:19" ht="8.1" customHeight="1">
      <c r="A490" s="1516">
        <v>4</v>
      </c>
      <c r="B490" s="5015"/>
      <c r="C490" s="5008"/>
      <c r="D490" s="5008"/>
      <c r="E490" s="5008"/>
      <c r="F490" s="5023"/>
      <c r="G490" s="5006"/>
      <c r="H490" s="5006"/>
      <c r="I490" s="5024"/>
      <c r="J490" s="5028"/>
      <c r="K490" s="5029"/>
      <c r="L490" s="5031"/>
      <c r="M490" s="4997"/>
      <c r="N490" s="4998"/>
      <c r="O490" s="5005"/>
      <c r="P490" s="5006"/>
      <c r="Q490" s="5006"/>
      <c r="R490" s="5007"/>
      <c r="S490" s="1513"/>
    </row>
    <row r="491" spans="1:19" ht="8.1" customHeight="1">
      <c r="A491" s="1516">
        <v>5</v>
      </c>
      <c r="B491" s="5015"/>
      <c r="C491" s="5008"/>
      <c r="D491" s="5008"/>
      <c r="E491" s="5008"/>
      <c r="F491" s="5008" t="s">
        <v>1471</v>
      </c>
      <c r="G491" s="5008" t="s">
        <v>1488</v>
      </c>
      <c r="H491" s="5008" t="s">
        <v>1473</v>
      </c>
      <c r="I491" s="5008" t="s">
        <v>408</v>
      </c>
      <c r="J491" s="5008" t="s">
        <v>1489</v>
      </c>
      <c r="K491" s="5008" t="s">
        <v>1490</v>
      </c>
      <c r="L491" s="5031"/>
      <c r="M491" s="5008" t="s">
        <v>1491</v>
      </c>
      <c r="N491" s="5008" t="s">
        <v>1492</v>
      </c>
      <c r="O491" s="5039" t="s">
        <v>1493</v>
      </c>
      <c r="P491" s="5040"/>
      <c r="Q491" s="5008" t="s">
        <v>1494</v>
      </c>
      <c r="R491" s="4991" t="s">
        <v>1495</v>
      </c>
      <c r="S491" s="1513"/>
    </row>
    <row r="492" spans="1:19" ht="8.1" customHeight="1">
      <c r="A492" s="1516">
        <v>6</v>
      </c>
      <c r="B492" s="5016"/>
      <c r="C492" s="5009"/>
      <c r="D492" s="5009"/>
      <c r="E492" s="5009"/>
      <c r="F492" s="5009"/>
      <c r="G492" s="5009"/>
      <c r="H492" s="5009"/>
      <c r="I492" s="5009"/>
      <c r="J492" s="5009"/>
      <c r="K492" s="5009"/>
      <c r="L492" s="5032"/>
      <c r="M492" s="5009"/>
      <c r="N492" s="5009"/>
      <c r="O492" s="5041"/>
      <c r="P492" s="5042"/>
      <c r="Q492" s="5009"/>
      <c r="R492" s="4992"/>
      <c r="S492" s="1513"/>
    </row>
    <row r="493" spans="1:19" ht="8.1" customHeight="1">
      <c r="A493" s="1516">
        <v>7</v>
      </c>
      <c r="B493" s="4975">
        <f>B16</f>
        <v>1</v>
      </c>
      <c r="C493" s="4975" t="str">
        <f>C396</f>
        <v>23DPR0055K</v>
      </c>
      <c r="D493" s="4975"/>
      <c r="E493" s="4975"/>
      <c r="F493" s="4975">
        <f>'VISITA DE INSP.'!JI3</f>
        <v>70</v>
      </c>
      <c r="G493" s="4975">
        <f>'VISITA DE INSP.'!JA3</f>
        <v>2</v>
      </c>
      <c r="H493" s="4975"/>
      <c r="I493" s="4975">
        <f>F493-H493</f>
        <v>70</v>
      </c>
      <c r="J493" s="4975">
        <f>'VISITA DE INSP.'!JO3-M493</f>
        <v>3</v>
      </c>
      <c r="K493" s="4975">
        <f>'VISITA DE INSP.'!JU3-N493</f>
        <v>13</v>
      </c>
      <c r="L493" s="4969">
        <f>I493+J493-K493</f>
        <v>60</v>
      </c>
      <c r="M493" s="4988"/>
      <c r="N493" s="4988"/>
      <c r="O493" s="4989">
        <f>L493+M493-N493</f>
        <v>60</v>
      </c>
      <c r="P493" s="4990"/>
      <c r="Q493" s="4988">
        <f>O493-R493</f>
        <v>60</v>
      </c>
      <c r="R493" s="4987">
        <f>'VISITA DE INSP.'!KG3</f>
        <v>0</v>
      </c>
      <c r="S493" s="1513"/>
    </row>
    <row r="494" spans="1:19" ht="8.1" customHeight="1">
      <c r="A494" s="1516">
        <v>8</v>
      </c>
      <c r="B494" s="4972"/>
      <c r="C494" s="4972"/>
      <c r="D494" s="4972"/>
      <c r="E494" s="4972"/>
      <c r="F494" s="4972"/>
      <c r="G494" s="4972"/>
      <c r="H494" s="4972"/>
      <c r="I494" s="4972"/>
      <c r="J494" s="4972"/>
      <c r="K494" s="4972"/>
      <c r="L494" s="4969"/>
      <c r="M494" s="4969"/>
      <c r="N494" s="4969"/>
      <c r="O494" s="4967"/>
      <c r="P494" s="4968"/>
      <c r="Q494" s="4969"/>
      <c r="R494" s="4969"/>
      <c r="S494" s="1513"/>
    </row>
    <row r="495" spans="1:19" ht="8.1" customHeight="1">
      <c r="A495" s="1516">
        <v>9</v>
      </c>
      <c r="B495" s="4975">
        <f t="shared" ref="B495" si="85">B18</f>
        <v>2</v>
      </c>
      <c r="C495" s="4972" t="str">
        <f>C398</f>
        <v>23DPR0491L</v>
      </c>
      <c r="D495" s="4972"/>
      <c r="E495" s="4972"/>
      <c r="F495" s="4975">
        <f>'VISITA DE INSP.'!JI4</f>
        <v>65</v>
      </c>
      <c r="G495" s="4975">
        <f>'VISITA DE INSP.'!JA4</f>
        <v>2</v>
      </c>
      <c r="H495" s="4972"/>
      <c r="I495" s="4972">
        <f>F495-H495</f>
        <v>65</v>
      </c>
      <c r="J495" s="4975">
        <f>'VISITA DE INSP.'!JO4-M495</f>
        <v>2</v>
      </c>
      <c r="K495" s="4975">
        <f>'VISITA DE INSP.'!JU4-N495</f>
        <v>0</v>
      </c>
      <c r="L495" s="4969">
        <f>I495+J495-K495</f>
        <v>67</v>
      </c>
      <c r="M495" s="4969"/>
      <c r="N495" s="4969"/>
      <c r="O495" s="4965">
        <f>L495+M495-N495</f>
        <v>67</v>
      </c>
      <c r="P495" s="4966"/>
      <c r="Q495" s="4969">
        <f>O495-R495</f>
        <v>67</v>
      </c>
      <c r="R495" s="4969">
        <f>'VISITA DE INSP.'!KG4</f>
        <v>0</v>
      </c>
      <c r="S495" s="1513"/>
    </row>
    <row r="496" spans="1:19" ht="8.1" customHeight="1">
      <c r="A496" s="1516">
        <v>10</v>
      </c>
      <c r="B496" s="4972"/>
      <c r="C496" s="4972"/>
      <c r="D496" s="4972"/>
      <c r="E496" s="4972"/>
      <c r="F496" s="4972"/>
      <c r="G496" s="4972"/>
      <c r="H496" s="4972"/>
      <c r="I496" s="4972"/>
      <c r="J496" s="4972"/>
      <c r="K496" s="4972"/>
      <c r="L496" s="4969"/>
      <c r="M496" s="4969"/>
      <c r="N496" s="4969"/>
      <c r="O496" s="4967"/>
      <c r="P496" s="4968"/>
      <c r="Q496" s="4969"/>
      <c r="R496" s="4969"/>
      <c r="S496" s="1513"/>
    </row>
    <row r="497" spans="1:19" ht="8.1" customHeight="1">
      <c r="A497" s="1516">
        <v>11</v>
      </c>
      <c r="B497" s="4975">
        <f t="shared" ref="B497" si="86">B20</f>
        <v>3</v>
      </c>
      <c r="C497" s="4972" t="str">
        <f>C400</f>
        <v>23DPR0492K</v>
      </c>
      <c r="D497" s="4972"/>
      <c r="E497" s="4972"/>
      <c r="F497" s="4975">
        <f>'VISITA DE INSP.'!JI5</f>
        <v>46</v>
      </c>
      <c r="G497" s="4975">
        <f>'VISITA DE INSP.'!JA5</f>
        <v>2</v>
      </c>
      <c r="H497" s="4972"/>
      <c r="I497" s="4972">
        <f>F497-H497</f>
        <v>46</v>
      </c>
      <c r="J497" s="4975">
        <f>'VISITA DE INSP.'!JO5-M497</f>
        <v>2</v>
      </c>
      <c r="K497" s="4975">
        <f>'VISITA DE INSP.'!JU5-N497</f>
        <v>5</v>
      </c>
      <c r="L497" s="4969">
        <f>I497+J497-K497</f>
        <v>43</v>
      </c>
      <c r="M497" s="4969"/>
      <c r="N497" s="4969"/>
      <c r="O497" s="4965">
        <f>L497+M497-N497</f>
        <v>43</v>
      </c>
      <c r="P497" s="4966"/>
      <c r="Q497" s="4969">
        <f>O497-R497</f>
        <v>43</v>
      </c>
      <c r="R497" s="4969">
        <f>'VISITA DE INSP.'!KG5</f>
        <v>0</v>
      </c>
      <c r="S497" s="1513"/>
    </row>
    <row r="498" spans="1:19" ht="8.1" customHeight="1">
      <c r="A498" s="1516">
        <v>12</v>
      </c>
      <c r="B498" s="4972"/>
      <c r="C498" s="4972"/>
      <c r="D498" s="4972"/>
      <c r="E498" s="4972"/>
      <c r="F498" s="4972"/>
      <c r="G498" s="4972"/>
      <c r="H498" s="4972"/>
      <c r="I498" s="4972"/>
      <c r="J498" s="4972"/>
      <c r="K498" s="4972"/>
      <c r="L498" s="4969"/>
      <c r="M498" s="4969"/>
      <c r="N498" s="4969"/>
      <c r="O498" s="4967"/>
      <c r="P498" s="4968"/>
      <c r="Q498" s="4969"/>
      <c r="R498" s="4969"/>
      <c r="S498" s="1513"/>
    </row>
    <row r="499" spans="1:19" ht="8.1" customHeight="1">
      <c r="A499" s="1516">
        <v>13</v>
      </c>
      <c r="B499" s="4975">
        <f t="shared" ref="B499" si="87">B22</f>
        <v>4</v>
      </c>
      <c r="C499" s="4972" t="str">
        <f>C402</f>
        <v>23DPR0564N</v>
      </c>
      <c r="D499" s="4972"/>
      <c r="E499" s="4972"/>
      <c r="F499" s="4975">
        <f>'VISITA DE INSP.'!JI6</f>
        <v>60</v>
      </c>
      <c r="G499" s="4975">
        <f>'VISITA DE INSP.'!JA6</f>
        <v>2</v>
      </c>
      <c r="H499" s="4972"/>
      <c r="I499" s="4972">
        <f>F499-H499</f>
        <v>60</v>
      </c>
      <c r="J499" s="4975">
        <f>'VISITA DE INSP.'!JO6-M499</f>
        <v>3</v>
      </c>
      <c r="K499" s="4975">
        <f>'VISITA DE INSP.'!JU6-N499</f>
        <v>2</v>
      </c>
      <c r="L499" s="4969">
        <f>I499+J499-K499</f>
        <v>61</v>
      </c>
      <c r="M499" s="4969"/>
      <c r="N499" s="4969"/>
      <c r="O499" s="4965">
        <f>L499+M499-N499</f>
        <v>61</v>
      </c>
      <c r="P499" s="4966"/>
      <c r="Q499" s="4969">
        <f>O499-R499</f>
        <v>61</v>
      </c>
      <c r="R499" s="4969">
        <f>'VISITA DE INSP.'!KG6</f>
        <v>0</v>
      </c>
      <c r="S499" s="1513"/>
    </row>
    <row r="500" spans="1:19" ht="8.1" customHeight="1">
      <c r="A500" s="1516">
        <v>14</v>
      </c>
      <c r="B500" s="4972"/>
      <c r="C500" s="4972"/>
      <c r="D500" s="4972"/>
      <c r="E500" s="4972"/>
      <c r="F500" s="4972"/>
      <c r="G500" s="4972"/>
      <c r="H500" s="4972"/>
      <c r="I500" s="4972"/>
      <c r="J500" s="4972"/>
      <c r="K500" s="4972"/>
      <c r="L500" s="4969"/>
      <c r="M500" s="4969"/>
      <c r="N500" s="4969"/>
      <c r="O500" s="4967"/>
      <c r="P500" s="4968"/>
      <c r="Q500" s="4969"/>
      <c r="R500" s="4969"/>
      <c r="S500" s="1513"/>
    </row>
    <row r="501" spans="1:19" ht="8.1" customHeight="1">
      <c r="A501" s="1516">
        <v>15</v>
      </c>
      <c r="B501" s="4975">
        <f t="shared" ref="B501" si="88">B24</f>
        <v>5</v>
      </c>
      <c r="C501" s="4972" t="str">
        <f>C404</f>
        <v>23DPR0570Y</v>
      </c>
      <c r="D501" s="4972"/>
      <c r="E501" s="4972"/>
      <c r="F501" s="4975">
        <f>'VISITA DE INSP.'!JI7</f>
        <v>65</v>
      </c>
      <c r="G501" s="4975">
        <f>'VISITA DE INSP.'!JA7</f>
        <v>2</v>
      </c>
      <c r="H501" s="4972"/>
      <c r="I501" s="4972">
        <f>F501-H501</f>
        <v>65</v>
      </c>
      <c r="J501" s="4975">
        <f>'VISITA DE INSP.'!JO7-M501</f>
        <v>0</v>
      </c>
      <c r="K501" s="4975">
        <f>'VISITA DE INSP.'!JU7-N501</f>
        <v>3</v>
      </c>
      <c r="L501" s="4969">
        <f>I501+J501-K501</f>
        <v>62</v>
      </c>
      <c r="M501" s="4969"/>
      <c r="N501" s="4969"/>
      <c r="O501" s="4965">
        <f>L501+M501-N501</f>
        <v>62</v>
      </c>
      <c r="P501" s="4966"/>
      <c r="Q501" s="4969">
        <f>O501-R501</f>
        <v>62</v>
      </c>
      <c r="R501" s="4969">
        <f>'VISITA DE INSP.'!KG7</f>
        <v>0</v>
      </c>
      <c r="S501" s="1513"/>
    </row>
    <row r="502" spans="1:19" ht="8.1" customHeight="1">
      <c r="A502" s="1516">
        <v>16</v>
      </c>
      <c r="B502" s="4972"/>
      <c r="C502" s="4972"/>
      <c r="D502" s="4972"/>
      <c r="E502" s="4972"/>
      <c r="F502" s="4972"/>
      <c r="G502" s="4972"/>
      <c r="H502" s="4972"/>
      <c r="I502" s="4972"/>
      <c r="J502" s="4972"/>
      <c r="K502" s="4972"/>
      <c r="L502" s="4969"/>
      <c r="M502" s="4969"/>
      <c r="N502" s="4969"/>
      <c r="O502" s="4967"/>
      <c r="P502" s="4968"/>
      <c r="Q502" s="4969"/>
      <c r="R502" s="4969"/>
      <c r="S502" s="1513"/>
    </row>
    <row r="503" spans="1:19" ht="8.1" customHeight="1">
      <c r="A503" s="1516">
        <v>17</v>
      </c>
      <c r="B503" s="4975">
        <f t="shared" ref="B503" si="89">B26</f>
        <v>6</v>
      </c>
      <c r="C503" s="4972" t="str">
        <f>C406</f>
        <v>23DPR0572W</v>
      </c>
      <c r="D503" s="4972"/>
      <c r="E503" s="4972"/>
      <c r="F503" s="4975">
        <f>'VISITA DE INSP.'!JI8</f>
        <v>68</v>
      </c>
      <c r="G503" s="4975">
        <f>'VISITA DE INSP.'!JA8</f>
        <v>2</v>
      </c>
      <c r="H503" s="4972"/>
      <c r="I503" s="4972">
        <f>F503-H503</f>
        <v>68</v>
      </c>
      <c r="J503" s="4975">
        <f>'VISITA DE INSP.'!JO8-M503</f>
        <v>2</v>
      </c>
      <c r="K503" s="4975">
        <f>'VISITA DE INSP.'!JU8-N503</f>
        <v>0</v>
      </c>
      <c r="L503" s="4969">
        <f>I503+J503-K503</f>
        <v>70</v>
      </c>
      <c r="M503" s="4969"/>
      <c r="N503" s="4969"/>
      <c r="O503" s="4965">
        <f>L503+M503-N503</f>
        <v>70</v>
      </c>
      <c r="P503" s="4966"/>
      <c r="Q503" s="4969">
        <f>O503-R503</f>
        <v>70</v>
      </c>
      <c r="R503" s="4969">
        <f>'VISITA DE INSP.'!KG8</f>
        <v>0</v>
      </c>
      <c r="S503" s="1513"/>
    </row>
    <row r="504" spans="1:19" ht="8.1" customHeight="1">
      <c r="A504" s="1516">
        <v>18</v>
      </c>
      <c r="B504" s="4972"/>
      <c r="C504" s="4972"/>
      <c r="D504" s="4972"/>
      <c r="E504" s="4972"/>
      <c r="F504" s="4972"/>
      <c r="G504" s="4972"/>
      <c r="H504" s="4972"/>
      <c r="I504" s="4972"/>
      <c r="J504" s="4972"/>
      <c r="K504" s="4972"/>
      <c r="L504" s="4969"/>
      <c r="M504" s="4969"/>
      <c r="N504" s="4969"/>
      <c r="O504" s="4967"/>
      <c r="P504" s="4968"/>
      <c r="Q504" s="4969"/>
      <c r="R504" s="4969"/>
      <c r="S504" s="1513"/>
    </row>
    <row r="505" spans="1:19" ht="8.1" customHeight="1">
      <c r="A505" s="1516">
        <v>19</v>
      </c>
      <c r="B505" s="4975">
        <f t="shared" ref="B505" si="90">B28</f>
        <v>7</v>
      </c>
      <c r="C505" s="4972" t="str">
        <f>C408</f>
        <v>23DPR0581D</v>
      </c>
      <c r="D505" s="4972"/>
      <c r="E505" s="4972"/>
      <c r="F505" s="4975">
        <f>'VISITA DE INSP.'!JI9</f>
        <v>44</v>
      </c>
      <c r="G505" s="4975">
        <f>'VISITA DE INSP.'!JA9</f>
        <v>2</v>
      </c>
      <c r="H505" s="4972"/>
      <c r="I505" s="4972">
        <f>F505-H505</f>
        <v>44</v>
      </c>
      <c r="J505" s="4975">
        <f>'VISITA DE INSP.'!JO9-M505</f>
        <v>1</v>
      </c>
      <c r="K505" s="4975">
        <f>'VISITA DE INSP.'!JU9-N505</f>
        <v>2</v>
      </c>
      <c r="L505" s="4969">
        <f>I505+J505-K505</f>
        <v>43</v>
      </c>
      <c r="M505" s="4969"/>
      <c r="N505" s="4969"/>
      <c r="O505" s="4965">
        <f>L505+M505-N505</f>
        <v>43</v>
      </c>
      <c r="P505" s="4966"/>
      <c r="Q505" s="4969">
        <f>O505-R505</f>
        <v>43</v>
      </c>
      <c r="R505" s="4969">
        <f>'VISITA DE INSP.'!KG9</f>
        <v>0</v>
      </c>
      <c r="S505" s="1513"/>
    </row>
    <row r="506" spans="1:19" ht="8.1" customHeight="1">
      <c r="A506" s="1516">
        <v>20</v>
      </c>
      <c r="B506" s="4972"/>
      <c r="C506" s="4972"/>
      <c r="D506" s="4972"/>
      <c r="E506" s="4972"/>
      <c r="F506" s="4972"/>
      <c r="G506" s="4972"/>
      <c r="H506" s="4972"/>
      <c r="I506" s="4972"/>
      <c r="J506" s="4972"/>
      <c r="K506" s="4972"/>
      <c r="L506" s="4969"/>
      <c r="M506" s="4969"/>
      <c r="N506" s="4969"/>
      <c r="O506" s="4967"/>
      <c r="P506" s="4968"/>
      <c r="Q506" s="4969"/>
      <c r="R506" s="4969"/>
      <c r="S506" s="1513"/>
    </row>
    <row r="507" spans="1:19" ht="8.1" customHeight="1">
      <c r="A507" s="1516">
        <v>21</v>
      </c>
      <c r="B507" s="4975">
        <f t="shared" ref="B507" si="91">B30</f>
        <v>8</v>
      </c>
      <c r="C507" s="4972" t="str">
        <f>C410</f>
        <v>23DPR0593I</v>
      </c>
      <c r="D507" s="4972"/>
      <c r="E507" s="4972"/>
      <c r="F507" s="4975">
        <f>'VISITA DE INSP.'!JI10</f>
        <v>28</v>
      </c>
      <c r="G507" s="4975">
        <f>'VISITA DE INSP.'!JA10</f>
        <v>1</v>
      </c>
      <c r="H507" s="4972"/>
      <c r="I507" s="4972">
        <f>F507-H507</f>
        <v>28</v>
      </c>
      <c r="J507" s="4975">
        <f>'VISITA DE INSP.'!JO10-M507</f>
        <v>1</v>
      </c>
      <c r="K507" s="4975">
        <f>'VISITA DE INSP.'!JU10-N507</f>
        <v>6</v>
      </c>
      <c r="L507" s="4969">
        <f>I507+J507-K507</f>
        <v>23</v>
      </c>
      <c r="M507" s="4969"/>
      <c r="N507" s="4969"/>
      <c r="O507" s="4965">
        <f>L507+M507-N507</f>
        <v>23</v>
      </c>
      <c r="P507" s="4966"/>
      <c r="Q507" s="4969">
        <f>O507-R507</f>
        <v>23</v>
      </c>
      <c r="R507" s="4969">
        <f>'VISITA DE INSP.'!KG10</f>
        <v>0</v>
      </c>
      <c r="S507" s="1513"/>
    </row>
    <row r="508" spans="1:19" ht="8.1" customHeight="1">
      <c r="A508" s="1516">
        <v>22</v>
      </c>
      <c r="B508" s="4972"/>
      <c r="C508" s="4972"/>
      <c r="D508" s="4972"/>
      <c r="E508" s="4972"/>
      <c r="F508" s="4972"/>
      <c r="G508" s="4972"/>
      <c r="H508" s="4972"/>
      <c r="I508" s="4972"/>
      <c r="J508" s="4972"/>
      <c r="K508" s="4972"/>
      <c r="L508" s="4969"/>
      <c r="M508" s="4969"/>
      <c r="N508" s="4969"/>
      <c r="O508" s="4967"/>
      <c r="P508" s="4968"/>
      <c r="Q508" s="4969"/>
      <c r="R508" s="4969"/>
      <c r="S508" s="1513"/>
    </row>
    <row r="509" spans="1:19" ht="8.1" customHeight="1">
      <c r="A509" s="1516">
        <v>23</v>
      </c>
      <c r="B509" s="4975">
        <f t="shared" ref="B509" si="92">B32</f>
        <v>9</v>
      </c>
      <c r="C509" s="4972" t="str">
        <f>C412</f>
        <v>23DPR0640C</v>
      </c>
      <c r="D509" s="4972"/>
      <c r="E509" s="4972"/>
      <c r="F509" s="4975">
        <f>'VISITA DE INSP.'!JI11</f>
        <v>70</v>
      </c>
      <c r="G509" s="4975">
        <f>'VISITA DE INSP.'!JA11</f>
        <v>2</v>
      </c>
      <c r="H509" s="4972"/>
      <c r="I509" s="4972">
        <f>F509-H509</f>
        <v>70</v>
      </c>
      <c r="J509" s="4975">
        <f>'VISITA DE INSP.'!JO11-M509</f>
        <v>4</v>
      </c>
      <c r="K509" s="4975">
        <f>'VISITA DE INSP.'!JU11-N509</f>
        <v>8</v>
      </c>
      <c r="L509" s="4969">
        <f>I509+J509-K509</f>
        <v>66</v>
      </c>
      <c r="M509" s="4969"/>
      <c r="N509" s="4969"/>
      <c r="O509" s="4965">
        <f>L509+M509-N509</f>
        <v>66</v>
      </c>
      <c r="P509" s="4966"/>
      <c r="Q509" s="4969">
        <f>O509-R509</f>
        <v>66</v>
      </c>
      <c r="R509" s="4969">
        <f>'VISITA DE INSP.'!KG11</f>
        <v>0</v>
      </c>
      <c r="S509" s="1513"/>
    </row>
    <row r="510" spans="1:19" ht="8.1" customHeight="1">
      <c r="A510" s="1516">
        <v>24</v>
      </c>
      <c r="B510" s="4972"/>
      <c r="C510" s="4972"/>
      <c r="D510" s="4972"/>
      <c r="E510" s="4972"/>
      <c r="F510" s="4972"/>
      <c r="G510" s="4972"/>
      <c r="H510" s="4972"/>
      <c r="I510" s="4972"/>
      <c r="J510" s="4972"/>
      <c r="K510" s="4972"/>
      <c r="L510" s="4969"/>
      <c r="M510" s="4969"/>
      <c r="N510" s="4969"/>
      <c r="O510" s="4967"/>
      <c r="P510" s="4968"/>
      <c r="Q510" s="4969"/>
      <c r="R510" s="4969"/>
      <c r="S510" s="1513"/>
    </row>
    <row r="511" spans="1:19" ht="8.1" customHeight="1">
      <c r="A511" s="1516">
        <v>25</v>
      </c>
      <c r="B511" s="4975">
        <f t="shared" ref="B511" si="93">B34</f>
        <v>10</v>
      </c>
      <c r="C511" s="4972" t="str">
        <f>C414</f>
        <v>23DPR0681C</v>
      </c>
      <c r="D511" s="4972"/>
      <c r="E511" s="4972"/>
      <c r="F511" s="4975">
        <f>'VISITA DE INSP.'!JI12</f>
        <v>34</v>
      </c>
      <c r="G511" s="4975">
        <f>'VISITA DE INSP.'!JA12</f>
        <v>1</v>
      </c>
      <c r="H511" s="4972"/>
      <c r="I511" s="4972">
        <f>F511-H511</f>
        <v>34</v>
      </c>
      <c r="J511" s="4975">
        <f>'VISITA DE INSP.'!JO12-M511</f>
        <v>2</v>
      </c>
      <c r="K511" s="4975">
        <f>'VISITA DE INSP.'!JU12-N511</f>
        <v>2</v>
      </c>
      <c r="L511" s="4969">
        <f>I511+J511-K511</f>
        <v>34</v>
      </c>
      <c r="M511" s="4969"/>
      <c r="N511" s="4969"/>
      <c r="O511" s="4965">
        <f>L511+M511-N511</f>
        <v>34</v>
      </c>
      <c r="P511" s="4966"/>
      <c r="Q511" s="4969">
        <f>O511-R511</f>
        <v>34</v>
      </c>
      <c r="R511" s="4969">
        <f>'VISITA DE INSP.'!KG12</f>
        <v>0</v>
      </c>
      <c r="S511" s="1513"/>
    </row>
    <row r="512" spans="1:19" ht="8.1" customHeight="1">
      <c r="A512" s="1516">
        <v>26</v>
      </c>
      <c r="B512" s="4972"/>
      <c r="C512" s="4972"/>
      <c r="D512" s="4972"/>
      <c r="E512" s="4972"/>
      <c r="F512" s="4972"/>
      <c r="G512" s="4972"/>
      <c r="H512" s="4972"/>
      <c r="I512" s="4972"/>
      <c r="J512" s="4972"/>
      <c r="K512" s="4972"/>
      <c r="L512" s="4969"/>
      <c r="M512" s="4969"/>
      <c r="N512" s="4969"/>
      <c r="O512" s="4967"/>
      <c r="P512" s="4968"/>
      <c r="Q512" s="4969"/>
      <c r="R512" s="4969"/>
      <c r="S512" s="1513"/>
    </row>
    <row r="513" spans="1:19" ht="8.1" hidden="1" customHeight="1">
      <c r="A513" s="1516">
        <v>27</v>
      </c>
      <c r="B513" s="4975">
        <f t="shared" ref="B513" si="94">B36</f>
        <v>0</v>
      </c>
      <c r="C513" s="4972">
        <f>C416</f>
        <v>0</v>
      </c>
      <c r="D513" s="4972"/>
      <c r="E513" s="4972"/>
      <c r="F513" s="4975">
        <f>'VISITA DE INSP.'!JI13</f>
        <v>0</v>
      </c>
      <c r="G513" s="4975">
        <f>'VISITA DE INSP.'!JA13</f>
        <v>0</v>
      </c>
      <c r="H513" s="4972"/>
      <c r="I513" s="4972">
        <f>F513-H513</f>
        <v>0</v>
      </c>
      <c r="J513" s="4975">
        <f>'VISITA DE INSP.'!JO13-M513</f>
        <v>0</v>
      </c>
      <c r="K513" s="4975">
        <f>'VISITA DE INSP.'!JU13-N513</f>
        <v>0</v>
      </c>
      <c r="L513" s="4969">
        <f>I513+J513-K513</f>
        <v>0</v>
      </c>
      <c r="M513" s="4969"/>
      <c r="N513" s="4969"/>
      <c r="O513" s="4965">
        <f>L513+M513-N513</f>
        <v>0</v>
      </c>
      <c r="P513" s="4966"/>
      <c r="Q513" s="4969">
        <f>O513-R513</f>
        <v>0</v>
      </c>
      <c r="R513" s="4969">
        <f>'VISITA DE INSP.'!KG13</f>
        <v>0</v>
      </c>
      <c r="S513" s="1513"/>
    </row>
    <row r="514" spans="1:19" ht="8.1" hidden="1" customHeight="1">
      <c r="A514" s="1516">
        <v>28</v>
      </c>
      <c r="B514" s="4972"/>
      <c r="C514" s="4972"/>
      <c r="D514" s="4972"/>
      <c r="E514" s="4972"/>
      <c r="F514" s="4972"/>
      <c r="G514" s="4972"/>
      <c r="H514" s="4972"/>
      <c r="I514" s="4972"/>
      <c r="J514" s="4972"/>
      <c r="K514" s="4972"/>
      <c r="L514" s="4969"/>
      <c r="M514" s="4969"/>
      <c r="N514" s="4969"/>
      <c r="O514" s="4967"/>
      <c r="P514" s="4968"/>
      <c r="Q514" s="4969"/>
      <c r="R514" s="4969"/>
      <c r="S514" s="1513"/>
    </row>
    <row r="515" spans="1:19" ht="8.1" customHeight="1">
      <c r="A515" s="1516">
        <v>29</v>
      </c>
      <c r="B515" s="4975">
        <f t="shared" ref="B515" si="95">B38</f>
        <v>11</v>
      </c>
      <c r="C515" s="4981" t="str">
        <f>C418</f>
        <v>23PPR0099M</v>
      </c>
      <c r="D515" s="4982"/>
      <c r="E515" s="4983"/>
      <c r="F515" s="4975">
        <f>'VISITA DE INSP.'!JI14</f>
        <v>13</v>
      </c>
      <c r="G515" s="4975">
        <f>'VISITA DE INSP.'!JA14</f>
        <v>1</v>
      </c>
      <c r="H515" s="4972"/>
      <c r="I515" s="4972">
        <f>F515-H515</f>
        <v>13</v>
      </c>
      <c r="J515" s="4975">
        <f>'VISITA DE INSP.'!JO14-M515</f>
        <v>3</v>
      </c>
      <c r="K515" s="4975">
        <f>'VISITA DE INSP.'!JU14-N515</f>
        <v>0</v>
      </c>
      <c r="L515" s="4969">
        <f>I515+J515-K515</f>
        <v>16</v>
      </c>
      <c r="M515" s="4969"/>
      <c r="N515" s="4969"/>
      <c r="O515" s="4965">
        <f>L515+M515-N515</f>
        <v>16</v>
      </c>
      <c r="P515" s="4966"/>
      <c r="Q515" s="4969">
        <f>O515-R515</f>
        <v>16</v>
      </c>
      <c r="R515" s="4969">
        <f>'VISITA DE INSP.'!KG14</f>
        <v>0</v>
      </c>
      <c r="S515" s="1513"/>
    </row>
    <row r="516" spans="1:19" ht="8.1" customHeight="1">
      <c r="A516" s="1516">
        <v>30</v>
      </c>
      <c r="B516" s="4972"/>
      <c r="C516" s="4984"/>
      <c r="D516" s="4985"/>
      <c r="E516" s="4986"/>
      <c r="F516" s="4972"/>
      <c r="G516" s="4972"/>
      <c r="H516" s="4972"/>
      <c r="I516" s="4972"/>
      <c r="J516" s="4972"/>
      <c r="K516" s="4972"/>
      <c r="L516" s="4969"/>
      <c r="M516" s="4969"/>
      <c r="N516" s="4969"/>
      <c r="O516" s="4967"/>
      <c r="P516" s="4968"/>
      <c r="Q516" s="4969"/>
      <c r="R516" s="4969"/>
      <c r="S516" s="1513"/>
    </row>
    <row r="517" spans="1:19" ht="8.1" customHeight="1">
      <c r="A517" s="1516">
        <v>31</v>
      </c>
      <c r="B517" s="4975">
        <f t="shared" ref="B517" si="96">B40</f>
        <v>12</v>
      </c>
      <c r="C517" s="4981" t="str">
        <f>C420</f>
        <v>23PPR0100L</v>
      </c>
      <c r="D517" s="4982"/>
      <c r="E517" s="4983"/>
      <c r="F517" s="4975">
        <f>'VISITA DE INSP.'!JI15</f>
        <v>20</v>
      </c>
      <c r="G517" s="4975">
        <f>'VISITA DE INSP.'!JA15</f>
        <v>1</v>
      </c>
      <c r="H517" s="4972"/>
      <c r="I517" s="4972">
        <f>F517-H517</f>
        <v>20</v>
      </c>
      <c r="J517" s="4975">
        <f>'VISITA DE INSP.'!JO15-M517</f>
        <v>6</v>
      </c>
      <c r="K517" s="4975">
        <f>'VISITA DE INSP.'!JU15-N517</f>
        <v>0</v>
      </c>
      <c r="L517" s="4969">
        <f>I517+J517-K517</f>
        <v>26</v>
      </c>
      <c r="M517" s="4969"/>
      <c r="N517" s="4969"/>
      <c r="O517" s="4965">
        <f>L517+M517-N517</f>
        <v>26</v>
      </c>
      <c r="P517" s="4966"/>
      <c r="Q517" s="4969">
        <f>O517-R517</f>
        <v>26</v>
      </c>
      <c r="R517" s="4969">
        <f>'VISITA DE INSP.'!KG15</f>
        <v>0</v>
      </c>
      <c r="S517" s="1513"/>
    </row>
    <row r="518" spans="1:19" ht="8.1" customHeight="1">
      <c r="A518" s="1516">
        <v>32</v>
      </c>
      <c r="B518" s="4972"/>
      <c r="C518" s="4984"/>
      <c r="D518" s="4985"/>
      <c r="E518" s="4986"/>
      <c r="F518" s="4972"/>
      <c r="G518" s="4972"/>
      <c r="H518" s="4972"/>
      <c r="I518" s="4972"/>
      <c r="J518" s="4972"/>
      <c r="K518" s="4972"/>
      <c r="L518" s="4969"/>
      <c r="M518" s="4969"/>
      <c r="N518" s="4969"/>
      <c r="O518" s="4967"/>
      <c r="P518" s="4968"/>
      <c r="Q518" s="4969"/>
      <c r="R518" s="4969"/>
      <c r="S518" s="1513"/>
    </row>
    <row r="519" spans="1:19" ht="8.1" customHeight="1">
      <c r="A519" s="1516">
        <v>33</v>
      </c>
      <c r="B519" s="4975">
        <f t="shared" ref="B519" si="97">B42</f>
        <v>13</v>
      </c>
      <c r="C519" s="4980" t="str">
        <f>C422</f>
        <v>23PPR0125U</v>
      </c>
      <c r="D519" s="4980"/>
      <c r="E519" s="4980"/>
      <c r="F519" s="4975">
        <f>'VISITA DE INSP.'!JI16</f>
        <v>7</v>
      </c>
      <c r="G519" s="4975">
        <f>'VISITA DE INSP.'!JA16</f>
        <v>1</v>
      </c>
      <c r="H519" s="4972"/>
      <c r="I519" s="4972">
        <f>F519-H519</f>
        <v>7</v>
      </c>
      <c r="J519" s="4975">
        <f>'VISITA DE INSP.'!JO16-M519</f>
        <v>2</v>
      </c>
      <c r="K519" s="4975">
        <f>'VISITA DE INSP.'!JU16-N519</f>
        <v>1</v>
      </c>
      <c r="L519" s="4969">
        <f>I519+J519-K519</f>
        <v>8</v>
      </c>
      <c r="M519" s="4969"/>
      <c r="N519" s="4969"/>
      <c r="O519" s="4965">
        <f>L519+M519-N519</f>
        <v>8</v>
      </c>
      <c r="P519" s="4966"/>
      <c r="Q519" s="4969">
        <f>O519-R519</f>
        <v>8</v>
      </c>
      <c r="R519" s="4969">
        <f>'VISITA DE INSP.'!KG16</f>
        <v>0</v>
      </c>
      <c r="S519" s="1513"/>
    </row>
    <row r="520" spans="1:19" ht="8.1" customHeight="1">
      <c r="A520" s="1516">
        <v>34</v>
      </c>
      <c r="B520" s="4972"/>
      <c r="C520" s="4975"/>
      <c r="D520" s="4975"/>
      <c r="E520" s="4975"/>
      <c r="F520" s="4972"/>
      <c r="G520" s="4972"/>
      <c r="H520" s="4972"/>
      <c r="I520" s="4972"/>
      <c r="J520" s="4972"/>
      <c r="K520" s="4972"/>
      <c r="L520" s="4969"/>
      <c r="M520" s="4969"/>
      <c r="N520" s="4969"/>
      <c r="O520" s="4967"/>
      <c r="P520" s="4968"/>
      <c r="Q520" s="4969"/>
      <c r="R520" s="4969"/>
      <c r="S520" s="1513"/>
    </row>
    <row r="521" spans="1:19" ht="8.1" customHeight="1">
      <c r="A521" s="1516">
        <v>35</v>
      </c>
      <c r="B521" s="4975">
        <f t="shared" ref="B521" si="98">B44</f>
        <v>14</v>
      </c>
      <c r="C521" s="4978" t="str">
        <f>C424</f>
        <v>23PPR0156N</v>
      </c>
      <c r="D521" s="4978"/>
      <c r="E521" s="4978"/>
      <c r="F521" s="4975">
        <f>'VISITA DE INSP.'!JI17</f>
        <v>0</v>
      </c>
      <c r="G521" s="4975">
        <f>'VISITA DE INSP.'!JA17</f>
        <v>0</v>
      </c>
      <c r="H521" s="4978"/>
      <c r="I521" s="4972">
        <f>F521-H521</f>
        <v>0</v>
      </c>
      <c r="J521" s="4975">
        <f>'VISITA DE INSP.'!JO17-M521</f>
        <v>0</v>
      </c>
      <c r="K521" s="4975">
        <f>'VISITA DE INSP.'!JU17-N521</f>
        <v>0</v>
      </c>
      <c r="L521" s="4969">
        <f>I521+J521-K521</f>
        <v>0</v>
      </c>
      <c r="M521" s="4976"/>
      <c r="N521" s="4976"/>
      <c r="O521" s="4965">
        <f>L521+M521-N521</f>
        <v>0</v>
      </c>
      <c r="P521" s="4966"/>
      <c r="Q521" s="4969">
        <f>O521-R521</f>
        <v>0</v>
      </c>
      <c r="R521" s="4969">
        <f>'VISITA DE INSP.'!KG17</f>
        <v>0</v>
      </c>
      <c r="S521" s="1513"/>
    </row>
    <row r="522" spans="1:19" ht="8.1" customHeight="1">
      <c r="A522" s="1516">
        <v>36</v>
      </c>
      <c r="B522" s="4972"/>
      <c r="C522" s="4979"/>
      <c r="D522" s="4979"/>
      <c r="E522" s="4979"/>
      <c r="F522" s="4972"/>
      <c r="G522" s="4972"/>
      <c r="H522" s="4979"/>
      <c r="I522" s="4972"/>
      <c r="J522" s="4972"/>
      <c r="K522" s="4972"/>
      <c r="L522" s="4969"/>
      <c r="M522" s="4977"/>
      <c r="N522" s="4977"/>
      <c r="O522" s="4967"/>
      <c r="P522" s="4968"/>
      <c r="Q522" s="4969"/>
      <c r="R522" s="4969"/>
      <c r="S522" s="1513"/>
    </row>
    <row r="523" spans="1:19" ht="8.1" customHeight="1">
      <c r="A523" s="1516">
        <v>37</v>
      </c>
      <c r="B523" s="4975">
        <f t="shared" ref="B523" si="99">B46</f>
        <v>15</v>
      </c>
      <c r="C523" s="4978" t="str">
        <f>C426</f>
        <v>23PPR0163X</v>
      </c>
      <c r="D523" s="4978"/>
      <c r="E523" s="4978"/>
      <c r="F523" s="4975">
        <f>'VISITA DE INSP.'!JI18</f>
        <v>9</v>
      </c>
      <c r="G523" s="4975">
        <f>'VISITA DE INSP.'!JA18</f>
        <v>1</v>
      </c>
      <c r="H523" s="4978"/>
      <c r="I523" s="4972">
        <f>F523-H523</f>
        <v>9</v>
      </c>
      <c r="J523" s="4975">
        <f>'VISITA DE INSP.'!JO18-M523</f>
        <v>1</v>
      </c>
      <c r="K523" s="4975">
        <f>'VISITA DE INSP.'!JU18-N523</f>
        <v>0</v>
      </c>
      <c r="L523" s="4969">
        <f>I523+J523-K523</f>
        <v>10</v>
      </c>
      <c r="M523" s="4976"/>
      <c r="N523" s="4976"/>
      <c r="O523" s="4965">
        <f>L523+M523-N523</f>
        <v>10</v>
      </c>
      <c r="P523" s="4966"/>
      <c r="Q523" s="4969">
        <f>O523-R523</f>
        <v>10</v>
      </c>
      <c r="R523" s="4969">
        <f>'VISITA DE INSP.'!KG18</f>
        <v>0</v>
      </c>
      <c r="S523" s="1513"/>
    </row>
    <row r="524" spans="1:19" ht="8.1" customHeight="1">
      <c r="A524" s="1516">
        <v>38</v>
      </c>
      <c r="B524" s="4972"/>
      <c r="C524" s="4979"/>
      <c r="D524" s="4979"/>
      <c r="E524" s="4979"/>
      <c r="F524" s="4972"/>
      <c r="G524" s="4972"/>
      <c r="H524" s="4979"/>
      <c r="I524" s="4972"/>
      <c r="J524" s="4972"/>
      <c r="K524" s="4972"/>
      <c r="L524" s="4969"/>
      <c r="M524" s="4977"/>
      <c r="N524" s="4977"/>
      <c r="O524" s="4967"/>
      <c r="P524" s="4968"/>
      <c r="Q524" s="4969"/>
      <c r="R524" s="4969"/>
      <c r="S524" s="1513"/>
    </row>
    <row r="525" spans="1:19" ht="8.1" customHeight="1">
      <c r="A525" s="1516">
        <v>39</v>
      </c>
      <c r="B525" s="4975">
        <f t="shared" ref="B525" si="100">B48</f>
        <v>0</v>
      </c>
      <c r="C525" s="4969">
        <f>C428</f>
        <v>0</v>
      </c>
      <c r="D525" s="4969"/>
      <c r="E525" s="4969"/>
      <c r="F525" s="4975">
        <f>'VISITA DE INSP.'!JI19</f>
        <v>0</v>
      </c>
      <c r="G525" s="4975">
        <f>'VISITA DE INSP.'!JA19</f>
        <v>0</v>
      </c>
      <c r="H525" s="4972"/>
      <c r="I525" s="4972">
        <f>F525-H525</f>
        <v>0</v>
      </c>
      <c r="J525" s="4975">
        <f>'VISITA DE INSP.'!JO19-M525</f>
        <v>0</v>
      </c>
      <c r="K525" s="4975">
        <f>'VISITA DE INSP.'!JU19-N525</f>
        <v>0</v>
      </c>
      <c r="L525" s="4969">
        <f>I525+J525-K525</f>
        <v>0</v>
      </c>
      <c r="M525" s="4969"/>
      <c r="N525" s="4969"/>
      <c r="O525" s="4969">
        <f>L525+M525-N525</f>
        <v>0</v>
      </c>
      <c r="P525" s="4969"/>
      <c r="Q525" s="4969">
        <f>O525-R525</f>
        <v>0</v>
      </c>
      <c r="R525" s="4969">
        <f>'VISITA DE INSP.'!KG19</f>
        <v>0</v>
      </c>
      <c r="S525" s="1513"/>
    </row>
    <row r="526" spans="1:19" ht="8.1" customHeight="1">
      <c r="A526" s="1516">
        <v>40</v>
      </c>
      <c r="B526" s="4972"/>
      <c r="C526" s="4969"/>
      <c r="D526" s="4969"/>
      <c r="E526" s="4969"/>
      <c r="F526" s="4972"/>
      <c r="G526" s="4972"/>
      <c r="H526" s="4972"/>
      <c r="I526" s="4972"/>
      <c r="J526" s="4972"/>
      <c r="K526" s="4972"/>
      <c r="L526" s="4969"/>
      <c r="M526" s="4969"/>
      <c r="N526" s="4969"/>
      <c r="O526" s="4969"/>
      <c r="P526" s="4969"/>
      <c r="Q526" s="4969"/>
      <c r="R526" s="4969"/>
      <c r="S526" s="1513"/>
    </row>
    <row r="527" spans="1:19" ht="8.1" customHeight="1">
      <c r="A527" s="1516">
        <v>41</v>
      </c>
      <c r="B527" s="4975">
        <f t="shared" ref="B527" si="101">B50</f>
        <v>0</v>
      </c>
      <c r="C527" s="4969">
        <f>C430</f>
        <v>0</v>
      </c>
      <c r="D527" s="4969"/>
      <c r="E527" s="4969"/>
      <c r="F527" s="4975">
        <f>'VISITA DE INSP.'!JI20</f>
        <v>0</v>
      </c>
      <c r="G527" s="4975">
        <f>'VISITA DE INSP.'!JA20</f>
        <v>0</v>
      </c>
      <c r="H527" s="4972"/>
      <c r="I527" s="4972">
        <f>F527-H527</f>
        <v>0</v>
      </c>
      <c r="J527" s="4975">
        <f>'VISITA DE INSP.'!JO20-M527</f>
        <v>0</v>
      </c>
      <c r="K527" s="4975">
        <f>'VISITA DE INSP.'!JU20-N527</f>
        <v>0</v>
      </c>
      <c r="L527" s="4969">
        <f>I527+J527-K527</f>
        <v>0</v>
      </c>
      <c r="M527" s="4969"/>
      <c r="N527" s="4969"/>
      <c r="O527" s="4969">
        <f>L527+M527-N527</f>
        <v>0</v>
      </c>
      <c r="P527" s="4969"/>
      <c r="Q527" s="4969">
        <f>O527-R527</f>
        <v>0</v>
      </c>
      <c r="R527" s="4969">
        <f>'VISITA DE INSP.'!KG20</f>
        <v>0</v>
      </c>
      <c r="S527" s="1513"/>
    </row>
    <row r="528" spans="1:19" ht="8.1" customHeight="1">
      <c r="A528" s="1516">
        <v>42</v>
      </c>
      <c r="B528" s="4972"/>
      <c r="C528" s="4969"/>
      <c r="D528" s="4969"/>
      <c r="E528" s="4969"/>
      <c r="F528" s="4972"/>
      <c r="G528" s="4972"/>
      <c r="H528" s="4972"/>
      <c r="I528" s="4972"/>
      <c r="J528" s="4972"/>
      <c r="K528" s="4972"/>
      <c r="L528" s="4969"/>
      <c r="M528" s="4969"/>
      <c r="N528" s="4969"/>
      <c r="O528" s="4969"/>
      <c r="P528" s="4969"/>
      <c r="Q528" s="4969"/>
      <c r="R528" s="4969"/>
      <c r="S528" s="1513"/>
    </row>
    <row r="529" spans="1:19" ht="8.1" customHeight="1">
      <c r="A529" s="1516">
        <v>43</v>
      </c>
      <c r="B529" s="4975">
        <f t="shared" ref="B529" si="102">B52</f>
        <v>0</v>
      </c>
      <c r="C529" s="4969">
        <f>C432</f>
        <v>0</v>
      </c>
      <c r="D529" s="4969"/>
      <c r="E529" s="4969"/>
      <c r="F529" s="4975">
        <f>'VISITA DE INSP.'!JI21</f>
        <v>0</v>
      </c>
      <c r="G529" s="4975">
        <f>'VISITA DE INSP.'!JA21</f>
        <v>0</v>
      </c>
      <c r="H529" s="4972"/>
      <c r="I529" s="4972">
        <f>F529-H529</f>
        <v>0</v>
      </c>
      <c r="J529" s="4975">
        <f>'VISITA DE INSP.'!JO21-M529</f>
        <v>0</v>
      </c>
      <c r="K529" s="4975">
        <f>'VISITA DE INSP.'!JU21-N529</f>
        <v>0</v>
      </c>
      <c r="L529" s="4969">
        <f>I529+J529-K529</f>
        <v>0</v>
      </c>
      <c r="M529" s="4969"/>
      <c r="N529" s="4969"/>
      <c r="O529" s="4969">
        <f>L529+M529-N529</f>
        <v>0</v>
      </c>
      <c r="P529" s="4969"/>
      <c r="Q529" s="4969">
        <f>O529-R529</f>
        <v>0</v>
      </c>
      <c r="R529" s="4969">
        <f>'VISITA DE INSP.'!KG21</f>
        <v>0</v>
      </c>
      <c r="S529" s="1513"/>
    </row>
    <row r="530" spans="1:19" ht="8.1" customHeight="1">
      <c r="A530" s="1516">
        <v>44</v>
      </c>
      <c r="B530" s="4972"/>
      <c r="C530" s="4969"/>
      <c r="D530" s="4969"/>
      <c r="E530" s="4969"/>
      <c r="F530" s="4972"/>
      <c r="G530" s="4972"/>
      <c r="H530" s="4972"/>
      <c r="I530" s="4972"/>
      <c r="J530" s="4972"/>
      <c r="K530" s="4972"/>
      <c r="L530" s="4969"/>
      <c r="M530" s="4969"/>
      <c r="N530" s="4969"/>
      <c r="O530" s="4969"/>
      <c r="P530" s="4969"/>
      <c r="Q530" s="4969"/>
      <c r="R530" s="4969"/>
      <c r="S530" s="1513"/>
    </row>
    <row r="531" spans="1:19" ht="8.1" customHeight="1">
      <c r="A531" s="1516">
        <v>45</v>
      </c>
      <c r="B531" s="4975">
        <f t="shared" ref="B531" si="103">B54</f>
        <v>0</v>
      </c>
      <c r="C531" s="4969">
        <f>C434</f>
        <v>0</v>
      </c>
      <c r="D531" s="4969"/>
      <c r="E531" s="4969"/>
      <c r="F531" s="4972"/>
      <c r="G531" s="4972"/>
      <c r="H531" s="4972"/>
      <c r="I531" s="4972">
        <f>F531-H531</f>
        <v>0</v>
      </c>
      <c r="J531" s="4972"/>
      <c r="K531" s="4972"/>
      <c r="L531" s="4969">
        <f>I531+J531-K531</f>
        <v>0</v>
      </c>
      <c r="M531" s="4969"/>
      <c r="N531" s="4969"/>
      <c r="O531" s="4969">
        <f>L531+M531-N531</f>
        <v>0</v>
      </c>
      <c r="P531" s="4969"/>
      <c r="Q531" s="4969">
        <f>O531-R531</f>
        <v>0</v>
      </c>
      <c r="R531" s="4969"/>
      <c r="S531" s="1513"/>
    </row>
    <row r="532" spans="1:19" ht="8.1" customHeight="1">
      <c r="A532" s="1516">
        <v>46</v>
      </c>
      <c r="B532" s="4972"/>
      <c r="C532" s="4969"/>
      <c r="D532" s="4969"/>
      <c r="E532" s="4969"/>
      <c r="F532" s="4972"/>
      <c r="G532" s="4972"/>
      <c r="H532" s="4972"/>
      <c r="I532" s="4972"/>
      <c r="J532" s="4972"/>
      <c r="K532" s="4972"/>
      <c r="L532" s="4969"/>
      <c r="M532" s="4969"/>
      <c r="N532" s="4969"/>
      <c r="O532" s="4969"/>
      <c r="P532" s="4969"/>
      <c r="Q532" s="4969"/>
      <c r="R532" s="4969"/>
      <c r="S532" s="1513"/>
    </row>
    <row r="533" spans="1:19" ht="8.1" customHeight="1">
      <c r="A533" s="1516">
        <v>47</v>
      </c>
      <c r="B533" s="4975">
        <f t="shared" ref="B533" si="104">B56</f>
        <v>0</v>
      </c>
      <c r="C533" s="4969" t="s">
        <v>408</v>
      </c>
      <c r="D533" s="4969"/>
      <c r="E533" s="4969"/>
      <c r="F533" s="4972">
        <f>SUM(F493:F532)</f>
        <v>599</v>
      </c>
      <c r="G533" s="4972">
        <f t="shared" ref="G533:N533" si="105">SUM(G493:G532)</f>
        <v>22</v>
      </c>
      <c r="H533" s="4972">
        <f t="shared" si="105"/>
        <v>0</v>
      </c>
      <c r="I533" s="4972">
        <f t="shared" si="105"/>
        <v>599</v>
      </c>
      <c r="J533" s="4972">
        <f>SUM(J493:J532)</f>
        <v>32</v>
      </c>
      <c r="K533" s="4972">
        <f t="shared" si="105"/>
        <v>42</v>
      </c>
      <c r="L533" s="4969">
        <f>SUM(L493:L532)</f>
        <v>589</v>
      </c>
      <c r="M533" s="4969">
        <f>SUM(M493:M532)</f>
        <v>0</v>
      </c>
      <c r="N533" s="4969">
        <f t="shared" si="105"/>
        <v>0</v>
      </c>
      <c r="O533" s="4965">
        <f>SUM(O493:O493:P532)</f>
        <v>589</v>
      </c>
      <c r="P533" s="4966"/>
      <c r="Q533" s="4969">
        <f>SUM(Q493:Q532)</f>
        <v>589</v>
      </c>
      <c r="R533" s="4969">
        <f>SUM(R493:R532)</f>
        <v>0</v>
      </c>
      <c r="S533" s="1513"/>
    </row>
    <row r="534" spans="1:19" ht="8.1" customHeight="1">
      <c r="A534" s="1516">
        <v>48</v>
      </c>
      <c r="B534" s="4972"/>
      <c r="C534" s="4969"/>
      <c r="D534" s="4969"/>
      <c r="E534" s="4969"/>
      <c r="F534" s="4972"/>
      <c r="G534" s="4972"/>
      <c r="H534" s="4972"/>
      <c r="I534" s="4972"/>
      <c r="J534" s="4972"/>
      <c r="K534" s="4972"/>
      <c r="L534" s="4969"/>
      <c r="M534" s="4969"/>
      <c r="N534" s="4969"/>
      <c r="O534" s="4967"/>
      <c r="P534" s="4968"/>
      <c r="Q534" s="4969"/>
      <c r="R534" s="4969"/>
      <c r="S534" s="1513"/>
    </row>
    <row r="535" spans="1:19" ht="8.1" customHeight="1">
      <c r="A535" s="1516">
        <v>49</v>
      </c>
      <c r="B535" s="1572"/>
      <c r="C535" s="1573"/>
      <c r="D535" s="1573"/>
      <c r="E535" s="1573"/>
      <c r="F535" s="4970">
        <f>F533</f>
        <v>599</v>
      </c>
      <c r="G535" s="4973"/>
      <c r="H535" s="4973"/>
      <c r="I535" s="4973"/>
      <c r="J535" s="4970">
        <f>F535+J533</f>
        <v>631</v>
      </c>
      <c r="K535" s="4970">
        <f>J535-K533</f>
        <v>589</v>
      </c>
      <c r="L535" s="4970">
        <f>J535-K533</f>
        <v>589</v>
      </c>
      <c r="M535" s="5079"/>
      <c r="N535" s="5080"/>
      <c r="O535" s="5079"/>
      <c r="P535" s="5080"/>
      <c r="Q535" s="4973"/>
      <c r="R535" s="5083"/>
      <c r="S535" s="1513"/>
    </row>
    <row r="536" spans="1:19" ht="8.1" customHeight="1">
      <c r="A536" s="1516">
        <v>50</v>
      </c>
      <c r="B536" s="1574"/>
      <c r="C536" s="1575"/>
      <c r="D536" s="1575"/>
      <c r="E536" s="1575"/>
      <c r="F536" s="4971"/>
      <c r="G536" s="4974"/>
      <c r="H536" s="4974"/>
      <c r="I536" s="4974"/>
      <c r="J536" s="4971"/>
      <c r="K536" s="4971"/>
      <c r="L536" s="4971"/>
      <c r="M536" s="5081"/>
      <c r="N536" s="5082"/>
      <c r="O536" s="5081"/>
      <c r="P536" s="5082"/>
      <c r="Q536" s="4974"/>
      <c r="R536" s="5084"/>
      <c r="S536" s="1513"/>
    </row>
    <row r="537" spans="1:19" ht="8.1" customHeight="1">
      <c r="A537" s="1516">
        <v>51</v>
      </c>
      <c r="B537" s="4925"/>
      <c r="C537" s="4945" t="s">
        <v>1475</v>
      </c>
      <c r="D537" s="4945"/>
      <c r="E537" s="4945"/>
      <c r="F537" s="4919"/>
      <c r="G537" s="4919"/>
      <c r="H537" s="4919"/>
      <c r="I537" s="4945" t="s">
        <v>1476</v>
      </c>
      <c r="J537" s="4945"/>
      <c r="K537" s="4945"/>
      <c r="L537" s="4919"/>
      <c r="M537" s="4919"/>
      <c r="N537" s="4919"/>
      <c r="O537" s="4945" t="s">
        <v>1496</v>
      </c>
      <c r="P537" s="4945"/>
      <c r="Q537" s="4945"/>
      <c r="R537" s="4923"/>
      <c r="S537" s="1513"/>
    </row>
    <row r="538" spans="1:19" ht="8.1" customHeight="1">
      <c r="A538" s="1516">
        <v>52</v>
      </c>
      <c r="B538" s="4925"/>
      <c r="C538" s="4945"/>
      <c r="D538" s="4945"/>
      <c r="E538" s="4945"/>
      <c r="F538" s="4919"/>
      <c r="G538" s="4919"/>
      <c r="H538" s="4919"/>
      <c r="I538" s="4945"/>
      <c r="J538" s="4945"/>
      <c r="K538" s="4945"/>
      <c r="L538" s="4919"/>
      <c r="M538" s="4919"/>
      <c r="N538" s="4919"/>
      <c r="O538" s="4945"/>
      <c r="P538" s="4945"/>
      <c r="Q538" s="4945"/>
      <c r="R538" s="4923"/>
      <c r="S538" s="1513"/>
    </row>
    <row r="539" spans="1:19" ht="8.1" customHeight="1">
      <c r="A539" s="1516">
        <v>53</v>
      </c>
      <c r="B539" s="4925" t="s">
        <v>1497</v>
      </c>
      <c r="C539" s="4919"/>
      <c r="D539" s="4919"/>
      <c r="E539" s="4919"/>
      <c r="F539" s="4919"/>
      <c r="G539" s="4919"/>
      <c r="H539" s="4919" t="s">
        <v>1498</v>
      </c>
      <c r="I539" s="4919"/>
      <c r="J539" s="4919"/>
      <c r="K539" s="4919"/>
      <c r="L539" s="4919"/>
      <c r="M539" s="4919"/>
      <c r="N539" s="4919" t="s">
        <v>1499</v>
      </c>
      <c r="O539" s="4919"/>
      <c r="P539" s="4919"/>
      <c r="Q539" s="4919"/>
      <c r="R539" s="4923"/>
      <c r="S539" s="1513"/>
    </row>
    <row r="540" spans="1:19" ht="8.1" customHeight="1">
      <c r="A540" s="1516">
        <v>54</v>
      </c>
      <c r="B540" s="4925"/>
      <c r="C540" s="4919"/>
      <c r="D540" s="4919"/>
      <c r="E540" s="4919"/>
      <c r="F540" s="4919"/>
      <c r="G540" s="4919"/>
      <c r="H540" s="4919"/>
      <c r="I540" s="4919"/>
      <c r="J540" s="4919"/>
      <c r="K540" s="4919"/>
      <c r="L540" s="4919"/>
      <c r="M540" s="4919"/>
      <c r="N540" s="4919"/>
      <c r="O540" s="4919"/>
      <c r="P540" s="4919"/>
      <c r="Q540" s="4919"/>
      <c r="R540" s="4923"/>
      <c r="S540" s="1513"/>
    </row>
    <row r="541" spans="1:19" ht="8.1" customHeight="1">
      <c r="A541" s="1516">
        <v>55</v>
      </c>
      <c r="B541" s="4925"/>
      <c r="C541" s="4959" t="s">
        <v>1500</v>
      </c>
      <c r="D541" s="4960"/>
      <c r="E541" s="4961"/>
      <c r="F541" s="4919"/>
      <c r="G541" s="4919"/>
      <c r="H541" s="4919"/>
      <c r="I541" s="4959" t="s">
        <v>1500</v>
      </c>
      <c r="J541" s="4960"/>
      <c r="K541" s="4961"/>
      <c r="L541" s="4919"/>
      <c r="M541" s="4919"/>
      <c r="N541" s="4919"/>
      <c r="O541" s="4959" t="s">
        <v>1500</v>
      </c>
      <c r="P541" s="4960"/>
      <c r="Q541" s="4961"/>
      <c r="R541" s="4923"/>
      <c r="S541" s="1513"/>
    </row>
    <row r="542" spans="1:19" ht="8.1" customHeight="1">
      <c r="A542" s="1516">
        <v>56</v>
      </c>
      <c r="B542" s="4925"/>
      <c r="C542" s="4962"/>
      <c r="D542" s="4963"/>
      <c r="E542" s="4964"/>
      <c r="F542" s="4919"/>
      <c r="G542" s="4919"/>
      <c r="H542" s="4919"/>
      <c r="I542" s="4962"/>
      <c r="J542" s="4963"/>
      <c r="K542" s="4964"/>
      <c r="L542" s="4919"/>
      <c r="M542" s="4919"/>
      <c r="N542" s="4919"/>
      <c r="O542" s="4962"/>
      <c r="P542" s="4963"/>
      <c r="Q542" s="4964"/>
      <c r="R542" s="4923"/>
      <c r="S542" s="1513"/>
    </row>
    <row r="543" spans="1:19" ht="8.1" customHeight="1">
      <c r="A543" s="1516">
        <v>57</v>
      </c>
      <c r="B543" s="4925"/>
      <c r="C543" s="4919"/>
      <c r="D543" s="4919"/>
      <c r="E543" s="4919"/>
      <c r="F543" s="4919"/>
      <c r="G543" s="4919"/>
      <c r="H543" s="4919"/>
      <c r="I543" s="4919"/>
      <c r="J543" s="4919"/>
      <c r="K543" s="4919"/>
      <c r="L543" s="4919"/>
      <c r="M543" s="4919"/>
      <c r="N543" s="4919"/>
      <c r="O543" s="4919"/>
      <c r="P543" s="4919"/>
      <c r="Q543" s="4919"/>
      <c r="R543" s="4923"/>
      <c r="S543" s="1513"/>
    </row>
    <row r="544" spans="1:19" ht="8.1" customHeight="1">
      <c r="A544" s="1516">
        <v>58</v>
      </c>
      <c r="B544" s="4925"/>
      <c r="C544" s="4919"/>
      <c r="D544" s="4919"/>
      <c r="E544" s="4919"/>
      <c r="F544" s="4919"/>
      <c r="G544" s="4919"/>
      <c r="H544" s="4919"/>
      <c r="I544" s="4919"/>
      <c r="J544" s="4919"/>
      <c r="K544" s="4919"/>
      <c r="L544" s="4919"/>
      <c r="M544" s="4919"/>
      <c r="N544" s="4919"/>
      <c r="O544" s="4919"/>
      <c r="P544" s="4919"/>
      <c r="Q544" s="4919"/>
      <c r="R544" s="4923"/>
      <c r="S544" s="1513"/>
    </row>
    <row r="545" spans="1:19" ht="8.1" customHeight="1">
      <c r="A545" s="1516">
        <v>59</v>
      </c>
      <c r="B545" s="4954" t="str">
        <f>L448</f>
        <v>JESUS MARTIN RICALDE CASTRO</v>
      </c>
      <c r="C545" s="4945"/>
      <c r="D545" s="4945"/>
      <c r="E545" s="4945"/>
      <c r="F545" s="4945"/>
      <c r="G545" s="4919"/>
      <c r="H545" s="4945" t="str">
        <f>B545</f>
        <v>JESUS MARTIN RICALDE CASTRO</v>
      </c>
      <c r="I545" s="4945"/>
      <c r="J545" s="4945"/>
      <c r="K545" s="4945"/>
      <c r="L545" s="4945"/>
      <c r="M545" s="4919"/>
      <c r="N545" s="4945" t="str">
        <f>H545</f>
        <v>JESUS MARTIN RICALDE CASTRO</v>
      </c>
      <c r="O545" s="4945"/>
      <c r="P545" s="4945"/>
      <c r="Q545" s="4945"/>
      <c r="R545" s="4957"/>
      <c r="S545" s="1513"/>
    </row>
    <row r="546" spans="1:19" ht="8.1" customHeight="1">
      <c r="A546" s="1516">
        <v>60</v>
      </c>
      <c r="B546" s="4955"/>
      <c r="C546" s="4956"/>
      <c r="D546" s="4956"/>
      <c r="E546" s="4956"/>
      <c r="F546" s="4956"/>
      <c r="G546" s="4919"/>
      <c r="H546" s="4956"/>
      <c r="I546" s="4956"/>
      <c r="J546" s="4956"/>
      <c r="K546" s="4956"/>
      <c r="L546" s="4956"/>
      <c r="M546" s="4919"/>
      <c r="N546" s="4956"/>
      <c r="O546" s="4956"/>
      <c r="P546" s="4956"/>
      <c r="Q546" s="4956"/>
      <c r="R546" s="4958"/>
      <c r="S546" s="1513"/>
    </row>
    <row r="547" spans="1:19" ht="8.1" customHeight="1">
      <c r="A547" s="1516">
        <v>61</v>
      </c>
      <c r="B547" s="4950" t="s">
        <v>1480</v>
      </c>
      <c r="C547" s="4921"/>
      <c r="D547" s="4921"/>
      <c r="E547" s="4921"/>
      <c r="F547" s="4921"/>
      <c r="G547" s="4919"/>
      <c r="H547" s="4921" t="s">
        <v>1480</v>
      </c>
      <c r="I547" s="4921"/>
      <c r="J547" s="4921"/>
      <c r="K547" s="4921"/>
      <c r="L547" s="4921"/>
      <c r="M547" s="4919"/>
      <c r="N547" s="4921" t="s">
        <v>1480</v>
      </c>
      <c r="O547" s="4921"/>
      <c r="P547" s="4921"/>
      <c r="Q547" s="4921"/>
      <c r="R547" s="4952"/>
      <c r="S547" s="1513"/>
    </row>
    <row r="548" spans="1:19" ht="8.1" customHeight="1">
      <c r="A548" s="1516">
        <v>62</v>
      </c>
      <c r="B548" s="4951"/>
      <c r="C548" s="4922"/>
      <c r="D548" s="4922"/>
      <c r="E548" s="4922"/>
      <c r="F548" s="4922"/>
      <c r="G548" s="4919"/>
      <c r="H548" s="4922"/>
      <c r="I548" s="4922"/>
      <c r="J548" s="4922"/>
      <c r="K548" s="4922"/>
      <c r="L548" s="4922"/>
      <c r="M548" s="4919"/>
      <c r="N548" s="4922"/>
      <c r="O548" s="4922"/>
      <c r="P548" s="4922"/>
      <c r="Q548" s="4922"/>
      <c r="R548" s="4953"/>
      <c r="S548" s="1513"/>
    </row>
    <row r="549" spans="1:19" ht="8.1" customHeight="1">
      <c r="A549" s="1516">
        <v>63</v>
      </c>
      <c r="B549" s="4925"/>
      <c r="C549" s="4919"/>
      <c r="D549" s="4919"/>
      <c r="E549" s="4919"/>
      <c r="F549" s="4919"/>
      <c r="G549" s="4919"/>
      <c r="H549" s="4919"/>
      <c r="I549" s="4919"/>
      <c r="J549" s="4919"/>
      <c r="K549" s="4919"/>
      <c r="L549" s="4919"/>
      <c r="M549" s="4919"/>
      <c r="N549" s="4919"/>
      <c r="O549" s="4919"/>
      <c r="P549" s="4919"/>
      <c r="Q549" s="4919"/>
      <c r="R549" s="4923"/>
      <c r="S549" s="1513"/>
    </row>
    <row r="550" spans="1:19" ht="8.1" customHeight="1">
      <c r="A550" s="1516">
        <v>64</v>
      </c>
      <c r="B550" s="4925"/>
      <c r="C550" s="4919"/>
      <c r="D550" s="4919"/>
      <c r="E550" s="4919"/>
      <c r="F550" s="4919"/>
      <c r="G550" s="4919"/>
      <c r="H550" s="4919"/>
      <c r="I550" s="4919"/>
      <c r="J550" s="4919"/>
      <c r="K550" s="4919"/>
      <c r="L550" s="4919"/>
      <c r="M550" s="4919"/>
      <c r="N550" s="4919"/>
      <c r="O550" s="4919"/>
      <c r="P550" s="4919"/>
      <c r="Q550" s="4919"/>
      <c r="R550" s="4923"/>
      <c r="S550" s="1513"/>
    </row>
    <row r="551" spans="1:19" ht="8.1" customHeight="1">
      <c r="A551" s="1516">
        <v>65</v>
      </c>
      <c r="B551" s="4939" t="str">
        <f>D74</f>
        <v>KATIA DIAZ ORTIZ</v>
      </c>
      <c r="C551" s="4940"/>
      <c r="D551" s="4940"/>
      <c r="E551" s="4940"/>
      <c r="F551" s="4941"/>
      <c r="G551" s="4945"/>
      <c r="H551" s="4946" t="str">
        <f>B551</f>
        <v>KATIA DIAZ ORTIZ</v>
      </c>
      <c r="I551" s="4940"/>
      <c r="J551" s="4940"/>
      <c r="K551" s="4940"/>
      <c r="L551" s="4941"/>
      <c r="M551" s="4945"/>
      <c r="N551" s="4946" t="str">
        <f>H551</f>
        <v>KATIA DIAZ ORTIZ</v>
      </c>
      <c r="O551" s="4940"/>
      <c r="P551" s="4940"/>
      <c r="Q551" s="4940"/>
      <c r="R551" s="4948"/>
      <c r="S551" s="1513"/>
    </row>
    <row r="552" spans="1:19" ht="8.1" customHeight="1">
      <c r="A552" s="1516">
        <v>66</v>
      </c>
      <c r="B552" s="4942"/>
      <c r="C552" s="4943"/>
      <c r="D552" s="4943"/>
      <c r="E552" s="4943"/>
      <c r="F552" s="4944"/>
      <c r="G552" s="4945"/>
      <c r="H552" s="4947"/>
      <c r="I552" s="4943"/>
      <c r="J552" s="4943"/>
      <c r="K552" s="4943"/>
      <c r="L552" s="4944"/>
      <c r="M552" s="4945"/>
      <c r="N552" s="4947"/>
      <c r="O552" s="4943"/>
      <c r="P552" s="4943"/>
      <c r="Q552" s="4943"/>
      <c r="R552" s="4949"/>
      <c r="S552" s="1513"/>
    </row>
    <row r="553" spans="1:19" ht="8.1" customHeight="1">
      <c r="A553" s="1516">
        <v>67</v>
      </c>
      <c r="B553" s="4950" t="s">
        <v>1481</v>
      </c>
      <c r="C553" s="4921"/>
      <c r="D553" s="4921"/>
      <c r="E553" s="4921"/>
      <c r="F553" s="4921"/>
      <c r="G553" s="4919"/>
      <c r="H553" s="4921" t="s">
        <v>1481</v>
      </c>
      <c r="I553" s="4921"/>
      <c r="J553" s="4921"/>
      <c r="K553" s="4921"/>
      <c r="L553" s="4921"/>
      <c r="M553" s="4919"/>
      <c r="N553" s="4921" t="s">
        <v>1481</v>
      </c>
      <c r="O553" s="4921"/>
      <c r="P553" s="4921"/>
      <c r="Q553" s="4921"/>
      <c r="R553" s="4952"/>
      <c r="S553" s="1513"/>
    </row>
    <row r="554" spans="1:19" ht="8.1" customHeight="1">
      <c r="A554" s="1516">
        <v>68</v>
      </c>
      <c r="B554" s="4951"/>
      <c r="C554" s="4922"/>
      <c r="D554" s="4922"/>
      <c r="E554" s="4922"/>
      <c r="F554" s="4922"/>
      <c r="G554" s="4919"/>
      <c r="H554" s="4922"/>
      <c r="I554" s="4922"/>
      <c r="J554" s="4922"/>
      <c r="K554" s="4922"/>
      <c r="L554" s="4922"/>
      <c r="M554" s="4919"/>
      <c r="N554" s="4922"/>
      <c r="O554" s="4922"/>
      <c r="P554" s="4922"/>
      <c r="Q554" s="4922"/>
      <c r="R554" s="4953"/>
      <c r="S554" s="1513"/>
    </row>
    <row r="555" spans="1:19" ht="8.1" customHeight="1">
      <c r="A555" s="1516">
        <v>69</v>
      </c>
      <c r="B555" s="4925"/>
      <c r="C555" s="4919"/>
      <c r="D555" s="4919"/>
      <c r="E555" s="4919"/>
      <c r="F555" s="4919"/>
      <c r="G555" s="4919"/>
      <c r="H555" s="4919"/>
      <c r="I555" s="4919"/>
      <c r="J555" s="4919"/>
      <c r="K555" s="4919"/>
      <c r="L555" s="4919"/>
      <c r="M555" s="4919"/>
      <c r="N555" s="4919"/>
      <c r="O555" s="4919"/>
      <c r="P555" s="4919"/>
      <c r="Q555" s="4919"/>
      <c r="R555" s="4923"/>
      <c r="S555" s="1513"/>
    </row>
    <row r="556" spans="1:19" ht="8.1" customHeight="1">
      <c r="A556" s="1516">
        <v>70</v>
      </c>
      <c r="B556" s="4925"/>
      <c r="C556" s="4919"/>
      <c r="D556" s="4919"/>
      <c r="E556" s="4919"/>
      <c r="F556" s="4919"/>
      <c r="G556" s="4919"/>
      <c r="H556" s="4919"/>
      <c r="I556" s="4919"/>
      <c r="J556" s="4919"/>
      <c r="K556" s="4919"/>
      <c r="L556" s="4919"/>
      <c r="M556" s="4919"/>
      <c r="N556" s="4919"/>
      <c r="O556" s="4919"/>
      <c r="P556" s="4919"/>
      <c r="Q556" s="4919"/>
      <c r="R556" s="4923"/>
      <c r="S556" s="1513"/>
    </row>
    <row r="557" spans="1:19" ht="8.1" customHeight="1">
      <c r="A557" s="1516">
        <v>71</v>
      </c>
      <c r="B557" s="4925"/>
      <c r="C557" s="4926" t="str">
        <f>E460</f>
        <v>19 DE NOVIEMBRE DE 2013</v>
      </c>
      <c r="D557" s="4927"/>
      <c r="E557" s="4928"/>
      <c r="F557" s="4932"/>
      <c r="G557" s="4932"/>
      <c r="H557" s="4932"/>
      <c r="I557" s="4926">
        <f>I460</f>
        <v>0</v>
      </c>
      <c r="J557" s="4927"/>
      <c r="K557" s="4928"/>
      <c r="L557" s="4932"/>
      <c r="M557" s="4932"/>
      <c r="N557" s="4932"/>
      <c r="O557" s="4933" t="str">
        <f>M460</f>
        <v>09 DE OCTUBRE DE 2013</v>
      </c>
      <c r="P557" s="4934"/>
      <c r="Q557" s="4935"/>
      <c r="R557" s="4923"/>
      <c r="S557" s="1513"/>
    </row>
    <row r="558" spans="1:19" ht="8.1" customHeight="1">
      <c r="A558" s="1516">
        <v>72</v>
      </c>
      <c r="B558" s="4925"/>
      <c r="C558" s="4929"/>
      <c r="D558" s="4930"/>
      <c r="E558" s="4931"/>
      <c r="F558" s="4932"/>
      <c r="G558" s="4932"/>
      <c r="H558" s="4932"/>
      <c r="I558" s="4929"/>
      <c r="J558" s="4930"/>
      <c r="K558" s="4931"/>
      <c r="L558" s="4932"/>
      <c r="M558" s="4932"/>
      <c r="N558" s="4932"/>
      <c r="O558" s="4936"/>
      <c r="P558" s="4937"/>
      <c r="Q558" s="4938"/>
      <c r="R558" s="4923"/>
      <c r="S558" s="1513"/>
    </row>
    <row r="559" spans="1:19" ht="8.1" customHeight="1">
      <c r="A559" s="1516">
        <v>73</v>
      </c>
      <c r="B559" s="4925"/>
      <c r="C559" s="4920"/>
      <c r="D559" s="4921" t="s">
        <v>1458</v>
      </c>
      <c r="E559" s="4920"/>
      <c r="F559" s="4919"/>
      <c r="G559" s="4919"/>
      <c r="H559" s="4919"/>
      <c r="I559" s="4920"/>
      <c r="J559" s="4921" t="s">
        <v>1458</v>
      </c>
      <c r="K559" s="4920"/>
      <c r="L559" s="4919"/>
      <c r="M559" s="4919"/>
      <c r="N559" s="4919"/>
      <c r="O559" s="4920"/>
      <c r="P559" s="4921" t="s">
        <v>1458</v>
      </c>
      <c r="Q559" s="4920"/>
      <c r="R559" s="4923"/>
      <c r="S559" s="1513"/>
    </row>
    <row r="560" spans="1:19" ht="8.1" customHeight="1">
      <c r="A560" s="1516">
        <v>74</v>
      </c>
      <c r="B560" s="4925"/>
      <c r="C560" s="4919"/>
      <c r="D560" s="4922"/>
      <c r="E560" s="4919"/>
      <c r="F560" s="4919"/>
      <c r="G560" s="4919"/>
      <c r="H560" s="4919"/>
      <c r="I560" s="4919"/>
      <c r="J560" s="4922"/>
      <c r="K560" s="4919"/>
      <c r="L560" s="4919"/>
      <c r="M560" s="4919"/>
      <c r="N560" s="4919"/>
      <c r="O560" s="4919"/>
      <c r="P560" s="4922"/>
      <c r="Q560" s="4919"/>
      <c r="R560" s="4923"/>
      <c r="S560" s="1513"/>
    </row>
    <row r="561" spans="1:19" ht="8.1" customHeight="1">
      <c r="A561" s="1516">
        <v>75</v>
      </c>
      <c r="B561" s="2244"/>
      <c r="C561" s="4924"/>
      <c r="D561" s="4924"/>
      <c r="E561" s="4924"/>
      <c r="F561" s="2242"/>
      <c r="G561" s="2242"/>
      <c r="H561" s="2242"/>
      <c r="I561" s="2242"/>
      <c r="J561" s="2242"/>
      <c r="K561" s="2242"/>
      <c r="L561" s="2242"/>
      <c r="M561" s="2242"/>
      <c r="N561" s="2242"/>
      <c r="O561" s="2242"/>
      <c r="P561" s="2242"/>
      <c r="Q561" s="2242"/>
      <c r="R561" s="2243"/>
      <c r="S561" s="1513"/>
    </row>
    <row r="562" spans="1:19" ht="8.1" customHeight="1">
      <c r="A562" s="1516">
        <v>76</v>
      </c>
      <c r="B562" s="2245"/>
      <c r="C562" s="4914"/>
      <c r="D562" s="4914"/>
      <c r="E562" s="4914"/>
      <c r="F562" s="2246"/>
      <c r="G562" s="2246"/>
      <c r="H562" s="2246"/>
      <c r="I562" s="2246"/>
      <c r="J562" s="2246"/>
      <c r="K562" s="2246"/>
      <c r="L562" s="2246"/>
      <c r="M562" s="2246"/>
      <c r="N562" s="2246"/>
      <c r="O562" s="2246"/>
      <c r="P562" s="2246"/>
      <c r="Q562" s="2246"/>
      <c r="R562" s="2247"/>
      <c r="S562" s="1513"/>
    </row>
    <row r="563" spans="1:19" ht="8.1" customHeight="1">
      <c r="A563" s="1516"/>
      <c r="B563" s="2263"/>
      <c r="C563" s="2263"/>
      <c r="D563" s="2263"/>
      <c r="E563" s="2263"/>
      <c r="F563" s="2263"/>
      <c r="G563" s="2263"/>
      <c r="H563" s="2263"/>
      <c r="I563" s="2263"/>
      <c r="J563" s="2263"/>
      <c r="K563" s="2263"/>
      <c r="L563" s="2263"/>
      <c r="M563" s="2263"/>
      <c r="N563" s="2263"/>
      <c r="O563" s="2263"/>
      <c r="P563" s="2263"/>
      <c r="Q563" s="2263"/>
      <c r="R563" s="2263"/>
      <c r="S563" s="1513"/>
    </row>
    <row r="564" spans="1:19" ht="8.1" customHeight="1">
      <c r="A564" s="1516"/>
      <c r="B564" s="2263"/>
      <c r="C564" s="2263"/>
      <c r="D564" s="2263"/>
      <c r="E564" s="2263"/>
      <c r="F564" s="2263"/>
      <c r="G564" s="2263"/>
      <c r="H564" s="2263"/>
      <c r="I564" s="2263"/>
      <c r="J564" s="2263"/>
      <c r="K564" s="2263"/>
      <c r="L564" s="2263"/>
      <c r="M564" s="2263"/>
      <c r="N564" s="2263"/>
      <c r="O564" s="2263"/>
      <c r="P564" s="2263"/>
      <c r="Q564" s="2263"/>
      <c r="R564" s="2263"/>
      <c r="S564" s="1513"/>
    </row>
    <row r="565" spans="1:19" ht="8.1" customHeight="1">
      <c r="A565" s="1516"/>
      <c r="B565" s="2263"/>
      <c r="C565" s="2263"/>
      <c r="D565" s="2263"/>
      <c r="E565" s="2263"/>
      <c r="F565" s="2263"/>
      <c r="G565" s="2263"/>
      <c r="H565" s="2263"/>
      <c r="I565" s="2263"/>
      <c r="J565" s="2263"/>
      <c r="K565" s="2263"/>
      <c r="L565" s="2263"/>
      <c r="M565" s="2263"/>
      <c r="N565" s="2263"/>
      <c r="O565" s="2263"/>
      <c r="P565" s="2263"/>
      <c r="Q565" s="2263"/>
      <c r="R565" s="2263"/>
      <c r="S565" s="1513"/>
    </row>
    <row r="566" spans="1:19" ht="8.1" customHeight="1">
      <c r="A566" s="1516"/>
      <c r="B566" s="2263"/>
      <c r="C566" s="2263"/>
      <c r="D566" s="2263"/>
      <c r="E566" s="2263"/>
      <c r="F566" s="2263"/>
      <c r="G566" s="2263"/>
      <c r="H566" s="2263"/>
      <c r="I566" s="2263"/>
      <c r="J566" s="2263"/>
      <c r="K566" s="2263"/>
      <c r="L566" s="2263"/>
      <c r="M566" s="2263"/>
      <c r="N566" s="2263"/>
      <c r="O566" s="2263"/>
      <c r="P566" s="2263"/>
      <c r="Q566" s="2263"/>
      <c r="R566" s="2263"/>
      <c r="S566" s="1513"/>
    </row>
    <row r="567" spans="1:19" ht="8.1" customHeight="1">
      <c r="A567" s="1516"/>
      <c r="B567" s="2263"/>
      <c r="C567" s="2263"/>
      <c r="D567" s="2263"/>
      <c r="E567" s="2263"/>
      <c r="F567" s="2263"/>
      <c r="G567" s="2263"/>
      <c r="H567" s="2263"/>
      <c r="I567" s="2263"/>
      <c r="J567" s="2263"/>
      <c r="K567" s="2263"/>
      <c r="L567" s="2263"/>
      <c r="M567" s="2263"/>
      <c r="N567" s="2263"/>
      <c r="O567" s="2263"/>
      <c r="P567" s="2263"/>
      <c r="Q567" s="2263"/>
      <c r="R567" s="2263"/>
      <c r="S567" s="1513"/>
    </row>
    <row r="568" spans="1:19" ht="8.1" customHeight="1">
      <c r="A568" s="1516"/>
      <c r="B568" s="2263"/>
      <c r="C568" s="2263"/>
      <c r="D568" s="2263"/>
      <c r="E568" s="2263"/>
      <c r="F568" s="2263"/>
      <c r="G568" s="2263"/>
      <c r="H568" s="2263"/>
      <c r="I568" s="2263"/>
      <c r="J568" s="2263"/>
      <c r="K568" s="2263"/>
      <c r="L568" s="2263"/>
      <c r="M568" s="2263"/>
      <c r="N568" s="2263"/>
      <c r="O568" s="2263"/>
      <c r="P568" s="2263"/>
      <c r="Q568" s="2263"/>
      <c r="R568" s="2263"/>
      <c r="S568" s="1513"/>
    </row>
    <row r="569" spans="1:19" ht="8.1" customHeight="1">
      <c r="A569" s="1507"/>
      <c r="B569" s="1508"/>
      <c r="C569" s="1508"/>
      <c r="D569" s="1508"/>
      <c r="E569" s="1508"/>
      <c r="F569" s="1508"/>
      <c r="G569" s="1515"/>
      <c r="H569" s="1515"/>
      <c r="I569" s="1515"/>
      <c r="J569" s="1515"/>
      <c r="K569" s="1515"/>
      <c r="L569" s="1515"/>
      <c r="M569" s="1515"/>
      <c r="N569" s="1515"/>
      <c r="O569" s="1515"/>
      <c r="P569" s="1508"/>
      <c r="Q569" s="1508"/>
      <c r="R569" s="1508"/>
      <c r="S569" s="1513"/>
    </row>
    <row r="570" spans="1:19" ht="8.1" customHeight="1">
      <c r="A570" s="1507"/>
      <c r="B570" s="1508"/>
      <c r="C570" s="1508"/>
      <c r="D570" s="1508"/>
      <c r="E570" s="1508"/>
      <c r="F570" s="1508"/>
      <c r="G570" s="1515"/>
      <c r="H570" s="1515"/>
      <c r="I570" s="1515"/>
      <c r="J570" s="1515"/>
      <c r="K570" s="1515"/>
      <c r="L570" s="1515"/>
      <c r="M570" s="1515"/>
      <c r="N570" s="1515"/>
      <c r="O570" s="1515"/>
      <c r="P570" s="1508"/>
      <c r="Q570" s="1508"/>
      <c r="R570" s="1508"/>
      <c r="S570" s="2256"/>
    </row>
    <row r="571" spans="1:19" ht="18" customHeight="1">
      <c r="A571" s="1576"/>
      <c r="B571" s="4915" t="s">
        <v>1501</v>
      </c>
      <c r="C571" s="4915"/>
      <c r="D571" s="4915"/>
      <c r="E571" s="4915"/>
      <c r="F571" s="4915"/>
      <c r="G571" s="4915"/>
      <c r="H571" s="4915"/>
      <c r="I571" s="4915"/>
      <c r="J571" s="4915"/>
      <c r="K571" s="4915"/>
      <c r="L571" s="4915"/>
      <c r="M571" s="4915"/>
      <c r="N571" s="4915"/>
      <c r="O571" s="4915"/>
      <c r="P571" s="4915"/>
      <c r="Q571" s="4915"/>
      <c r="R571" s="4915"/>
      <c r="S571" s="1577"/>
    </row>
    <row r="572" spans="1:19" ht="18" customHeight="1">
      <c r="A572" s="1578"/>
      <c r="B572" s="3912">
        <f>I593+J593</f>
        <v>3476</v>
      </c>
      <c r="C572" s="4904"/>
      <c r="D572" s="4903" t="s">
        <v>1508</v>
      </c>
      <c r="E572" s="4903"/>
      <c r="F572" s="4903"/>
      <c r="G572" s="4903"/>
      <c r="H572" s="4903"/>
      <c r="I572" s="4903"/>
      <c r="J572" s="4903"/>
      <c r="K572" s="4903"/>
      <c r="L572" s="4903"/>
      <c r="M572" s="4903"/>
      <c r="N572" s="4903"/>
      <c r="O572" s="4903"/>
      <c r="P572" s="4903"/>
      <c r="Q572" s="4904">
        <f>B572-K593</f>
        <v>3146</v>
      </c>
      <c r="R572" s="3938"/>
      <c r="S572" s="1513"/>
    </row>
    <row r="573" spans="1:19" s="18" customFormat="1" ht="18" customHeight="1">
      <c r="A573" s="1578">
        <v>1</v>
      </c>
      <c r="B573" s="4916" t="str">
        <f>C16</f>
        <v>23DPR0055K</v>
      </c>
      <c r="C573" s="4917"/>
      <c r="D573" s="4917"/>
      <c r="E573" s="4918"/>
      <c r="F573" s="3574">
        <f t="shared" ref="F573:L573" si="106">F16+F111+F206+F301+F396+F493</f>
        <v>390</v>
      </c>
      <c r="G573" s="3575">
        <f t="shared" si="106"/>
        <v>12</v>
      </c>
      <c r="H573" s="3576">
        <f>F573+J573</f>
        <v>406</v>
      </c>
      <c r="I573" s="3577">
        <f>F573+J573-K573</f>
        <v>350</v>
      </c>
      <c r="J573" s="3578">
        <f>J16+J111+J206+J301+J396+J493</f>
        <v>16</v>
      </c>
      <c r="K573" s="3579">
        <f t="shared" si="106"/>
        <v>56</v>
      </c>
      <c r="L573" s="3580">
        <f t="shared" si="106"/>
        <v>350</v>
      </c>
      <c r="M573" s="3581">
        <f>M16+M111+M206+M301+M396+O493</f>
        <v>350</v>
      </c>
      <c r="N573" s="3582">
        <f>M16+M111+M206+M301+M396+O493</f>
        <v>350</v>
      </c>
      <c r="O573" s="3579">
        <f>O16+O111+O206+O301+O396+G493</f>
        <v>12</v>
      </c>
      <c r="P573" s="3583">
        <f>O16+O111+O206+O301+O396+G493</f>
        <v>12</v>
      </c>
      <c r="Q573" s="3584">
        <f>Q16+Q111+Q206+Q301+Q396+Q493</f>
        <v>350</v>
      </c>
      <c r="R573" s="3585">
        <f>R16+R111+R206+R301+R396+R493</f>
        <v>0</v>
      </c>
      <c r="S573" s="1579"/>
    </row>
    <row r="574" spans="1:19" s="18" customFormat="1" ht="18" customHeight="1">
      <c r="A574" s="1578">
        <v>2</v>
      </c>
      <c r="B574" s="4905" t="str">
        <f>C18</f>
        <v>23DPR0491L</v>
      </c>
      <c r="C574" s="4906"/>
      <c r="D574" s="4906"/>
      <c r="E574" s="4907"/>
      <c r="F574" s="3586">
        <f t="shared" ref="F574:L574" si="107">F18+F113+F208+F303+F398+F495</f>
        <v>439</v>
      </c>
      <c r="G574" s="3587">
        <f t="shared" si="107"/>
        <v>14</v>
      </c>
      <c r="H574" s="3588">
        <f t="shared" ref="H574:H592" si="108">F574+J574</f>
        <v>461</v>
      </c>
      <c r="I574" s="3589">
        <f t="shared" ref="I574:I592" si="109">F574+J574-K574</f>
        <v>436</v>
      </c>
      <c r="J574" s="3590">
        <f t="shared" si="107"/>
        <v>22</v>
      </c>
      <c r="K574" s="3591">
        <f t="shared" si="107"/>
        <v>25</v>
      </c>
      <c r="L574" s="3592">
        <f t="shared" si="107"/>
        <v>436</v>
      </c>
      <c r="M574" s="3593">
        <f>M18+M113+M208+M303+M398+O495</f>
        <v>436</v>
      </c>
      <c r="N574" s="3594">
        <f>M18+M113+M208+M303+M398+O495</f>
        <v>436</v>
      </c>
      <c r="O574" s="3591">
        <f>O18+O113+O208+O303+O398+G495</f>
        <v>14</v>
      </c>
      <c r="P574" s="3595">
        <f>O18+O113+O208+O303+O398+G495</f>
        <v>14</v>
      </c>
      <c r="Q574" s="3596">
        <f>Q18+Q113+Q208+Q303+Q398+Q495</f>
        <v>436</v>
      </c>
      <c r="R574" s="3597">
        <f>R18+R113+R208+R303+R398+R495</f>
        <v>0</v>
      </c>
      <c r="S574" s="1579"/>
    </row>
    <row r="575" spans="1:19" s="18" customFormat="1" ht="18" customHeight="1">
      <c r="A575" s="1578">
        <v>3</v>
      </c>
      <c r="B575" s="4905" t="str">
        <f>C20</f>
        <v>23DPR0492K</v>
      </c>
      <c r="C575" s="4906"/>
      <c r="D575" s="4906"/>
      <c r="E575" s="4907"/>
      <c r="F575" s="3586">
        <f t="shared" ref="F575:L575" si="110">F20+F115+F210+F305+F400+F497</f>
        <v>274</v>
      </c>
      <c r="G575" s="3587">
        <f t="shared" si="110"/>
        <v>10</v>
      </c>
      <c r="H575" s="3588">
        <f t="shared" si="108"/>
        <v>300</v>
      </c>
      <c r="I575" s="3589">
        <f t="shared" si="109"/>
        <v>263</v>
      </c>
      <c r="J575" s="3590">
        <f t="shared" si="110"/>
        <v>26</v>
      </c>
      <c r="K575" s="3591">
        <f t="shared" si="110"/>
        <v>37</v>
      </c>
      <c r="L575" s="3592">
        <f t="shared" si="110"/>
        <v>263</v>
      </c>
      <c r="M575" s="3593">
        <f>M20+M115+M210+M305+M400+O497</f>
        <v>263</v>
      </c>
      <c r="N575" s="3594">
        <f>M20+M115+M210+M305+M400+O497</f>
        <v>263</v>
      </c>
      <c r="O575" s="3591">
        <f>O20+O115+O210+O305+O400+G497</f>
        <v>10</v>
      </c>
      <c r="P575" s="3595">
        <f>O20+O115+O210+O305+O400+G497</f>
        <v>10</v>
      </c>
      <c r="Q575" s="3596">
        <f>Q20+Q115+Q210+Q305+Q400+Q497</f>
        <v>263</v>
      </c>
      <c r="R575" s="3597">
        <f>R20+R115+R210+R305+R400+R497</f>
        <v>0</v>
      </c>
      <c r="S575" s="1579"/>
    </row>
    <row r="576" spans="1:19" s="18" customFormat="1" ht="18" customHeight="1">
      <c r="A576" s="1578">
        <v>4</v>
      </c>
      <c r="B576" s="4905" t="str">
        <f>C22</f>
        <v>23DPR0564N</v>
      </c>
      <c r="C576" s="4906"/>
      <c r="D576" s="4906"/>
      <c r="E576" s="4907"/>
      <c r="F576" s="3586">
        <f t="shared" ref="F576:L576" si="111">F22+F117+F212+F307+F402+F499</f>
        <v>370</v>
      </c>
      <c r="G576" s="3587">
        <f t="shared" si="111"/>
        <v>12</v>
      </c>
      <c r="H576" s="3588">
        <f t="shared" si="108"/>
        <v>383</v>
      </c>
      <c r="I576" s="3589">
        <f t="shared" si="109"/>
        <v>357</v>
      </c>
      <c r="J576" s="3590">
        <f t="shared" si="111"/>
        <v>13</v>
      </c>
      <c r="K576" s="3591">
        <f t="shared" si="111"/>
        <v>26</v>
      </c>
      <c r="L576" s="3592">
        <f t="shared" si="111"/>
        <v>357</v>
      </c>
      <c r="M576" s="3593">
        <f>M22+M117+M212+M307+M402+O499</f>
        <v>357</v>
      </c>
      <c r="N576" s="3594">
        <f>M22+M117+M212+M307+M402+O499</f>
        <v>357</v>
      </c>
      <c r="O576" s="3591">
        <f>O22+O117+O212+O307+O402+G499</f>
        <v>12</v>
      </c>
      <c r="P576" s="3595">
        <f>O22+O117+O212+O307+O402+G499</f>
        <v>12</v>
      </c>
      <c r="Q576" s="3596">
        <f>Q22+Q117+Q212+Q307+Q402+Q499</f>
        <v>357</v>
      </c>
      <c r="R576" s="3597">
        <f>R22+R117+R212+R307+R402+R499</f>
        <v>0</v>
      </c>
      <c r="S576" s="1579"/>
    </row>
    <row r="577" spans="1:19" s="18" customFormat="1" ht="18" customHeight="1">
      <c r="A577" s="1578">
        <v>5</v>
      </c>
      <c r="B577" s="4905" t="str">
        <f>C24</f>
        <v>23DPR0570Y</v>
      </c>
      <c r="C577" s="4906"/>
      <c r="D577" s="4906"/>
      <c r="E577" s="4907"/>
      <c r="F577" s="3586">
        <f t="shared" ref="F577:L577" si="112">F24+F119+F214+F309+F404+F501</f>
        <v>213</v>
      </c>
      <c r="G577" s="3587">
        <f t="shared" si="112"/>
        <v>7</v>
      </c>
      <c r="H577" s="3588">
        <f t="shared" si="108"/>
        <v>233</v>
      </c>
      <c r="I577" s="3589">
        <f t="shared" si="109"/>
        <v>207</v>
      </c>
      <c r="J577" s="3590">
        <f t="shared" si="112"/>
        <v>20</v>
      </c>
      <c r="K577" s="3591">
        <f t="shared" si="112"/>
        <v>26</v>
      </c>
      <c r="L577" s="3592">
        <f t="shared" si="112"/>
        <v>207</v>
      </c>
      <c r="M577" s="3593">
        <f>M24+M119+M214+M309+M404+O501</f>
        <v>207</v>
      </c>
      <c r="N577" s="3594">
        <f>M24+M119+M214+M309+M404+O501</f>
        <v>207</v>
      </c>
      <c r="O577" s="3591">
        <f>O24+O119+O214+O309+O404+G501</f>
        <v>7</v>
      </c>
      <c r="P577" s="3595">
        <f>O24+O119+O214+O309+O404+G501</f>
        <v>7</v>
      </c>
      <c r="Q577" s="3596">
        <f>Q24+Q119+Q214+Q309+Q404+Q501</f>
        <v>207</v>
      </c>
      <c r="R577" s="3597">
        <f>R24+R119+R214+R309+R404+R501</f>
        <v>0</v>
      </c>
      <c r="S577" s="1579"/>
    </row>
    <row r="578" spans="1:19" s="18" customFormat="1" ht="18" customHeight="1">
      <c r="A578" s="1578">
        <v>6</v>
      </c>
      <c r="B578" s="4905" t="str">
        <f>C26</f>
        <v>23DPR0572W</v>
      </c>
      <c r="C578" s="4906"/>
      <c r="D578" s="4906"/>
      <c r="E578" s="4907"/>
      <c r="F578" s="3586">
        <f t="shared" ref="F578:L578" si="113">F26+F121+F216+F311+F406+F503</f>
        <v>413</v>
      </c>
      <c r="G578" s="3587">
        <f t="shared" si="113"/>
        <v>13</v>
      </c>
      <c r="H578" s="3588">
        <f t="shared" si="108"/>
        <v>440</v>
      </c>
      <c r="I578" s="3589">
        <f t="shared" si="109"/>
        <v>410</v>
      </c>
      <c r="J578" s="3590">
        <f>J26+J121+J216+J311+J406+J503</f>
        <v>27</v>
      </c>
      <c r="K578" s="3591">
        <f>K26+K121+K216+K311+K406+K503</f>
        <v>30</v>
      </c>
      <c r="L578" s="3592">
        <f t="shared" si="113"/>
        <v>410</v>
      </c>
      <c r="M578" s="3593">
        <f>M26+M121+M216+M311+M406+O503</f>
        <v>410</v>
      </c>
      <c r="N578" s="3594">
        <f>M26+M121+M216+M311+M406+O503</f>
        <v>410</v>
      </c>
      <c r="O578" s="3591">
        <f>O26+O121+O216+O311+O406+G503</f>
        <v>13</v>
      </c>
      <c r="P578" s="3595">
        <f>O26+O121+O216+O311+O406+G503</f>
        <v>13</v>
      </c>
      <c r="Q578" s="3596">
        <f>Q26+Q121+Q216+Q311+Q406+Q503</f>
        <v>410</v>
      </c>
      <c r="R578" s="3597">
        <f>R26+R121+R216+R311+R406+R503</f>
        <v>0</v>
      </c>
      <c r="S578" s="1579"/>
    </row>
    <row r="579" spans="1:19" s="18" customFormat="1" ht="18" customHeight="1">
      <c r="A579" s="1578">
        <v>7</v>
      </c>
      <c r="B579" s="4905" t="str">
        <f>C28</f>
        <v>23DPR0581D</v>
      </c>
      <c r="C579" s="4906"/>
      <c r="D579" s="4906"/>
      <c r="E579" s="4907"/>
      <c r="F579" s="3586">
        <f t="shared" ref="F579:L579" si="114">F28+F123+F218+F313+F408+F505</f>
        <v>115</v>
      </c>
      <c r="G579" s="3587">
        <f t="shared" si="114"/>
        <v>5</v>
      </c>
      <c r="H579" s="3588">
        <f t="shared" si="108"/>
        <v>120</v>
      </c>
      <c r="I579" s="3589">
        <f t="shared" si="109"/>
        <v>110</v>
      </c>
      <c r="J579" s="3590">
        <f>J28+J123+J218+J313+J408+J505</f>
        <v>5</v>
      </c>
      <c r="K579" s="3591">
        <f>K28+K123+K218+K313+K408+K505</f>
        <v>10</v>
      </c>
      <c r="L579" s="3592">
        <f t="shared" si="114"/>
        <v>110</v>
      </c>
      <c r="M579" s="3593">
        <f>M28+M123+M218+M313+M408+O505</f>
        <v>110</v>
      </c>
      <c r="N579" s="3594">
        <f>M28+M123+M218+M313+M408+O505</f>
        <v>110</v>
      </c>
      <c r="O579" s="3591">
        <f>O28+O123+O218+O313+O408+G505</f>
        <v>5</v>
      </c>
      <c r="P579" s="3595">
        <f>O28+O123+O218+O313+O408+G505</f>
        <v>5</v>
      </c>
      <c r="Q579" s="3596">
        <f>Q28+Q123+Q218+Q313+Q408+Q505</f>
        <v>110</v>
      </c>
      <c r="R579" s="3597">
        <f>R28+R123+R218+R313+R408+R505</f>
        <v>0</v>
      </c>
      <c r="S579" s="1579"/>
    </row>
    <row r="580" spans="1:19" s="18" customFormat="1" ht="18" customHeight="1">
      <c r="A580" s="1578">
        <v>8</v>
      </c>
      <c r="B580" s="4905" t="str">
        <f>C30</f>
        <v>23DPR0593I</v>
      </c>
      <c r="C580" s="4906"/>
      <c r="D580" s="4906"/>
      <c r="E580" s="4907"/>
      <c r="F580" s="3586">
        <f t="shared" ref="F580:L580" si="115">F30+F125+F220+F315+F410+F507</f>
        <v>48</v>
      </c>
      <c r="G580" s="3587">
        <f t="shared" si="115"/>
        <v>2</v>
      </c>
      <c r="H580" s="3588">
        <f t="shared" si="108"/>
        <v>50</v>
      </c>
      <c r="I580" s="3589">
        <f t="shared" si="109"/>
        <v>42</v>
      </c>
      <c r="J580" s="3590">
        <f t="shared" si="115"/>
        <v>2</v>
      </c>
      <c r="K580" s="3591">
        <f t="shared" si="115"/>
        <v>8</v>
      </c>
      <c r="L580" s="3592">
        <f t="shared" si="115"/>
        <v>42</v>
      </c>
      <c r="M580" s="3593">
        <f>M30+M125+M220+M315+M410+O507</f>
        <v>42</v>
      </c>
      <c r="N580" s="3594">
        <f>M30+M125+M220+M315+M410+O507</f>
        <v>42</v>
      </c>
      <c r="O580" s="3591">
        <f>O30+O125+O220+O315+O410+G507</f>
        <v>2</v>
      </c>
      <c r="P580" s="3595">
        <f>O30+O125+O220+O315+O410+G507</f>
        <v>2</v>
      </c>
      <c r="Q580" s="3596">
        <f>Q30+Q125+Q220+Q315+Q410+Q507</f>
        <v>42</v>
      </c>
      <c r="R580" s="3597">
        <f>R30+R125+R220+R315+R410+R507</f>
        <v>0</v>
      </c>
      <c r="S580" s="1579"/>
    </row>
    <row r="581" spans="1:19" s="18" customFormat="1" ht="18" customHeight="1">
      <c r="A581" s="1578">
        <v>9</v>
      </c>
      <c r="B581" s="4905" t="str">
        <f>C32</f>
        <v>23DPR0640C</v>
      </c>
      <c r="C581" s="4906"/>
      <c r="D581" s="4906"/>
      <c r="E581" s="4907"/>
      <c r="F581" s="3586">
        <f t="shared" ref="F581:L581" si="116">F32+F127+F222+F317+F412+F509</f>
        <v>383</v>
      </c>
      <c r="G581" s="3587">
        <f t="shared" si="116"/>
        <v>12</v>
      </c>
      <c r="H581" s="3588">
        <f t="shared" si="108"/>
        <v>417</v>
      </c>
      <c r="I581" s="3589">
        <f t="shared" si="109"/>
        <v>345</v>
      </c>
      <c r="J581" s="3590">
        <f t="shared" si="116"/>
        <v>34</v>
      </c>
      <c r="K581" s="3591">
        <f t="shared" si="116"/>
        <v>72</v>
      </c>
      <c r="L581" s="3592">
        <f t="shared" si="116"/>
        <v>345</v>
      </c>
      <c r="M581" s="3593">
        <f>M32+M127+M222+M317+M412+O509</f>
        <v>345</v>
      </c>
      <c r="N581" s="3594">
        <f>M32+M127+M222+M317+M412+O509</f>
        <v>345</v>
      </c>
      <c r="O581" s="3591">
        <f>O32+O127+O222+O317+O412+G509</f>
        <v>12</v>
      </c>
      <c r="P581" s="3595">
        <f>O32+O127+O222+O317+O412+G509</f>
        <v>12</v>
      </c>
      <c r="Q581" s="3596">
        <f>Q32+Q127+Q222+Q317+Q412+Q509</f>
        <v>345</v>
      </c>
      <c r="R581" s="3597">
        <f>R32+R127+R222+R317+R412+R509</f>
        <v>0</v>
      </c>
      <c r="S581" s="1579"/>
    </row>
    <row r="582" spans="1:19" s="18" customFormat="1" ht="18" customHeight="1">
      <c r="A582" s="1578">
        <v>10</v>
      </c>
      <c r="B582" s="4905" t="str">
        <f>C34</f>
        <v>23DPR0681C</v>
      </c>
      <c r="C582" s="4906"/>
      <c r="D582" s="4906"/>
      <c r="E582" s="4907"/>
      <c r="F582" s="3586">
        <f t="shared" ref="F582:L582" si="117">F34+F129+F224+F319+F414+F511</f>
        <v>229</v>
      </c>
      <c r="G582" s="3587">
        <f t="shared" si="117"/>
        <v>7</v>
      </c>
      <c r="H582" s="3588">
        <f t="shared" si="108"/>
        <v>245</v>
      </c>
      <c r="I582" s="3589">
        <f t="shared" si="109"/>
        <v>229</v>
      </c>
      <c r="J582" s="3590">
        <f t="shared" si="117"/>
        <v>16</v>
      </c>
      <c r="K582" s="3591">
        <f t="shared" si="117"/>
        <v>16</v>
      </c>
      <c r="L582" s="3592">
        <f t="shared" si="117"/>
        <v>229</v>
      </c>
      <c r="M582" s="3593">
        <f>M34+M129+M224+M319+M414+O511</f>
        <v>229</v>
      </c>
      <c r="N582" s="3594">
        <f>M34+M129+M224+M319+M414+O511</f>
        <v>229</v>
      </c>
      <c r="O582" s="3591">
        <f>O34+O129+O224+O319+O414+G511</f>
        <v>7</v>
      </c>
      <c r="P582" s="3595">
        <f>O34+O129+O224+O319+O414+G511</f>
        <v>7</v>
      </c>
      <c r="Q582" s="3596">
        <f>Q34+Q129+Q224+Q319+Q414+Q511</f>
        <v>229</v>
      </c>
      <c r="R582" s="3597">
        <f>R34+R129+R224+R319+R414+R511</f>
        <v>0</v>
      </c>
      <c r="S582" s="1579"/>
    </row>
    <row r="583" spans="1:19" s="18" customFormat="1" ht="18" hidden="1" customHeight="1">
      <c r="A583" s="1578">
        <v>11</v>
      </c>
      <c r="B583" s="4905">
        <f>C36</f>
        <v>0</v>
      </c>
      <c r="C583" s="4906"/>
      <c r="D583" s="4906"/>
      <c r="E583" s="4907"/>
      <c r="F583" s="3586">
        <f t="shared" ref="F583:L583" si="118">F36+F131+F226+F321+F416+F513</f>
        <v>0</v>
      </c>
      <c r="G583" s="3587">
        <f t="shared" si="118"/>
        <v>0</v>
      </c>
      <c r="H583" s="3588">
        <f t="shared" si="108"/>
        <v>0</v>
      </c>
      <c r="I583" s="3589">
        <f t="shared" si="109"/>
        <v>0</v>
      </c>
      <c r="J583" s="3590">
        <f t="shared" si="118"/>
        <v>0</v>
      </c>
      <c r="K583" s="3591">
        <f t="shared" si="118"/>
        <v>0</v>
      </c>
      <c r="L583" s="3592">
        <f t="shared" si="118"/>
        <v>0</v>
      </c>
      <c r="M583" s="3593">
        <f>M36+M131+M226+M321+M416+O513</f>
        <v>0</v>
      </c>
      <c r="N583" s="3594">
        <f>M36+M131+M226+M321+M416+O513</f>
        <v>0</v>
      </c>
      <c r="O583" s="3591">
        <f>O36+O131+O226+O321+O416+G513</f>
        <v>0</v>
      </c>
      <c r="P583" s="3595">
        <f>O36+O131+O226+O321+O416+G513</f>
        <v>0</v>
      </c>
      <c r="Q583" s="3596">
        <f>Q36+Q131+Q226+Q321+Q416+Q513</f>
        <v>0</v>
      </c>
      <c r="R583" s="3597">
        <f>R36+R131+R226+R321+R416+R513</f>
        <v>0</v>
      </c>
      <c r="S583" s="1579"/>
    </row>
    <row r="584" spans="1:19" s="18" customFormat="1" ht="18" customHeight="1">
      <c r="A584" s="1578">
        <v>11</v>
      </c>
      <c r="B584" s="4905" t="str">
        <f>C38</f>
        <v>23PPR0099M</v>
      </c>
      <c r="C584" s="4906"/>
      <c r="D584" s="4906"/>
      <c r="E584" s="4907"/>
      <c r="F584" s="3586">
        <f t="shared" ref="F584:L584" si="119">F38+F133+F228+F323+F418+F515</f>
        <v>73</v>
      </c>
      <c r="G584" s="3587">
        <f t="shared" si="119"/>
        <v>6</v>
      </c>
      <c r="H584" s="3588">
        <f t="shared" si="108"/>
        <v>88</v>
      </c>
      <c r="I584" s="3589">
        <f t="shared" si="109"/>
        <v>83</v>
      </c>
      <c r="J584" s="3590">
        <f>J38+J133+J228+J323+J418+J515</f>
        <v>15</v>
      </c>
      <c r="K584" s="3591">
        <f t="shared" si="119"/>
        <v>5</v>
      </c>
      <c r="L584" s="3592">
        <f t="shared" si="119"/>
        <v>83</v>
      </c>
      <c r="M584" s="3593">
        <f>M38+M133+M228+M323+M418+O515</f>
        <v>83</v>
      </c>
      <c r="N584" s="3594">
        <f>M38+M133+M228+M323+M418+O515</f>
        <v>83</v>
      </c>
      <c r="O584" s="3591">
        <f>O38+O133+O228+O323+O418+G515</f>
        <v>6</v>
      </c>
      <c r="P584" s="3595">
        <f>O38+O133+O228+O323+O418+G515</f>
        <v>6</v>
      </c>
      <c r="Q584" s="3596">
        <f>Q38+Q133+Q228+Q323+Q418+Q515</f>
        <v>83</v>
      </c>
      <c r="R584" s="3597">
        <f>R38+R133+R228+R323+R418+R515</f>
        <v>0</v>
      </c>
      <c r="S584" s="1579"/>
    </row>
    <row r="585" spans="1:19" s="18" customFormat="1" ht="18" customHeight="1">
      <c r="A585" s="1578">
        <v>12</v>
      </c>
      <c r="B585" s="4905" t="str">
        <f>C40</f>
        <v>23PPR0100L</v>
      </c>
      <c r="C585" s="4906"/>
      <c r="D585" s="4906"/>
      <c r="E585" s="4907"/>
      <c r="F585" s="3586">
        <f t="shared" ref="F585:L585" si="120">F40+F135+F230+F325+F420+F517</f>
        <v>107</v>
      </c>
      <c r="G585" s="3587">
        <f t="shared" si="120"/>
        <v>6</v>
      </c>
      <c r="H585" s="3588">
        <f t="shared" si="108"/>
        <v>133</v>
      </c>
      <c r="I585" s="3589">
        <f t="shared" si="109"/>
        <v>129</v>
      </c>
      <c r="J585" s="3590">
        <f t="shared" si="120"/>
        <v>26</v>
      </c>
      <c r="K585" s="3591">
        <f t="shared" si="120"/>
        <v>4</v>
      </c>
      <c r="L585" s="3592">
        <f t="shared" si="120"/>
        <v>129</v>
      </c>
      <c r="M585" s="3593">
        <f>M40+M135+M230+M325+M420+O517</f>
        <v>129</v>
      </c>
      <c r="N585" s="3594">
        <f>M40+M135+M230+M325+M420+O517</f>
        <v>129</v>
      </c>
      <c r="O585" s="3591">
        <f>O40+O135+O230+O325+O420+G517</f>
        <v>6</v>
      </c>
      <c r="P585" s="3595">
        <f>O40+O135+O230+O325+O420+G517</f>
        <v>6</v>
      </c>
      <c r="Q585" s="3596">
        <f>Q40+Q135+Q230+Q325+Q420+Q517</f>
        <v>129</v>
      </c>
      <c r="R585" s="3597">
        <f>R40+R135+R230+R325+R420+R517</f>
        <v>0</v>
      </c>
      <c r="S585" s="1579"/>
    </row>
    <row r="586" spans="1:19" s="18" customFormat="1" ht="18" customHeight="1">
      <c r="A586" s="1578">
        <v>13</v>
      </c>
      <c r="B586" s="4905" t="str">
        <f>C42</f>
        <v>23PPR0125U</v>
      </c>
      <c r="C586" s="4906"/>
      <c r="D586" s="4906"/>
      <c r="E586" s="4907"/>
      <c r="F586" s="3586">
        <f t="shared" ref="F586:L586" si="121">F42+F137+F232+F327+F422+F519</f>
        <v>58</v>
      </c>
      <c r="G586" s="3587">
        <f t="shared" si="121"/>
        <v>6</v>
      </c>
      <c r="H586" s="3588">
        <f t="shared" si="108"/>
        <v>66</v>
      </c>
      <c r="I586" s="3589">
        <f t="shared" si="109"/>
        <v>61</v>
      </c>
      <c r="J586" s="3590">
        <f t="shared" si="121"/>
        <v>8</v>
      </c>
      <c r="K586" s="3591">
        <f t="shared" si="121"/>
        <v>5</v>
      </c>
      <c r="L586" s="3592">
        <f t="shared" si="121"/>
        <v>61</v>
      </c>
      <c r="M586" s="3593">
        <f>M42+M137+M232+M327+M422+O519</f>
        <v>61</v>
      </c>
      <c r="N586" s="3594">
        <f>M42+M137+M232+M327+M422+O519</f>
        <v>61</v>
      </c>
      <c r="O586" s="3591">
        <f>O42+O137+O232+O327+O422+G519</f>
        <v>6</v>
      </c>
      <c r="P586" s="3595">
        <f>O42+O137+O232+O327+O422+G519</f>
        <v>6</v>
      </c>
      <c r="Q586" s="3596">
        <f>Q42+Q137+Q232+Q327+Q422+Q519</f>
        <v>61</v>
      </c>
      <c r="R586" s="3597">
        <f>R42+R137+R232+R327+R422+R519</f>
        <v>0</v>
      </c>
      <c r="S586" s="1579"/>
    </row>
    <row r="587" spans="1:19" s="18" customFormat="1" ht="18" customHeight="1">
      <c r="A587" s="1578">
        <v>14</v>
      </c>
      <c r="B587" s="4905" t="str">
        <f>C44</f>
        <v>23PPR0156N</v>
      </c>
      <c r="C587" s="4906"/>
      <c r="D587" s="4906"/>
      <c r="E587" s="4907"/>
      <c r="F587" s="3586">
        <f t="shared" ref="F587:L587" si="122">F44+F139+F234+F329+F424+F521</f>
        <v>50</v>
      </c>
      <c r="G587" s="3587">
        <f t="shared" si="122"/>
        <v>4</v>
      </c>
      <c r="H587" s="3588">
        <f t="shared" si="108"/>
        <v>53</v>
      </c>
      <c r="I587" s="3589">
        <f t="shared" si="109"/>
        <v>49</v>
      </c>
      <c r="J587" s="3590">
        <f t="shared" si="122"/>
        <v>3</v>
      </c>
      <c r="K587" s="3591">
        <f t="shared" si="122"/>
        <v>4</v>
      </c>
      <c r="L587" s="3592">
        <f t="shared" si="122"/>
        <v>49</v>
      </c>
      <c r="M587" s="3593">
        <f>M44+M139+M234+M329+M424+O521</f>
        <v>49</v>
      </c>
      <c r="N587" s="3594">
        <f>M44+M139+M234+M329+M424+O521</f>
        <v>49</v>
      </c>
      <c r="O587" s="3591">
        <f>O44+O139+O234+O329+O424+G521</f>
        <v>4</v>
      </c>
      <c r="P587" s="3595">
        <f>O44+O139+O234+O329+O424+G521</f>
        <v>4</v>
      </c>
      <c r="Q587" s="3596">
        <f>Q44+Q139+Q234+Q329+Q424+Q521</f>
        <v>49</v>
      </c>
      <c r="R587" s="3597">
        <f>R44+R139+R234+R329+R424+R521</f>
        <v>0</v>
      </c>
      <c r="S587" s="1579"/>
    </row>
    <row r="588" spans="1:19" s="18" customFormat="1" ht="18" customHeight="1">
      <c r="A588" s="1578">
        <v>15</v>
      </c>
      <c r="B588" s="4905" t="str">
        <f>C46</f>
        <v>23PPR0163X</v>
      </c>
      <c r="C588" s="4906"/>
      <c r="D588" s="4906"/>
      <c r="E588" s="4907"/>
      <c r="F588" s="3662">
        <f t="shared" ref="F588:L588" si="123">F46+F141+F236+F331+F426+F523</f>
        <v>158</v>
      </c>
      <c r="G588" s="3587">
        <f t="shared" si="123"/>
        <v>10</v>
      </c>
      <c r="H588" s="3588">
        <f t="shared" si="108"/>
        <v>168</v>
      </c>
      <c r="I588" s="3589">
        <f t="shared" si="109"/>
        <v>162</v>
      </c>
      <c r="J588" s="3590">
        <f t="shared" si="123"/>
        <v>10</v>
      </c>
      <c r="K588" s="3591">
        <f t="shared" si="123"/>
        <v>6</v>
      </c>
      <c r="L588" s="3592">
        <f t="shared" si="123"/>
        <v>162</v>
      </c>
      <c r="M588" s="3593">
        <f>M46+M141+M236+M331+M426+O523</f>
        <v>162</v>
      </c>
      <c r="N588" s="3594">
        <f>M46+M141+M236+M331+M426+O523</f>
        <v>162</v>
      </c>
      <c r="O588" s="3591">
        <f>O46+O141+O236+O331+O426+G523</f>
        <v>10</v>
      </c>
      <c r="P588" s="3595">
        <f>O46+O141+O236+O331+O426+G523</f>
        <v>10</v>
      </c>
      <c r="Q588" s="3596">
        <f>Q46+Q141+Q236+Q331+Q426+Q523</f>
        <v>162</v>
      </c>
      <c r="R588" s="3597">
        <f>R46+R141+R236+R331+R426+R523</f>
        <v>0</v>
      </c>
      <c r="S588" s="1579"/>
    </row>
    <row r="589" spans="1:19" s="18" customFormat="1" ht="18" customHeight="1">
      <c r="A589" s="3663">
        <v>16</v>
      </c>
      <c r="B589" s="4905">
        <f>C48</f>
        <v>0</v>
      </c>
      <c r="C589" s="4906"/>
      <c r="D589" s="4906"/>
      <c r="E589" s="4907"/>
      <c r="F589" s="3586">
        <f t="shared" ref="F589:L589" si="124">F48+F143+F238+F333+F428+F525</f>
        <v>0</v>
      </c>
      <c r="G589" s="3587">
        <f t="shared" si="124"/>
        <v>0</v>
      </c>
      <c r="H589" s="3588">
        <f t="shared" si="108"/>
        <v>0</v>
      </c>
      <c r="I589" s="3589">
        <f t="shared" si="109"/>
        <v>0</v>
      </c>
      <c r="J589" s="3590">
        <f t="shared" si="124"/>
        <v>0</v>
      </c>
      <c r="K589" s="3591">
        <f t="shared" si="124"/>
        <v>0</v>
      </c>
      <c r="L589" s="3592">
        <f t="shared" si="124"/>
        <v>0</v>
      </c>
      <c r="M589" s="3593">
        <f>M48+M143+M238+M333+M428+O525</f>
        <v>0</v>
      </c>
      <c r="N589" s="3594">
        <f>M48+M143+M238+M333+M428+O525</f>
        <v>0</v>
      </c>
      <c r="O589" s="3591">
        <f>O48+O143+O238+O333+O428+G525</f>
        <v>0</v>
      </c>
      <c r="P589" s="3595">
        <f>O48+O143+O238+O333+O428+G525</f>
        <v>0</v>
      </c>
      <c r="Q589" s="3596">
        <f>Q48+Q143+Q238+Q333+Q428+Q525</f>
        <v>0</v>
      </c>
      <c r="R589" s="3597">
        <f>R48+R143+R238+R333+R428+R525</f>
        <v>0</v>
      </c>
      <c r="S589" s="1579"/>
    </row>
    <row r="590" spans="1:19" s="18" customFormat="1" ht="18" customHeight="1">
      <c r="A590" s="3663">
        <v>17</v>
      </c>
      <c r="B590" s="4905">
        <f>C50</f>
        <v>0</v>
      </c>
      <c r="C590" s="4906"/>
      <c r="D590" s="4906"/>
      <c r="E590" s="4907"/>
      <c r="F590" s="3586">
        <f t="shared" ref="F590:L590" si="125">F50+F145+F240+F335+F430+F527</f>
        <v>0</v>
      </c>
      <c r="G590" s="3587">
        <f t="shared" si="125"/>
        <v>0</v>
      </c>
      <c r="H590" s="3588">
        <f t="shared" si="108"/>
        <v>0</v>
      </c>
      <c r="I590" s="3589">
        <f t="shared" si="109"/>
        <v>0</v>
      </c>
      <c r="J590" s="3590">
        <f t="shared" si="125"/>
        <v>0</v>
      </c>
      <c r="K590" s="3591">
        <f t="shared" si="125"/>
        <v>0</v>
      </c>
      <c r="L590" s="3592">
        <f t="shared" si="125"/>
        <v>0</v>
      </c>
      <c r="M590" s="3593">
        <f>M50+M145+M240+M335+M430+O527</f>
        <v>0</v>
      </c>
      <c r="N590" s="3594">
        <f>M50+M145+M240+M335+M430+O527</f>
        <v>0</v>
      </c>
      <c r="O590" s="3591">
        <f>O50+O145+O240+O335+O430+G527</f>
        <v>0</v>
      </c>
      <c r="P590" s="3595">
        <f>O50+O145+O240+O335+O430+G527</f>
        <v>0</v>
      </c>
      <c r="Q590" s="3596">
        <f>Q50+Q145+Q240+Q335+Q430+Q527</f>
        <v>0</v>
      </c>
      <c r="R590" s="3597">
        <f>R50+R145+R240+R335+R430+R527</f>
        <v>0</v>
      </c>
      <c r="S590" s="1579"/>
    </row>
    <row r="591" spans="1:19" s="18" customFormat="1" ht="18" customHeight="1">
      <c r="A591" s="3663">
        <v>18</v>
      </c>
      <c r="B591" s="4905">
        <f>C52</f>
        <v>0</v>
      </c>
      <c r="C591" s="4906"/>
      <c r="D591" s="4906"/>
      <c r="E591" s="4907"/>
      <c r="F591" s="3586">
        <f t="shared" ref="F591:L591" si="126">F52+F147+F242+F337+F432+F529</f>
        <v>0</v>
      </c>
      <c r="G591" s="3587">
        <f t="shared" si="126"/>
        <v>0</v>
      </c>
      <c r="H591" s="3588">
        <f t="shared" si="108"/>
        <v>0</v>
      </c>
      <c r="I591" s="3589">
        <f t="shared" si="109"/>
        <v>0</v>
      </c>
      <c r="J591" s="3590">
        <f t="shared" si="126"/>
        <v>0</v>
      </c>
      <c r="K591" s="3591">
        <f t="shared" si="126"/>
        <v>0</v>
      </c>
      <c r="L591" s="3592">
        <f t="shared" si="126"/>
        <v>0</v>
      </c>
      <c r="M591" s="3593">
        <f>M52+M147+M242+M337+M432+O529</f>
        <v>0</v>
      </c>
      <c r="N591" s="3594">
        <f>M52+M147+M242+M337+M432+O529</f>
        <v>0</v>
      </c>
      <c r="O591" s="3591">
        <f>O52+O147+O242+O337+O432+G529</f>
        <v>0</v>
      </c>
      <c r="P591" s="3595">
        <f>O52+O147+O242+O337+O432+G529</f>
        <v>0</v>
      </c>
      <c r="Q591" s="3596">
        <f>Q52+Q147+Q242+Q337+Q432+Q529</f>
        <v>0</v>
      </c>
      <c r="R591" s="3597">
        <f>R52+R147+R242+R337+R432+R529</f>
        <v>0</v>
      </c>
      <c r="S591" s="1579"/>
    </row>
    <row r="592" spans="1:19" s="18" customFormat="1" ht="18" customHeight="1">
      <c r="A592" s="3663">
        <v>19</v>
      </c>
      <c r="B592" s="4908">
        <f>C54</f>
        <v>0</v>
      </c>
      <c r="C592" s="4909"/>
      <c r="D592" s="4909"/>
      <c r="E592" s="4910"/>
      <c r="F592" s="3598">
        <f t="shared" ref="F592:L592" si="127">F54+F149+F244+F339+F434+F531</f>
        <v>0</v>
      </c>
      <c r="G592" s="3599">
        <f t="shared" si="127"/>
        <v>0</v>
      </c>
      <c r="H592" s="3600">
        <f t="shared" si="108"/>
        <v>0</v>
      </c>
      <c r="I592" s="3601">
        <f t="shared" si="109"/>
        <v>0</v>
      </c>
      <c r="J592" s="3602">
        <f t="shared" si="127"/>
        <v>0</v>
      </c>
      <c r="K592" s="3603">
        <f t="shared" si="127"/>
        <v>0</v>
      </c>
      <c r="L592" s="3604">
        <f t="shared" si="127"/>
        <v>0</v>
      </c>
      <c r="M592" s="3605">
        <f>M54+M149+M244+M339+M434+O531</f>
        <v>0</v>
      </c>
      <c r="N592" s="3606">
        <f>M54+M149+M244+M339+M434+O531</f>
        <v>0</v>
      </c>
      <c r="O592" s="3603">
        <f>O54+O149+O244+O339+O434+G531</f>
        <v>0</v>
      </c>
      <c r="P592" s="3607">
        <f>O54+O149+O244+O339+O434+G531</f>
        <v>0</v>
      </c>
      <c r="Q592" s="3608">
        <f>Q54+Q149+Q244+Q339+Q434+Q531</f>
        <v>0</v>
      </c>
      <c r="R592" s="3609">
        <f>R54+R149+R244+R339+R434+R531</f>
        <v>0</v>
      </c>
      <c r="S592" s="1579"/>
    </row>
    <row r="593" spans="1:19" s="18" customFormat="1" ht="18" customHeight="1">
      <c r="A593" s="1578"/>
      <c r="B593" s="4911">
        <f>COUNTA(B573:E592)-B594</f>
        <v>15</v>
      </c>
      <c r="C593" s="4912"/>
      <c r="D593" s="4912"/>
      <c r="E593" s="4913"/>
      <c r="F593" s="1580">
        <f t="shared" ref="F593:Q593" si="128">SUM(F573:F592)</f>
        <v>3320</v>
      </c>
      <c r="G593" s="2613">
        <f t="shared" si="128"/>
        <v>126</v>
      </c>
      <c r="H593" s="2614">
        <f>SUM(H573:H592)</f>
        <v>3563</v>
      </c>
      <c r="I593" s="1583">
        <f t="shared" si="128"/>
        <v>3233</v>
      </c>
      <c r="J593" s="1584">
        <f t="shared" si="128"/>
        <v>243</v>
      </c>
      <c r="K593" s="1582">
        <f>SUM(K573:K592)</f>
        <v>330</v>
      </c>
      <c r="L593" s="1783">
        <f>SUM(L573:L592)</f>
        <v>3233</v>
      </c>
      <c r="M593" s="1585">
        <f t="shared" si="128"/>
        <v>3233</v>
      </c>
      <c r="N593" s="1582">
        <f t="shared" si="128"/>
        <v>3233</v>
      </c>
      <c r="O593" s="1581">
        <f t="shared" si="128"/>
        <v>126</v>
      </c>
      <c r="P593" s="1586">
        <f>SUM(P573:P592)</f>
        <v>126</v>
      </c>
      <c r="Q593" s="1587">
        <f t="shared" si="128"/>
        <v>3233</v>
      </c>
      <c r="R593" s="1588">
        <f>SUM(R573:R592)</f>
        <v>0</v>
      </c>
      <c r="S593" s="1579"/>
    </row>
    <row r="594" spans="1:19" s="18" customFormat="1" ht="18" customHeight="1">
      <c r="A594" s="1589"/>
      <c r="B594" s="4897">
        <f>COUNTIF(B573:E592,"0")</f>
        <v>5</v>
      </c>
      <c r="C594" s="4898"/>
      <c r="D594" s="4898"/>
      <c r="E594" s="4899"/>
      <c r="F594" s="4900"/>
      <c r="G594" s="4901"/>
      <c r="H594" s="4901"/>
      <c r="I594" s="4902"/>
      <c r="J594" s="4900"/>
      <c r="K594" s="4901"/>
      <c r="L594" s="4902"/>
      <c r="M594" s="4900"/>
      <c r="N594" s="4901"/>
      <c r="O594" s="4901"/>
      <c r="P594" s="4902"/>
      <c r="Q594" s="2615" t="s">
        <v>1502</v>
      </c>
      <c r="R594" s="2616" t="s">
        <v>456</v>
      </c>
      <c r="S594" s="1579"/>
    </row>
    <row r="595" spans="1:19" ht="7.5" customHeight="1">
      <c r="A595" s="1648"/>
      <c r="B595" s="1649"/>
      <c r="C595" s="1649"/>
      <c r="D595" s="1649"/>
      <c r="E595" s="1649"/>
      <c r="F595" s="1649"/>
      <c r="G595" s="1649"/>
      <c r="H595" s="1649"/>
      <c r="I595" s="1649"/>
      <c r="J595" s="1649"/>
      <c r="K595" s="1649"/>
      <c r="L595" s="1649"/>
      <c r="M595" s="1649"/>
      <c r="N595" s="1649"/>
      <c r="O595" s="1649"/>
      <c r="P595" s="1649"/>
      <c r="Q595" s="1649"/>
      <c r="R595" s="1649"/>
      <c r="S595" s="1650"/>
    </row>
    <row r="596" spans="1:19" ht="7.5" customHeight="1">
      <c r="A596" s="1651"/>
      <c r="B596" s="5167"/>
      <c r="C596" s="1652"/>
      <c r="D596" s="1653"/>
      <c r="E596" s="5168" t="s">
        <v>1475</v>
      </c>
      <c r="F596" s="5168"/>
      <c r="G596" s="5168"/>
      <c r="H596" s="5169"/>
      <c r="I596" s="5169"/>
      <c r="J596" s="5169"/>
      <c r="K596" s="5169"/>
      <c r="L596" s="5169"/>
      <c r="M596" s="5168" t="s">
        <v>1476</v>
      </c>
      <c r="N596" s="5168"/>
      <c r="O596" s="5168"/>
      <c r="P596" s="5169"/>
      <c r="Q596" s="5167"/>
      <c r="R596" s="5167"/>
      <c r="S596" s="1652"/>
    </row>
    <row r="597" spans="1:19" ht="7.5" customHeight="1">
      <c r="A597" s="1651"/>
      <c r="B597" s="5167"/>
      <c r="C597" s="952"/>
      <c r="D597" s="1653"/>
      <c r="E597" s="5168"/>
      <c r="F597" s="5168"/>
      <c r="G597" s="5168"/>
      <c r="H597" s="5169"/>
      <c r="I597" s="5169"/>
      <c r="J597" s="5169"/>
      <c r="K597" s="5169"/>
      <c r="L597" s="5169"/>
      <c r="M597" s="5168"/>
      <c r="N597" s="5168"/>
      <c r="O597" s="5168"/>
      <c r="P597" s="5169"/>
      <c r="Q597" s="5167"/>
      <c r="R597" s="5167"/>
      <c r="S597" s="1652"/>
    </row>
    <row r="598" spans="1:19" ht="7.5" customHeight="1">
      <c r="A598" s="1651"/>
      <c r="B598" s="5167"/>
      <c r="C598" s="1652"/>
      <c r="D598" s="1653"/>
      <c r="E598" s="5169" t="s">
        <v>1477</v>
      </c>
      <c r="F598" s="5169"/>
      <c r="G598" s="5169"/>
      <c r="H598" s="5169"/>
      <c r="I598" s="5169"/>
      <c r="J598" s="5169"/>
      <c r="K598" s="5169"/>
      <c r="L598" s="5169"/>
      <c r="M598" s="5169" t="s">
        <v>1478</v>
      </c>
      <c r="N598" s="5169"/>
      <c r="O598" s="5169"/>
      <c r="P598" s="5169"/>
      <c r="Q598" s="5167"/>
      <c r="R598" s="5167"/>
      <c r="S598" s="1652"/>
    </row>
    <row r="599" spans="1:19" ht="7.5" customHeight="1">
      <c r="A599" s="1651"/>
      <c r="B599" s="5167"/>
      <c r="C599" s="952"/>
      <c r="D599" s="1653"/>
      <c r="E599" s="5169"/>
      <c r="F599" s="5169"/>
      <c r="G599" s="5169"/>
      <c r="H599" s="5169"/>
      <c r="I599" s="5169"/>
      <c r="J599" s="5169"/>
      <c r="K599" s="5169"/>
      <c r="L599" s="5169"/>
      <c r="M599" s="5169"/>
      <c r="N599" s="5169"/>
      <c r="O599" s="5169"/>
      <c r="P599" s="5169"/>
      <c r="Q599" s="5167"/>
      <c r="R599" s="5167"/>
      <c r="S599" s="1652"/>
    </row>
    <row r="600" spans="1:19" ht="7.5" customHeight="1">
      <c r="A600" s="1651"/>
      <c r="B600" s="5167"/>
      <c r="C600" s="1652"/>
      <c r="D600" s="1653"/>
      <c r="E600" s="5170" t="s">
        <v>1485</v>
      </c>
      <c r="F600" s="5170"/>
      <c r="G600" s="5170"/>
      <c r="H600" s="5169"/>
      <c r="I600" s="5169"/>
      <c r="J600" s="5169"/>
      <c r="K600" s="5169"/>
      <c r="L600" s="5169"/>
      <c r="M600" s="5169"/>
      <c r="N600" s="5169"/>
      <c r="O600" s="5169"/>
      <c r="P600" s="5169"/>
      <c r="Q600" s="5167"/>
      <c r="R600" s="5167"/>
      <c r="S600" s="1652"/>
    </row>
    <row r="601" spans="1:19" ht="7.5" customHeight="1">
      <c r="A601" s="1651"/>
      <c r="B601" s="5167"/>
      <c r="C601" s="952"/>
      <c r="D601" s="1653"/>
      <c r="E601" s="5170"/>
      <c r="F601" s="5170"/>
      <c r="G601" s="5170"/>
      <c r="H601" s="5169"/>
      <c r="I601" s="5169"/>
      <c r="J601" s="5169"/>
      <c r="K601" s="5169"/>
      <c r="L601" s="5169"/>
      <c r="M601" s="5169"/>
      <c r="N601" s="5169"/>
      <c r="O601" s="5169"/>
      <c r="P601" s="5169"/>
      <c r="Q601" s="5167"/>
      <c r="R601" s="5167"/>
      <c r="S601" s="1652"/>
    </row>
    <row r="602" spans="1:19" ht="7.5" customHeight="1">
      <c r="A602" s="1651"/>
      <c r="B602" s="5167"/>
      <c r="C602" s="5167"/>
      <c r="D602" s="5169"/>
      <c r="E602" s="5169"/>
      <c r="F602" s="5169"/>
      <c r="G602" s="5169"/>
      <c r="H602" s="5169"/>
      <c r="I602" s="5169"/>
      <c r="J602" s="5169"/>
      <c r="K602" s="5169"/>
      <c r="L602" s="5169"/>
      <c r="M602" s="5169"/>
      <c r="N602" s="5169"/>
      <c r="O602" s="5169"/>
      <c r="P602" s="5169"/>
      <c r="Q602" s="5167"/>
      <c r="R602" s="5167"/>
      <c r="S602" s="1652"/>
    </row>
    <row r="603" spans="1:19" ht="7.5" customHeight="1">
      <c r="A603" s="1651"/>
      <c r="B603" s="5167"/>
      <c r="C603" s="5167"/>
      <c r="D603" s="5169"/>
      <c r="E603" s="5169"/>
      <c r="F603" s="5169"/>
      <c r="G603" s="5169"/>
      <c r="H603" s="5169"/>
      <c r="I603" s="5169"/>
      <c r="J603" s="5169"/>
      <c r="K603" s="5169"/>
      <c r="L603" s="5169"/>
      <c r="M603" s="5169"/>
      <c r="N603" s="5169"/>
      <c r="O603" s="5169"/>
      <c r="P603" s="5169"/>
      <c r="Q603" s="5167"/>
      <c r="R603" s="5167"/>
      <c r="S603" s="1652"/>
    </row>
    <row r="604" spans="1:19" ht="7.5" customHeight="1">
      <c r="A604" s="1651"/>
      <c r="B604" s="5167"/>
      <c r="C604" s="5167"/>
      <c r="D604" s="5168" t="str">
        <f>L448</f>
        <v>JESUS MARTIN RICALDE CASTRO</v>
      </c>
      <c r="E604" s="5168"/>
      <c r="F604" s="5168"/>
      <c r="G604" s="5168"/>
      <c r="H604" s="5168"/>
      <c r="I604" s="5169"/>
      <c r="J604" s="5169"/>
      <c r="K604" s="5169"/>
      <c r="L604" s="5168" t="str">
        <f>D448</f>
        <v>JESUS MARTIN RICALDE CASTRO</v>
      </c>
      <c r="M604" s="5168"/>
      <c r="N604" s="5168"/>
      <c r="O604" s="5168"/>
      <c r="P604" s="5168"/>
      <c r="Q604" s="5167"/>
      <c r="R604" s="5167"/>
      <c r="S604" s="1652"/>
    </row>
    <row r="605" spans="1:19" ht="7.5" customHeight="1">
      <c r="A605" s="1651"/>
      <c r="B605" s="5167"/>
      <c r="C605" s="5167"/>
      <c r="D605" s="5171"/>
      <c r="E605" s="5171"/>
      <c r="F605" s="5171"/>
      <c r="G605" s="5171"/>
      <c r="H605" s="5171"/>
      <c r="I605" s="5169"/>
      <c r="J605" s="5169"/>
      <c r="K605" s="5169"/>
      <c r="L605" s="5171"/>
      <c r="M605" s="5171"/>
      <c r="N605" s="5171"/>
      <c r="O605" s="5171"/>
      <c r="P605" s="5171"/>
      <c r="Q605" s="5167"/>
      <c r="R605" s="5167"/>
      <c r="S605" s="1652"/>
    </row>
    <row r="606" spans="1:19" ht="7.5" customHeight="1">
      <c r="A606" s="1651"/>
      <c r="B606" s="5167"/>
      <c r="C606" s="5167"/>
      <c r="D606" s="5170" t="s">
        <v>1480</v>
      </c>
      <c r="E606" s="5170"/>
      <c r="F606" s="5170"/>
      <c r="G606" s="5170"/>
      <c r="H606" s="5170"/>
      <c r="I606" s="5169"/>
      <c r="J606" s="5169"/>
      <c r="K606" s="5169"/>
      <c r="L606" s="5170" t="s">
        <v>1480</v>
      </c>
      <c r="M606" s="5170"/>
      <c r="N606" s="5170"/>
      <c r="O606" s="5170"/>
      <c r="P606" s="5170"/>
      <c r="Q606" s="5167"/>
      <c r="R606" s="5167"/>
      <c r="S606" s="1652"/>
    </row>
    <row r="607" spans="1:19" ht="7.5" customHeight="1">
      <c r="A607" s="1651"/>
      <c r="B607" s="5167"/>
      <c r="C607" s="5167"/>
      <c r="D607" s="5170"/>
      <c r="E607" s="5170"/>
      <c r="F607" s="5170"/>
      <c r="G607" s="5170"/>
      <c r="H607" s="5170"/>
      <c r="I607" s="5169"/>
      <c r="J607" s="5169"/>
      <c r="K607" s="5169"/>
      <c r="L607" s="5170"/>
      <c r="M607" s="5170"/>
      <c r="N607" s="5170"/>
      <c r="O607" s="5170"/>
      <c r="P607" s="5170"/>
      <c r="Q607" s="5167"/>
      <c r="R607" s="5167"/>
      <c r="S607" s="1652"/>
    </row>
    <row r="608" spans="1:19" ht="7.5" customHeight="1">
      <c r="A608" s="1651"/>
      <c r="B608" s="5167"/>
      <c r="C608" s="5167"/>
      <c r="D608" s="5169"/>
      <c r="E608" s="5169"/>
      <c r="F608" s="5169"/>
      <c r="G608" s="5169"/>
      <c r="H608" s="5169"/>
      <c r="I608" s="5169"/>
      <c r="J608" s="5169"/>
      <c r="K608" s="5169"/>
      <c r="L608" s="5169"/>
      <c r="M608" s="5169"/>
      <c r="N608" s="5169"/>
      <c r="O608" s="5169"/>
      <c r="P608" s="5169"/>
      <c r="Q608" s="5167"/>
      <c r="R608" s="5167"/>
      <c r="S608" s="1652"/>
    </row>
    <row r="609" spans="1:19" ht="7.5" customHeight="1">
      <c r="A609" s="1651"/>
      <c r="B609" s="5167"/>
      <c r="C609" s="5167"/>
      <c r="D609" s="5169"/>
      <c r="E609" s="5169"/>
      <c r="F609" s="5169"/>
      <c r="G609" s="5169"/>
      <c r="H609" s="5169"/>
      <c r="I609" s="5169"/>
      <c r="J609" s="5169"/>
      <c r="K609" s="5169"/>
      <c r="L609" s="5169"/>
      <c r="M609" s="5169"/>
      <c r="N609" s="5169"/>
      <c r="O609" s="5169"/>
      <c r="P609" s="5169"/>
      <c r="Q609" s="5167"/>
      <c r="R609" s="5167"/>
      <c r="S609" s="1652"/>
    </row>
    <row r="610" spans="1:19" ht="7.5" customHeight="1">
      <c r="A610" s="1651"/>
      <c r="B610" s="5167"/>
      <c r="C610" s="5167"/>
      <c r="D610" s="5168" t="str">
        <f>B551</f>
        <v>KATIA DIAZ ORTIZ</v>
      </c>
      <c r="E610" s="5168"/>
      <c r="F610" s="5168"/>
      <c r="G610" s="5168"/>
      <c r="H610" s="5168"/>
      <c r="I610" s="5169"/>
      <c r="J610" s="5169"/>
      <c r="K610" s="5169"/>
      <c r="L610" s="5168" t="str">
        <f>N551</f>
        <v>KATIA DIAZ ORTIZ</v>
      </c>
      <c r="M610" s="5168"/>
      <c r="N610" s="5168"/>
      <c r="O610" s="5168"/>
      <c r="P610" s="5168"/>
      <c r="Q610" s="5167"/>
      <c r="R610" s="5167"/>
      <c r="S610" s="1652"/>
    </row>
    <row r="611" spans="1:19" ht="7.5" customHeight="1">
      <c r="A611" s="1651"/>
      <c r="B611" s="5167"/>
      <c r="C611" s="5167"/>
      <c r="D611" s="5168"/>
      <c r="E611" s="5168"/>
      <c r="F611" s="5168"/>
      <c r="G611" s="5168"/>
      <c r="H611" s="5168"/>
      <c r="I611" s="5169"/>
      <c r="J611" s="5169"/>
      <c r="K611" s="5169"/>
      <c r="L611" s="5171"/>
      <c r="M611" s="5171"/>
      <c r="N611" s="5171"/>
      <c r="O611" s="5171"/>
      <c r="P611" s="5171"/>
      <c r="Q611" s="5167"/>
      <c r="R611" s="5167"/>
      <c r="S611" s="1652"/>
    </row>
    <row r="612" spans="1:19" ht="7.5" customHeight="1">
      <c r="A612" s="1651"/>
      <c r="B612" s="5167"/>
      <c r="C612" s="5167"/>
      <c r="D612" s="5170" t="s">
        <v>1481</v>
      </c>
      <c r="E612" s="5170"/>
      <c r="F612" s="5170"/>
      <c r="G612" s="5170"/>
      <c r="H612" s="5170"/>
      <c r="I612" s="5169"/>
      <c r="J612" s="5169"/>
      <c r="K612" s="5169"/>
      <c r="L612" s="5170" t="s">
        <v>1481</v>
      </c>
      <c r="M612" s="5170"/>
      <c r="N612" s="5170"/>
      <c r="O612" s="5170"/>
      <c r="P612" s="5170"/>
      <c r="Q612" s="5167"/>
      <c r="R612" s="5167"/>
      <c r="S612" s="1652"/>
    </row>
    <row r="613" spans="1:19" ht="7.5" customHeight="1">
      <c r="A613" s="1651"/>
      <c r="B613" s="5167"/>
      <c r="C613" s="5167"/>
      <c r="D613" s="5170"/>
      <c r="E613" s="5170"/>
      <c r="F613" s="5170"/>
      <c r="G613" s="5170"/>
      <c r="H613" s="5170"/>
      <c r="I613" s="5169"/>
      <c r="J613" s="5169"/>
      <c r="K613" s="5169"/>
      <c r="L613" s="5170"/>
      <c r="M613" s="5170"/>
      <c r="N613" s="5170"/>
      <c r="O613" s="5170"/>
      <c r="P613" s="5170"/>
      <c r="Q613" s="5167"/>
      <c r="R613" s="5167"/>
      <c r="S613" s="1652"/>
    </row>
    <row r="614" spans="1:19" ht="7.5" customHeight="1">
      <c r="A614" s="1651"/>
      <c r="B614" s="5167"/>
      <c r="C614" s="5167"/>
      <c r="D614" s="5169"/>
      <c r="E614" s="5169"/>
      <c r="F614" s="5169"/>
      <c r="G614" s="5169"/>
      <c r="H614" s="5169"/>
      <c r="I614" s="5169"/>
      <c r="J614" s="5169"/>
      <c r="K614" s="5169"/>
      <c r="L614" s="5169"/>
      <c r="M614" s="5169"/>
      <c r="N614" s="5169"/>
      <c r="O614" s="5169"/>
      <c r="P614" s="5169"/>
      <c r="Q614" s="5167"/>
      <c r="R614" s="5167"/>
      <c r="S614" s="1652"/>
    </row>
    <row r="615" spans="1:19" ht="7.5" customHeight="1">
      <c r="A615" s="1651"/>
      <c r="B615" s="5167"/>
      <c r="C615" s="5167"/>
      <c r="D615" s="5169"/>
      <c r="E615" s="5169"/>
      <c r="F615" s="5169"/>
      <c r="G615" s="5169"/>
      <c r="H615" s="5169"/>
      <c r="I615" s="5169"/>
      <c r="J615" s="5169"/>
      <c r="K615" s="5169"/>
      <c r="L615" s="5169"/>
      <c r="M615" s="5169"/>
      <c r="N615" s="5169"/>
      <c r="O615" s="5169"/>
      <c r="P615" s="5169"/>
      <c r="Q615" s="5167"/>
      <c r="R615" s="5167"/>
      <c r="S615" s="1652"/>
    </row>
    <row r="616" spans="1:19" ht="7.5" customHeight="1">
      <c r="A616" s="1651"/>
      <c r="B616" s="5167"/>
      <c r="C616" s="5167"/>
      <c r="D616" s="5172"/>
      <c r="E616" s="5173" t="str">
        <f>C557</f>
        <v>19 DE NOVIEMBRE DE 2013</v>
      </c>
      <c r="F616" s="5173"/>
      <c r="G616" s="5173"/>
      <c r="H616" s="5172"/>
      <c r="I616" s="5172"/>
      <c r="J616" s="5172"/>
      <c r="K616" s="5172"/>
      <c r="L616" s="5172"/>
      <c r="M616" s="5173" t="str">
        <f>O557</f>
        <v>09 DE OCTUBRE DE 2013</v>
      </c>
      <c r="N616" s="5173"/>
      <c r="O616" s="5173"/>
      <c r="P616" s="5172"/>
      <c r="Q616" s="5167"/>
      <c r="R616" s="5167"/>
      <c r="S616" s="1652"/>
    </row>
    <row r="617" spans="1:19" ht="7.5" customHeight="1">
      <c r="A617" s="1651"/>
      <c r="B617" s="5167"/>
      <c r="C617" s="5167"/>
      <c r="D617" s="5172"/>
      <c r="E617" s="5174"/>
      <c r="F617" s="5174"/>
      <c r="G617" s="5174"/>
      <c r="H617" s="5172"/>
      <c r="I617" s="5172"/>
      <c r="J617" s="5172"/>
      <c r="K617" s="5172"/>
      <c r="L617" s="5172"/>
      <c r="M617" s="5174"/>
      <c r="N617" s="5174"/>
      <c r="O617" s="5174"/>
      <c r="P617" s="5172"/>
      <c r="Q617" s="5167"/>
      <c r="R617" s="5167"/>
      <c r="S617" s="1652"/>
    </row>
    <row r="618" spans="1:19" ht="7.5" customHeight="1">
      <c r="A618" s="1651"/>
      <c r="B618" s="5167"/>
      <c r="C618" s="5167"/>
      <c r="D618" s="5169"/>
      <c r="E618" s="5169"/>
      <c r="F618" s="5170" t="s">
        <v>1458</v>
      </c>
      <c r="G618" s="5169"/>
      <c r="H618" s="5169"/>
      <c r="I618" s="5175"/>
      <c r="J618" s="5169"/>
      <c r="K618" s="5169"/>
      <c r="L618" s="5169"/>
      <c r="M618" s="5169"/>
      <c r="N618" s="5170" t="s">
        <v>1458</v>
      </c>
      <c r="O618" s="5169"/>
      <c r="P618" s="5169"/>
      <c r="Q618" s="5167"/>
      <c r="R618" s="5167"/>
      <c r="S618" s="1652"/>
    </row>
    <row r="619" spans="1:19" ht="7.5" customHeight="1">
      <c r="A619" s="1651"/>
      <c r="B619" s="5167"/>
      <c r="C619" s="5167"/>
      <c r="D619" s="5169"/>
      <c r="E619" s="5169"/>
      <c r="F619" s="5170"/>
      <c r="G619" s="5169"/>
      <c r="H619" s="5169"/>
      <c r="I619" s="5169"/>
      <c r="J619" s="5169"/>
      <c r="K619" s="5169"/>
      <c r="L619" s="5169"/>
      <c r="M619" s="5169"/>
      <c r="N619" s="5170"/>
      <c r="O619" s="5169"/>
      <c r="P619" s="5169"/>
      <c r="Q619" s="5167"/>
      <c r="R619" s="5167"/>
      <c r="S619" s="1652"/>
    </row>
  </sheetData>
  <mergeCells count="3080">
    <mergeCell ref="B9:C10"/>
    <mergeCell ref="D9:E10"/>
    <mergeCell ref="B104:C105"/>
    <mergeCell ref="D104:E105"/>
    <mergeCell ref="B199:C200"/>
    <mergeCell ref="D199:E200"/>
    <mergeCell ref="B294:C295"/>
    <mergeCell ref="D294:E295"/>
    <mergeCell ref="B389:C390"/>
    <mergeCell ref="D389:E390"/>
    <mergeCell ref="B484:C485"/>
    <mergeCell ref="D484:E485"/>
    <mergeCell ref="F9:I10"/>
    <mergeCell ref="O10:R11"/>
    <mergeCell ref="O105:R106"/>
    <mergeCell ref="O196:R197"/>
    <mergeCell ref="O198:R199"/>
    <mergeCell ref="O200:R201"/>
    <mergeCell ref="O291:R292"/>
    <mergeCell ref="O293:R294"/>
    <mergeCell ref="O295:R296"/>
    <mergeCell ref="O386:R387"/>
    <mergeCell ref="O388:R389"/>
    <mergeCell ref="O390:R391"/>
    <mergeCell ref="O481:R482"/>
    <mergeCell ref="O483:R484"/>
    <mergeCell ref="O485:R486"/>
    <mergeCell ref="F14:F15"/>
    <mergeCell ref="G14:G15"/>
    <mergeCell ref="H14:H15"/>
    <mergeCell ref="I14:I15"/>
    <mergeCell ref="M14:N15"/>
    <mergeCell ref="B616:B617"/>
    <mergeCell ref="C616:C617"/>
    <mergeCell ref="D616:D617"/>
    <mergeCell ref="E616:G617"/>
    <mergeCell ref="H616:H617"/>
    <mergeCell ref="I616:I617"/>
    <mergeCell ref="J616:J617"/>
    <mergeCell ref="K616:K617"/>
    <mergeCell ref="L616:L617"/>
    <mergeCell ref="M616:O617"/>
    <mergeCell ref="P616:P617"/>
    <mergeCell ref="Q616:Q617"/>
    <mergeCell ref="R616:R617"/>
    <mergeCell ref="B618:B619"/>
    <mergeCell ref="C618:C619"/>
    <mergeCell ref="D618:D619"/>
    <mergeCell ref="E618:E619"/>
    <mergeCell ref="F618:F619"/>
    <mergeCell ref="G618:G619"/>
    <mergeCell ref="H618:H619"/>
    <mergeCell ref="I618:I619"/>
    <mergeCell ref="J618:J619"/>
    <mergeCell ref="K618:K619"/>
    <mergeCell ref="L618:L619"/>
    <mergeCell ref="M618:M619"/>
    <mergeCell ref="N618:N619"/>
    <mergeCell ref="O618:O619"/>
    <mergeCell ref="P618:P619"/>
    <mergeCell ref="Q618:Q619"/>
    <mergeCell ref="R618:R619"/>
    <mergeCell ref="B614:B615"/>
    <mergeCell ref="C614:C615"/>
    <mergeCell ref="D614:D615"/>
    <mergeCell ref="E614:E615"/>
    <mergeCell ref="F614:F615"/>
    <mergeCell ref="G614:G615"/>
    <mergeCell ref="H614:H615"/>
    <mergeCell ref="I614:I615"/>
    <mergeCell ref="J614:J615"/>
    <mergeCell ref="K614:K615"/>
    <mergeCell ref="L614:L615"/>
    <mergeCell ref="M614:M615"/>
    <mergeCell ref="N614:N615"/>
    <mergeCell ref="O614:O615"/>
    <mergeCell ref="P614:P615"/>
    <mergeCell ref="Q614:Q615"/>
    <mergeCell ref="R614:R615"/>
    <mergeCell ref="B610:B611"/>
    <mergeCell ref="C610:C611"/>
    <mergeCell ref="D610:H611"/>
    <mergeCell ref="I610:I611"/>
    <mergeCell ref="J610:J611"/>
    <mergeCell ref="K610:K611"/>
    <mergeCell ref="L610:P611"/>
    <mergeCell ref="Q610:Q611"/>
    <mergeCell ref="R610:R611"/>
    <mergeCell ref="B612:B613"/>
    <mergeCell ref="C612:C613"/>
    <mergeCell ref="D612:H613"/>
    <mergeCell ref="I612:I613"/>
    <mergeCell ref="J612:J613"/>
    <mergeCell ref="K612:K613"/>
    <mergeCell ref="L612:P613"/>
    <mergeCell ref="Q612:Q613"/>
    <mergeCell ref="R612:R613"/>
    <mergeCell ref="B608:B609"/>
    <mergeCell ref="C608:C609"/>
    <mergeCell ref="D608:D609"/>
    <mergeCell ref="E608:E609"/>
    <mergeCell ref="F608:F609"/>
    <mergeCell ref="G608:G609"/>
    <mergeCell ref="H608:H609"/>
    <mergeCell ref="I608:I609"/>
    <mergeCell ref="J608:J609"/>
    <mergeCell ref="K608:K609"/>
    <mergeCell ref="L608:L609"/>
    <mergeCell ref="M608:M609"/>
    <mergeCell ref="N608:N609"/>
    <mergeCell ref="O608:O609"/>
    <mergeCell ref="P608:P609"/>
    <mergeCell ref="Q608:Q609"/>
    <mergeCell ref="R608:R609"/>
    <mergeCell ref="B604:B605"/>
    <mergeCell ref="C604:C605"/>
    <mergeCell ref="D604:H605"/>
    <mergeCell ref="I604:I605"/>
    <mergeCell ref="J604:J605"/>
    <mergeCell ref="K604:K605"/>
    <mergeCell ref="L604:P605"/>
    <mergeCell ref="Q604:Q605"/>
    <mergeCell ref="R604:R605"/>
    <mergeCell ref="B606:B607"/>
    <mergeCell ref="C606:C607"/>
    <mergeCell ref="D606:H607"/>
    <mergeCell ref="I606:I607"/>
    <mergeCell ref="J606:J607"/>
    <mergeCell ref="K606:K607"/>
    <mergeCell ref="L606:P607"/>
    <mergeCell ref="Q606:Q607"/>
    <mergeCell ref="R606:R607"/>
    <mergeCell ref="B600:B601"/>
    <mergeCell ref="E600:G601"/>
    <mergeCell ref="H600:H601"/>
    <mergeCell ref="I600:I601"/>
    <mergeCell ref="J600:J601"/>
    <mergeCell ref="K600:K601"/>
    <mergeCell ref="L600:L601"/>
    <mergeCell ref="M600:M601"/>
    <mergeCell ref="N600:N601"/>
    <mergeCell ref="O600:O601"/>
    <mergeCell ref="P600:P601"/>
    <mergeCell ref="Q600:Q601"/>
    <mergeCell ref="R600:R601"/>
    <mergeCell ref="B602:B603"/>
    <mergeCell ref="C602:C603"/>
    <mergeCell ref="D602:D603"/>
    <mergeCell ref="E602:E603"/>
    <mergeCell ref="F602:F603"/>
    <mergeCell ref="G602:G603"/>
    <mergeCell ref="H602:H603"/>
    <mergeCell ref="I602:I603"/>
    <mergeCell ref="J602:J603"/>
    <mergeCell ref="K602:K603"/>
    <mergeCell ref="L602:L603"/>
    <mergeCell ref="M602:M603"/>
    <mergeCell ref="N602:N603"/>
    <mergeCell ref="O602:O603"/>
    <mergeCell ref="P602:P603"/>
    <mergeCell ref="Q602:Q603"/>
    <mergeCell ref="R602:R603"/>
    <mergeCell ref="B596:B597"/>
    <mergeCell ref="E596:G597"/>
    <mergeCell ref="H596:H597"/>
    <mergeCell ref="I596:I597"/>
    <mergeCell ref="J596:J597"/>
    <mergeCell ref="K596:K597"/>
    <mergeCell ref="L596:L597"/>
    <mergeCell ref="M596:O597"/>
    <mergeCell ref="P596:P597"/>
    <mergeCell ref="Q596:Q597"/>
    <mergeCell ref="R596:R597"/>
    <mergeCell ref="B598:B599"/>
    <mergeCell ref="E598:G599"/>
    <mergeCell ref="H598:H599"/>
    <mergeCell ref="I598:I599"/>
    <mergeCell ref="J598:J599"/>
    <mergeCell ref="K598:K599"/>
    <mergeCell ref="L598:L599"/>
    <mergeCell ref="M598:O599"/>
    <mergeCell ref="P598:P599"/>
    <mergeCell ref="Q598:Q599"/>
    <mergeCell ref="R598:R599"/>
    <mergeCell ref="F7:I8"/>
    <mergeCell ref="J7:J8"/>
    <mergeCell ref="K7:L8"/>
    <mergeCell ref="O6:R7"/>
    <mergeCell ref="O8:R9"/>
    <mergeCell ref="B12:B15"/>
    <mergeCell ref="C12:E15"/>
    <mergeCell ref="F12:I13"/>
    <mergeCell ref="J12:J15"/>
    <mergeCell ref="K12:K15"/>
    <mergeCell ref="L16:L17"/>
    <mergeCell ref="M16:N17"/>
    <mergeCell ref="O16:P17"/>
    <mergeCell ref="Q16:Q17"/>
    <mergeCell ref="R16:R17"/>
    <mergeCell ref="B18:B19"/>
    <mergeCell ref="C18:E19"/>
    <mergeCell ref="F18:F19"/>
    <mergeCell ref="G18:G19"/>
    <mergeCell ref="H18:H19"/>
    <mergeCell ref="Q14:Q15"/>
    <mergeCell ref="R14:R15"/>
    <mergeCell ref="B16:B17"/>
    <mergeCell ref="C16:E17"/>
    <mergeCell ref="F16:F17"/>
    <mergeCell ref="G16:G17"/>
    <mergeCell ref="H16:H17"/>
    <mergeCell ref="I16:I17"/>
    <mergeCell ref="L12:L15"/>
    <mergeCell ref="M12:P13"/>
    <mergeCell ref="Q12:Q13"/>
    <mergeCell ref="R12:R13"/>
    <mergeCell ref="O14:P15"/>
    <mergeCell ref="L20:L21"/>
    <mergeCell ref="M20:N21"/>
    <mergeCell ref="O20:P21"/>
    <mergeCell ref="Q20:Q21"/>
    <mergeCell ref="R20:R21"/>
    <mergeCell ref="M535:N536"/>
    <mergeCell ref="O535:P536"/>
    <mergeCell ref="Q535:Q536"/>
    <mergeCell ref="R535:R536"/>
    <mergeCell ref="Q18:Q19"/>
    <mergeCell ref="R18:R19"/>
    <mergeCell ref="Q24:Q25"/>
    <mergeCell ref="R24:R25"/>
    <mergeCell ref="L28:L29"/>
    <mergeCell ref="M28:N29"/>
    <mergeCell ref="O28:P29"/>
    <mergeCell ref="Q28:Q29"/>
    <mergeCell ref="R28:R29"/>
    <mergeCell ref="L32:L33"/>
    <mergeCell ref="M32:N33"/>
    <mergeCell ref="O32:P33"/>
    <mergeCell ref="Q32:Q33"/>
    <mergeCell ref="R32:R33"/>
    <mergeCell ref="L36:L37"/>
    <mergeCell ref="M36:N37"/>
    <mergeCell ref="O36:P37"/>
    <mergeCell ref="Q22:Q23"/>
    <mergeCell ref="R22:R23"/>
    <mergeCell ref="O22:P23"/>
    <mergeCell ref="Q30:Q31"/>
    <mergeCell ref="R30:R31"/>
    <mergeCell ref="B20:B21"/>
    <mergeCell ref="C20:E21"/>
    <mergeCell ref="F20:F21"/>
    <mergeCell ref="G20:G21"/>
    <mergeCell ref="H20:H21"/>
    <mergeCell ref="I20:I21"/>
    <mergeCell ref="J20:J21"/>
    <mergeCell ref="K20:K21"/>
    <mergeCell ref="I18:I19"/>
    <mergeCell ref="J18:J19"/>
    <mergeCell ref="K18:K19"/>
    <mergeCell ref="L18:L19"/>
    <mergeCell ref="M18:N19"/>
    <mergeCell ref="O18:P19"/>
    <mergeCell ref="J16:J17"/>
    <mergeCell ref="K16:K17"/>
    <mergeCell ref="L24:L25"/>
    <mergeCell ref="M24:N25"/>
    <mergeCell ref="O24:P25"/>
    <mergeCell ref="B24:B25"/>
    <mergeCell ref="C24:E25"/>
    <mergeCell ref="F24:F25"/>
    <mergeCell ref="G24:G25"/>
    <mergeCell ref="H24:H25"/>
    <mergeCell ref="I24:I25"/>
    <mergeCell ref="J24:J25"/>
    <mergeCell ref="K24:K25"/>
    <mergeCell ref="I22:I23"/>
    <mergeCell ref="J22:J23"/>
    <mergeCell ref="K22:K23"/>
    <mergeCell ref="L22:L23"/>
    <mergeCell ref="M22:N23"/>
    <mergeCell ref="B22:B23"/>
    <mergeCell ref="C22:E23"/>
    <mergeCell ref="F22:F23"/>
    <mergeCell ref="G22:G23"/>
    <mergeCell ref="H22:H23"/>
    <mergeCell ref="Q26:Q27"/>
    <mergeCell ref="R26:R27"/>
    <mergeCell ref="B28:B29"/>
    <mergeCell ref="C28:E29"/>
    <mergeCell ref="F28:F29"/>
    <mergeCell ref="G28:G29"/>
    <mergeCell ref="H28:H29"/>
    <mergeCell ref="I28:I29"/>
    <mergeCell ref="J28:J29"/>
    <mergeCell ref="K28:K29"/>
    <mergeCell ref="I26:I27"/>
    <mergeCell ref="J26:J27"/>
    <mergeCell ref="K26:K27"/>
    <mergeCell ref="L26:L27"/>
    <mergeCell ref="M26:N27"/>
    <mergeCell ref="O26:P27"/>
    <mergeCell ref="B26:B27"/>
    <mergeCell ref="C26:E27"/>
    <mergeCell ref="F26:F27"/>
    <mergeCell ref="G26:G27"/>
    <mergeCell ref="H26:H27"/>
    <mergeCell ref="B32:B33"/>
    <mergeCell ref="C32:E33"/>
    <mergeCell ref="F32:F33"/>
    <mergeCell ref="G32:G33"/>
    <mergeCell ref="H32:H33"/>
    <mergeCell ref="I32:I33"/>
    <mergeCell ref="J32:J33"/>
    <mergeCell ref="K32:K33"/>
    <mergeCell ref="I30:I31"/>
    <mergeCell ref="J30:J31"/>
    <mergeCell ref="K30:K31"/>
    <mergeCell ref="L30:L31"/>
    <mergeCell ref="M30:N31"/>
    <mergeCell ref="O30:P31"/>
    <mergeCell ref="B30:B31"/>
    <mergeCell ref="C30:E31"/>
    <mergeCell ref="F30:F31"/>
    <mergeCell ref="G30:G31"/>
    <mergeCell ref="H30:H31"/>
    <mergeCell ref="Q36:Q37"/>
    <mergeCell ref="R36:R37"/>
    <mergeCell ref="B38:B39"/>
    <mergeCell ref="C38:E39"/>
    <mergeCell ref="F38:F39"/>
    <mergeCell ref="G38:G39"/>
    <mergeCell ref="H38:H39"/>
    <mergeCell ref="Q34:Q35"/>
    <mergeCell ref="R34:R35"/>
    <mergeCell ref="B36:B37"/>
    <mergeCell ref="C36:E37"/>
    <mergeCell ref="F36:F37"/>
    <mergeCell ref="G36:G37"/>
    <mergeCell ref="H36:H37"/>
    <mergeCell ref="I36:I37"/>
    <mergeCell ref="J36:J37"/>
    <mergeCell ref="K36:K37"/>
    <mergeCell ref="I34:I35"/>
    <mergeCell ref="J34:J35"/>
    <mergeCell ref="K34:K35"/>
    <mergeCell ref="L34:L35"/>
    <mergeCell ref="M34:N35"/>
    <mergeCell ref="O34:P35"/>
    <mergeCell ref="B34:B35"/>
    <mergeCell ref="C34:E35"/>
    <mergeCell ref="F34:F35"/>
    <mergeCell ref="G34:G35"/>
    <mergeCell ref="H34:H35"/>
    <mergeCell ref="L40:L41"/>
    <mergeCell ref="M40:N41"/>
    <mergeCell ref="O40:P41"/>
    <mergeCell ref="Q40:Q41"/>
    <mergeCell ref="R40:R41"/>
    <mergeCell ref="B42:B43"/>
    <mergeCell ref="C42:E43"/>
    <mergeCell ref="F42:F43"/>
    <mergeCell ref="G42:G43"/>
    <mergeCell ref="H42:H43"/>
    <mergeCell ref="Q38:Q39"/>
    <mergeCell ref="R38:R39"/>
    <mergeCell ref="B40:B41"/>
    <mergeCell ref="C40:E41"/>
    <mergeCell ref="F40:F41"/>
    <mergeCell ref="G40:G41"/>
    <mergeCell ref="H40:H41"/>
    <mergeCell ref="I40:I41"/>
    <mergeCell ref="J40:J41"/>
    <mergeCell ref="K40:K41"/>
    <mergeCell ref="I38:I39"/>
    <mergeCell ref="J38:J39"/>
    <mergeCell ref="K38:K39"/>
    <mergeCell ref="L38:L39"/>
    <mergeCell ref="M38:N39"/>
    <mergeCell ref="O38:P39"/>
    <mergeCell ref="L44:L45"/>
    <mergeCell ref="M44:N45"/>
    <mergeCell ref="O44:P45"/>
    <mergeCell ref="Q44:Q45"/>
    <mergeCell ref="R44:R45"/>
    <mergeCell ref="B46:B47"/>
    <mergeCell ref="C46:E47"/>
    <mergeCell ref="F46:F47"/>
    <mergeCell ref="G46:G47"/>
    <mergeCell ref="H46:H47"/>
    <mergeCell ref="Q42:Q43"/>
    <mergeCell ref="R42:R43"/>
    <mergeCell ref="B44:B45"/>
    <mergeCell ref="C44:E45"/>
    <mergeCell ref="F44:F45"/>
    <mergeCell ref="G44:G45"/>
    <mergeCell ref="H44:H45"/>
    <mergeCell ref="I44:I45"/>
    <mergeCell ref="J44:J45"/>
    <mergeCell ref="K44:K45"/>
    <mergeCell ref="I42:I43"/>
    <mergeCell ref="J42:J43"/>
    <mergeCell ref="K42:K43"/>
    <mergeCell ref="L42:L43"/>
    <mergeCell ref="M42:N43"/>
    <mergeCell ref="O42:P43"/>
    <mergeCell ref="L48:L49"/>
    <mergeCell ref="M48:N49"/>
    <mergeCell ref="O48:P49"/>
    <mergeCell ref="Q48:Q49"/>
    <mergeCell ref="R48:R49"/>
    <mergeCell ref="B50:B51"/>
    <mergeCell ref="C50:E51"/>
    <mergeCell ref="F50:F51"/>
    <mergeCell ref="G50:G51"/>
    <mergeCell ref="H50:H51"/>
    <mergeCell ref="Q46:Q47"/>
    <mergeCell ref="R46:R47"/>
    <mergeCell ref="B48:B49"/>
    <mergeCell ref="C48:E49"/>
    <mergeCell ref="F48:F49"/>
    <mergeCell ref="G48:G49"/>
    <mergeCell ref="H48:H49"/>
    <mergeCell ref="I48:I49"/>
    <mergeCell ref="J48:J49"/>
    <mergeCell ref="K48:K49"/>
    <mergeCell ref="I46:I47"/>
    <mergeCell ref="J46:J47"/>
    <mergeCell ref="K46:K47"/>
    <mergeCell ref="L46:L47"/>
    <mergeCell ref="M46:N47"/>
    <mergeCell ref="O46:P47"/>
    <mergeCell ref="L52:L53"/>
    <mergeCell ref="M52:N53"/>
    <mergeCell ref="O52:P53"/>
    <mergeCell ref="Q52:Q53"/>
    <mergeCell ref="R52:R53"/>
    <mergeCell ref="B54:B55"/>
    <mergeCell ref="C54:E55"/>
    <mergeCell ref="F54:F55"/>
    <mergeCell ref="G54:G55"/>
    <mergeCell ref="H54:H55"/>
    <mergeCell ref="Q50:Q51"/>
    <mergeCell ref="R50:R51"/>
    <mergeCell ref="B52:B53"/>
    <mergeCell ref="C52:E53"/>
    <mergeCell ref="F52:F53"/>
    <mergeCell ref="G52:G53"/>
    <mergeCell ref="H52:H53"/>
    <mergeCell ref="I52:I53"/>
    <mergeCell ref="J52:J53"/>
    <mergeCell ref="K52:K53"/>
    <mergeCell ref="I50:I51"/>
    <mergeCell ref="J50:J51"/>
    <mergeCell ref="K50:K51"/>
    <mergeCell ref="L50:L51"/>
    <mergeCell ref="M50:N51"/>
    <mergeCell ref="O50:P51"/>
    <mergeCell ref="L56:L57"/>
    <mergeCell ref="M56:N57"/>
    <mergeCell ref="O56:P57"/>
    <mergeCell ref="Q56:Q57"/>
    <mergeCell ref="R56:R57"/>
    <mergeCell ref="J58:J59"/>
    <mergeCell ref="Q54:Q55"/>
    <mergeCell ref="R54:R55"/>
    <mergeCell ref="B56:B57"/>
    <mergeCell ref="C56:E57"/>
    <mergeCell ref="F56:F57"/>
    <mergeCell ref="G56:G57"/>
    <mergeCell ref="H56:H57"/>
    <mergeCell ref="I56:I57"/>
    <mergeCell ref="J56:J57"/>
    <mergeCell ref="K56:K57"/>
    <mergeCell ref="I54:I55"/>
    <mergeCell ref="J54:J55"/>
    <mergeCell ref="K54:K55"/>
    <mergeCell ref="L54:L55"/>
    <mergeCell ref="M54:N55"/>
    <mergeCell ref="O54:P55"/>
    <mergeCell ref="I58:I59"/>
    <mergeCell ref="H58:H59"/>
    <mergeCell ref="G58:G59"/>
    <mergeCell ref="F58:F59"/>
    <mergeCell ref="R58:R59"/>
    <mergeCell ref="Q58:Q59"/>
    <mergeCell ref="L58:L59"/>
    <mergeCell ref="K58:K59"/>
    <mergeCell ref="M58:N59"/>
    <mergeCell ref="O58:P59"/>
    <mergeCell ref="K62:K63"/>
    <mergeCell ref="L62:L63"/>
    <mergeCell ref="M62:O63"/>
    <mergeCell ref="P62:P63"/>
    <mergeCell ref="Q62:Q63"/>
    <mergeCell ref="R62:R63"/>
    <mergeCell ref="L60:L61"/>
    <mergeCell ref="M60:O61"/>
    <mergeCell ref="P60:P61"/>
    <mergeCell ref="Q60:Q61"/>
    <mergeCell ref="R60:R61"/>
    <mergeCell ref="B62:B63"/>
    <mergeCell ref="E62:G63"/>
    <mergeCell ref="H62:H63"/>
    <mergeCell ref="I62:I63"/>
    <mergeCell ref="J62:J63"/>
    <mergeCell ref="B60:B61"/>
    <mergeCell ref="E60:G61"/>
    <mergeCell ref="H60:H61"/>
    <mergeCell ref="I60:I61"/>
    <mergeCell ref="J60:J61"/>
    <mergeCell ref="K60:K61"/>
    <mergeCell ref="R64:R65"/>
    <mergeCell ref="B66:B67"/>
    <mergeCell ref="C66:E67"/>
    <mergeCell ref="F66:F67"/>
    <mergeCell ref="G66:G67"/>
    <mergeCell ref="H66:H67"/>
    <mergeCell ref="I66:I67"/>
    <mergeCell ref="J66:J67"/>
    <mergeCell ref="K66:K67"/>
    <mergeCell ref="L66:L67"/>
    <mergeCell ref="L64:L65"/>
    <mergeCell ref="P64:P65"/>
    <mergeCell ref="Q64:Q65"/>
    <mergeCell ref="B64:B65"/>
    <mergeCell ref="E64:G65"/>
    <mergeCell ref="H64:H65"/>
    <mergeCell ref="I64:I65"/>
    <mergeCell ref="J64:J65"/>
    <mergeCell ref="K64:K65"/>
    <mergeCell ref="M64:O65"/>
    <mergeCell ref="L68:P69"/>
    <mergeCell ref="Q68:Q69"/>
    <mergeCell ref="R68:R69"/>
    <mergeCell ref="B70:B71"/>
    <mergeCell ref="C70:C71"/>
    <mergeCell ref="D70:H71"/>
    <mergeCell ref="I70:I71"/>
    <mergeCell ref="J70:J71"/>
    <mergeCell ref="K70:K71"/>
    <mergeCell ref="L70:P71"/>
    <mergeCell ref="B68:B69"/>
    <mergeCell ref="C68:C69"/>
    <mergeCell ref="D68:H69"/>
    <mergeCell ref="I68:I69"/>
    <mergeCell ref="J68:J69"/>
    <mergeCell ref="K68:K69"/>
    <mergeCell ref="M66:M67"/>
    <mergeCell ref="N66:N67"/>
    <mergeCell ref="O66:O67"/>
    <mergeCell ref="P66:P67"/>
    <mergeCell ref="Q66:Q67"/>
    <mergeCell ref="R66:R67"/>
    <mergeCell ref="P72:P73"/>
    <mergeCell ref="Q72:Q73"/>
    <mergeCell ref="R72:R73"/>
    <mergeCell ref="B74:B75"/>
    <mergeCell ref="C74:C75"/>
    <mergeCell ref="D74:H75"/>
    <mergeCell ref="I74:I75"/>
    <mergeCell ref="J74:J75"/>
    <mergeCell ref="K74:K75"/>
    <mergeCell ref="L74:P75"/>
    <mergeCell ref="J72:J73"/>
    <mergeCell ref="K72:K73"/>
    <mergeCell ref="L72:L73"/>
    <mergeCell ref="M72:M73"/>
    <mergeCell ref="N72:N73"/>
    <mergeCell ref="O72:O73"/>
    <mergeCell ref="Q70:Q71"/>
    <mergeCell ref="R70:R71"/>
    <mergeCell ref="B72:B73"/>
    <mergeCell ref="C72:C73"/>
    <mergeCell ref="D72:D73"/>
    <mergeCell ref="E72:E73"/>
    <mergeCell ref="F72:F73"/>
    <mergeCell ref="G72:G73"/>
    <mergeCell ref="H72:H73"/>
    <mergeCell ref="I72:I73"/>
    <mergeCell ref="B78:B79"/>
    <mergeCell ref="C78:C79"/>
    <mergeCell ref="D78:D79"/>
    <mergeCell ref="E78:E79"/>
    <mergeCell ref="F78:F79"/>
    <mergeCell ref="G78:G79"/>
    <mergeCell ref="H78:H79"/>
    <mergeCell ref="I78:I79"/>
    <mergeCell ref="J78:J79"/>
    <mergeCell ref="Q74:Q75"/>
    <mergeCell ref="R74:R75"/>
    <mergeCell ref="B76:B77"/>
    <mergeCell ref="C76:C77"/>
    <mergeCell ref="D76:H77"/>
    <mergeCell ref="I76:I77"/>
    <mergeCell ref="J76:J77"/>
    <mergeCell ref="K76:K77"/>
    <mergeCell ref="L76:P77"/>
    <mergeCell ref="Q76:Q77"/>
    <mergeCell ref="Q78:Q79"/>
    <mergeCell ref="R78:R79"/>
    <mergeCell ref="D80:D81"/>
    <mergeCell ref="E80:G81"/>
    <mergeCell ref="H80:H81"/>
    <mergeCell ref="K78:K79"/>
    <mergeCell ref="L78:L79"/>
    <mergeCell ref="M78:M79"/>
    <mergeCell ref="N78:N79"/>
    <mergeCell ref="O78:O79"/>
    <mergeCell ref="P78:P79"/>
    <mergeCell ref="M82:M83"/>
    <mergeCell ref="N82:N83"/>
    <mergeCell ref="O82:O83"/>
    <mergeCell ref="P82:P83"/>
    <mergeCell ref="R76:R77"/>
    <mergeCell ref="G82:G83"/>
    <mergeCell ref="H82:H83"/>
    <mergeCell ref="I82:I83"/>
    <mergeCell ref="J82:J83"/>
    <mergeCell ref="K82:K83"/>
    <mergeCell ref="L82:L83"/>
    <mergeCell ref="L80:L81"/>
    <mergeCell ref="M80:O81"/>
    <mergeCell ref="P80:P81"/>
    <mergeCell ref="Q80:Q81"/>
    <mergeCell ref="R80:R81"/>
    <mergeCell ref="Q82:Q83"/>
    <mergeCell ref="R82:R83"/>
    <mergeCell ref="I80:K81"/>
    <mergeCell ref="P84:P85"/>
    <mergeCell ref="Q84:Q85"/>
    <mergeCell ref="R84:R85"/>
    <mergeCell ref="B86:B87"/>
    <mergeCell ref="C86:E87"/>
    <mergeCell ref="F86:F87"/>
    <mergeCell ref="G86:G87"/>
    <mergeCell ref="H86:H87"/>
    <mergeCell ref="I86:I87"/>
    <mergeCell ref="J86:J87"/>
    <mergeCell ref="J84:J85"/>
    <mergeCell ref="K84:K85"/>
    <mergeCell ref="L84:L85"/>
    <mergeCell ref="M84:M85"/>
    <mergeCell ref="N84:N85"/>
    <mergeCell ref="O84:O85"/>
    <mergeCell ref="B84:B85"/>
    <mergeCell ref="C84:E85"/>
    <mergeCell ref="F84:F85"/>
    <mergeCell ref="B80:B81"/>
    <mergeCell ref="C80:C81"/>
    <mergeCell ref="G84:G85"/>
    <mergeCell ref="H84:H85"/>
    <mergeCell ref="I84:I85"/>
    <mergeCell ref="B82:B83"/>
    <mergeCell ref="C82:C83"/>
    <mergeCell ref="D82:D83"/>
    <mergeCell ref="E82:E83"/>
    <mergeCell ref="F82:F83"/>
    <mergeCell ref="O103:R104"/>
    <mergeCell ref="B107:B110"/>
    <mergeCell ref="C107:E110"/>
    <mergeCell ref="F107:I108"/>
    <mergeCell ref="J107:J110"/>
    <mergeCell ref="K107:K110"/>
    <mergeCell ref="L107:L110"/>
    <mergeCell ref="M107:P108"/>
    <mergeCell ref="Q107:Q108"/>
    <mergeCell ref="R107:R108"/>
    <mergeCell ref="Q86:Q87"/>
    <mergeCell ref="R86:R87"/>
    <mergeCell ref="F102:I103"/>
    <mergeCell ref="J102:J103"/>
    <mergeCell ref="K102:L103"/>
    <mergeCell ref="O101:R102"/>
    <mergeCell ref="K86:K87"/>
    <mergeCell ref="L86:L87"/>
    <mergeCell ref="M86:M87"/>
    <mergeCell ref="N86:N87"/>
    <mergeCell ref="O86:O87"/>
    <mergeCell ref="P86:P87"/>
    <mergeCell ref="L111:L112"/>
    <mergeCell ref="M111:N112"/>
    <mergeCell ref="O111:P112"/>
    <mergeCell ref="Q111:Q112"/>
    <mergeCell ref="R111:R112"/>
    <mergeCell ref="B113:B114"/>
    <mergeCell ref="C113:E114"/>
    <mergeCell ref="F113:F114"/>
    <mergeCell ref="G113:G114"/>
    <mergeCell ref="H113:H114"/>
    <mergeCell ref="Q109:Q110"/>
    <mergeCell ref="R109:R110"/>
    <mergeCell ref="B111:B112"/>
    <mergeCell ref="C111:E112"/>
    <mergeCell ref="F111:F112"/>
    <mergeCell ref="G111:G112"/>
    <mergeCell ref="H111:H112"/>
    <mergeCell ref="I111:I112"/>
    <mergeCell ref="J111:J112"/>
    <mergeCell ref="K111:K112"/>
    <mergeCell ref="F109:F110"/>
    <mergeCell ref="G109:G110"/>
    <mergeCell ref="H109:H110"/>
    <mergeCell ref="I109:I110"/>
    <mergeCell ref="M109:N110"/>
    <mergeCell ref="O109:P110"/>
    <mergeCell ref="L115:L116"/>
    <mergeCell ref="M115:N116"/>
    <mergeCell ref="O115:P116"/>
    <mergeCell ref="Q115:Q116"/>
    <mergeCell ref="R115:R116"/>
    <mergeCell ref="B117:B118"/>
    <mergeCell ref="C117:E118"/>
    <mergeCell ref="F117:F118"/>
    <mergeCell ref="G117:G118"/>
    <mergeCell ref="H117:H118"/>
    <mergeCell ref="Q113:Q114"/>
    <mergeCell ref="R113:R114"/>
    <mergeCell ref="B115:B116"/>
    <mergeCell ref="C115:E116"/>
    <mergeCell ref="F115:F116"/>
    <mergeCell ref="G115:G116"/>
    <mergeCell ref="H115:H116"/>
    <mergeCell ref="I115:I116"/>
    <mergeCell ref="J115:J116"/>
    <mergeCell ref="K115:K116"/>
    <mergeCell ref="I113:I114"/>
    <mergeCell ref="J113:J114"/>
    <mergeCell ref="K113:K114"/>
    <mergeCell ref="L113:L114"/>
    <mergeCell ref="M113:N114"/>
    <mergeCell ref="O113:P114"/>
    <mergeCell ref="L119:L120"/>
    <mergeCell ref="M119:N120"/>
    <mergeCell ref="O119:P120"/>
    <mergeCell ref="Q119:Q120"/>
    <mergeCell ref="R119:R120"/>
    <mergeCell ref="B121:B122"/>
    <mergeCell ref="C121:E122"/>
    <mergeCell ref="F121:F122"/>
    <mergeCell ref="G121:G122"/>
    <mergeCell ref="H121:H122"/>
    <mergeCell ref="Q117:Q118"/>
    <mergeCell ref="R117:R118"/>
    <mergeCell ref="B119:B120"/>
    <mergeCell ref="C119:E120"/>
    <mergeCell ref="F119:F120"/>
    <mergeCell ref="G119:G120"/>
    <mergeCell ref="H119:H120"/>
    <mergeCell ref="I119:I120"/>
    <mergeCell ref="J119:J120"/>
    <mergeCell ref="K119:K120"/>
    <mergeCell ref="I117:I118"/>
    <mergeCell ref="J117:J118"/>
    <mergeCell ref="K117:K118"/>
    <mergeCell ref="L117:L118"/>
    <mergeCell ref="M117:N118"/>
    <mergeCell ref="O117:P118"/>
    <mergeCell ref="L123:L124"/>
    <mergeCell ref="M123:N124"/>
    <mergeCell ref="O123:P124"/>
    <mergeCell ref="Q123:Q124"/>
    <mergeCell ref="R123:R124"/>
    <mergeCell ref="B125:B126"/>
    <mergeCell ref="C125:E126"/>
    <mergeCell ref="F125:F126"/>
    <mergeCell ref="G125:G126"/>
    <mergeCell ref="H125:H126"/>
    <mergeCell ref="Q121:Q122"/>
    <mergeCell ref="R121:R122"/>
    <mergeCell ref="B123:B124"/>
    <mergeCell ref="C123:E124"/>
    <mergeCell ref="F123:F124"/>
    <mergeCell ref="G123:G124"/>
    <mergeCell ref="H123:H124"/>
    <mergeCell ref="I123:I124"/>
    <mergeCell ref="J123:J124"/>
    <mergeCell ref="K123:K124"/>
    <mergeCell ref="I121:I122"/>
    <mergeCell ref="J121:J122"/>
    <mergeCell ref="K121:K122"/>
    <mergeCell ref="L121:L122"/>
    <mergeCell ref="M121:N122"/>
    <mergeCell ref="O121:P122"/>
    <mergeCell ref="L127:L128"/>
    <mergeCell ref="M127:N128"/>
    <mergeCell ref="O127:P128"/>
    <mergeCell ref="Q127:Q128"/>
    <mergeCell ref="R127:R128"/>
    <mergeCell ref="B129:B130"/>
    <mergeCell ref="C129:E130"/>
    <mergeCell ref="F129:F130"/>
    <mergeCell ref="G129:G130"/>
    <mergeCell ref="H129:H130"/>
    <mergeCell ref="Q125:Q126"/>
    <mergeCell ref="R125:R126"/>
    <mergeCell ref="B127:B128"/>
    <mergeCell ref="C127:E128"/>
    <mergeCell ref="F127:F128"/>
    <mergeCell ref="G127:G128"/>
    <mergeCell ref="H127:H128"/>
    <mergeCell ref="I127:I128"/>
    <mergeCell ref="J127:J128"/>
    <mergeCell ref="K127:K128"/>
    <mergeCell ref="I125:I126"/>
    <mergeCell ref="J125:J126"/>
    <mergeCell ref="K125:K126"/>
    <mergeCell ref="L125:L126"/>
    <mergeCell ref="M125:N126"/>
    <mergeCell ref="O125:P126"/>
    <mergeCell ref="L131:L132"/>
    <mergeCell ref="M131:N132"/>
    <mergeCell ref="O131:P132"/>
    <mergeCell ref="Q131:Q132"/>
    <mergeCell ref="R131:R132"/>
    <mergeCell ref="B133:B134"/>
    <mergeCell ref="C133:E134"/>
    <mergeCell ref="F133:F134"/>
    <mergeCell ref="G133:G134"/>
    <mergeCell ref="H133:H134"/>
    <mergeCell ref="Q129:Q130"/>
    <mergeCell ref="R129:R130"/>
    <mergeCell ref="B131:B132"/>
    <mergeCell ref="C131:E132"/>
    <mergeCell ref="F131:F132"/>
    <mergeCell ref="G131:G132"/>
    <mergeCell ref="H131:H132"/>
    <mergeCell ref="I131:I132"/>
    <mergeCell ref="J131:J132"/>
    <mergeCell ref="K131:K132"/>
    <mergeCell ref="I129:I130"/>
    <mergeCell ref="J129:J130"/>
    <mergeCell ref="K129:K130"/>
    <mergeCell ref="L129:L130"/>
    <mergeCell ref="M129:N130"/>
    <mergeCell ref="O129:P130"/>
    <mergeCell ref="L135:L136"/>
    <mergeCell ref="M135:N136"/>
    <mergeCell ref="O135:P136"/>
    <mergeCell ref="Q135:Q136"/>
    <mergeCell ref="R135:R136"/>
    <mergeCell ref="B137:B138"/>
    <mergeCell ref="C137:E138"/>
    <mergeCell ref="F137:F138"/>
    <mergeCell ref="G137:G138"/>
    <mergeCell ref="H137:H138"/>
    <mergeCell ref="Q133:Q134"/>
    <mergeCell ref="R133:R134"/>
    <mergeCell ref="B135:B136"/>
    <mergeCell ref="C135:E136"/>
    <mergeCell ref="F135:F136"/>
    <mergeCell ref="G135:G136"/>
    <mergeCell ref="H135:H136"/>
    <mergeCell ref="I135:I136"/>
    <mergeCell ref="J135:J136"/>
    <mergeCell ref="K135:K136"/>
    <mergeCell ref="I133:I134"/>
    <mergeCell ref="J133:J134"/>
    <mergeCell ref="K133:K134"/>
    <mergeCell ref="L133:L134"/>
    <mergeCell ref="M133:N134"/>
    <mergeCell ref="O133:P134"/>
    <mergeCell ref="L139:L140"/>
    <mergeCell ref="M139:N140"/>
    <mergeCell ref="O139:P140"/>
    <mergeCell ref="Q139:Q140"/>
    <mergeCell ref="R139:R140"/>
    <mergeCell ref="B141:B142"/>
    <mergeCell ref="C141:E142"/>
    <mergeCell ref="F141:F142"/>
    <mergeCell ref="G141:G142"/>
    <mergeCell ref="H141:H142"/>
    <mergeCell ref="Q137:Q138"/>
    <mergeCell ref="R137:R138"/>
    <mergeCell ref="B139:B140"/>
    <mergeCell ref="C139:E140"/>
    <mergeCell ref="F139:F140"/>
    <mergeCell ref="G139:G140"/>
    <mergeCell ref="H139:H140"/>
    <mergeCell ref="I139:I140"/>
    <mergeCell ref="J139:J140"/>
    <mergeCell ref="K139:K140"/>
    <mergeCell ref="I137:I138"/>
    <mergeCell ref="J137:J138"/>
    <mergeCell ref="K137:K138"/>
    <mergeCell ref="L137:L138"/>
    <mergeCell ref="M137:N138"/>
    <mergeCell ref="O137:P138"/>
    <mergeCell ref="L143:L144"/>
    <mergeCell ref="M143:N144"/>
    <mergeCell ref="O143:P144"/>
    <mergeCell ref="Q143:Q144"/>
    <mergeCell ref="R143:R144"/>
    <mergeCell ref="B145:B146"/>
    <mergeCell ref="C145:E146"/>
    <mergeCell ref="F145:F146"/>
    <mergeCell ref="G145:G146"/>
    <mergeCell ref="H145:H146"/>
    <mergeCell ref="Q141:Q142"/>
    <mergeCell ref="R141:R142"/>
    <mergeCell ref="B143:B144"/>
    <mergeCell ref="C143:E144"/>
    <mergeCell ref="F143:F144"/>
    <mergeCell ref="G143:G144"/>
    <mergeCell ref="H143:H144"/>
    <mergeCell ref="I143:I144"/>
    <mergeCell ref="J143:J144"/>
    <mergeCell ref="K143:K144"/>
    <mergeCell ref="I141:I142"/>
    <mergeCell ref="J141:J142"/>
    <mergeCell ref="K141:K142"/>
    <mergeCell ref="L141:L142"/>
    <mergeCell ref="M141:N142"/>
    <mergeCell ref="O141:P142"/>
    <mergeCell ref="L147:L148"/>
    <mergeCell ref="M147:N148"/>
    <mergeCell ref="O147:P148"/>
    <mergeCell ref="Q147:Q148"/>
    <mergeCell ref="R147:R148"/>
    <mergeCell ref="B149:B150"/>
    <mergeCell ref="C149:E150"/>
    <mergeCell ref="F149:F150"/>
    <mergeCell ref="G149:G150"/>
    <mergeCell ref="H149:H150"/>
    <mergeCell ref="Q145:Q146"/>
    <mergeCell ref="R145:R146"/>
    <mergeCell ref="B147:B148"/>
    <mergeCell ref="C147:E148"/>
    <mergeCell ref="F147:F148"/>
    <mergeCell ref="G147:G148"/>
    <mergeCell ref="H147:H148"/>
    <mergeCell ref="I147:I148"/>
    <mergeCell ref="J147:J148"/>
    <mergeCell ref="K147:K148"/>
    <mergeCell ref="I145:I146"/>
    <mergeCell ref="J145:J146"/>
    <mergeCell ref="K145:K146"/>
    <mergeCell ref="L145:L146"/>
    <mergeCell ref="M145:N146"/>
    <mergeCell ref="O145:P146"/>
    <mergeCell ref="L151:L152"/>
    <mergeCell ref="M151:N152"/>
    <mergeCell ref="O151:P152"/>
    <mergeCell ref="Q151:Q152"/>
    <mergeCell ref="R151:R152"/>
    <mergeCell ref="J153:J154"/>
    <mergeCell ref="Q149:Q150"/>
    <mergeCell ref="R149:R150"/>
    <mergeCell ref="B151:B152"/>
    <mergeCell ref="C151:E152"/>
    <mergeCell ref="F151:F152"/>
    <mergeCell ref="G151:G152"/>
    <mergeCell ref="H151:H152"/>
    <mergeCell ref="I151:I152"/>
    <mergeCell ref="J151:J152"/>
    <mergeCell ref="K151:K152"/>
    <mergeCell ref="I149:I150"/>
    <mergeCell ref="J149:J150"/>
    <mergeCell ref="K149:K150"/>
    <mergeCell ref="L149:L150"/>
    <mergeCell ref="M149:N150"/>
    <mergeCell ref="O149:P150"/>
    <mergeCell ref="F153:F154"/>
    <mergeCell ref="G153:G154"/>
    <mergeCell ref="H153:H154"/>
    <mergeCell ref="I153:I154"/>
    <mergeCell ref="K153:K154"/>
    <mergeCell ref="L153:L154"/>
    <mergeCell ref="M153:N154"/>
    <mergeCell ref="O153:P154"/>
    <mergeCell ref="Q153:Q154"/>
    <mergeCell ref="R153:R154"/>
    <mergeCell ref="R155:R156"/>
    <mergeCell ref="B157:B158"/>
    <mergeCell ref="C157:C158"/>
    <mergeCell ref="D157:D158"/>
    <mergeCell ref="E157:G158"/>
    <mergeCell ref="H157:H158"/>
    <mergeCell ref="I157:I158"/>
    <mergeCell ref="J157:J158"/>
    <mergeCell ref="K157:K158"/>
    <mergeCell ref="L157:L158"/>
    <mergeCell ref="J155:J156"/>
    <mergeCell ref="K155:K156"/>
    <mergeCell ref="L155:L156"/>
    <mergeCell ref="M155:O156"/>
    <mergeCell ref="P155:P156"/>
    <mergeCell ref="Q155:Q156"/>
    <mergeCell ref="B155:B156"/>
    <mergeCell ref="C155:C156"/>
    <mergeCell ref="D155:D156"/>
    <mergeCell ref="E155:G156"/>
    <mergeCell ref="H155:H156"/>
    <mergeCell ref="I155:I156"/>
    <mergeCell ref="P159:P160"/>
    <mergeCell ref="Q159:Q160"/>
    <mergeCell ref="R159:R160"/>
    <mergeCell ref="B161:B162"/>
    <mergeCell ref="C161:C162"/>
    <mergeCell ref="D161:D162"/>
    <mergeCell ref="E161:E162"/>
    <mergeCell ref="F161:F162"/>
    <mergeCell ref="G161:G162"/>
    <mergeCell ref="H161:H162"/>
    <mergeCell ref="J159:J160"/>
    <mergeCell ref="K159:K160"/>
    <mergeCell ref="L159:L160"/>
    <mergeCell ref="M157:O158"/>
    <mergeCell ref="P157:P158"/>
    <mergeCell ref="Q157:Q158"/>
    <mergeCell ref="R157:R158"/>
    <mergeCell ref="B159:B160"/>
    <mergeCell ref="C159:C160"/>
    <mergeCell ref="D159:D160"/>
    <mergeCell ref="E159:G160"/>
    <mergeCell ref="H159:H160"/>
    <mergeCell ref="I159:I160"/>
    <mergeCell ref="M159:O160"/>
    <mergeCell ref="L163:P164"/>
    <mergeCell ref="Q163:Q164"/>
    <mergeCell ref="R163:R164"/>
    <mergeCell ref="B165:B166"/>
    <mergeCell ref="C165:C166"/>
    <mergeCell ref="D165:H166"/>
    <mergeCell ref="I165:I166"/>
    <mergeCell ref="J165:J166"/>
    <mergeCell ref="K165:K166"/>
    <mergeCell ref="L165:P166"/>
    <mergeCell ref="O161:O162"/>
    <mergeCell ref="P161:P162"/>
    <mergeCell ref="Q161:Q162"/>
    <mergeCell ref="R161:R162"/>
    <mergeCell ref="B163:B164"/>
    <mergeCell ref="C163:C164"/>
    <mergeCell ref="D163:H164"/>
    <mergeCell ref="I163:I164"/>
    <mergeCell ref="J163:J164"/>
    <mergeCell ref="K163:K164"/>
    <mergeCell ref="I161:I162"/>
    <mergeCell ref="J161:J162"/>
    <mergeCell ref="K161:K162"/>
    <mergeCell ref="L161:L162"/>
    <mergeCell ref="M161:M162"/>
    <mergeCell ref="N161:N162"/>
    <mergeCell ref="P167:P168"/>
    <mergeCell ref="Q167:Q168"/>
    <mergeCell ref="R167:R168"/>
    <mergeCell ref="B169:B170"/>
    <mergeCell ref="C169:C170"/>
    <mergeCell ref="D169:H170"/>
    <mergeCell ref="I169:I170"/>
    <mergeCell ref="J169:J170"/>
    <mergeCell ref="K169:K170"/>
    <mergeCell ref="L169:P170"/>
    <mergeCell ref="J167:J168"/>
    <mergeCell ref="K167:K168"/>
    <mergeCell ref="L167:L168"/>
    <mergeCell ref="M167:M168"/>
    <mergeCell ref="N167:N168"/>
    <mergeCell ref="O167:O168"/>
    <mergeCell ref="Q165:Q166"/>
    <mergeCell ref="R165:R166"/>
    <mergeCell ref="B167:B168"/>
    <mergeCell ref="C167:C168"/>
    <mergeCell ref="D167:D168"/>
    <mergeCell ref="E167:E168"/>
    <mergeCell ref="F167:F168"/>
    <mergeCell ref="G167:G168"/>
    <mergeCell ref="H167:H168"/>
    <mergeCell ref="I167:I168"/>
    <mergeCell ref="B173:B174"/>
    <mergeCell ref="C173:C174"/>
    <mergeCell ref="D173:D174"/>
    <mergeCell ref="E173:E174"/>
    <mergeCell ref="F173:F174"/>
    <mergeCell ref="G173:G174"/>
    <mergeCell ref="H173:H174"/>
    <mergeCell ref="I173:I174"/>
    <mergeCell ref="J173:J174"/>
    <mergeCell ref="Q169:Q170"/>
    <mergeCell ref="R169:R170"/>
    <mergeCell ref="B171:B172"/>
    <mergeCell ref="C171:C172"/>
    <mergeCell ref="D171:H172"/>
    <mergeCell ref="I171:I172"/>
    <mergeCell ref="J171:J172"/>
    <mergeCell ref="K171:K172"/>
    <mergeCell ref="L171:P172"/>
    <mergeCell ref="Q171:Q172"/>
    <mergeCell ref="Q173:Q174"/>
    <mergeCell ref="R173:R174"/>
    <mergeCell ref="D175:D176"/>
    <mergeCell ref="E175:G176"/>
    <mergeCell ref="H175:H176"/>
    <mergeCell ref="K173:K174"/>
    <mergeCell ref="L173:L174"/>
    <mergeCell ref="M173:M174"/>
    <mergeCell ref="N173:N174"/>
    <mergeCell ref="O173:O174"/>
    <mergeCell ref="P173:P174"/>
    <mergeCell ref="M177:M178"/>
    <mergeCell ref="N177:N178"/>
    <mergeCell ref="O177:O178"/>
    <mergeCell ref="P177:P178"/>
    <mergeCell ref="R171:R172"/>
    <mergeCell ref="G177:G178"/>
    <mergeCell ref="H177:H178"/>
    <mergeCell ref="I177:I178"/>
    <mergeCell ref="J177:J178"/>
    <mergeCell ref="K177:K178"/>
    <mergeCell ref="L177:L178"/>
    <mergeCell ref="L175:L176"/>
    <mergeCell ref="M175:O176"/>
    <mergeCell ref="P175:P176"/>
    <mergeCell ref="Q175:Q176"/>
    <mergeCell ref="R175:R176"/>
    <mergeCell ref="Q177:Q178"/>
    <mergeCell ref="R177:R178"/>
    <mergeCell ref="I175:K176"/>
    <mergeCell ref="P179:P180"/>
    <mergeCell ref="Q179:Q180"/>
    <mergeCell ref="R179:R180"/>
    <mergeCell ref="B181:B182"/>
    <mergeCell ref="C181:E182"/>
    <mergeCell ref="F181:F182"/>
    <mergeCell ref="G181:G182"/>
    <mergeCell ref="H181:H182"/>
    <mergeCell ref="I181:I182"/>
    <mergeCell ref="J181:J182"/>
    <mergeCell ref="J179:J180"/>
    <mergeCell ref="K179:K180"/>
    <mergeCell ref="L179:L180"/>
    <mergeCell ref="M179:M180"/>
    <mergeCell ref="N179:N180"/>
    <mergeCell ref="O179:O180"/>
    <mergeCell ref="B179:B180"/>
    <mergeCell ref="C179:E180"/>
    <mergeCell ref="F179:F180"/>
    <mergeCell ref="Q181:Q182"/>
    <mergeCell ref="R181:R182"/>
    <mergeCell ref="F197:I198"/>
    <mergeCell ref="J197:J198"/>
    <mergeCell ref="K197:L198"/>
    <mergeCell ref="K181:K182"/>
    <mergeCell ref="L181:L182"/>
    <mergeCell ref="M181:M182"/>
    <mergeCell ref="N181:N182"/>
    <mergeCell ref="O181:O182"/>
    <mergeCell ref="P181:P182"/>
    <mergeCell ref="L206:L207"/>
    <mergeCell ref="M206:N207"/>
    <mergeCell ref="O206:P207"/>
    <mergeCell ref="Q206:Q207"/>
    <mergeCell ref="R206:R207"/>
    <mergeCell ref="B175:B176"/>
    <mergeCell ref="C175:C176"/>
    <mergeCell ref="G179:G180"/>
    <mergeCell ref="H179:H180"/>
    <mergeCell ref="I179:I180"/>
    <mergeCell ref="B177:B178"/>
    <mergeCell ref="C177:C178"/>
    <mergeCell ref="D177:D178"/>
    <mergeCell ref="E177:E178"/>
    <mergeCell ref="F177:F178"/>
    <mergeCell ref="B202:B205"/>
    <mergeCell ref="C202:E205"/>
    <mergeCell ref="F202:I203"/>
    <mergeCell ref="J202:J205"/>
    <mergeCell ref="K202:K205"/>
    <mergeCell ref="L202:L205"/>
    <mergeCell ref="Q204:Q205"/>
    <mergeCell ref="R204:R205"/>
    <mergeCell ref="B206:B207"/>
    <mergeCell ref="C206:E207"/>
    <mergeCell ref="F206:F207"/>
    <mergeCell ref="G206:G207"/>
    <mergeCell ref="H206:H207"/>
    <mergeCell ref="I206:I207"/>
    <mergeCell ref="J206:J207"/>
    <mergeCell ref="K206:K207"/>
    <mergeCell ref="F204:F205"/>
    <mergeCell ref="G204:G205"/>
    <mergeCell ref="H204:H205"/>
    <mergeCell ref="I204:I205"/>
    <mergeCell ref="M204:N205"/>
    <mergeCell ref="O204:P205"/>
    <mergeCell ref="Q202:Q203"/>
    <mergeCell ref="R202:R203"/>
    <mergeCell ref="M202:P203"/>
    <mergeCell ref="L210:L211"/>
    <mergeCell ref="M210:N211"/>
    <mergeCell ref="O210:P211"/>
    <mergeCell ref="Q210:Q211"/>
    <mergeCell ref="R210:R211"/>
    <mergeCell ref="B212:B213"/>
    <mergeCell ref="C212:E213"/>
    <mergeCell ref="F212:F213"/>
    <mergeCell ref="G212:G213"/>
    <mergeCell ref="H212:H213"/>
    <mergeCell ref="Q208:Q209"/>
    <mergeCell ref="R208:R209"/>
    <mergeCell ref="B210:B211"/>
    <mergeCell ref="C210:E211"/>
    <mergeCell ref="F210:F211"/>
    <mergeCell ref="G210:G211"/>
    <mergeCell ref="H210:H211"/>
    <mergeCell ref="I210:I211"/>
    <mergeCell ref="J210:J211"/>
    <mergeCell ref="K210:K211"/>
    <mergeCell ref="I208:I209"/>
    <mergeCell ref="J208:J209"/>
    <mergeCell ref="K208:K209"/>
    <mergeCell ref="L208:L209"/>
    <mergeCell ref="M208:N209"/>
    <mergeCell ref="O208:P209"/>
    <mergeCell ref="B208:B209"/>
    <mergeCell ref="C208:E209"/>
    <mergeCell ref="F208:F209"/>
    <mergeCell ref="G208:G209"/>
    <mergeCell ref="H208:H209"/>
    <mergeCell ref="L214:L215"/>
    <mergeCell ref="M214:N215"/>
    <mergeCell ref="O214:P215"/>
    <mergeCell ref="Q214:Q215"/>
    <mergeCell ref="R214:R215"/>
    <mergeCell ref="B216:B217"/>
    <mergeCell ref="C216:E217"/>
    <mergeCell ref="F216:F217"/>
    <mergeCell ref="G216:G217"/>
    <mergeCell ref="H216:H217"/>
    <mergeCell ref="Q212:Q213"/>
    <mergeCell ref="R212:R213"/>
    <mergeCell ref="B214:B215"/>
    <mergeCell ref="C214:E215"/>
    <mergeCell ref="F214:F215"/>
    <mergeCell ref="G214:G215"/>
    <mergeCell ref="H214:H215"/>
    <mergeCell ref="I214:I215"/>
    <mergeCell ref="J214:J215"/>
    <mergeCell ref="K214:K215"/>
    <mergeCell ref="I212:I213"/>
    <mergeCell ref="J212:J213"/>
    <mergeCell ref="K212:K213"/>
    <mergeCell ref="L212:L213"/>
    <mergeCell ref="M212:N213"/>
    <mergeCell ref="O212:P213"/>
    <mergeCell ref="L218:L219"/>
    <mergeCell ref="M218:N219"/>
    <mergeCell ref="O218:P219"/>
    <mergeCell ref="Q218:Q219"/>
    <mergeCell ref="R218:R219"/>
    <mergeCell ref="B220:B221"/>
    <mergeCell ref="C220:E221"/>
    <mergeCell ref="F220:F221"/>
    <mergeCell ref="G220:G221"/>
    <mergeCell ref="H220:H221"/>
    <mergeCell ref="Q216:Q217"/>
    <mergeCell ref="R216:R217"/>
    <mergeCell ref="B218:B219"/>
    <mergeCell ref="C218:E219"/>
    <mergeCell ref="F218:F219"/>
    <mergeCell ref="G218:G219"/>
    <mergeCell ref="H218:H219"/>
    <mergeCell ref="I218:I219"/>
    <mergeCell ref="J218:J219"/>
    <mergeCell ref="K218:K219"/>
    <mergeCell ref="I216:I217"/>
    <mergeCell ref="J216:J217"/>
    <mergeCell ref="K216:K217"/>
    <mergeCell ref="L216:L217"/>
    <mergeCell ref="M216:N217"/>
    <mergeCell ref="O216:P217"/>
    <mergeCell ref="L222:L223"/>
    <mergeCell ref="M222:N223"/>
    <mergeCell ref="O222:P223"/>
    <mergeCell ref="Q222:Q223"/>
    <mergeCell ref="R222:R223"/>
    <mergeCell ref="B224:B225"/>
    <mergeCell ref="C224:E225"/>
    <mergeCell ref="F224:F225"/>
    <mergeCell ref="G224:G225"/>
    <mergeCell ref="H224:H225"/>
    <mergeCell ref="Q220:Q221"/>
    <mergeCell ref="R220:R221"/>
    <mergeCell ref="B222:B223"/>
    <mergeCell ref="C222:E223"/>
    <mergeCell ref="F222:F223"/>
    <mergeCell ref="G222:G223"/>
    <mergeCell ref="H222:H223"/>
    <mergeCell ref="I222:I223"/>
    <mergeCell ref="J222:J223"/>
    <mergeCell ref="K222:K223"/>
    <mergeCell ref="I220:I221"/>
    <mergeCell ref="J220:J221"/>
    <mergeCell ref="K220:K221"/>
    <mergeCell ref="L220:L221"/>
    <mergeCell ref="M220:N221"/>
    <mergeCell ref="O220:P221"/>
    <mergeCell ref="L226:L227"/>
    <mergeCell ref="M226:N227"/>
    <mergeCell ref="O226:P227"/>
    <mergeCell ref="Q226:Q227"/>
    <mergeCell ref="R226:R227"/>
    <mergeCell ref="B228:B229"/>
    <mergeCell ref="C228:E229"/>
    <mergeCell ref="F228:F229"/>
    <mergeCell ref="G228:G229"/>
    <mergeCell ref="H228:H229"/>
    <mergeCell ref="Q224:Q225"/>
    <mergeCell ref="R224:R225"/>
    <mergeCell ref="B226:B227"/>
    <mergeCell ref="C226:E227"/>
    <mergeCell ref="F226:F227"/>
    <mergeCell ref="G226:G227"/>
    <mergeCell ref="H226:H227"/>
    <mergeCell ref="I226:I227"/>
    <mergeCell ref="J226:J227"/>
    <mergeCell ref="K226:K227"/>
    <mergeCell ref="I224:I225"/>
    <mergeCell ref="J224:J225"/>
    <mergeCell ref="K224:K225"/>
    <mergeCell ref="L224:L225"/>
    <mergeCell ref="M224:N225"/>
    <mergeCell ref="O224:P225"/>
    <mergeCell ref="L230:L231"/>
    <mergeCell ref="M230:N231"/>
    <mergeCell ref="O230:P231"/>
    <mergeCell ref="Q230:Q231"/>
    <mergeCell ref="R230:R231"/>
    <mergeCell ref="B232:B233"/>
    <mergeCell ref="C232:E233"/>
    <mergeCell ref="F232:F233"/>
    <mergeCell ref="G232:G233"/>
    <mergeCell ref="H232:H233"/>
    <mergeCell ref="Q228:Q229"/>
    <mergeCell ref="R228:R229"/>
    <mergeCell ref="B230:B231"/>
    <mergeCell ref="C230:E231"/>
    <mergeCell ref="F230:F231"/>
    <mergeCell ref="G230:G231"/>
    <mergeCell ref="H230:H231"/>
    <mergeCell ref="I230:I231"/>
    <mergeCell ref="J230:J231"/>
    <mergeCell ref="K230:K231"/>
    <mergeCell ref="I228:I229"/>
    <mergeCell ref="J228:J229"/>
    <mergeCell ref="K228:K229"/>
    <mergeCell ref="L228:L229"/>
    <mergeCell ref="M228:N229"/>
    <mergeCell ref="O228:P229"/>
    <mergeCell ref="L234:L235"/>
    <mergeCell ref="M234:N235"/>
    <mergeCell ref="O234:P235"/>
    <mergeCell ref="Q234:Q235"/>
    <mergeCell ref="R234:R235"/>
    <mergeCell ref="B236:B237"/>
    <mergeCell ref="C236:E237"/>
    <mergeCell ref="F236:F237"/>
    <mergeCell ref="G236:G237"/>
    <mergeCell ref="H236:H237"/>
    <mergeCell ref="Q232:Q233"/>
    <mergeCell ref="R232:R233"/>
    <mergeCell ref="B234:B235"/>
    <mergeCell ref="C234:E235"/>
    <mergeCell ref="F234:F235"/>
    <mergeCell ref="G234:G235"/>
    <mergeCell ref="H234:H235"/>
    <mergeCell ref="I234:I235"/>
    <mergeCell ref="J234:J235"/>
    <mergeCell ref="K234:K235"/>
    <mergeCell ref="I232:I233"/>
    <mergeCell ref="J232:J233"/>
    <mergeCell ref="K232:K233"/>
    <mergeCell ref="L232:L233"/>
    <mergeCell ref="M232:N233"/>
    <mergeCell ref="O232:P233"/>
    <mergeCell ref="L238:L239"/>
    <mergeCell ref="M238:N239"/>
    <mergeCell ref="O238:P239"/>
    <mergeCell ref="Q238:Q239"/>
    <mergeCell ref="R238:R239"/>
    <mergeCell ref="B240:B241"/>
    <mergeCell ref="C240:E241"/>
    <mergeCell ref="F240:F241"/>
    <mergeCell ref="G240:G241"/>
    <mergeCell ref="H240:H241"/>
    <mergeCell ref="Q236:Q237"/>
    <mergeCell ref="R236:R237"/>
    <mergeCell ref="B238:B239"/>
    <mergeCell ref="C238:E239"/>
    <mergeCell ref="F238:F239"/>
    <mergeCell ref="G238:G239"/>
    <mergeCell ref="H238:H239"/>
    <mergeCell ref="I238:I239"/>
    <mergeCell ref="J238:J239"/>
    <mergeCell ref="K238:K239"/>
    <mergeCell ref="I236:I237"/>
    <mergeCell ref="J236:J237"/>
    <mergeCell ref="K236:K237"/>
    <mergeCell ref="L236:L237"/>
    <mergeCell ref="M236:N237"/>
    <mergeCell ref="O236:P237"/>
    <mergeCell ref="L242:L243"/>
    <mergeCell ref="M242:N243"/>
    <mergeCell ref="O242:P243"/>
    <mergeCell ref="Q242:Q243"/>
    <mergeCell ref="R242:R243"/>
    <mergeCell ref="B244:B245"/>
    <mergeCell ref="C244:E245"/>
    <mergeCell ref="F244:F245"/>
    <mergeCell ref="G244:G245"/>
    <mergeCell ref="H244:H245"/>
    <mergeCell ref="Q240:Q241"/>
    <mergeCell ref="R240:R241"/>
    <mergeCell ref="B242:B243"/>
    <mergeCell ref="C242:E243"/>
    <mergeCell ref="F242:F243"/>
    <mergeCell ref="G242:G243"/>
    <mergeCell ref="H242:H243"/>
    <mergeCell ref="I242:I243"/>
    <mergeCell ref="J242:J243"/>
    <mergeCell ref="K242:K243"/>
    <mergeCell ref="I240:I241"/>
    <mergeCell ref="J240:J241"/>
    <mergeCell ref="K240:K241"/>
    <mergeCell ref="L240:L241"/>
    <mergeCell ref="M240:N241"/>
    <mergeCell ref="O240:P241"/>
    <mergeCell ref="L246:L247"/>
    <mergeCell ref="M246:N247"/>
    <mergeCell ref="O246:P247"/>
    <mergeCell ref="Q246:Q247"/>
    <mergeCell ref="R246:R247"/>
    <mergeCell ref="J248:J249"/>
    <mergeCell ref="Q244:Q245"/>
    <mergeCell ref="R244:R245"/>
    <mergeCell ref="B246:B247"/>
    <mergeCell ref="C246:E247"/>
    <mergeCell ref="F246:F247"/>
    <mergeCell ref="G246:G247"/>
    <mergeCell ref="H246:H247"/>
    <mergeCell ref="I246:I247"/>
    <mergeCell ref="J246:J247"/>
    <mergeCell ref="K246:K247"/>
    <mergeCell ref="I244:I245"/>
    <mergeCell ref="J244:J245"/>
    <mergeCell ref="K244:K245"/>
    <mergeCell ref="L244:L245"/>
    <mergeCell ref="M244:N245"/>
    <mergeCell ref="O244:P245"/>
    <mergeCell ref="K248:K249"/>
    <mergeCell ref="F248:F249"/>
    <mergeCell ref="G248:G249"/>
    <mergeCell ref="H248:H249"/>
    <mergeCell ref="I248:I249"/>
    <mergeCell ref="L248:L249"/>
    <mergeCell ref="M248:N249"/>
    <mergeCell ref="O248:P249"/>
    <mergeCell ref="Q248:Q249"/>
    <mergeCell ref="R248:R249"/>
    <mergeCell ref="K252:K253"/>
    <mergeCell ref="L252:L253"/>
    <mergeCell ref="M252:O253"/>
    <mergeCell ref="P252:P253"/>
    <mergeCell ref="Q252:Q253"/>
    <mergeCell ref="R252:R253"/>
    <mergeCell ref="L250:L251"/>
    <mergeCell ref="M250:O251"/>
    <mergeCell ref="P250:P251"/>
    <mergeCell ref="Q250:Q251"/>
    <mergeCell ref="R250:R251"/>
    <mergeCell ref="B252:B253"/>
    <mergeCell ref="E252:G253"/>
    <mergeCell ref="H252:H253"/>
    <mergeCell ref="I252:I253"/>
    <mergeCell ref="J252:J253"/>
    <mergeCell ref="B250:B251"/>
    <mergeCell ref="E250:G251"/>
    <mergeCell ref="H250:H251"/>
    <mergeCell ref="I250:I251"/>
    <mergeCell ref="J250:J251"/>
    <mergeCell ref="K250:K251"/>
    <mergeCell ref="R254:R255"/>
    <mergeCell ref="B256:B257"/>
    <mergeCell ref="C256:C257"/>
    <mergeCell ref="D256:D257"/>
    <mergeCell ref="E256:E257"/>
    <mergeCell ref="F256:F257"/>
    <mergeCell ref="G256:G257"/>
    <mergeCell ref="H256:H257"/>
    <mergeCell ref="I256:I257"/>
    <mergeCell ref="J256:J257"/>
    <mergeCell ref="L254:L255"/>
    <mergeCell ref="P254:P255"/>
    <mergeCell ref="Q254:Q255"/>
    <mergeCell ref="B254:B255"/>
    <mergeCell ref="E254:G255"/>
    <mergeCell ref="H254:H255"/>
    <mergeCell ref="I254:I255"/>
    <mergeCell ref="J254:J255"/>
    <mergeCell ref="K254:K255"/>
    <mergeCell ref="M254:O255"/>
    <mergeCell ref="R258:R259"/>
    <mergeCell ref="B260:B261"/>
    <mergeCell ref="C260:C261"/>
    <mergeCell ref="D260:H261"/>
    <mergeCell ref="I260:I261"/>
    <mergeCell ref="J260:J261"/>
    <mergeCell ref="K260:K261"/>
    <mergeCell ref="L260:P261"/>
    <mergeCell ref="Q260:Q261"/>
    <mergeCell ref="R260:R261"/>
    <mergeCell ref="Q256:Q257"/>
    <mergeCell ref="R256:R257"/>
    <mergeCell ref="B258:B259"/>
    <mergeCell ref="C258:C259"/>
    <mergeCell ref="D258:H259"/>
    <mergeCell ref="I258:I259"/>
    <mergeCell ref="J258:J259"/>
    <mergeCell ref="K258:K259"/>
    <mergeCell ref="L258:P259"/>
    <mergeCell ref="Q258:Q259"/>
    <mergeCell ref="K256:K257"/>
    <mergeCell ref="L256:L257"/>
    <mergeCell ref="M256:M257"/>
    <mergeCell ref="N256:N257"/>
    <mergeCell ref="O256:O257"/>
    <mergeCell ref="P256:P257"/>
    <mergeCell ref="K264:K265"/>
    <mergeCell ref="L264:P265"/>
    <mergeCell ref="Q264:Q265"/>
    <mergeCell ref="R264:R265"/>
    <mergeCell ref="B266:B267"/>
    <mergeCell ref="C266:C267"/>
    <mergeCell ref="D266:H267"/>
    <mergeCell ref="I266:I267"/>
    <mergeCell ref="J266:J267"/>
    <mergeCell ref="K266:K267"/>
    <mergeCell ref="N262:N263"/>
    <mergeCell ref="O262:O263"/>
    <mergeCell ref="P262:P263"/>
    <mergeCell ref="Q262:Q263"/>
    <mergeCell ref="R262:R263"/>
    <mergeCell ref="B264:B265"/>
    <mergeCell ref="C264:C265"/>
    <mergeCell ref="D264:H265"/>
    <mergeCell ref="I264:I265"/>
    <mergeCell ref="J264:J265"/>
    <mergeCell ref="H262:H263"/>
    <mergeCell ref="I262:I263"/>
    <mergeCell ref="J262:J263"/>
    <mergeCell ref="K262:K263"/>
    <mergeCell ref="L262:L263"/>
    <mergeCell ref="M262:M263"/>
    <mergeCell ref="B262:B263"/>
    <mergeCell ref="C262:C263"/>
    <mergeCell ref="D262:D263"/>
    <mergeCell ref="E262:E263"/>
    <mergeCell ref="F262:F263"/>
    <mergeCell ref="G262:G263"/>
    <mergeCell ref="O268:O269"/>
    <mergeCell ref="P268:P269"/>
    <mergeCell ref="Q268:Q269"/>
    <mergeCell ref="R268:R269"/>
    <mergeCell ref="B270:B271"/>
    <mergeCell ref="C270:C271"/>
    <mergeCell ref="D270:D271"/>
    <mergeCell ref="E270:G271"/>
    <mergeCell ref="H270:H271"/>
    <mergeCell ref="I268:I269"/>
    <mergeCell ref="J268:J269"/>
    <mergeCell ref="K268:K269"/>
    <mergeCell ref="L268:L269"/>
    <mergeCell ref="M268:M269"/>
    <mergeCell ref="N268:N269"/>
    <mergeCell ref="L266:P267"/>
    <mergeCell ref="Q266:Q267"/>
    <mergeCell ref="R266:R267"/>
    <mergeCell ref="B268:B269"/>
    <mergeCell ref="C268:C269"/>
    <mergeCell ref="D268:D269"/>
    <mergeCell ref="E268:E269"/>
    <mergeCell ref="F268:F269"/>
    <mergeCell ref="G268:G269"/>
    <mergeCell ref="H268:H269"/>
    <mergeCell ref="I270:K271"/>
    <mergeCell ref="Q272:Q273"/>
    <mergeCell ref="R272:R273"/>
    <mergeCell ref="B274:B275"/>
    <mergeCell ref="C274:E275"/>
    <mergeCell ref="F274:F275"/>
    <mergeCell ref="G274:G275"/>
    <mergeCell ref="H274:H275"/>
    <mergeCell ref="I274:I275"/>
    <mergeCell ref="J274:J275"/>
    <mergeCell ref="K274:K275"/>
    <mergeCell ref="K272:K273"/>
    <mergeCell ref="L272:L273"/>
    <mergeCell ref="M272:M273"/>
    <mergeCell ref="N272:N273"/>
    <mergeCell ref="O272:O273"/>
    <mergeCell ref="P272:P273"/>
    <mergeCell ref="R270:R271"/>
    <mergeCell ref="B272:B273"/>
    <mergeCell ref="C272:C273"/>
    <mergeCell ref="D272:D273"/>
    <mergeCell ref="E272:E273"/>
    <mergeCell ref="F272:F273"/>
    <mergeCell ref="G272:G273"/>
    <mergeCell ref="H272:H273"/>
    <mergeCell ref="I272:I273"/>
    <mergeCell ref="J272:J273"/>
    <mergeCell ref="L270:L271"/>
    <mergeCell ref="M270:O271"/>
    <mergeCell ref="P270:P271"/>
    <mergeCell ref="Q270:Q271"/>
    <mergeCell ref="F292:I293"/>
    <mergeCell ref="J292:J293"/>
    <mergeCell ref="K292:L293"/>
    <mergeCell ref="B297:B300"/>
    <mergeCell ref="C297:E300"/>
    <mergeCell ref="F297:I298"/>
    <mergeCell ref="J297:J300"/>
    <mergeCell ref="K297:K300"/>
    <mergeCell ref="M276:M277"/>
    <mergeCell ref="N276:N277"/>
    <mergeCell ref="O276:O277"/>
    <mergeCell ref="P276:P277"/>
    <mergeCell ref="Q276:Q277"/>
    <mergeCell ref="R276:R277"/>
    <mergeCell ref="R274:R275"/>
    <mergeCell ref="B276:B277"/>
    <mergeCell ref="C276:E277"/>
    <mergeCell ref="F276:F277"/>
    <mergeCell ref="G276:G277"/>
    <mergeCell ref="H276:H277"/>
    <mergeCell ref="I276:I277"/>
    <mergeCell ref="J276:J277"/>
    <mergeCell ref="K276:K277"/>
    <mergeCell ref="L276:L277"/>
    <mergeCell ref="L274:L275"/>
    <mergeCell ref="M274:M275"/>
    <mergeCell ref="N274:N275"/>
    <mergeCell ref="O274:O275"/>
    <mergeCell ref="P274:P275"/>
    <mergeCell ref="Q274:Q275"/>
    <mergeCell ref="L301:L302"/>
    <mergeCell ref="M301:N302"/>
    <mergeCell ref="O301:P302"/>
    <mergeCell ref="Q301:Q302"/>
    <mergeCell ref="R301:R302"/>
    <mergeCell ref="B303:B304"/>
    <mergeCell ref="C303:E304"/>
    <mergeCell ref="F303:F304"/>
    <mergeCell ref="G303:G304"/>
    <mergeCell ref="H303:H304"/>
    <mergeCell ref="Q299:Q300"/>
    <mergeCell ref="R299:R300"/>
    <mergeCell ref="B301:B302"/>
    <mergeCell ref="C301:E302"/>
    <mergeCell ref="F301:F302"/>
    <mergeCell ref="G301:G302"/>
    <mergeCell ref="H301:H302"/>
    <mergeCell ref="I301:I302"/>
    <mergeCell ref="J301:J302"/>
    <mergeCell ref="K301:K302"/>
    <mergeCell ref="L297:L300"/>
    <mergeCell ref="M297:P298"/>
    <mergeCell ref="Q297:Q298"/>
    <mergeCell ref="R297:R298"/>
    <mergeCell ref="F299:F300"/>
    <mergeCell ref="G299:G300"/>
    <mergeCell ref="H299:H300"/>
    <mergeCell ref="I299:I300"/>
    <mergeCell ref="M299:N300"/>
    <mergeCell ref="O299:P300"/>
    <mergeCell ref="L305:L306"/>
    <mergeCell ref="M305:N306"/>
    <mergeCell ref="O305:P306"/>
    <mergeCell ref="Q305:Q306"/>
    <mergeCell ref="R305:R306"/>
    <mergeCell ref="B307:B308"/>
    <mergeCell ref="C307:E308"/>
    <mergeCell ref="F307:F308"/>
    <mergeCell ref="G307:G308"/>
    <mergeCell ref="H307:H308"/>
    <mergeCell ref="Q303:Q304"/>
    <mergeCell ref="R303:R304"/>
    <mergeCell ref="B305:B306"/>
    <mergeCell ref="C305:E306"/>
    <mergeCell ref="F305:F306"/>
    <mergeCell ref="G305:G306"/>
    <mergeCell ref="H305:H306"/>
    <mergeCell ref="I305:I306"/>
    <mergeCell ref="J305:J306"/>
    <mergeCell ref="K305:K306"/>
    <mergeCell ref="I303:I304"/>
    <mergeCell ref="J303:J304"/>
    <mergeCell ref="K303:K304"/>
    <mergeCell ref="L303:L304"/>
    <mergeCell ref="M303:N304"/>
    <mergeCell ref="O303:P304"/>
    <mergeCell ref="L309:L310"/>
    <mergeCell ref="M309:N310"/>
    <mergeCell ref="O309:P310"/>
    <mergeCell ref="Q309:Q310"/>
    <mergeCell ref="R309:R310"/>
    <mergeCell ref="B311:B312"/>
    <mergeCell ref="C311:E312"/>
    <mergeCell ref="F311:F312"/>
    <mergeCell ref="G311:G312"/>
    <mergeCell ref="H311:H312"/>
    <mergeCell ref="Q307:Q308"/>
    <mergeCell ref="R307:R308"/>
    <mergeCell ref="B309:B310"/>
    <mergeCell ref="C309:E310"/>
    <mergeCell ref="F309:F310"/>
    <mergeCell ref="G309:G310"/>
    <mergeCell ref="H309:H310"/>
    <mergeCell ref="I309:I310"/>
    <mergeCell ref="J309:J310"/>
    <mergeCell ref="K309:K310"/>
    <mergeCell ref="I307:I308"/>
    <mergeCell ref="J307:J308"/>
    <mergeCell ref="K307:K308"/>
    <mergeCell ref="L307:L308"/>
    <mergeCell ref="M307:N308"/>
    <mergeCell ref="O307:P308"/>
    <mergeCell ref="L313:L314"/>
    <mergeCell ref="M313:N314"/>
    <mergeCell ref="O313:P314"/>
    <mergeCell ref="Q313:Q314"/>
    <mergeCell ref="R313:R314"/>
    <mergeCell ref="B315:B316"/>
    <mergeCell ref="C315:E316"/>
    <mergeCell ref="F315:F316"/>
    <mergeCell ref="G315:G316"/>
    <mergeCell ref="H315:H316"/>
    <mergeCell ref="Q311:Q312"/>
    <mergeCell ref="R311:R312"/>
    <mergeCell ref="B313:B314"/>
    <mergeCell ref="C313:E314"/>
    <mergeCell ref="F313:F314"/>
    <mergeCell ref="G313:G314"/>
    <mergeCell ref="H313:H314"/>
    <mergeCell ref="I313:I314"/>
    <mergeCell ref="J313:J314"/>
    <mergeCell ref="K313:K314"/>
    <mergeCell ref="I311:I312"/>
    <mergeCell ref="J311:J312"/>
    <mergeCell ref="K311:K312"/>
    <mergeCell ref="L311:L312"/>
    <mergeCell ref="M311:N312"/>
    <mergeCell ref="O311:P312"/>
    <mergeCell ref="L317:L318"/>
    <mergeCell ref="M317:N318"/>
    <mergeCell ref="O317:P318"/>
    <mergeCell ref="Q317:Q318"/>
    <mergeCell ref="R317:R318"/>
    <mergeCell ref="B319:B320"/>
    <mergeCell ref="C319:E320"/>
    <mergeCell ref="F319:F320"/>
    <mergeCell ref="G319:G320"/>
    <mergeCell ref="H319:H320"/>
    <mergeCell ref="Q315:Q316"/>
    <mergeCell ref="R315:R316"/>
    <mergeCell ref="B317:B318"/>
    <mergeCell ref="C317:E318"/>
    <mergeCell ref="F317:F318"/>
    <mergeCell ref="G317:G318"/>
    <mergeCell ref="H317:H318"/>
    <mergeCell ref="I317:I318"/>
    <mergeCell ref="J317:J318"/>
    <mergeCell ref="K317:K318"/>
    <mergeCell ref="I315:I316"/>
    <mergeCell ref="J315:J316"/>
    <mergeCell ref="K315:K316"/>
    <mergeCell ref="L315:L316"/>
    <mergeCell ref="M315:N316"/>
    <mergeCell ref="O315:P316"/>
    <mergeCell ref="L321:L322"/>
    <mergeCell ref="M321:N322"/>
    <mergeCell ref="O321:P322"/>
    <mergeCell ref="Q321:Q322"/>
    <mergeCell ref="R321:R322"/>
    <mergeCell ref="B323:B324"/>
    <mergeCell ref="C323:E324"/>
    <mergeCell ref="F323:F324"/>
    <mergeCell ref="G323:G324"/>
    <mergeCell ref="H323:H324"/>
    <mergeCell ref="Q319:Q320"/>
    <mergeCell ref="R319:R320"/>
    <mergeCell ref="B321:B322"/>
    <mergeCell ref="C321:E322"/>
    <mergeCell ref="F321:F322"/>
    <mergeCell ref="G321:G322"/>
    <mergeCell ref="H321:H322"/>
    <mergeCell ref="I321:I322"/>
    <mergeCell ref="J321:J322"/>
    <mergeCell ref="K321:K322"/>
    <mergeCell ref="I319:I320"/>
    <mergeCell ref="J319:J320"/>
    <mergeCell ref="K319:K320"/>
    <mergeCell ref="L319:L320"/>
    <mergeCell ref="M319:N320"/>
    <mergeCell ref="O319:P320"/>
    <mergeCell ref="L325:L326"/>
    <mergeCell ref="M325:N326"/>
    <mergeCell ref="O325:P326"/>
    <mergeCell ref="Q325:Q326"/>
    <mergeCell ref="R325:R326"/>
    <mergeCell ref="B327:B328"/>
    <mergeCell ref="C327:E328"/>
    <mergeCell ref="F327:F328"/>
    <mergeCell ref="G327:G328"/>
    <mergeCell ref="H327:H328"/>
    <mergeCell ref="Q323:Q324"/>
    <mergeCell ref="R323:R324"/>
    <mergeCell ref="B325:B326"/>
    <mergeCell ref="C325:E326"/>
    <mergeCell ref="F325:F326"/>
    <mergeCell ref="G325:G326"/>
    <mergeCell ref="H325:H326"/>
    <mergeCell ref="I325:I326"/>
    <mergeCell ref="J325:J326"/>
    <mergeCell ref="K325:K326"/>
    <mergeCell ref="I323:I324"/>
    <mergeCell ref="J323:J324"/>
    <mergeCell ref="K323:K324"/>
    <mergeCell ref="L323:L324"/>
    <mergeCell ref="M323:N324"/>
    <mergeCell ref="O323:P324"/>
    <mergeCell ref="L329:L330"/>
    <mergeCell ref="M329:N330"/>
    <mergeCell ref="O329:P330"/>
    <mergeCell ref="Q329:Q330"/>
    <mergeCell ref="R329:R330"/>
    <mergeCell ref="B331:B332"/>
    <mergeCell ref="C331:E332"/>
    <mergeCell ref="F331:F332"/>
    <mergeCell ref="G331:G332"/>
    <mergeCell ref="H331:H332"/>
    <mergeCell ref="Q327:Q328"/>
    <mergeCell ref="R327:R328"/>
    <mergeCell ref="B329:B330"/>
    <mergeCell ref="C329:E330"/>
    <mergeCell ref="F329:F330"/>
    <mergeCell ref="G329:G330"/>
    <mergeCell ref="H329:H330"/>
    <mergeCell ref="I329:I330"/>
    <mergeCell ref="J329:J330"/>
    <mergeCell ref="K329:K330"/>
    <mergeCell ref="I327:I328"/>
    <mergeCell ref="J327:J328"/>
    <mergeCell ref="K327:K328"/>
    <mergeCell ref="L327:L328"/>
    <mergeCell ref="M327:N328"/>
    <mergeCell ref="O327:P328"/>
    <mergeCell ref="L333:L334"/>
    <mergeCell ref="M333:N334"/>
    <mergeCell ref="O333:P334"/>
    <mergeCell ref="Q333:Q334"/>
    <mergeCell ref="R333:R334"/>
    <mergeCell ref="B335:B336"/>
    <mergeCell ref="C335:E336"/>
    <mergeCell ref="F335:F336"/>
    <mergeCell ref="G335:G336"/>
    <mergeCell ref="H335:H336"/>
    <mergeCell ref="Q331:Q332"/>
    <mergeCell ref="R331:R332"/>
    <mergeCell ref="B333:B334"/>
    <mergeCell ref="C333:E334"/>
    <mergeCell ref="F333:F334"/>
    <mergeCell ref="G333:G334"/>
    <mergeCell ref="H333:H334"/>
    <mergeCell ref="I333:I334"/>
    <mergeCell ref="J333:J334"/>
    <mergeCell ref="K333:K334"/>
    <mergeCell ref="I331:I332"/>
    <mergeCell ref="J331:J332"/>
    <mergeCell ref="K331:K332"/>
    <mergeCell ref="L331:L332"/>
    <mergeCell ref="M331:N332"/>
    <mergeCell ref="O331:P332"/>
    <mergeCell ref="L337:L338"/>
    <mergeCell ref="M337:N338"/>
    <mergeCell ref="O337:P338"/>
    <mergeCell ref="Q337:Q338"/>
    <mergeCell ref="R337:R338"/>
    <mergeCell ref="B339:B340"/>
    <mergeCell ref="C339:E340"/>
    <mergeCell ref="F339:F340"/>
    <mergeCell ref="G339:G340"/>
    <mergeCell ref="H339:H340"/>
    <mergeCell ref="Q335:Q336"/>
    <mergeCell ref="R335:R336"/>
    <mergeCell ref="B337:B338"/>
    <mergeCell ref="C337:E338"/>
    <mergeCell ref="F337:F338"/>
    <mergeCell ref="G337:G338"/>
    <mergeCell ref="H337:H338"/>
    <mergeCell ref="I337:I338"/>
    <mergeCell ref="J337:J338"/>
    <mergeCell ref="K337:K338"/>
    <mergeCell ref="I335:I336"/>
    <mergeCell ref="J335:J336"/>
    <mergeCell ref="K335:K336"/>
    <mergeCell ref="L335:L336"/>
    <mergeCell ref="M335:N336"/>
    <mergeCell ref="O335:P336"/>
    <mergeCell ref="L341:L342"/>
    <mergeCell ref="M341:N342"/>
    <mergeCell ref="O341:P342"/>
    <mergeCell ref="Q341:Q342"/>
    <mergeCell ref="R341:R342"/>
    <mergeCell ref="J343:J344"/>
    <mergeCell ref="Q339:Q340"/>
    <mergeCell ref="R339:R340"/>
    <mergeCell ref="B341:B342"/>
    <mergeCell ref="C341:E342"/>
    <mergeCell ref="F341:F342"/>
    <mergeCell ref="G341:G342"/>
    <mergeCell ref="H341:H342"/>
    <mergeCell ref="I341:I342"/>
    <mergeCell ref="J341:J342"/>
    <mergeCell ref="K341:K342"/>
    <mergeCell ref="I339:I340"/>
    <mergeCell ref="J339:J340"/>
    <mergeCell ref="K339:K340"/>
    <mergeCell ref="L339:L340"/>
    <mergeCell ref="M339:N340"/>
    <mergeCell ref="O339:P340"/>
    <mergeCell ref="F343:F344"/>
    <mergeCell ref="G343:G344"/>
    <mergeCell ref="H343:H344"/>
    <mergeCell ref="I343:I344"/>
    <mergeCell ref="K343:K344"/>
    <mergeCell ref="L343:L344"/>
    <mergeCell ref="M343:N344"/>
    <mergeCell ref="O343:P344"/>
    <mergeCell ref="Q343:Q344"/>
    <mergeCell ref="R343:R344"/>
    <mergeCell ref="K347:K348"/>
    <mergeCell ref="L347:L348"/>
    <mergeCell ref="M347:O348"/>
    <mergeCell ref="P347:P348"/>
    <mergeCell ref="Q347:Q348"/>
    <mergeCell ref="R347:R348"/>
    <mergeCell ref="L345:L346"/>
    <mergeCell ref="M345:O346"/>
    <mergeCell ref="P345:P346"/>
    <mergeCell ref="Q345:Q346"/>
    <mergeCell ref="R345:R346"/>
    <mergeCell ref="B347:B348"/>
    <mergeCell ref="E347:G348"/>
    <mergeCell ref="H347:H348"/>
    <mergeCell ref="I347:I348"/>
    <mergeCell ref="J347:J348"/>
    <mergeCell ref="B345:B346"/>
    <mergeCell ref="E345:G346"/>
    <mergeCell ref="H345:H346"/>
    <mergeCell ref="I345:I346"/>
    <mergeCell ref="J345:J346"/>
    <mergeCell ref="K345:K346"/>
    <mergeCell ref="R349:R350"/>
    <mergeCell ref="B351:B352"/>
    <mergeCell ref="C351:C352"/>
    <mergeCell ref="D351:D352"/>
    <mergeCell ref="E351:E352"/>
    <mergeCell ref="F351:F352"/>
    <mergeCell ref="G351:G352"/>
    <mergeCell ref="H351:H352"/>
    <mergeCell ref="I351:I352"/>
    <mergeCell ref="J351:J352"/>
    <mergeCell ref="L349:L350"/>
    <mergeCell ref="P349:P350"/>
    <mergeCell ref="Q349:Q350"/>
    <mergeCell ref="B349:B350"/>
    <mergeCell ref="E349:G350"/>
    <mergeCell ref="H349:H350"/>
    <mergeCell ref="I349:I350"/>
    <mergeCell ref="J349:J350"/>
    <mergeCell ref="K349:K350"/>
    <mergeCell ref="M349:O350"/>
    <mergeCell ref="R353:R354"/>
    <mergeCell ref="B355:B356"/>
    <mergeCell ref="C355:C356"/>
    <mergeCell ref="D355:H356"/>
    <mergeCell ref="I355:I356"/>
    <mergeCell ref="J355:J356"/>
    <mergeCell ref="K355:K356"/>
    <mergeCell ref="L355:P356"/>
    <mergeCell ref="Q355:Q356"/>
    <mergeCell ref="R355:R356"/>
    <mergeCell ref="Q351:Q352"/>
    <mergeCell ref="R351:R352"/>
    <mergeCell ref="B353:B354"/>
    <mergeCell ref="C353:C354"/>
    <mergeCell ref="D353:H354"/>
    <mergeCell ref="I353:I354"/>
    <mergeCell ref="J353:J354"/>
    <mergeCell ref="K353:K354"/>
    <mergeCell ref="L353:P354"/>
    <mergeCell ref="Q353:Q354"/>
    <mergeCell ref="K351:K352"/>
    <mergeCell ref="L351:L352"/>
    <mergeCell ref="M351:M352"/>
    <mergeCell ref="N351:N352"/>
    <mergeCell ref="O351:O352"/>
    <mergeCell ref="P351:P352"/>
    <mergeCell ref="K359:K360"/>
    <mergeCell ref="L359:P360"/>
    <mergeCell ref="Q359:Q360"/>
    <mergeCell ref="R359:R360"/>
    <mergeCell ref="B361:B362"/>
    <mergeCell ref="C361:C362"/>
    <mergeCell ref="D361:H362"/>
    <mergeCell ref="I361:I362"/>
    <mergeCell ref="J361:J362"/>
    <mergeCell ref="K361:K362"/>
    <mergeCell ref="N357:N358"/>
    <mergeCell ref="O357:O358"/>
    <mergeCell ref="P357:P358"/>
    <mergeCell ref="Q357:Q358"/>
    <mergeCell ref="R357:R358"/>
    <mergeCell ref="B359:B360"/>
    <mergeCell ref="C359:C360"/>
    <mergeCell ref="D359:H360"/>
    <mergeCell ref="I359:I360"/>
    <mergeCell ref="J359:J360"/>
    <mergeCell ref="H357:H358"/>
    <mergeCell ref="I357:I358"/>
    <mergeCell ref="J357:J358"/>
    <mergeCell ref="K357:K358"/>
    <mergeCell ref="L357:L358"/>
    <mergeCell ref="M357:M358"/>
    <mergeCell ref="B357:B358"/>
    <mergeCell ref="C357:C358"/>
    <mergeCell ref="D357:D358"/>
    <mergeCell ref="E357:E358"/>
    <mergeCell ref="F357:F358"/>
    <mergeCell ref="G357:G358"/>
    <mergeCell ref="O363:O364"/>
    <mergeCell ref="P363:P364"/>
    <mergeCell ref="Q363:Q364"/>
    <mergeCell ref="R363:R364"/>
    <mergeCell ref="B365:B366"/>
    <mergeCell ref="C365:C366"/>
    <mergeCell ref="D365:D366"/>
    <mergeCell ref="E365:G366"/>
    <mergeCell ref="H365:H366"/>
    <mergeCell ref="I363:I364"/>
    <mergeCell ref="J363:J364"/>
    <mergeCell ref="K363:K364"/>
    <mergeCell ref="L363:L364"/>
    <mergeCell ref="M363:M364"/>
    <mergeCell ref="N363:N364"/>
    <mergeCell ref="L361:P362"/>
    <mergeCell ref="Q361:Q362"/>
    <mergeCell ref="R361:R362"/>
    <mergeCell ref="B363:B364"/>
    <mergeCell ref="C363:C364"/>
    <mergeCell ref="D363:D364"/>
    <mergeCell ref="E363:E364"/>
    <mergeCell ref="F363:F364"/>
    <mergeCell ref="G363:G364"/>
    <mergeCell ref="H363:H364"/>
    <mergeCell ref="I365:K366"/>
    <mergeCell ref="Q367:Q368"/>
    <mergeCell ref="R367:R368"/>
    <mergeCell ref="B369:B370"/>
    <mergeCell ref="C369:E370"/>
    <mergeCell ref="F369:F370"/>
    <mergeCell ref="G369:G370"/>
    <mergeCell ref="H369:H370"/>
    <mergeCell ref="I369:I370"/>
    <mergeCell ref="J369:J370"/>
    <mergeCell ref="K369:K370"/>
    <mergeCell ref="K367:K368"/>
    <mergeCell ref="L367:L368"/>
    <mergeCell ref="M367:M368"/>
    <mergeCell ref="N367:N368"/>
    <mergeCell ref="O367:O368"/>
    <mergeCell ref="P367:P368"/>
    <mergeCell ref="R365:R366"/>
    <mergeCell ref="B367:B368"/>
    <mergeCell ref="C367:C368"/>
    <mergeCell ref="D367:D368"/>
    <mergeCell ref="E367:E368"/>
    <mergeCell ref="F367:F368"/>
    <mergeCell ref="G367:G368"/>
    <mergeCell ref="H367:H368"/>
    <mergeCell ref="I367:I368"/>
    <mergeCell ref="J367:J368"/>
    <mergeCell ref="L365:L366"/>
    <mergeCell ref="M365:O366"/>
    <mergeCell ref="P365:P366"/>
    <mergeCell ref="Q365:Q366"/>
    <mergeCell ref="F387:I388"/>
    <mergeCell ref="J387:J388"/>
    <mergeCell ref="K387:L388"/>
    <mergeCell ref="B392:B395"/>
    <mergeCell ref="C392:E395"/>
    <mergeCell ref="F392:I393"/>
    <mergeCell ref="J392:J395"/>
    <mergeCell ref="K392:K395"/>
    <mergeCell ref="M371:M372"/>
    <mergeCell ref="N371:N372"/>
    <mergeCell ref="O371:O372"/>
    <mergeCell ref="P371:P372"/>
    <mergeCell ref="Q371:Q372"/>
    <mergeCell ref="R371:R372"/>
    <mergeCell ref="R369:R370"/>
    <mergeCell ref="B371:B372"/>
    <mergeCell ref="C371:E372"/>
    <mergeCell ref="F371:F372"/>
    <mergeCell ref="G371:G372"/>
    <mergeCell ref="H371:H372"/>
    <mergeCell ref="I371:I372"/>
    <mergeCell ref="J371:J372"/>
    <mergeCell ref="K371:K372"/>
    <mergeCell ref="L371:L372"/>
    <mergeCell ref="L369:L370"/>
    <mergeCell ref="M369:M370"/>
    <mergeCell ref="N369:N370"/>
    <mergeCell ref="O369:O370"/>
    <mergeCell ref="P369:P370"/>
    <mergeCell ref="Q369:Q370"/>
    <mergeCell ref="L396:L397"/>
    <mergeCell ref="M396:N397"/>
    <mergeCell ref="O396:P397"/>
    <mergeCell ref="Q396:Q397"/>
    <mergeCell ref="R396:R397"/>
    <mergeCell ref="B398:B399"/>
    <mergeCell ref="C398:E399"/>
    <mergeCell ref="F398:F399"/>
    <mergeCell ref="G398:G399"/>
    <mergeCell ref="H398:H399"/>
    <mergeCell ref="Q394:Q395"/>
    <mergeCell ref="R394:R395"/>
    <mergeCell ref="B396:B397"/>
    <mergeCell ref="C396:E397"/>
    <mergeCell ref="F396:F397"/>
    <mergeCell ref="G396:G397"/>
    <mergeCell ref="H396:H397"/>
    <mergeCell ref="I396:I397"/>
    <mergeCell ref="J396:J397"/>
    <mergeCell ref="K396:K397"/>
    <mergeCell ref="L392:L395"/>
    <mergeCell ref="M392:P393"/>
    <mergeCell ref="Q392:Q393"/>
    <mergeCell ref="R392:R393"/>
    <mergeCell ref="F394:F395"/>
    <mergeCell ref="G394:G395"/>
    <mergeCell ref="H394:H395"/>
    <mergeCell ref="I394:I395"/>
    <mergeCell ref="M394:N395"/>
    <mergeCell ref="O394:P395"/>
    <mergeCell ref="L400:L401"/>
    <mergeCell ref="M400:N401"/>
    <mergeCell ref="O400:P401"/>
    <mergeCell ref="Q400:Q401"/>
    <mergeCell ref="R400:R401"/>
    <mergeCell ref="B402:B403"/>
    <mergeCell ref="C402:E403"/>
    <mergeCell ref="F402:F403"/>
    <mergeCell ref="G402:G403"/>
    <mergeCell ref="H402:H403"/>
    <mergeCell ref="Q398:Q399"/>
    <mergeCell ref="R398:R399"/>
    <mergeCell ref="B400:B401"/>
    <mergeCell ref="C400:E401"/>
    <mergeCell ref="F400:F401"/>
    <mergeCell ref="G400:G401"/>
    <mergeCell ref="H400:H401"/>
    <mergeCell ref="I400:I401"/>
    <mergeCell ref="J400:J401"/>
    <mergeCell ref="K400:K401"/>
    <mergeCell ref="I398:I399"/>
    <mergeCell ref="J398:J399"/>
    <mergeCell ref="K398:K399"/>
    <mergeCell ref="L398:L399"/>
    <mergeCell ref="M398:N399"/>
    <mergeCell ref="O398:P399"/>
    <mergeCell ref="L404:L405"/>
    <mergeCell ref="M404:N405"/>
    <mergeCell ref="O404:P405"/>
    <mergeCell ref="Q404:Q405"/>
    <mergeCell ref="R404:R405"/>
    <mergeCell ref="B406:B407"/>
    <mergeCell ref="C406:E407"/>
    <mergeCell ref="F406:F407"/>
    <mergeCell ref="G406:G407"/>
    <mergeCell ref="H406:H407"/>
    <mergeCell ref="Q402:Q403"/>
    <mergeCell ref="R402:R403"/>
    <mergeCell ref="B404:B405"/>
    <mergeCell ref="C404:E405"/>
    <mergeCell ref="F404:F405"/>
    <mergeCell ref="G404:G405"/>
    <mergeCell ref="H404:H405"/>
    <mergeCell ref="I404:I405"/>
    <mergeCell ref="J404:J405"/>
    <mergeCell ref="K404:K405"/>
    <mergeCell ref="I402:I403"/>
    <mergeCell ref="J402:J403"/>
    <mergeCell ref="K402:K403"/>
    <mergeCell ref="L402:L403"/>
    <mergeCell ref="M402:N403"/>
    <mergeCell ref="O402:P403"/>
    <mergeCell ref="L408:L409"/>
    <mergeCell ref="M408:N409"/>
    <mergeCell ref="O408:P409"/>
    <mergeCell ref="Q408:Q409"/>
    <mergeCell ref="R408:R409"/>
    <mergeCell ref="B410:B411"/>
    <mergeCell ref="C410:E411"/>
    <mergeCell ref="F410:F411"/>
    <mergeCell ref="G410:G411"/>
    <mergeCell ref="H410:H411"/>
    <mergeCell ref="Q406:Q407"/>
    <mergeCell ref="R406:R407"/>
    <mergeCell ref="B408:B409"/>
    <mergeCell ref="C408:E409"/>
    <mergeCell ref="F408:F409"/>
    <mergeCell ref="G408:G409"/>
    <mergeCell ref="H408:H409"/>
    <mergeCell ref="I408:I409"/>
    <mergeCell ref="J408:J409"/>
    <mergeCell ref="K408:K409"/>
    <mergeCell ref="I406:I407"/>
    <mergeCell ref="J406:J407"/>
    <mergeCell ref="K406:K407"/>
    <mergeCell ref="L406:L407"/>
    <mergeCell ref="M406:N407"/>
    <mergeCell ref="O406:P407"/>
    <mergeCell ref="L412:L413"/>
    <mergeCell ref="M412:N413"/>
    <mergeCell ref="O412:P413"/>
    <mergeCell ref="Q412:Q413"/>
    <mergeCell ref="R412:R413"/>
    <mergeCell ref="B414:B415"/>
    <mergeCell ref="C414:E415"/>
    <mergeCell ref="F414:F415"/>
    <mergeCell ref="G414:G415"/>
    <mergeCell ref="H414:H415"/>
    <mergeCell ref="Q410:Q411"/>
    <mergeCell ref="R410:R411"/>
    <mergeCell ref="B412:B413"/>
    <mergeCell ref="C412:E413"/>
    <mergeCell ref="F412:F413"/>
    <mergeCell ref="G412:G413"/>
    <mergeCell ref="H412:H413"/>
    <mergeCell ref="I412:I413"/>
    <mergeCell ref="J412:J413"/>
    <mergeCell ref="K412:K413"/>
    <mergeCell ref="I410:I411"/>
    <mergeCell ref="J410:J411"/>
    <mergeCell ref="K410:K411"/>
    <mergeCell ref="L410:L411"/>
    <mergeCell ref="M410:N411"/>
    <mergeCell ref="O410:P411"/>
    <mergeCell ref="L416:L417"/>
    <mergeCell ref="M416:N417"/>
    <mergeCell ref="O416:P417"/>
    <mergeCell ref="Q416:Q417"/>
    <mergeCell ref="R416:R417"/>
    <mergeCell ref="B418:B419"/>
    <mergeCell ref="C418:E419"/>
    <mergeCell ref="F418:F419"/>
    <mergeCell ref="G418:G419"/>
    <mergeCell ref="H418:H419"/>
    <mergeCell ref="Q414:Q415"/>
    <mergeCell ref="R414:R415"/>
    <mergeCell ref="B416:B417"/>
    <mergeCell ref="C416:E417"/>
    <mergeCell ref="F416:F417"/>
    <mergeCell ref="G416:G417"/>
    <mergeCell ref="H416:H417"/>
    <mergeCell ref="I416:I417"/>
    <mergeCell ref="J416:J417"/>
    <mergeCell ref="K416:K417"/>
    <mergeCell ref="I414:I415"/>
    <mergeCell ref="J414:J415"/>
    <mergeCell ref="K414:K415"/>
    <mergeCell ref="L414:L415"/>
    <mergeCell ref="M414:N415"/>
    <mergeCell ref="O414:P415"/>
    <mergeCell ref="L420:L421"/>
    <mergeCell ref="M420:N421"/>
    <mergeCell ref="O420:P421"/>
    <mergeCell ref="Q420:Q421"/>
    <mergeCell ref="R420:R421"/>
    <mergeCell ref="B422:B423"/>
    <mergeCell ref="C422:E423"/>
    <mergeCell ref="F422:F423"/>
    <mergeCell ref="G422:G423"/>
    <mergeCell ref="H422:H423"/>
    <mergeCell ref="Q418:Q419"/>
    <mergeCell ref="R418:R419"/>
    <mergeCell ref="B420:B421"/>
    <mergeCell ref="C420:E421"/>
    <mergeCell ref="F420:F421"/>
    <mergeCell ref="G420:G421"/>
    <mergeCell ref="H420:H421"/>
    <mergeCell ref="I420:I421"/>
    <mergeCell ref="J420:J421"/>
    <mergeCell ref="K420:K421"/>
    <mergeCell ref="I418:I419"/>
    <mergeCell ref="J418:J419"/>
    <mergeCell ref="K418:K419"/>
    <mergeCell ref="L418:L419"/>
    <mergeCell ref="M418:N419"/>
    <mergeCell ref="O418:P419"/>
    <mergeCell ref="L424:L425"/>
    <mergeCell ref="M424:N425"/>
    <mergeCell ref="O424:P425"/>
    <mergeCell ref="Q424:Q425"/>
    <mergeCell ref="R424:R425"/>
    <mergeCell ref="B426:B427"/>
    <mergeCell ref="C426:E427"/>
    <mergeCell ref="F426:F427"/>
    <mergeCell ref="G426:G427"/>
    <mergeCell ref="H426:H427"/>
    <mergeCell ref="Q422:Q423"/>
    <mergeCell ref="R422:R423"/>
    <mergeCell ref="B424:B425"/>
    <mergeCell ref="C424:E425"/>
    <mergeCell ref="F424:F425"/>
    <mergeCell ref="G424:G425"/>
    <mergeCell ref="H424:H425"/>
    <mergeCell ref="I424:I425"/>
    <mergeCell ref="J424:J425"/>
    <mergeCell ref="K424:K425"/>
    <mergeCell ref="I422:I423"/>
    <mergeCell ref="J422:J423"/>
    <mergeCell ref="K422:K423"/>
    <mergeCell ref="L422:L423"/>
    <mergeCell ref="M422:N423"/>
    <mergeCell ref="O422:P423"/>
    <mergeCell ref="L428:L429"/>
    <mergeCell ref="M428:N429"/>
    <mergeCell ref="O428:P429"/>
    <mergeCell ref="Q428:Q429"/>
    <mergeCell ref="R428:R429"/>
    <mergeCell ref="B430:B431"/>
    <mergeCell ref="C430:E431"/>
    <mergeCell ref="F430:F431"/>
    <mergeCell ref="G430:G431"/>
    <mergeCell ref="H430:H431"/>
    <mergeCell ref="Q426:Q427"/>
    <mergeCell ref="R426:R427"/>
    <mergeCell ref="B428:B429"/>
    <mergeCell ref="C428:E429"/>
    <mergeCell ref="F428:F429"/>
    <mergeCell ref="G428:G429"/>
    <mergeCell ref="H428:H429"/>
    <mergeCell ref="I428:I429"/>
    <mergeCell ref="J428:J429"/>
    <mergeCell ref="K428:K429"/>
    <mergeCell ref="I426:I427"/>
    <mergeCell ref="J426:J427"/>
    <mergeCell ref="K426:K427"/>
    <mergeCell ref="L426:L427"/>
    <mergeCell ref="M426:N427"/>
    <mergeCell ref="O426:P427"/>
    <mergeCell ref="L432:L433"/>
    <mergeCell ref="M432:N433"/>
    <mergeCell ref="O432:P433"/>
    <mergeCell ref="Q432:Q433"/>
    <mergeCell ref="R432:R433"/>
    <mergeCell ref="B434:B435"/>
    <mergeCell ref="C434:E435"/>
    <mergeCell ref="F434:F435"/>
    <mergeCell ref="G434:G435"/>
    <mergeCell ref="H434:H435"/>
    <mergeCell ref="Q430:Q431"/>
    <mergeCell ref="R430:R431"/>
    <mergeCell ref="B432:B433"/>
    <mergeCell ref="C432:E433"/>
    <mergeCell ref="F432:F433"/>
    <mergeCell ref="G432:G433"/>
    <mergeCell ref="H432:H433"/>
    <mergeCell ref="I432:I433"/>
    <mergeCell ref="J432:J433"/>
    <mergeCell ref="K432:K433"/>
    <mergeCell ref="I430:I431"/>
    <mergeCell ref="J430:J431"/>
    <mergeCell ref="K430:K431"/>
    <mergeCell ref="L430:L431"/>
    <mergeCell ref="M430:N431"/>
    <mergeCell ref="O430:P431"/>
    <mergeCell ref="L436:L437"/>
    <mergeCell ref="M436:N437"/>
    <mergeCell ref="O436:P437"/>
    <mergeCell ref="Q436:Q437"/>
    <mergeCell ref="R436:R437"/>
    <mergeCell ref="J438:J439"/>
    <mergeCell ref="Q434:Q435"/>
    <mergeCell ref="R434:R435"/>
    <mergeCell ref="B436:B437"/>
    <mergeCell ref="C436:E437"/>
    <mergeCell ref="F436:F437"/>
    <mergeCell ref="G436:G437"/>
    <mergeCell ref="H436:H437"/>
    <mergeCell ref="I436:I437"/>
    <mergeCell ref="J436:J437"/>
    <mergeCell ref="K436:K437"/>
    <mergeCell ref="I434:I435"/>
    <mergeCell ref="J434:J435"/>
    <mergeCell ref="K434:K435"/>
    <mergeCell ref="L434:L435"/>
    <mergeCell ref="M434:N435"/>
    <mergeCell ref="O434:P435"/>
    <mergeCell ref="F438:F439"/>
    <mergeCell ref="G438:G439"/>
    <mergeCell ref="H438:H439"/>
    <mergeCell ref="I438:I439"/>
    <mergeCell ref="K438:K439"/>
    <mergeCell ref="L438:L439"/>
    <mergeCell ref="M438:N439"/>
    <mergeCell ref="O438:P439"/>
    <mergeCell ref="Q438:Q439"/>
    <mergeCell ref="R438:R439"/>
    <mergeCell ref="K442:K443"/>
    <mergeCell ref="L442:L443"/>
    <mergeCell ref="M442:O443"/>
    <mergeCell ref="P442:P443"/>
    <mergeCell ref="Q442:Q443"/>
    <mergeCell ref="R442:R443"/>
    <mergeCell ref="L440:L441"/>
    <mergeCell ref="M440:O441"/>
    <mergeCell ref="P440:P441"/>
    <mergeCell ref="Q440:Q441"/>
    <mergeCell ref="R440:R441"/>
    <mergeCell ref="B442:B443"/>
    <mergeCell ref="E442:G443"/>
    <mergeCell ref="H442:H443"/>
    <mergeCell ref="I442:I443"/>
    <mergeCell ref="J442:J443"/>
    <mergeCell ref="B440:B441"/>
    <mergeCell ref="E440:G441"/>
    <mergeCell ref="H440:H441"/>
    <mergeCell ref="I440:I441"/>
    <mergeCell ref="J440:J441"/>
    <mergeCell ref="K440:K441"/>
    <mergeCell ref="R444:R445"/>
    <mergeCell ref="B446:B447"/>
    <mergeCell ref="C446:C447"/>
    <mergeCell ref="D446:D447"/>
    <mergeCell ref="E446:E447"/>
    <mergeCell ref="F446:F447"/>
    <mergeCell ref="G446:G447"/>
    <mergeCell ref="H446:H447"/>
    <mergeCell ref="I446:I447"/>
    <mergeCell ref="J446:J447"/>
    <mergeCell ref="L444:L445"/>
    <mergeCell ref="P444:P445"/>
    <mergeCell ref="Q444:Q445"/>
    <mergeCell ref="B444:B445"/>
    <mergeCell ref="E444:G445"/>
    <mergeCell ref="H444:H445"/>
    <mergeCell ref="I444:I445"/>
    <mergeCell ref="J444:J445"/>
    <mergeCell ref="K444:K445"/>
    <mergeCell ref="M444:O445"/>
    <mergeCell ref="R448:R449"/>
    <mergeCell ref="B450:B451"/>
    <mergeCell ref="C450:C451"/>
    <mergeCell ref="D450:H451"/>
    <mergeCell ref="I450:I451"/>
    <mergeCell ref="J450:J451"/>
    <mergeCell ref="K450:K451"/>
    <mergeCell ref="L450:P451"/>
    <mergeCell ref="Q450:Q451"/>
    <mergeCell ref="R450:R451"/>
    <mergeCell ref="Q446:Q447"/>
    <mergeCell ref="R446:R447"/>
    <mergeCell ref="B448:B449"/>
    <mergeCell ref="C448:C449"/>
    <mergeCell ref="D448:H449"/>
    <mergeCell ref="I448:I449"/>
    <mergeCell ref="J448:J449"/>
    <mergeCell ref="K448:K449"/>
    <mergeCell ref="L448:P449"/>
    <mergeCell ref="Q448:Q449"/>
    <mergeCell ref="K446:K447"/>
    <mergeCell ref="L446:L447"/>
    <mergeCell ref="M446:M447"/>
    <mergeCell ref="N446:N447"/>
    <mergeCell ref="O446:O447"/>
    <mergeCell ref="P446:P447"/>
    <mergeCell ref="K454:K455"/>
    <mergeCell ref="L454:P455"/>
    <mergeCell ref="Q454:Q455"/>
    <mergeCell ref="R454:R455"/>
    <mergeCell ref="B456:B457"/>
    <mergeCell ref="C456:C457"/>
    <mergeCell ref="D456:H457"/>
    <mergeCell ref="I456:I457"/>
    <mergeCell ref="J456:J457"/>
    <mergeCell ref="K456:K457"/>
    <mergeCell ref="N452:N453"/>
    <mergeCell ref="O452:O453"/>
    <mergeCell ref="P452:P453"/>
    <mergeCell ref="Q452:Q453"/>
    <mergeCell ref="R452:R453"/>
    <mergeCell ref="B454:B455"/>
    <mergeCell ref="C454:C455"/>
    <mergeCell ref="D454:H455"/>
    <mergeCell ref="I454:I455"/>
    <mergeCell ref="J454:J455"/>
    <mergeCell ref="H452:H453"/>
    <mergeCell ref="I452:I453"/>
    <mergeCell ref="J452:J453"/>
    <mergeCell ref="K452:K453"/>
    <mergeCell ref="L452:L453"/>
    <mergeCell ref="M452:M453"/>
    <mergeCell ref="B452:B453"/>
    <mergeCell ref="C452:C453"/>
    <mergeCell ref="D452:D453"/>
    <mergeCell ref="E452:E453"/>
    <mergeCell ref="F452:F453"/>
    <mergeCell ref="G452:G453"/>
    <mergeCell ref="O458:O459"/>
    <mergeCell ref="P458:P459"/>
    <mergeCell ref="Q458:Q459"/>
    <mergeCell ref="R458:R459"/>
    <mergeCell ref="B460:B461"/>
    <mergeCell ref="C460:C461"/>
    <mergeCell ref="D460:D461"/>
    <mergeCell ref="E460:G461"/>
    <mergeCell ref="H460:H461"/>
    <mergeCell ref="I458:I459"/>
    <mergeCell ref="J458:J459"/>
    <mergeCell ref="K458:K459"/>
    <mergeCell ref="L458:L459"/>
    <mergeCell ref="M458:M459"/>
    <mergeCell ref="N458:N459"/>
    <mergeCell ref="L456:P457"/>
    <mergeCell ref="Q456:Q457"/>
    <mergeCell ref="R456:R457"/>
    <mergeCell ref="B458:B459"/>
    <mergeCell ref="C458:C459"/>
    <mergeCell ref="D458:D459"/>
    <mergeCell ref="E458:E459"/>
    <mergeCell ref="F458:F459"/>
    <mergeCell ref="G458:G459"/>
    <mergeCell ref="H458:H459"/>
    <mergeCell ref="I460:K461"/>
    <mergeCell ref="Q462:Q463"/>
    <mergeCell ref="R462:R463"/>
    <mergeCell ref="B464:B465"/>
    <mergeCell ref="C464:E465"/>
    <mergeCell ref="F464:F465"/>
    <mergeCell ref="G464:G465"/>
    <mergeCell ref="H464:H465"/>
    <mergeCell ref="I464:I465"/>
    <mergeCell ref="J464:J465"/>
    <mergeCell ref="K464:K465"/>
    <mergeCell ref="K462:K463"/>
    <mergeCell ref="L462:L463"/>
    <mergeCell ref="M462:M463"/>
    <mergeCell ref="N462:N463"/>
    <mergeCell ref="O462:O463"/>
    <mergeCell ref="P462:P463"/>
    <mergeCell ref="R460:R461"/>
    <mergeCell ref="B462:B463"/>
    <mergeCell ref="C462:C463"/>
    <mergeCell ref="D462:D463"/>
    <mergeCell ref="E462:E463"/>
    <mergeCell ref="F462:F463"/>
    <mergeCell ref="G462:G463"/>
    <mergeCell ref="H462:H463"/>
    <mergeCell ref="I462:I463"/>
    <mergeCell ref="J462:J463"/>
    <mergeCell ref="L460:L461"/>
    <mergeCell ref="M460:O461"/>
    <mergeCell ref="P460:P461"/>
    <mergeCell ref="Q460:Q461"/>
    <mergeCell ref="F482:I483"/>
    <mergeCell ref="J482:J483"/>
    <mergeCell ref="K482:L483"/>
    <mergeCell ref="B487:B492"/>
    <mergeCell ref="C487:E492"/>
    <mergeCell ref="F487:I490"/>
    <mergeCell ref="J487:K490"/>
    <mergeCell ref="L487:L492"/>
    <mergeCell ref="M466:M467"/>
    <mergeCell ref="N466:N467"/>
    <mergeCell ref="O466:O467"/>
    <mergeCell ref="P466:P467"/>
    <mergeCell ref="Q466:Q467"/>
    <mergeCell ref="R466:R467"/>
    <mergeCell ref="R464:R465"/>
    <mergeCell ref="B466:B467"/>
    <mergeCell ref="C466:E467"/>
    <mergeCell ref="F466:F467"/>
    <mergeCell ref="G466:G467"/>
    <mergeCell ref="H466:H467"/>
    <mergeCell ref="I466:I467"/>
    <mergeCell ref="J466:J467"/>
    <mergeCell ref="K466:K467"/>
    <mergeCell ref="L466:L467"/>
    <mergeCell ref="L464:L465"/>
    <mergeCell ref="M464:M465"/>
    <mergeCell ref="N464:N465"/>
    <mergeCell ref="O464:O465"/>
    <mergeCell ref="P464:P465"/>
    <mergeCell ref="Q464:Q465"/>
    <mergeCell ref="O491:P492"/>
    <mergeCell ref="Q491:Q492"/>
    <mergeCell ref="R491:R492"/>
    <mergeCell ref="B493:B494"/>
    <mergeCell ref="C493:E494"/>
    <mergeCell ref="F493:F494"/>
    <mergeCell ref="G493:G494"/>
    <mergeCell ref="H493:H494"/>
    <mergeCell ref="I493:I494"/>
    <mergeCell ref="J493:J494"/>
    <mergeCell ref="M487:N490"/>
    <mergeCell ref="O487:R490"/>
    <mergeCell ref="F491:F492"/>
    <mergeCell ref="G491:G492"/>
    <mergeCell ref="H491:H492"/>
    <mergeCell ref="I491:I492"/>
    <mergeCell ref="J491:J492"/>
    <mergeCell ref="K491:K492"/>
    <mergeCell ref="M491:M492"/>
    <mergeCell ref="N491:N492"/>
    <mergeCell ref="M495:M496"/>
    <mergeCell ref="N495:N496"/>
    <mergeCell ref="O495:P496"/>
    <mergeCell ref="Q495:Q496"/>
    <mergeCell ref="R495:R496"/>
    <mergeCell ref="B497:B498"/>
    <mergeCell ref="C497:E498"/>
    <mergeCell ref="F497:F498"/>
    <mergeCell ref="G497:G498"/>
    <mergeCell ref="H497:H498"/>
    <mergeCell ref="R493:R494"/>
    <mergeCell ref="B495:B496"/>
    <mergeCell ref="C495:E496"/>
    <mergeCell ref="F495:F496"/>
    <mergeCell ref="G495:G496"/>
    <mergeCell ref="H495:H496"/>
    <mergeCell ref="I495:I496"/>
    <mergeCell ref="J495:J496"/>
    <mergeCell ref="K495:K496"/>
    <mergeCell ref="L495:L496"/>
    <mergeCell ref="K493:K494"/>
    <mergeCell ref="L493:L494"/>
    <mergeCell ref="M493:M494"/>
    <mergeCell ref="N493:N494"/>
    <mergeCell ref="O493:P494"/>
    <mergeCell ref="Q493:Q494"/>
    <mergeCell ref="R499:R500"/>
    <mergeCell ref="B501:B502"/>
    <mergeCell ref="C501:E502"/>
    <mergeCell ref="F501:F502"/>
    <mergeCell ref="G501:G502"/>
    <mergeCell ref="H501:H502"/>
    <mergeCell ref="I501:I502"/>
    <mergeCell ref="J501:J502"/>
    <mergeCell ref="K501:K502"/>
    <mergeCell ref="L501:L502"/>
    <mergeCell ref="K499:K500"/>
    <mergeCell ref="L499:L500"/>
    <mergeCell ref="M499:M500"/>
    <mergeCell ref="N499:N500"/>
    <mergeCell ref="O499:P500"/>
    <mergeCell ref="Q499:Q500"/>
    <mergeCell ref="O497:P498"/>
    <mergeCell ref="Q497:Q498"/>
    <mergeCell ref="R497:R498"/>
    <mergeCell ref="B499:B500"/>
    <mergeCell ref="C499:E500"/>
    <mergeCell ref="F499:F500"/>
    <mergeCell ref="G499:G500"/>
    <mergeCell ref="H499:H500"/>
    <mergeCell ref="I499:I500"/>
    <mergeCell ref="J499:J500"/>
    <mergeCell ref="I497:I498"/>
    <mergeCell ref="J497:J498"/>
    <mergeCell ref="K497:K498"/>
    <mergeCell ref="L497:L498"/>
    <mergeCell ref="M497:M498"/>
    <mergeCell ref="N497:N498"/>
    <mergeCell ref="O503:P504"/>
    <mergeCell ref="Q503:Q504"/>
    <mergeCell ref="R503:R504"/>
    <mergeCell ref="B505:B506"/>
    <mergeCell ref="C505:E506"/>
    <mergeCell ref="F505:F506"/>
    <mergeCell ref="G505:G506"/>
    <mergeCell ref="H505:H506"/>
    <mergeCell ref="I505:I506"/>
    <mergeCell ref="J505:J506"/>
    <mergeCell ref="I503:I504"/>
    <mergeCell ref="J503:J504"/>
    <mergeCell ref="K503:K504"/>
    <mergeCell ref="L503:L504"/>
    <mergeCell ref="M503:M504"/>
    <mergeCell ref="N503:N504"/>
    <mergeCell ref="M501:M502"/>
    <mergeCell ref="N501:N502"/>
    <mergeCell ref="O501:P502"/>
    <mergeCell ref="Q501:Q502"/>
    <mergeCell ref="R501:R502"/>
    <mergeCell ref="B503:B504"/>
    <mergeCell ref="C503:E504"/>
    <mergeCell ref="F503:F504"/>
    <mergeCell ref="G503:G504"/>
    <mergeCell ref="H503:H504"/>
    <mergeCell ref="M507:M508"/>
    <mergeCell ref="N507:N508"/>
    <mergeCell ref="O507:P508"/>
    <mergeCell ref="Q507:Q508"/>
    <mergeCell ref="R507:R508"/>
    <mergeCell ref="B509:B510"/>
    <mergeCell ref="C509:E510"/>
    <mergeCell ref="F509:F510"/>
    <mergeCell ref="G509:G510"/>
    <mergeCell ref="H509:H510"/>
    <mergeCell ref="R505:R506"/>
    <mergeCell ref="B507:B508"/>
    <mergeCell ref="C507:E508"/>
    <mergeCell ref="F507:F508"/>
    <mergeCell ref="G507:G508"/>
    <mergeCell ref="H507:H508"/>
    <mergeCell ref="I507:I508"/>
    <mergeCell ref="J507:J508"/>
    <mergeCell ref="K507:K508"/>
    <mergeCell ref="L507:L508"/>
    <mergeCell ref="K505:K506"/>
    <mergeCell ref="L505:L506"/>
    <mergeCell ref="M505:M506"/>
    <mergeCell ref="N505:N506"/>
    <mergeCell ref="O505:P506"/>
    <mergeCell ref="Q505:Q506"/>
    <mergeCell ref="R511:R512"/>
    <mergeCell ref="B513:B514"/>
    <mergeCell ref="C513:E514"/>
    <mergeCell ref="F513:F514"/>
    <mergeCell ref="G513:G514"/>
    <mergeCell ref="H513:H514"/>
    <mergeCell ref="I513:I514"/>
    <mergeCell ref="J513:J514"/>
    <mergeCell ref="K513:K514"/>
    <mergeCell ref="L513:L514"/>
    <mergeCell ref="K511:K512"/>
    <mergeCell ref="L511:L512"/>
    <mergeCell ref="M511:M512"/>
    <mergeCell ref="N511:N512"/>
    <mergeCell ref="O511:P512"/>
    <mergeCell ref="Q511:Q512"/>
    <mergeCell ref="O509:P510"/>
    <mergeCell ref="Q509:Q510"/>
    <mergeCell ref="R509:R510"/>
    <mergeCell ref="B511:B512"/>
    <mergeCell ref="C511:E512"/>
    <mergeCell ref="F511:F512"/>
    <mergeCell ref="G511:G512"/>
    <mergeCell ref="H511:H512"/>
    <mergeCell ref="I511:I512"/>
    <mergeCell ref="J511:J512"/>
    <mergeCell ref="I509:I510"/>
    <mergeCell ref="J509:J510"/>
    <mergeCell ref="K509:K510"/>
    <mergeCell ref="L509:L510"/>
    <mergeCell ref="M509:M510"/>
    <mergeCell ref="N509:N510"/>
    <mergeCell ref="O515:P516"/>
    <mergeCell ref="Q515:Q516"/>
    <mergeCell ref="R515:R516"/>
    <mergeCell ref="B517:B518"/>
    <mergeCell ref="C517:E518"/>
    <mergeCell ref="F517:F518"/>
    <mergeCell ref="G517:G518"/>
    <mergeCell ref="H517:H518"/>
    <mergeCell ref="I517:I518"/>
    <mergeCell ref="J517:J518"/>
    <mergeCell ref="I515:I516"/>
    <mergeCell ref="J515:J516"/>
    <mergeCell ref="K515:K516"/>
    <mergeCell ref="L515:L516"/>
    <mergeCell ref="M515:M516"/>
    <mergeCell ref="N515:N516"/>
    <mergeCell ref="M513:M514"/>
    <mergeCell ref="N513:N514"/>
    <mergeCell ref="O513:P514"/>
    <mergeCell ref="Q513:Q514"/>
    <mergeCell ref="R513:R514"/>
    <mergeCell ref="B515:B516"/>
    <mergeCell ref="C515:E516"/>
    <mergeCell ref="F515:F516"/>
    <mergeCell ref="G515:G516"/>
    <mergeCell ref="H515:H516"/>
    <mergeCell ref="M519:M520"/>
    <mergeCell ref="N519:N520"/>
    <mergeCell ref="O519:P520"/>
    <mergeCell ref="Q519:Q520"/>
    <mergeCell ref="R519:R520"/>
    <mergeCell ref="B521:B522"/>
    <mergeCell ref="C521:E522"/>
    <mergeCell ref="F521:F522"/>
    <mergeCell ref="G521:G522"/>
    <mergeCell ref="H521:H522"/>
    <mergeCell ref="R517:R518"/>
    <mergeCell ref="B519:B520"/>
    <mergeCell ref="C519:E520"/>
    <mergeCell ref="F519:F520"/>
    <mergeCell ref="G519:G520"/>
    <mergeCell ref="H519:H520"/>
    <mergeCell ref="I519:I520"/>
    <mergeCell ref="J519:J520"/>
    <mergeCell ref="K519:K520"/>
    <mergeCell ref="L519:L520"/>
    <mergeCell ref="K517:K518"/>
    <mergeCell ref="L517:L518"/>
    <mergeCell ref="M517:M518"/>
    <mergeCell ref="N517:N518"/>
    <mergeCell ref="O517:P518"/>
    <mergeCell ref="Q517:Q518"/>
    <mergeCell ref="R523:R524"/>
    <mergeCell ref="B525:B526"/>
    <mergeCell ref="C525:E526"/>
    <mergeCell ref="F525:F526"/>
    <mergeCell ref="G525:G526"/>
    <mergeCell ref="H525:H526"/>
    <mergeCell ref="I525:I526"/>
    <mergeCell ref="J525:J526"/>
    <mergeCell ref="K525:K526"/>
    <mergeCell ref="L525:L526"/>
    <mergeCell ref="K523:K524"/>
    <mergeCell ref="L523:L524"/>
    <mergeCell ref="M523:M524"/>
    <mergeCell ref="N523:N524"/>
    <mergeCell ref="O523:P524"/>
    <mergeCell ref="Q523:Q524"/>
    <mergeCell ref="O521:P522"/>
    <mergeCell ref="Q521:Q522"/>
    <mergeCell ref="R521:R522"/>
    <mergeCell ref="B523:B524"/>
    <mergeCell ref="C523:E524"/>
    <mergeCell ref="F523:F524"/>
    <mergeCell ref="G523:G524"/>
    <mergeCell ref="H523:H524"/>
    <mergeCell ref="I523:I524"/>
    <mergeCell ref="J523:J524"/>
    <mergeCell ref="I521:I522"/>
    <mergeCell ref="J521:J522"/>
    <mergeCell ref="K521:K522"/>
    <mergeCell ref="L521:L522"/>
    <mergeCell ref="M521:M522"/>
    <mergeCell ref="N521:N522"/>
    <mergeCell ref="O527:P528"/>
    <mergeCell ref="Q527:Q528"/>
    <mergeCell ref="R527:R528"/>
    <mergeCell ref="B529:B530"/>
    <mergeCell ref="C529:E530"/>
    <mergeCell ref="F529:F530"/>
    <mergeCell ref="G529:G530"/>
    <mergeCell ref="H529:H530"/>
    <mergeCell ref="I529:I530"/>
    <mergeCell ref="J529:J530"/>
    <mergeCell ref="I527:I528"/>
    <mergeCell ref="J527:J528"/>
    <mergeCell ref="K527:K528"/>
    <mergeCell ref="L527:L528"/>
    <mergeCell ref="M527:M528"/>
    <mergeCell ref="N527:N528"/>
    <mergeCell ref="M525:M526"/>
    <mergeCell ref="N525:N526"/>
    <mergeCell ref="O525:P526"/>
    <mergeCell ref="Q525:Q526"/>
    <mergeCell ref="R525:R526"/>
    <mergeCell ref="B527:B528"/>
    <mergeCell ref="C527:E528"/>
    <mergeCell ref="F527:F528"/>
    <mergeCell ref="G527:G528"/>
    <mergeCell ref="H527:H528"/>
    <mergeCell ref="M531:M532"/>
    <mergeCell ref="N531:N532"/>
    <mergeCell ref="O531:P532"/>
    <mergeCell ref="Q531:Q532"/>
    <mergeCell ref="R531:R532"/>
    <mergeCell ref="B533:B534"/>
    <mergeCell ref="C533:E534"/>
    <mergeCell ref="F533:F534"/>
    <mergeCell ref="G533:G534"/>
    <mergeCell ref="H533:H534"/>
    <mergeCell ref="R529:R530"/>
    <mergeCell ref="B531:B532"/>
    <mergeCell ref="C531:E532"/>
    <mergeCell ref="F531:F532"/>
    <mergeCell ref="G531:G532"/>
    <mergeCell ref="H531:H532"/>
    <mergeCell ref="I531:I532"/>
    <mergeCell ref="J531:J532"/>
    <mergeCell ref="K531:K532"/>
    <mergeCell ref="L531:L532"/>
    <mergeCell ref="K529:K530"/>
    <mergeCell ref="L529:L530"/>
    <mergeCell ref="M529:M530"/>
    <mergeCell ref="N529:N530"/>
    <mergeCell ref="O529:P530"/>
    <mergeCell ref="Q529:Q530"/>
    <mergeCell ref="L537:L538"/>
    <mergeCell ref="M537:M538"/>
    <mergeCell ref="N537:N538"/>
    <mergeCell ref="O537:Q538"/>
    <mergeCell ref="R537:R538"/>
    <mergeCell ref="B539:F540"/>
    <mergeCell ref="G539:G540"/>
    <mergeCell ref="H539:L540"/>
    <mergeCell ref="M539:M540"/>
    <mergeCell ref="N539:R540"/>
    <mergeCell ref="O533:P534"/>
    <mergeCell ref="Q533:Q534"/>
    <mergeCell ref="R533:R534"/>
    <mergeCell ref="J535:J536"/>
    <mergeCell ref="B537:B538"/>
    <mergeCell ref="C537:E538"/>
    <mergeCell ref="F537:F538"/>
    <mergeCell ref="G537:G538"/>
    <mergeCell ref="H537:H538"/>
    <mergeCell ref="I537:K538"/>
    <mergeCell ref="I533:I534"/>
    <mergeCell ref="J533:J534"/>
    <mergeCell ref="K533:K534"/>
    <mergeCell ref="L533:L534"/>
    <mergeCell ref="M533:M534"/>
    <mergeCell ref="N533:N534"/>
    <mergeCell ref="F535:F536"/>
    <mergeCell ref="G535:G536"/>
    <mergeCell ref="H535:H536"/>
    <mergeCell ref="I535:I536"/>
    <mergeCell ref="K535:K536"/>
    <mergeCell ref="L535:L536"/>
    <mergeCell ref="R541:R542"/>
    <mergeCell ref="B543:B544"/>
    <mergeCell ref="C543:C544"/>
    <mergeCell ref="D543:D544"/>
    <mergeCell ref="E543:E544"/>
    <mergeCell ref="F543:F544"/>
    <mergeCell ref="G543:G544"/>
    <mergeCell ref="H543:H544"/>
    <mergeCell ref="L541:L542"/>
    <mergeCell ref="M541:M542"/>
    <mergeCell ref="N541:N542"/>
    <mergeCell ref="B541:B542"/>
    <mergeCell ref="C541:E542"/>
    <mergeCell ref="F541:F542"/>
    <mergeCell ref="G541:G542"/>
    <mergeCell ref="H541:H542"/>
    <mergeCell ref="I541:K542"/>
    <mergeCell ref="O541:Q542"/>
    <mergeCell ref="B547:F548"/>
    <mergeCell ref="G547:G548"/>
    <mergeCell ref="H547:L548"/>
    <mergeCell ref="M547:M548"/>
    <mergeCell ref="N547:R548"/>
    <mergeCell ref="B549:B550"/>
    <mergeCell ref="C549:C550"/>
    <mergeCell ref="D549:D550"/>
    <mergeCell ref="E549:E550"/>
    <mergeCell ref="F549:F550"/>
    <mergeCell ref="O543:O544"/>
    <mergeCell ref="P543:P544"/>
    <mergeCell ref="Q543:Q544"/>
    <mergeCell ref="R543:R544"/>
    <mergeCell ref="B545:F546"/>
    <mergeCell ref="G545:G546"/>
    <mergeCell ref="H545:L546"/>
    <mergeCell ref="M545:M546"/>
    <mergeCell ref="N545:R546"/>
    <mergeCell ref="I543:I544"/>
    <mergeCell ref="J543:J544"/>
    <mergeCell ref="K543:K544"/>
    <mergeCell ref="L543:L544"/>
    <mergeCell ref="M543:M544"/>
    <mergeCell ref="N543:N544"/>
    <mergeCell ref="B551:F552"/>
    <mergeCell ref="G551:G552"/>
    <mergeCell ref="H551:L552"/>
    <mergeCell ref="M551:M552"/>
    <mergeCell ref="N551:R552"/>
    <mergeCell ref="B553:F554"/>
    <mergeCell ref="G553:G554"/>
    <mergeCell ref="H553:L554"/>
    <mergeCell ref="M553:M554"/>
    <mergeCell ref="N553:R554"/>
    <mergeCell ref="M549:M550"/>
    <mergeCell ref="N549:N550"/>
    <mergeCell ref="O549:O550"/>
    <mergeCell ref="P549:P550"/>
    <mergeCell ref="Q549:Q550"/>
    <mergeCell ref="R549:R550"/>
    <mergeCell ref="G549:G550"/>
    <mergeCell ref="H549:H550"/>
    <mergeCell ref="I549:I550"/>
    <mergeCell ref="J549:J550"/>
    <mergeCell ref="K549:K550"/>
    <mergeCell ref="L549:L550"/>
    <mergeCell ref="I557:K558"/>
    <mergeCell ref="L557:L558"/>
    <mergeCell ref="M557:M558"/>
    <mergeCell ref="N557:N558"/>
    <mergeCell ref="O557:Q558"/>
    <mergeCell ref="R557:R558"/>
    <mergeCell ref="N555:N556"/>
    <mergeCell ref="O555:O556"/>
    <mergeCell ref="P555:P556"/>
    <mergeCell ref="Q555:Q556"/>
    <mergeCell ref="R555:R556"/>
    <mergeCell ref="B557:B558"/>
    <mergeCell ref="C557:E558"/>
    <mergeCell ref="F557:F558"/>
    <mergeCell ref="G557:G558"/>
    <mergeCell ref="H557:H558"/>
    <mergeCell ref="H555:H556"/>
    <mergeCell ref="I555:I556"/>
    <mergeCell ref="J555:J556"/>
    <mergeCell ref="K555:K556"/>
    <mergeCell ref="L555:L556"/>
    <mergeCell ref="M555:M556"/>
    <mergeCell ref="B555:B556"/>
    <mergeCell ref="C555:C556"/>
    <mergeCell ref="D555:D556"/>
    <mergeCell ref="E555:E556"/>
    <mergeCell ref="F555:F556"/>
    <mergeCell ref="G555:G556"/>
    <mergeCell ref="C562:E562"/>
    <mergeCell ref="B571:R571"/>
    <mergeCell ref="B573:E573"/>
    <mergeCell ref="B574:E574"/>
    <mergeCell ref="B575:E575"/>
    <mergeCell ref="Q572:R572"/>
    <mergeCell ref="N559:N560"/>
    <mergeCell ref="O559:O560"/>
    <mergeCell ref="P559:P560"/>
    <mergeCell ref="Q559:Q560"/>
    <mergeCell ref="R559:R560"/>
    <mergeCell ref="C561:E561"/>
    <mergeCell ref="H559:H560"/>
    <mergeCell ref="I559:I560"/>
    <mergeCell ref="J559:J560"/>
    <mergeCell ref="K559:K560"/>
    <mergeCell ref="L559:L560"/>
    <mergeCell ref="M559:M560"/>
    <mergeCell ref="B559:B560"/>
    <mergeCell ref="C559:C560"/>
    <mergeCell ref="D559:D560"/>
    <mergeCell ref="E559:E560"/>
    <mergeCell ref="F559:F560"/>
    <mergeCell ref="G559:G560"/>
    <mergeCell ref="B594:E594"/>
    <mergeCell ref="F594:I594"/>
    <mergeCell ref="J594:L594"/>
    <mergeCell ref="M594:P594"/>
    <mergeCell ref="D572:P572"/>
    <mergeCell ref="B572:C572"/>
    <mergeCell ref="B588:E588"/>
    <mergeCell ref="B589:E589"/>
    <mergeCell ref="B590:E590"/>
    <mergeCell ref="B591:E591"/>
    <mergeCell ref="B592:E592"/>
    <mergeCell ref="B593:E593"/>
    <mergeCell ref="B582:E582"/>
    <mergeCell ref="B583:E583"/>
    <mergeCell ref="B584:E584"/>
    <mergeCell ref="B585:E585"/>
    <mergeCell ref="B586:E586"/>
    <mergeCell ref="B587:E587"/>
    <mergeCell ref="B576:E576"/>
    <mergeCell ref="B577:E577"/>
    <mergeCell ref="B578:E578"/>
    <mergeCell ref="B579:E579"/>
    <mergeCell ref="B580:E580"/>
    <mergeCell ref="B581:E581"/>
  </mergeCells>
  <conditionalFormatting sqref="B545:F546 H545:L546 N545:R546 O557:Q558 C557:E558 O531 O533 O493 O495 O497 O499 O501 O503 O505 O507 O509 O511 O513 O515 O517 O519 O521 O523 O525 O527 O529 D353:H354 L353:P354 E365:G366 M365:O366 D448:H449 L448:P449 E460:G461 M460:O461 O333 O335 O337 O339 M341 O341 M436 O436 M301 O301 M303 O303 M396 O396 M398 O398 M305 M307 M309 M311 M313 M315 M317 M319 M321 M323 M325 M327 M329 M331 M333 M335 M337 M339 M400 M402 M404 M406 M408 M410 M412 M414 M416 M418 M420 M422 M424 M426 M428 M430 M432 M434 O305 O307 O309 O311 O313 O315 O317 O319 O321 O323 O325 O327 O329 O331 O400 O402 O404 O406 O408 O410 O412 O414 O416 O418 O420 O422 O424 O426 O428 O430 O432 O434 L68:P69 E80:G81 M80:O81 D163:H164 L163:P164 M175:O176 E175:G176 D258:H259 L258:P259 M270:O271 E270:G271 M16 M54 O16 M18 O18 O46 O48 O50 O52 O54 M56 O56 M20 M22 M24 M26 M28 M30 M32 M34 M36 M38 M40 M42 M44 M46 M48 M50 M52 O145 O147 O149 M151 O151 O244 M246 O246 M111 O111 M113 O113 M206 O206 M208 O208 M210 M212 M214 M216 M218 M220 M222 M224 M226 M228 M230 M232 M234 M236 M238 M240 M242 M244 M115 M117 M119 M121 M123 M125 M127 M129 M131 M133 M135 M137 M139 M141 M143 M145 M147 M149 O242 O20 O22 O24 O26 O28 O30 O32 O34 O36 O38 O40 O42 O44 O115 O117 O119 O121 O123 O125 O127 O129 O131 O133 O135 O137 O139 O141 O143 O210 O212 O214 O216 O218 O220 O222 O224 O226 O228 O230 O232 O234 O236 O238 O240 I16:I56 Q16:R57 Q111:R152 Q206:R247 Q301:R342 Q396:R437 Q493:R534 F16:H57 J16:L57 F493:N534 F396:L437 F301:L342 F206:L247 F111:L152 A573:R594">
    <cfRule type="cellIs" dxfId="733" priority="19" stopIfTrue="1" operator="equal">
      <formula>0</formula>
    </cfRule>
  </conditionalFormatting>
  <conditionalFormatting sqref="B571:Q572 R571">
    <cfRule type="cellIs" dxfId="732" priority="18" stopIfTrue="1" operator="equal">
      <formula>0</formula>
    </cfRule>
  </conditionalFormatting>
  <conditionalFormatting sqref="C16 C54:E55 C18 C20 C22 C24 C26 C28 C30 C32 C34 C36 C38 C40 C42 C44 C46 C48 C50 C52">
    <cfRule type="cellIs" dxfId="731" priority="17" stopIfTrue="1" operator="equal">
      <formula>0</formula>
    </cfRule>
  </conditionalFormatting>
  <conditionalFormatting sqref="D604:H605 L604:P605 E616:G617 M616:O617">
    <cfRule type="cellIs" dxfId="730" priority="16" stopIfTrue="1" operator="equal">
      <formula>0</formula>
    </cfRule>
  </conditionalFormatting>
  <conditionalFormatting sqref="I80:K81">
    <cfRule type="cellIs" dxfId="729" priority="15" stopIfTrue="1" operator="equal">
      <formula>0</formula>
    </cfRule>
  </conditionalFormatting>
  <conditionalFormatting sqref="I175:K176">
    <cfRule type="cellIs" dxfId="728" priority="14" stopIfTrue="1" operator="equal">
      <formula>0</formula>
    </cfRule>
  </conditionalFormatting>
  <conditionalFormatting sqref="I270:K271">
    <cfRule type="cellIs" dxfId="727" priority="13" stopIfTrue="1" operator="equal">
      <formula>0</formula>
    </cfRule>
  </conditionalFormatting>
  <conditionalFormatting sqref="I365:K366">
    <cfRule type="cellIs" dxfId="726" priority="9" stopIfTrue="1" operator="equal">
      <formula>0</formula>
    </cfRule>
  </conditionalFormatting>
  <conditionalFormatting sqref="I460:K461">
    <cfRule type="cellIs" dxfId="725" priority="8" stopIfTrue="1" operator="equal">
      <formula>0</formula>
    </cfRule>
  </conditionalFormatting>
  <conditionalFormatting sqref="I557:K558">
    <cfRule type="cellIs" dxfId="724" priority="7" stopIfTrue="1" operator="equal">
      <formula>0</formula>
    </cfRule>
  </conditionalFormatting>
  <conditionalFormatting sqref="C396:E435">
    <cfRule type="cellIs" dxfId="723" priority="6" operator="equal">
      <formula>0</formula>
    </cfRule>
  </conditionalFormatting>
  <conditionalFormatting sqref="C493:E534">
    <cfRule type="cellIs" dxfId="722" priority="5" operator="equal">
      <formula>0</formula>
    </cfRule>
  </conditionalFormatting>
  <conditionalFormatting sqref="C301:E340">
    <cfRule type="cellIs" dxfId="721" priority="4" operator="equal">
      <formula>0</formula>
    </cfRule>
  </conditionalFormatting>
  <conditionalFormatting sqref="C206:E245">
    <cfRule type="cellIs" dxfId="720" priority="3" operator="equal">
      <formula>0</formula>
    </cfRule>
  </conditionalFormatting>
  <conditionalFormatting sqref="C111:E150">
    <cfRule type="cellIs" dxfId="719" priority="2" operator="equal">
      <formula>0</formula>
    </cfRule>
  </conditionalFormatting>
  <conditionalFormatting sqref="B111:B152 B206:B247 B301:B342 B396:B437 B493:B534">
    <cfRule type="cellIs" dxfId="718" priority="1" operator="equal">
      <formula>0</formula>
    </cfRule>
  </conditionalFormatting>
  <printOptions horizontalCentered="1"/>
  <pageMargins left="0.11811023622047245" right="0.11811023622047245" top="0.59055118110236227" bottom="0.15748031496062992" header="0" footer="0"/>
  <pageSetup scale="94" orientation="portrait" r:id="rId1"/>
  <rowBreaks count="6" manualBreakCount="6">
    <brk id="95" max="16383" man="1"/>
    <brk id="190" max="16383" man="1"/>
    <brk id="285" max="16383" man="1"/>
    <brk id="380" max="16383" man="1"/>
    <brk id="475" max="16383" man="1"/>
    <brk id="570" max="16383" man="1"/>
  </rowBreaks>
  <drawing r:id="rId2"/>
  <legacy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CC"/>
  </sheetPr>
  <dimension ref="A1:X42"/>
  <sheetViews>
    <sheetView view="pageBreakPreview" topLeftCell="A20" zoomScale="75" zoomScaleSheetLayoutView="75" workbookViewId="0">
      <selection activeCell="H37" sqref="H37"/>
    </sheetView>
  </sheetViews>
  <sheetFormatPr baseColWidth="10" defaultRowHeight="12.75"/>
  <cols>
    <col min="1" max="24" width="7.42578125" style="417" customWidth="1"/>
    <col min="25" max="35" width="7.28515625" style="417" customWidth="1"/>
    <col min="36" max="16384" width="11.42578125" style="417"/>
  </cols>
  <sheetData>
    <row r="1" spans="1:24" s="1441" customFormat="1" ht="20.100000000000001" customHeight="1">
      <c r="A1" s="1422"/>
      <c r="B1" s="1422"/>
      <c r="C1" s="1422"/>
      <c r="D1" s="1422"/>
      <c r="E1" s="1422"/>
      <c r="F1" s="1422"/>
      <c r="G1" s="4888" t="s">
        <v>261</v>
      </c>
      <c r="H1" s="4888"/>
      <c r="I1" s="4888"/>
      <c r="J1" s="4888"/>
      <c r="K1" s="4888"/>
      <c r="L1" s="4888"/>
      <c r="M1" s="4888"/>
      <c r="N1" s="4888"/>
      <c r="O1" s="4888"/>
      <c r="P1" s="4888"/>
      <c r="Q1" s="4888"/>
      <c r="R1" s="4888"/>
      <c r="S1" s="4894" t="s">
        <v>1149</v>
      </c>
      <c r="T1" s="4894"/>
      <c r="U1" s="4894"/>
      <c r="V1" s="5183" t="str">
        <f>'E GENERAL'!V1:X1</f>
        <v>2011-2012</v>
      </c>
      <c r="W1" s="5183"/>
      <c r="X1" s="5183"/>
    </row>
    <row r="2" spans="1:24" s="1441" customFormat="1" ht="20.100000000000001" customHeight="1">
      <c r="A2" s="1422"/>
      <c r="B2" s="1422"/>
      <c r="C2" s="1422"/>
      <c r="D2" s="1422"/>
      <c r="E2" s="1422"/>
      <c r="F2" s="1422"/>
      <c r="G2" s="2250"/>
      <c r="H2" s="2250"/>
      <c r="I2" s="4888" t="s">
        <v>1410</v>
      </c>
      <c r="J2" s="4888"/>
      <c r="K2" s="4888"/>
      <c r="L2" s="4888"/>
      <c r="M2" s="4888"/>
      <c r="N2" s="4888"/>
      <c r="O2" s="4888"/>
      <c r="P2" s="4888"/>
      <c r="Q2" s="4889" t="s">
        <v>1709</v>
      </c>
      <c r="R2" s="4889"/>
      <c r="S2" s="4889"/>
      <c r="T2" s="4889"/>
      <c r="U2" s="4889"/>
      <c r="V2" s="5183" t="str">
        <f>'E GENERAL'!V2:X2</f>
        <v>23FIZ0042</v>
      </c>
      <c r="W2" s="5183"/>
      <c r="X2" s="5183"/>
    </row>
    <row r="3" spans="1:24" s="1441" customFormat="1" ht="20.100000000000001" customHeight="1">
      <c r="A3" s="1422"/>
      <c r="B3" s="2167"/>
      <c r="C3" s="2167"/>
      <c r="D3" s="2167"/>
      <c r="E3" s="1422"/>
      <c r="F3" s="1422"/>
      <c r="G3" s="4888" t="s">
        <v>1411</v>
      </c>
      <c r="H3" s="4888"/>
      <c r="I3" s="4888"/>
      <c r="J3" s="4888"/>
      <c r="K3" s="4888"/>
      <c r="L3" s="4888"/>
      <c r="M3" s="4888"/>
      <c r="N3" s="4888"/>
      <c r="O3" s="4888"/>
      <c r="P3" s="4888"/>
      <c r="Q3" s="4888"/>
      <c r="R3" s="4888"/>
      <c r="S3" s="4889" t="s">
        <v>1710</v>
      </c>
      <c r="T3" s="4889"/>
      <c r="U3" s="4889"/>
      <c r="V3" s="4890" t="str">
        <f>'E GENERAL'!V3:X3</f>
        <v>9981 30 19 11</v>
      </c>
      <c r="W3" s="4890"/>
      <c r="X3" s="4890"/>
    </row>
    <row r="4" spans="1:24" s="1441" customFormat="1" ht="15" customHeight="1" thickBot="1">
      <c r="A4" s="4891" t="s">
        <v>1711</v>
      </c>
      <c r="B4" s="4891"/>
      <c r="C4" s="4891"/>
      <c r="D4" s="4892" t="s">
        <v>1742</v>
      </c>
      <c r="E4" s="4892"/>
      <c r="F4" s="4892"/>
      <c r="G4" s="4892"/>
      <c r="H4" s="4892"/>
      <c r="I4" s="4892"/>
      <c r="J4" s="4892"/>
      <c r="K4" s="4892"/>
      <c r="L4" s="4892"/>
      <c r="M4" s="4892"/>
      <c r="N4" s="4892"/>
      <c r="O4" s="4892"/>
      <c r="P4" s="1422"/>
      <c r="Q4" s="2252" t="s">
        <v>1412</v>
      </c>
      <c r="R4" s="4893" t="str">
        <f>'E GENERAL'!R4:X4</f>
        <v xml:space="preserve">martincancun69@hotmail.com </v>
      </c>
      <c r="S4" s="4893"/>
      <c r="T4" s="4893"/>
      <c r="U4" s="4893"/>
      <c r="V4" s="4893"/>
      <c r="W4" s="4893"/>
      <c r="X4" s="4893"/>
    </row>
    <row r="5" spans="1:24" s="1441" customFormat="1" ht="5.25" customHeight="1" thickTop="1">
      <c r="A5" s="2168"/>
      <c r="B5" s="2169"/>
      <c r="C5" s="2169"/>
      <c r="D5" s="2169"/>
      <c r="E5" s="2169"/>
      <c r="F5" s="2169"/>
      <c r="G5" s="2169"/>
      <c r="H5" s="2169"/>
      <c r="I5" s="2169"/>
      <c r="J5" s="2169"/>
      <c r="K5" s="2169"/>
      <c r="L5" s="2169"/>
      <c r="M5" s="2169"/>
      <c r="N5" s="2169"/>
      <c r="O5" s="2169"/>
      <c r="P5" s="2169"/>
      <c r="Q5" s="2169"/>
      <c r="R5" s="2169"/>
      <c r="S5" s="2169"/>
      <c r="T5" s="2169"/>
      <c r="U5" s="2169"/>
      <c r="V5" s="2169"/>
      <c r="W5" s="2169"/>
      <c r="X5" s="2170"/>
    </row>
    <row r="6" spans="1:24" s="1441" customFormat="1" ht="16.5" customHeight="1">
      <c r="A6" s="1602"/>
      <c r="B6" s="1447"/>
      <c r="C6" s="1447"/>
      <c r="D6" s="1447"/>
      <c r="E6" s="1447"/>
      <c r="F6" s="1447"/>
      <c r="G6" s="2171" t="s">
        <v>1712</v>
      </c>
      <c r="H6" s="2171" t="s">
        <v>1713</v>
      </c>
      <c r="I6" s="2172" t="s">
        <v>408</v>
      </c>
      <c r="J6" s="1447"/>
      <c r="K6" s="2262" t="s">
        <v>1714</v>
      </c>
      <c r="L6" s="1447"/>
      <c r="M6" s="1447"/>
      <c r="N6" s="1447"/>
      <c r="O6" s="2173"/>
      <c r="P6" s="2253"/>
      <c r="Q6" s="1423"/>
      <c r="R6" s="1447"/>
      <c r="S6" s="1447"/>
      <c r="T6" s="1447"/>
      <c r="U6" s="1447"/>
      <c r="V6" s="1447"/>
      <c r="W6" s="1447"/>
      <c r="X6" s="2174"/>
    </row>
    <row r="7" spans="1:24" s="1441" customFormat="1" ht="16.5" customHeight="1">
      <c r="A7" s="1602"/>
      <c r="B7" s="2262" t="s">
        <v>1715</v>
      </c>
      <c r="C7" s="1447"/>
      <c r="D7" s="1447"/>
      <c r="E7" s="1447" t="s">
        <v>269</v>
      </c>
      <c r="F7" s="1447"/>
      <c r="G7" s="2251">
        <f>Estadisticas!AH46</f>
        <v>10</v>
      </c>
      <c r="H7" s="2251"/>
      <c r="I7" s="2240">
        <f>G7+H7</f>
        <v>10</v>
      </c>
      <c r="J7" s="2253"/>
      <c r="K7" s="2253"/>
      <c r="L7" s="1447"/>
      <c r="M7" s="2176" t="s">
        <v>1716</v>
      </c>
      <c r="N7" s="2176"/>
      <c r="O7" s="2176"/>
      <c r="P7" s="2239"/>
      <c r="Q7" s="1423"/>
      <c r="R7" s="1447"/>
      <c r="S7" s="2262" t="s">
        <v>1717</v>
      </c>
      <c r="T7" s="1422"/>
      <c r="U7" s="1422"/>
      <c r="V7" s="1422"/>
      <c r="W7" s="1447"/>
      <c r="X7" s="2174"/>
    </row>
    <row r="8" spans="1:24" s="1441" customFormat="1" ht="16.5" customHeight="1">
      <c r="A8" s="1602"/>
      <c r="B8" s="1447"/>
      <c r="C8" s="2253"/>
      <c r="D8" s="2253"/>
      <c r="E8" s="2253"/>
      <c r="F8" s="2253"/>
      <c r="G8" s="2239"/>
      <c r="H8" s="2239"/>
      <c r="I8" s="2175"/>
      <c r="K8" s="4880" t="s">
        <v>1718</v>
      </c>
      <c r="L8" s="4880"/>
      <c r="M8" s="2176" t="s">
        <v>1719</v>
      </c>
      <c r="N8" s="2176"/>
      <c r="O8" s="2176"/>
      <c r="P8" s="2239"/>
      <c r="Q8" s="2251">
        <f>P7+P8+P9</f>
        <v>1</v>
      </c>
      <c r="R8" s="2253"/>
      <c r="S8" s="1423" t="s">
        <v>406</v>
      </c>
      <c r="T8" s="1422"/>
      <c r="U8" s="1423" t="s">
        <v>407</v>
      </c>
      <c r="V8" s="1422"/>
      <c r="W8" s="2254" t="s">
        <v>495</v>
      </c>
      <c r="X8" s="2174"/>
    </row>
    <row r="9" spans="1:24" s="1441" customFormat="1" ht="16.5" customHeight="1">
      <c r="A9" s="1602"/>
      <c r="B9" s="2262" t="s">
        <v>1720</v>
      </c>
      <c r="C9" s="1447"/>
      <c r="D9" s="1447"/>
      <c r="E9" s="1447" t="s">
        <v>1038</v>
      </c>
      <c r="F9" s="1447"/>
      <c r="G9" s="2251">
        <f>Estadisticas!AN46</f>
        <v>8</v>
      </c>
      <c r="H9" s="2251"/>
      <c r="I9" s="2240">
        <f>G9+H9</f>
        <v>8</v>
      </c>
      <c r="J9" s="1447"/>
      <c r="K9" s="1423"/>
      <c r="L9" s="1423"/>
      <c r="M9" s="2176" t="s">
        <v>1721</v>
      </c>
      <c r="N9" s="2176"/>
      <c r="O9" s="2176"/>
      <c r="P9" s="2239">
        <v>1</v>
      </c>
      <c r="Q9" s="2239"/>
      <c r="R9" s="2253"/>
      <c r="S9" s="2251">
        <f>Estadisticas!BI46</f>
        <v>116</v>
      </c>
      <c r="T9" s="2259"/>
      <c r="U9" s="2251">
        <f>Estadisticas!BJ46</f>
        <v>96</v>
      </c>
      <c r="V9" s="2259"/>
      <c r="W9" s="2251">
        <f>S9+U9</f>
        <v>212</v>
      </c>
      <c r="X9" s="2174"/>
    </row>
    <row r="10" spans="1:24" s="1441" customFormat="1" ht="16.5" customHeight="1">
      <c r="A10" s="1602"/>
      <c r="B10" s="1447"/>
      <c r="C10" s="2253"/>
      <c r="D10" s="2253"/>
      <c r="E10" s="2253" t="s">
        <v>1417</v>
      </c>
      <c r="F10" s="2253"/>
      <c r="G10" s="2251">
        <f>Estadisticas!AO46</f>
        <v>2</v>
      </c>
      <c r="H10" s="2251"/>
      <c r="I10" s="2240">
        <f>G10+H10</f>
        <v>2</v>
      </c>
      <c r="J10" s="1422"/>
      <c r="K10" s="1422"/>
      <c r="L10" s="1422"/>
      <c r="M10" s="1422"/>
      <c r="N10" s="1422"/>
      <c r="O10" s="1422"/>
      <c r="P10" s="1458"/>
      <c r="Q10" s="1458"/>
      <c r="R10" s="2253"/>
      <c r="S10" s="1422"/>
      <c r="T10" s="1422"/>
      <c r="U10" s="1422"/>
      <c r="V10" s="1422"/>
      <c r="W10" s="1423"/>
      <c r="X10" s="2177"/>
    </row>
    <row r="11" spans="1:24" s="1441" customFormat="1" ht="16.5" customHeight="1">
      <c r="A11" s="1602"/>
      <c r="B11" s="1447"/>
      <c r="C11" s="1447"/>
      <c r="D11" s="1447"/>
      <c r="E11" s="1447" t="s">
        <v>1418</v>
      </c>
      <c r="F11" s="1447"/>
      <c r="G11" s="2251">
        <f>Estadisticas!AP46</f>
        <v>0</v>
      </c>
      <c r="H11" s="2251"/>
      <c r="I11" s="2240">
        <f>G11+H11</f>
        <v>0</v>
      </c>
      <c r="J11" s="1422"/>
      <c r="K11" s="1447"/>
      <c r="L11" s="1447"/>
      <c r="M11" s="2178"/>
      <c r="N11" s="2178" t="s">
        <v>1722</v>
      </c>
      <c r="O11" s="1447"/>
      <c r="P11" s="2239"/>
      <c r="Q11" s="2239"/>
      <c r="R11" s="1423"/>
      <c r="T11" s="1422"/>
      <c r="U11" s="1422"/>
      <c r="V11" s="1422"/>
      <c r="W11" s="1423"/>
      <c r="X11" s="2174"/>
    </row>
    <row r="12" spans="1:24" s="1441" customFormat="1" ht="16.5" customHeight="1">
      <c r="A12" s="1602"/>
      <c r="B12" s="1447"/>
      <c r="C12" s="2253"/>
      <c r="D12" s="2253"/>
      <c r="E12" s="2253"/>
      <c r="F12" s="2253"/>
      <c r="G12" s="2239"/>
      <c r="H12" s="2239"/>
      <c r="I12" s="2175"/>
      <c r="J12" s="1422"/>
      <c r="K12" s="4880" t="s">
        <v>1723</v>
      </c>
      <c r="L12" s="4880"/>
      <c r="M12" s="2178"/>
      <c r="N12" s="2178" t="s">
        <v>1724</v>
      </c>
      <c r="O12" s="1447"/>
      <c r="P12" s="2239">
        <v>1</v>
      </c>
      <c r="Q12" s="2251">
        <f>P11+P12+P13+P14</f>
        <v>2</v>
      </c>
      <c r="R12" s="1423"/>
      <c r="S12" s="2262" t="s">
        <v>1725</v>
      </c>
      <c r="T12" s="1447"/>
      <c r="U12" s="1447"/>
      <c r="V12" s="1447"/>
      <c r="W12" s="1423"/>
      <c r="X12" s="2174"/>
    </row>
    <row r="13" spans="1:24" s="1441" customFormat="1" ht="16.5" customHeight="1">
      <c r="A13" s="1602"/>
      <c r="B13" s="2262" t="s">
        <v>1726</v>
      </c>
      <c r="C13" s="2253"/>
      <c r="D13" s="2253"/>
      <c r="E13" s="2253" t="s">
        <v>528</v>
      </c>
      <c r="F13" s="2253"/>
      <c r="G13" s="2251">
        <f>Estadisticas!AL46</f>
        <v>10</v>
      </c>
      <c r="H13" s="2251"/>
      <c r="I13" s="2240">
        <f>G13+H13</f>
        <v>10</v>
      </c>
      <c r="J13" s="1422"/>
      <c r="K13" s="2253"/>
      <c r="L13" s="2253"/>
      <c r="M13" s="2178"/>
      <c r="N13" s="2178" t="s">
        <v>1727</v>
      </c>
      <c r="O13" s="2254"/>
      <c r="P13" s="2239"/>
      <c r="Q13" s="2239"/>
      <c r="R13" s="1423"/>
      <c r="S13" s="4887"/>
      <c r="T13" s="4887"/>
      <c r="U13" s="4887"/>
      <c r="V13" s="4887"/>
      <c r="W13" s="2239"/>
      <c r="X13" s="2174"/>
    </row>
    <row r="14" spans="1:24" s="1441" customFormat="1" ht="16.5" customHeight="1">
      <c r="A14" s="1602"/>
      <c r="B14" s="2262"/>
      <c r="C14" s="1447"/>
      <c r="D14" s="1447"/>
      <c r="E14" s="2253" t="s">
        <v>533</v>
      </c>
      <c r="F14" s="1447"/>
      <c r="G14" s="2251">
        <f>Estadisticas!AM46</f>
        <v>0</v>
      </c>
      <c r="H14" s="2251"/>
      <c r="I14" s="2240">
        <f>G14+H14</f>
        <v>0</v>
      </c>
      <c r="J14" s="1447"/>
      <c r="K14" s="1447"/>
      <c r="L14" s="1447"/>
      <c r="M14" s="2178"/>
      <c r="N14" s="2178" t="s">
        <v>1728</v>
      </c>
      <c r="O14" s="1447"/>
      <c r="P14" s="2239">
        <v>1</v>
      </c>
      <c r="Q14" s="2239"/>
      <c r="R14" s="1423"/>
      <c r="S14" s="4887" t="s">
        <v>1729</v>
      </c>
      <c r="T14" s="4887"/>
      <c r="U14" s="4887"/>
      <c r="V14" s="4887"/>
      <c r="W14" s="2251">
        <f>SUM('[4]0055K'!$O$19+'[4]0593I'!$O$19+'[4]0564N'!$O$19+'[4]0570Y'!$O$19+'[4]0572W'!$O$19+'[4]0581D'!$O$19+'[4]0491L'!$O$19+'[4]0492K'!$O$19+'[4]0640C'!$O$19+'[4]0681C'!$O$19+'[4]0688W'!$O$19+[4]ESC_O_12!$O$19+[4]ESC_O_13!$O$19+[4]ESC_O_14!$O$19+[4]ESC_O_15!$O$19+[4]ESC_O_16!$O$19+[4]ESC_O_17!$O$19+[4]ESC_O_18!$O$19)</f>
        <v>0</v>
      </c>
      <c r="X14" s="2174"/>
    </row>
    <row r="15" spans="1:24" s="1441" customFormat="1" ht="16.5" customHeight="1">
      <c r="A15" s="1602"/>
      <c r="B15" s="2262"/>
      <c r="C15" s="1423"/>
      <c r="D15" s="1423"/>
      <c r="E15" s="1423"/>
      <c r="F15" s="1447"/>
      <c r="G15" s="2239"/>
      <c r="H15" s="2239"/>
      <c r="I15" s="2175"/>
      <c r="J15" s="1447"/>
      <c r="K15" s="1447"/>
      <c r="L15" s="1447"/>
      <c r="M15" s="1447"/>
      <c r="N15" s="2178"/>
      <c r="O15" s="1447"/>
      <c r="P15" s="2239"/>
      <c r="Q15" s="2239"/>
      <c r="R15" s="1423"/>
      <c r="S15" s="4887" t="s">
        <v>1730</v>
      </c>
      <c r="T15" s="4887"/>
      <c r="U15" s="4887"/>
      <c r="V15" s="4887"/>
      <c r="W15" s="2255">
        <f>SUM('[4]0055K'!$O$20+'[4]0593I'!$O$20+'[4]0564N'!$O$20+'[4]0570Y'!$O$20+'[4]0572W'!$O$20+'[4]0581D'!$O$20+'[4]0491L'!$O$20+'[4]0492K'!$O$20+'[4]0640C'!$O$20+'[4]0681C'!$O$20+'[4]0688W'!$O$20+[4]ESC_O_12!$O$20+[4]ESC_O_13!$O$20+[4]ESC_O_14!$O$20+[4]ESC_O_15!$O$20+[4]ESC_O_16!$O$20+[4]ESC_O_17!$O$20+[4]ESC_O_18!$O$20)</f>
        <v>0</v>
      </c>
      <c r="X15" s="2174"/>
    </row>
    <row r="16" spans="1:24" s="1441" customFormat="1" ht="16.5" customHeight="1">
      <c r="A16" s="1602"/>
      <c r="B16" s="2262" t="s">
        <v>1731</v>
      </c>
      <c r="C16" s="1447"/>
      <c r="D16" s="1447"/>
      <c r="E16" s="2253" t="s">
        <v>69</v>
      </c>
      <c r="F16" s="1447"/>
      <c r="G16" s="2251">
        <f>Estadisticas!AJ46</f>
        <v>6</v>
      </c>
      <c r="H16" s="2251"/>
      <c r="I16" s="2240">
        <f>G16+H16</f>
        <v>6</v>
      </c>
      <c r="J16" s="1447"/>
      <c r="K16" s="1447"/>
      <c r="L16" s="1447"/>
      <c r="M16" s="2178"/>
      <c r="N16" s="2178" t="s">
        <v>1722</v>
      </c>
      <c r="O16" s="1447"/>
      <c r="P16" s="2239">
        <f>Estadisticas!AZ46</f>
        <v>1</v>
      </c>
      <c r="Q16" s="2239"/>
      <c r="R16" s="1447"/>
      <c r="S16" s="4887"/>
      <c r="T16" s="4887"/>
      <c r="U16" s="4887"/>
      <c r="V16" s="4887"/>
      <c r="W16" s="2239"/>
      <c r="X16" s="2174"/>
    </row>
    <row r="17" spans="1:24" s="1441" customFormat="1" ht="16.5" customHeight="1">
      <c r="A17" s="1602"/>
      <c r="B17" s="2262"/>
      <c r="C17" s="1447"/>
      <c r="D17" s="1447"/>
      <c r="E17" s="1447" t="s">
        <v>77</v>
      </c>
      <c r="F17" s="1447"/>
      <c r="G17" s="2251">
        <f>Estadisticas!AK46</f>
        <v>4</v>
      </c>
      <c r="H17" s="2251"/>
      <c r="I17" s="2240">
        <f>G17+H17</f>
        <v>4</v>
      </c>
      <c r="J17" s="1447"/>
      <c r="K17" s="4880" t="s">
        <v>1732</v>
      </c>
      <c r="L17" s="4880"/>
      <c r="M17" s="2178"/>
      <c r="N17" s="2178" t="s">
        <v>1724</v>
      </c>
      <c r="O17" s="1447"/>
      <c r="P17" s="2239">
        <f>Estadisticas!BA46</f>
        <v>7</v>
      </c>
      <c r="Q17" s="2251">
        <f>P16+P17+P18+P19</f>
        <v>10</v>
      </c>
      <c r="R17" s="1447"/>
      <c r="S17" s="2179" t="s">
        <v>1733</v>
      </c>
      <c r="T17" s="1447"/>
      <c r="U17" s="1447"/>
      <c r="V17" s="1447"/>
      <c r="W17" s="2239"/>
      <c r="X17" s="2174"/>
    </row>
    <row r="18" spans="1:24" s="1441" customFormat="1" ht="16.5" customHeight="1">
      <c r="A18" s="1602"/>
      <c r="B18" s="2262"/>
      <c r="C18" s="1447"/>
      <c r="D18" s="1447"/>
      <c r="E18" s="1447"/>
      <c r="F18" s="1447"/>
      <c r="G18" s="2239"/>
      <c r="H18" s="2239"/>
      <c r="I18" s="2239"/>
      <c r="J18" s="2262"/>
      <c r="K18" s="2253"/>
      <c r="L18" s="2253"/>
      <c r="M18" s="2178"/>
      <c r="N18" s="2178" t="s">
        <v>1727</v>
      </c>
      <c r="O18" s="2254"/>
      <c r="P18" s="2239">
        <f>Estadisticas!BB46</f>
        <v>1</v>
      </c>
      <c r="Q18" s="2239"/>
      <c r="R18" s="1447"/>
      <c r="S18" s="2179"/>
      <c r="T18" s="1422"/>
      <c r="U18" s="1447"/>
      <c r="V18" s="1447"/>
      <c r="W18" s="2239"/>
      <c r="X18" s="2174"/>
    </row>
    <row r="19" spans="1:24" s="1441" customFormat="1" ht="16.5" customHeight="1">
      <c r="A19" s="1602"/>
      <c r="B19" s="2262" t="s">
        <v>1734</v>
      </c>
      <c r="C19" s="1447"/>
      <c r="D19" s="1447"/>
      <c r="E19" s="1447" t="s">
        <v>1421</v>
      </c>
      <c r="F19" s="1423"/>
      <c r="G19" s="2251">
        <f>Estadisticas!AU46</f>
        <v>70</v>
      </c>
      <c r="H19" s="2251"/>
      <c r="I19" s="2240">
        <f t="shared" ref="I19:I24" si="0">G19+H19</f>
        <v>70</v>
      </c>
      <c r="J19" s="1447"/>
      <c r="K19" s="1447"/>
      <c r="L19" s="1447"/>
      <c r="M19" s="2178"/>
      <c r="N19" s="2178" t="s">
        <v>1728</v>
      </c>
      <c r="O19" s="1447"/>
      <c r="P19" s="2239">
        <f>Estadisticas!BC46</f>
        <v>1</v>
      </c>
      <c r="Q19" s="2239"/>
      <c r="R19" s="2254"/>
      <c r="S19" s="2254"/>
      <c r="T19" s="1447" t="s">
        <v>1735</v>
      </c>
      <c r="U19" s="1447"/>
      <c r="V19" s="1447"/>
      <c r="W19" s="2251">
        <v>1</v>
      </c>
      <c r="X19" s="2174"/>
    </row>
    <row r="20" spans="1:24" s="1441" customFormat="1" ht="16.5" customHeight="1">
      <c r="A20" s="2180"/>
      <c r="B20" s="1423"/>
      <c r="C20" s="1447"/>
      <c r="D20" s="1447"/>
      <c r="E20" s="1447" t="s">
        <v>1736</v>
      </c>
      <c r="F20" s="1423"/>
      <c r="G20" s="2251">
        <f>Estadisticas!AV46</f>
        <v>3</v>
      </c>
      <c r="H20" s="2251"/>
      <c r="I20" s="2240">
        <f t="shared" si="0"/>
        <v>3</v>
      </c>
      <c r="J20" s="1447"/>
      <c r="K20" s="1447"/>
      <c r="L20" s="1447" t="s">
        <v>1436</v>
      </c>
      <c r="M20" s="1447"/>
      <c r="N20" s="1423"/>
      <c r="O20" s="1447"/>
      <c r="P20" s="1447"/>
      <c r="Q20" s="2251">
        <f>Estadisticas!BD46</f>
        <v>96</v>
      </c>
      <c r="R20" s="1447"/>
      <c r="S20" s="1447"/>
      <c r="T20" s="1447" t="s">
        <v>1737</v>
      </c>
      <c r="U20" s="1447"/>
      <c r="V20" s="1423"/>
      <c r="W20" s="2255">
        <v>2</v>
      </c>
      <c r="X20" s="2174"/>
    </row>
    <row r="21" spans="1:24" s="1441" customFormat="1" ht="16.5" customHeight="1">
      <c r="A21" s="2180"/>
      <c r="B21" s="1423"/>
      <c r="C21" s="1447"/>
      <c r="D21" s="1447"/>
      <c r="E21" s="1447" t="s">
        <v>1738</v>
      </c>
      <c r="F21" s="1423"/>
      <c r="G21" s="2251">
        <f>Estadisticas!AW46</f>
        <v>2</v>
      </c>
      <c r="H21" s="2251"/>
      <c r="I21" s="2240">
        <f t="shared" si="0"/>
        <v>2</v>
      </c>
      <c r="J21" s="1447"/>
      <c r="K21" s="1447"/>
      <c r="L21" s="1447" t="s">
        <v>1437</v>
      </c>
      <c r="M21" s="1447"/>
      <c r="N21" s="1423"/>
      <c r="O21" s="1447"/>
      <c r="P21" s="1447"/>
      <c r="Q21" s="2251">
        <f>Estadisticas!BE46</f>
        <v>9</v>
      </c>
      <c r="R21" s="1447"/>
      <c r="S21" s="1447"/>
      <c r="T21" s="1447" t="s">
        <v>1732</v>
      </c>
      <c r="U21" s="1447"/>
      <c r="V21" s="1423"/>
      <c r="W21" s="2251">
        <f>Estadisticas!BK46</f>
        <v>7</v>
      </c>
      <c r="X21" s="2174"/>
    </row>
    <row r="22" spans="1:24" s="1441" customFormat="1" ht="16.5" customHeight="1">
      <c r="A22" s="1602"/>
      <c r="B22" s="1447"/>
      <c r="C22" s="1447"/>
      <c r="D22" s="1447"/>
      <c r="E22" s="1447" t="s">
        <v>447</v>
      </c>
      <c r="F22" s="1423"/>
      <c r="G22" s="2251">
        <f>Estadisticas!AX46</f>
        <v>1</v>
      </c>
      <c r="H22" s="2251"/>
      <c r="I22" s="2240">
        <f t="shared" si="0"/>
        <v>1</v>
      </c>
      <c r="J22" s="1447"/>
      <c r="K22" s="1447"/>
      <c r="L22" s="1447" t="s">
        <v>440</v>
      </c>
      <c r="M22" s="1447"/>
      <c r="N22" s="1423"/>
      <c r="O22" s="1447"/>
      <c r="P22" s="1447"/>
      <c r="Q22" s="2251">
        <f>Estadisticas!BF46</f>
        <v>3</v>
      </c>
      <c r="R22" s="1447"/>
      <c r="S22" s="1447"/>
      <c r="T22" s="1447" t="s">
        <v>1436</v>
      </c>
      <c r="U22" s="1447"/>
      <c r="V22" s="1423"/>
      <c r="W22" s="2251">
        <f>Estadisticas!BL46</f>
        <v>53</v>
      </c>
      <c r="X22" s="2174"/>
    </row>
    <row r="23" spans="1:24" s="1441" customFormat="1" ht="16.5" customHeight="1">
      <c r="A23" s="1602"/>
      <c r="B23" s="1447"/>
      <c r="C23" s="1447"/>
      <c r="D23" s="1447"/>
      <c r="E23" s="1447" t="s">
        <v>1423</v>
      </c>
      <c r="F23" s="1447"/>
      <c r="G23" s="2251">
        <f>Estadisticas!AY46</f>
        <v>0</v>
      </c>
      <c r="H23" s="2251"/>
      <c r="I23" s="2240">
        <f t="shared" si="0"/>
        <v>0</v>
      </c>
      <c r="J23" s="1447"/>
      <c r="K23" s="1447"/>
      <c r="L23" s="1447" t="s">
        <v>1739</v>
      </c>
      <c r="M23" s="1447"/>
      <c r="N23" s="1447"/>
      <c r="O23" s="1447"/>
      <c r="P23" s="1447"/>
      <c r="Q23" s="2251">
        <f>Estadisticas!BG46</f>
        <v>13</v>
      </c>
      <c r="R23" s="1447"/>
      <c r="S23" s="1447"/>
      <c r="T23" s="1447" t="s">
        <v>1437</v>
      </c>
      <c r="U23" s="1447"/>
      <c r="V23" s="2202">
        <f>W19+W20+1</f>
        <v>4</v>
      </c>
      <c r="W23" s="2251">
        <f>Estadisticas!BM46</f>
        <v>1</v>
      </c>
      <c r="X23" s="2174"/>
    </row>
    <row r="24" spans="1:24" s="1441" customFormat="1" ht="16.5" customHeight="1" thickBot="1">
      <c r="A24" s="1602"/>
      <c r="B24" s="1447"/>
      <c r="C24" s="1447"/>
      <c r="D24" s="1447"/>
      <c r="E24" s="4869" t="s">
        <v>408</v>
      </c>
      <c r="F24" s="4869"/>
      <c r="G24" s="2211">
        <f>SUM(G19:G23)</f>
        <v>76</v>
      </c>
      <c r="H24" s="2211">
        <f>SUM(H19:H23)</f>
        <v>0</v>
      </c>
      <c r="I24" s="2212">
        <f t="shared" si="0"/>
        <v>76</v>
      </c>
      <c r="J24" s="2254"/>
      <c r="K24" s="2254"/>
      <c r="L24" s="1423" t="s">
        <v>447</v>
      </c>
      <c r="M24" s="2254"/>
      <c r="N24" s="2254"/>
      <c r="O24" s="2254"/>
      <c r="P24" s="1447"/>
      <c r="Q24" s="2251">
        <f>Estadisticas!BH46</f>
        <v>0</v>
      </c>
      <c r="R24" s="1447"/>
      <c r="S24" s="1447"/>
      <c r="T24" s="1447" t="s">
        <v>1740</v>
      </c>
      <c r="U24" s="1447"/>
      <c r="V24" s="1423"/>
      <c r="W24" s="2251">
        <f>Estadisticas!BN46</f>
        <v>1</v>
      </c>
      <c r="X24" s="2174"/>
    </row>
    <row r="25" spans="1:24" s="1441" customFormat="1" ht="5.25" customHeight="1" thickBot="1">
      <c r="A25" s="2181"/>
      <c r="B25" s="2182"/>
      <c r="C25" s="2182"/>
      <c r="D25" s="2182"/>
      <c r="E25" s="2182"/>
      <c r="F25" s="2182"/>
      <c r="G25" s="2182"/>
      <c r="H25" s="2183"/>
      <c r="I25" s="2182"/>
      <c r="J25" s="2182"/>
      <c r="K25" s="2182"/>
      <c r="L25" s="2182"/>
      <c r="M25" s="2182"/>
      <c r="N25" s="2182"/>
      <c r="O25" s="2182"/>
      <c r="P25" s="2182"/>
      <c r="Q25" s="2182"/>
      <c r="R25" s="2182"/>
      <c r="S25" s="2182"/>
      <c r="T25" s="2182"/>
      <c r="U25" s="2182"/>
      <c r="V25" s="2183"/>
      <c r="W25" s="2182"/>
      <c r="X25" s="2184"/>
    </row>
    <row r="26" spans="1:24" s="1441" customFormat="1" ht="16.5" customHeight="1" thickTop="1" thickBot="1">
      <c r="A26" s="2185"/>
      <c r="B26" s="2185"/>
      <c r="C26" s="2185"/>
      <c r="D26" s="2305">
        <f>SUM('[4]0055K:0688W'!D28)</f>
        <v>4</v>
      </c>
      <c r="E26" s="2305">
        <f>SUM('[4]0055K:0688W'!E28)</f>
        <v>0</v>
      </c>
      <c r="F26" s="2305">
        <f>SUM('[4]0055K:0688W'!F28)</f>
        <v>4</v>
      </c>
      <c r="G26" s="2305">
        <f>SUM('[4]0055K:0688W'!G28)</f>
        <v>10</v>
      </c>
      <c r="H26" s="2305">
        <f>SUM('[4]0055K:0688W'!H28)</f>
        <v>7</v>
      </c>
      <c r="I26" s="2305">
        <f>SUM('[4]0055K:0688W'!I28)</f>
        <v>17</v>
      </c>
      <c r="J26" s="2305">
        <f>SUM('[4]0055K:0688W'!J28)</f>
        <v>7</v>
      </c>
      <c r="K26" s="2305">
        <f>SUM('[4]0055K:0688W'!K28)</f>
        <v>4</v>
      </c>
      <c r="L26" s="2305">
        <f>SUM('[4]0055K:0688W'!L28)</f>
        <v>11</v>
      </c>
      <c r="M26" s="2305">
        <f>SUM('[4]0055K:0688W'!M28)</f>
        <v>5</v>
      </c>
      <c r="N26" s="2305">
        <f>SUM('[4]0055K:0688W'!N28)</f>
        <v>0</v>
      </c>
      <c r="O26" s="2305">
        <f>SUM('[4]0055K:0688W'!O28)</f>
        <v>5</v>
      </c>
      <c r="P26" s="2305">
        <f>SUM('[4]0055K:0688W'!P28)</f>
        <v>4</v>
      </c>
      <c r="Q26" s="2305">
        <f>SUM('[4]0055K:0688W'!Q28)</f>
        <v>1</v>
      </c>
      <c r="R26" s="2305">
        <f>SUM('[4]0055K:0688W'!R28)</f>
        <v>5</v>
      </c>
      <c r="S26" s="2305">
        <f>SUM('[4]0055K:0688W'!S28)</f>
        <v>9</v>
      </c>
      <c r="T26" s="2305">
        <f>SUM('[4]0055K:0688W'!T28)</f>
        <v>1</v>
      </c>
      <c r="U26" s="2305">
        <f>SUM('[4]0055K:0688W'!U28)</f>
        <v>10</v>
      </c>
      <c r="V26" s="2306">
        <f>D26+G26+J26+M26+P26+S26</f>
        <v>39</v>
      </c>
      <c r="W26" s="2306">
        <f>E26+H26+K26+N26+Q26+T26</f>
        <v>13</v>
      </c>
      <c r="X26" s="2306">
        <f>F26+I26+L26+O26+R26+U26</f>
        <v>52</v>
      </c>
    </row>
    <row r="27" spans="1:24" s="1481" customFormat="1" ht="16.5" customHeight="1" thickTop="1">
      <c r="A27" s="4881" t="s">
        <v>1441</v>
      </c>
      <c r="B27" s="4882"/>
      <c r="C27" s="4883"/>
      <c r="D27" s="4871" t="s">
        <v>1442</v>
      </c>
      <c r="E27" s="4872"/>
      <c r="F27" s="4873"/>
      <c r="G27" s="4871" t="s">
        <v>1443</v>
      </c>
      <c r="H27" s="4872"/>
      <c r="I27" s="4873"/>
      <c r="J27" s="4874" t="s">
        <v>1444</v>
      </c>
      <c r="K27" s="4872"/>
      <c r="L27" s="4875"/>
      <c r="M27" s="4871" t="s">
        <v>1445</v>
      </c>
      <c r="N27" s="4872"/>
      <c r="O27" s="4873"/>
      <c r="P27" s="4874" t="s">
        <v>1446</v>
      </c>
      <c r="Q27" s="4872"/>
      <c r="R27" s="4875"/>
      <c r="S27" s="4871" t="s">
        <v>1447</v>
      </c>
      <c r="T27" s="4872"/>
      <c r="U27" s="4873"/>
      <c r="V27" s="4874" t="s">
        <v>1232</v>
      </c>
      <c r="W27" s="4872"/>
      <c r="X27" s="4876"/>
    </row>
    <row r="28" spans="1:24" s="1481" customFormat="1" ht="16.5" customHeight="1" thickBot="1">
      <c r="A28" s="4884"/>
      <c r="B28" s="4885"/>
      <c r="C28" s="4886"/>
      <c r="D28" s="2187" t="s">
        <v>406</v>
      </c>
      <c r="E28" s="2188" t="s">
        <v>407</v>
      </c>
      <c r="F28" s="2189" t="s">
        <v>495</v>
      </c>
      <c r="G28" s="2187" t="s">
        <v>406</v>
      </c>
      <c r="H28" s="2188" t="s">
        <v>407</v>
      </c>
      <c r="I28" s="2189" t="s">
        <v>495</v>
      </c>
      <c r="J28" s="2190" t="s">
        <v>406</v>
      </c>
      <c r="K28" s="2188" t="s">
        <v>407</v>
      </c>
      <c r="L28" s="2191" t="s">
        <v>495</v>
      </c>
      <c r="M28" s="2187" t="s">
        <v>406</v>
      </c>
      <c r="N28" s="2188" t="s">
        <v>407</v>
      </c>
      <c r="O28" s="2189" t="s">
        <v>495</v>
      </c>
      <c r="P28" s="2190" t="s">
        <v>406</v>
      </c>
      <c r="Q28" s="2188" t="s">
        <v>407</v>
      </c>
      <c r="R28" s="2191" t="s">
        <v>495</v>
      </c>
      <c r="S28" s="2187" t="s">
        <v>406</v>
      </c>
      <c r="T28" s="2188" t="s">
        <v>407</v>
      </c>
      <c r="U28" s="2189" t="s">
        <v>495</v>
      </c>
      <c r="V28" s="2190" t="s">
        <v>406</v>
      </c>
      <c r="W28" s="2188" t="s">
        <v>407</v>
      </c>
      <c r="X28" s="2192" t="s">
        <v>495</v>
      </c>
    </row>
    <row r="29" spans="1:24" s="1466" customFormat="1" ht="21.75" customHeight="1">
      <c r="A29" s="4877" t="s">
        <v>1448</v>
      </c>
      <c r="B29" s="4878"/>
      <c r="C29" s="4879"/>
      <c r="D29" s="1482">
        <f>Estadisticas!AA50</f>
        <v>228</v>
      </c>
      <c r="E29" s="1483">
        <f>Estadisticas!AB50</f>
        <v>225</v>
      </c>
      <c r="F29" s="1484">
        <f t="shared" ref="F29:F35" si="1">D29+E29</f>
        <v>453</v>
      </c>
      <c r="G29" s="1482">
        <f>Estadisticas!AC50</f>
        <v>255</v>
      </c>
      <c r="H29" s="1483">
        <f>Estadisticas!AD50</f>
        <v>207</v>
      </c>
      <c r="I29" s="1484">
        <f t="shared" ref="I29:I35" si="2">G29+H29</f>
        <v>462</v>
      </c>
      <c r="J29" s="1482">
        <f>Estadisticas!AE50</f>
        <v>234</v>
      </c>
      <c r="K29" s="1483">
        <f>Estadisticas!AF50</f>
        <v>214</v>
      </c>
      <c r="L29" s="1484">
        <f t="shared" ref="L29:L35" si="3">J29+K29</f>
        <v>448</v>
      </c>
      <c r="M29" s="1482">
        <f>Estadisticas!AG50</f>
        <v>244</v>
      </c>
      <c r="N29" s="1483">
        <f>Estadisticas!AH50</f>
        <v>211</v>
      </c>
      <c r="O29" s="1484">
        <f t="shared" ref="O29:O35" si="4">M29+N29</f>
        <v>455</v>
      </c>
      <c r="P29" s="1482">
        <f>Estadisticas!AI50</f>
        <v>268</v>
      </c>
      <c r="Q29" s="1483">
        <f>Estadisticas!AJ50</f>
        <v>238</v>
      </c>
      <c r="R29" s="1484">
        <f t="shared" ref="R29:R35" si="5">P29+Q29</f>
        <v>506</v>
      </c>
      <c r="S29" s="1482">
        <f>Estadisticas!AK50</f>
        <v>296</v>
      </c>
      <c r="T29" s="1483">
        <f>Estadisticas!AL50</f>
        <v>254</v>
      </c>
      <c r="U29" s="1484">
        <f t="shared" ref="U29:U35" si="6">S29+T29</f>
        <v>550</v>
      </c>
      <c r="V29" s="1485">
        <f t="shared" ref="V29:W35" si="7">D29+G29+J29+M29+P29+S29</f>
        <v>1525</v>
      </c>
      <c r="W29" s="1483">
        <f t="shared" si="7"/>
        <v>1349</v>
      </c>
      <c r="X29" s="1486">
        <f t="shared" ref="X29:X35" si="8">V29+W29</f>
        <v>2874</v>
      </c>
    </row>
    <row r="30" spans="1:24" s="1466" customFormat="1" ht="21.75" customHeight="1">
      <c r="A30" s="4861" t="s">
        <v>1449</v>
      </c>
      <c r="B30" s="4862"/>
      <c r="C30" s="4863"/>
      <c r="D30" s="1482">
        <f>Estadisticas!AM50</f>
        <v>20</v>
      </c>
      <c r="E30" s="1483">
        <f>Estadisticas!AN50</f>
        <v>19</v>
      </c>
      <c r="F30" s="1484">
        <f t="shared" si="1"/>
        <v>39</v>
      </c>
      <c r="G30" s="1482">
        <f>Estadisticas!AO50</f>
        <v>16</v>
      </c>
      <c r="H30" s="1483">
        <f>Estadisticas!AP50</f>
        <v>16</v>
      </c>
      <c r="I30" s="1484">
        <f>G30+H30</f>
        <v>32</v>
      </c>
      <c r="J30" s="1482">
        <f>Estadisticas!AQ50</f>
        <v>20</v>
      </c>
      <c r="K30" s="1483">
        <f>Estadisticas!AR50</f>
        <v>16</v>
      </c>
      <c r="L30" s="1484">
        <f t="shared" si="3"/>
        <v>36</v>
      </c>
      <c r="M30" s="1482">
        <f>Estadisticas!AS50</f>
        <v>15</v>
      </c>
      <c r="N30" s="1483">
        <f>Estadisticas!AT50</f>
        <v>14</v>
      </c>
      <c r="O30" s="1484">
        <f t="shared" si="4"/>
        <v>29</v>
      </c>
      <c r="P30" s="1482">
        <f>Estadisticas!AU50</f>
        <v>13</v>
      </c>
      <c r="Q30" s="1483">
        <f>Estadisticas!AV50</f>
        <v>12</v>
      </c>
      <c r="R30" s="1484">
        <f t="shared" si="5"/>
        <v>25</v>
      </c>
      <c r="S30" s="1482">
        <f>Estadisticas!AW50</f>
        <v>7</v>
      </c>
      <c r="T30" s="1483">
        <f>Estadisticas!AX50</f>
        <v>13</v>
      </c>
      <c r="U30" s="1484">
        <f t="shared" si="6"/>
        <v>20</v>
      </c>
      <c r="V30" s="1485">
        <f t="shared" si="7"/>
        <v>91</v>
      </c>
      <c r="W30" s="1483">
        <f t="shared" si="7"/>
        <v>90</v>
      </c>
      <c r="X30" s="1486">
        <f t="shared" si="8"/>
        <v>181</v>
      </c>
    </row>
    <row r="31" spans="1:24" s="1466" customFormat="1" ht="21.75" customHeight="1">
      <c r="A31" s="4861" t="s">
        <v>1450</v>
      </c>
      <c r="B31" s="4862"/>
      <c r="C31" s="4863"/>
      <c r="D31" s="1482">
        <f>D29+D30</f>
        <v>248</v>
      </c>
      <c r="E31" s="1483">
        <f>E29+E30</f>
        <v>244</v>
      </c>
      <c r="F31" s="1484">
        <f t="shared" si="1"/>
        <v>492</v>
      </c>
      <c r="G31" s="1482">
        <f>G29+G30</f>
        <v>271</v>
      </c>
      <c r="H31" s="1483">
        <f>H29+H30</f>
        <v>223</v>
      </c>
      <c r="I31" s="1484">
        <f t="shared" si="2"/>
        <v>494</v>
      </c>
      <c r="J31" s="1482">
        <f>J29+J30</f>
        <v>254</v>
      </c>
      <c r="K31" s="1483">
        <f>K29+K30</f>
        <v>230</v>
      </c>
      <c r="L31" s="1484">
        <f t="shared" si="3"/>
        <v>484</v>
      </c>
      <c r="M31" s="1482">
        <f>M29+M30</f>
        <v>259</v>
      </c>
      <c r="N31" s="1483">
        <f>N29+N30</f>
        <v>225</v>
      </c>
      <c r="O31" s="1484">
        <f t="shared" si="4"/>
        <v>484</v>
      </c>
      <c r="P31" s="1482">
        <f>P29+P30</f>
        <v>281</v>
      </c>
      <c r="Q31" s="1483">
        <f>Q29+Q30</f>
        <v>250</v>
      </c>
      <c r="R31" s="1484">
        <f t="shared" si="5"/>
        <v>531</v>
      </c>
      <c r="S31" s="1482">
        <f>S29+S30</f>
        <v>303</v>
      </c>
      <c r="T31" s="1483">
        <f>T29+T30</f>
        <v>267</v>
      </c>
      <c r="U31" s="1484">
        <f t="shared" si="6"/>
        <v>570</v>
      </c>
      <c r="V31" s="1485">
        <f t="shared" si="7"/>
        <v>1616</v>
      </c>
      <c r="W31" s="1483">
        <f t="shared" si="7"/>
        <v>1439</v>
      </c>
      <c r="X31" s="1486">
        <f>V31+W31</f>
        <v>3055</v>
      </c>
    </row>
    <row r="32" spans="1:24" s="1466" customFormat="1" ht="21.75" customHeight="1">
      <c r="A32" s="4861" t="s">
        <v>1451</v>
      </c>
      <c r="B32" s="4862"/>
      <c r="C32" s="4863"/>
      <c r="D32" s="1482">
        <f>Estadisticas!AY50</f>
        <v>21</v>
      </c>
      <c r="E32" s="1483">
        <f>Estadisticas!AZ50</f>
        <v>25</v>
      </c>
      <c r="F32" s="1484">
        <f t="shared" si="1"/>
        <v>46</v>
      </c>
      <c r="G32" s="1482">
        <f>Estadisticas!BA50</f>
        <v>34</v>
      </c>
      <c r="H32" s="1483">
        <f>Estadisticas!BB50</f>
        <v>28</v>
      </c>
      <c r="I32" s="1484">
        <f t="shared" si="2"/>
        <v>62</v>
      </c>
      <c r="J32" s="1482">
        <f>Estadisticas!BC50</f>
        <v>38</v>
      </c>
      <c r="K32" s="1483">
        <f>Estadisticas!BD50</f>
        <v>28</v>
      </c>
      <c r="L32" s="1484">
        <f t="shared" si="3"/>
        <v>66</v>
      </c>
      <c r="M32" s="1482">
        <f>Estadisticas!BE50</f>
        <v>23</v>
      </c>
      <c r="N32" s="1483">
        <f>Estadisticas!BF50</f>
        <v>14</v>
      </c>
      <c r="O32" s="1484">
        <f t="shared" si="4"/>
        <v>37</v>
      </c>
      <c r="P32" s="1482">
        <f>Estadisticas!BG50</f>
        <v>30</v>
      </c>
      <c r="Q32" s="1483">
        <f>Estadisticas!BH50</f>
        <v>24</v>
      </c>
      <c r="R32" s="1484">
        <f t="shared" si="5"/>
        <v>54</v>
      </c>
      <c r="S32" s="1482">
        <f>Estadisticas!BI50</f>
        <v>31</v>
      </c>
      <c r="T32" s="1483">
        <f>Estadisticas!BJ50</f>
        <v>10</v>
      </c>
      <c r="U32" s="1484">
        <f t="shared" si="6"/>
        <v>41</v>
      </c>
      <c r="V32" s="1485">
        <f t="shared" si="7"/>
        <v>177</v>
      </c>
      <c r="W32" s="1483">
        <f t="shared" si="7"/>
        <v>129</v>
      </c>
      <c r="X32" s="1486">
        <f t="shared" si="8"/>
        <v>306</v>
      </c>
    </row>
    <row r="33" spans="1:24" s="1466" customFormat="1" ht="21.75" customHeight="1">
      <c r="A33" s="4861" t="s">
        <v>848</v>
      </c>
      <c r="B33" s="4862"/>
      <c r="C33" s="4863"/>
      <c r="D33" s="1482">
        <f>D31-D32</f>
        <v>227</v>
      </c>
      <c r="E33" s="1483">
        <f>E31-E32</f>
        <v>219</v>
      </c>
      <c r="F33" s="1484">
        <f t="shared" si="1"/>
        <v>446</v>
      </c>
      <c r="G33" s="1482">
        <f>G31-G32</f>
        <v>237</v>
      </c>
      <c r="H33" s="1483">
        <f>H31-H32</f>
        <v>195</v>
      </c>
      <c r="I33" s="1484">
        <f t="shared" si="2"/>
        <v>432</v>
      </c>
      <c r="J33" s="1482">
        <f>J31-J32</f>
        <v>216</v>
      </c>
      <c r="K33" s="1483">
        <f>K31-K32</f>
        <v>202</v>
      </c>
      <c r="L33" s="1484">
        <f t="shared" si="3"/>
        <v>418</v>
      </c>
      <c r="M33" s="1482">
        <f>M31-M32</f>
        <v>236</v>
      </c>
      <c r="N33" s="1483">
        <f>N31-N32</f>
        <v>211</v>
      </c>
      <c r="O33" s="1484">
        <f t="shared" si="4"/>
        <v>447</v>
      </c>
      <c r="P33" s="1482">
        <f>P31-P32</f>
        <v>251</v>
      </c>
      <c r="Q33" s="1483">
        <f>Q31-Q32</f>
        <v>226</v>
      </c>
      <c r="R33" s="1484">
        <f>P33+Q33</f>
        <v>477</v>
      </c>
      <c r="S33" s="1482">
        <f>S31-S32</f>
        <v>272</v>
      </c>
      <c r="T33" s="1483">
        <f>T31-T32</f>
        <v>257</v>
      </c>
      <c r="U33" s="1484">
        <f t="shared" si="6"/>
        <v>529</v>
      </c>
      <c r="V33" s="1485">
        <f>D33+G33+J33+M33+P33+S33</f>
        <v>1439</v>
      </c>
      <c r="W33" s="1483">
        <f t="shared" si="7"/>
        <v>1310</v>
      </c>
      <c r="X33" s="1486">
        <f t="shared" si="8"/>
        <v>2749</v>
      </c>
    </row>
    <row r="34" spans="1:24" s="1466" customFormat="1" ht="21.75" customHeight="1">
      <c r="A34" s="4861" t="s">
        <v>1452</v>
      </c>
      <c r="B34" s="4862"/>
      <c r="C34" s="4863"/>
      <c r="D34" s="2297">
        <f>D33-D35</f>
        <v>227</v>
      </c>
      <c r="E34" s="2298">
        <f>E33-E35</f>
        <v>219</v>
      </c>
      <c r="F34" s="2299">
        <f t="shared" si="1"/>
        <v>446</v>
      </c>
      <c r="G34" s="2297">
        <f>G33-G35</f>
        <v>237</v>
      </c>
      <c r="H34" s="2298">
        <f>H33-H35</f>
        <v>195</v>
      </c>
      <c r="I34" s="2299">
        <f t="shared" si="2"/>
        <v>432</v>
      </c>
      <c r="J34" s="2297">
        <f>J33-J35</f>
        <v>216</v>
      </c>
      <c r="K34" s="2298">
        <f>K33-K35</f>
        <v>202</v>
      </c>
      <c r="L34" s="2299">
        <f t="shared" si="3"/>
        <v>418</v>
      </c>
      <c r="M34" s="2297">
        <f>M33-M35</f>
        <v>236</v>
      </c>
      <c r="N34" s="2298">
        <f>N33-N35</f>
        <v>211</v>
      </c>
      <c r="O34" s="2299">
        <f t="shared" si="4"/>
        <v>447</v>
      </c>
      <c r="P34" s="2297">
        <f>P33-P35</f>
        <v>251</v>
      </c>
      <c r="Q34" s="2298">
        <f>Q33-Q35</f>
        <v>226</v>
      </c>
      <c r="R34" s="2299">
        <f>P34+Q34</f>
        <v>477</v>
      </c>
      <c r="S34" s="2297">
        <f>S33-S35</f>
        <v>272</v>
      </c>
      <c r="T34" s="2298">
        <f>T33-T35</f>
        <v>257</v>
      </c>
      <c r="U34" s="2299">
        <f t="shared" si="6"/>
        <v>529</v>
      </c>
      <c r="V34" s="2300">
        <f t="shared" si="7"/>
        <v>1439</v>
      </c>
      <c r="W34" s="2298">
        <f t="shared" si="7"/>
        <v>1310</v>
      </c>
      <c r="X34" s="2301">
        <f t="shared" si="8"/>
        <v>2749</v>
      </c>
    </row>
    <row r="35" spans="1:24" s="1466" customFormat="1" ht="21.75" customHeight="1">
      <c r="A35" s="4861" t="s">
        <v>1142</v>
      </c>
      <c r="B35" s="4862"/>
      <c r="C35" s="4863"/>
      <c r="D35" s="1482">
        <f>Estadisticas!BK50</f>
        <v>0</v>
      </c>
      <c r="E35" s="1483">
        <f>Estadisticas!BL50</f>
        <v>0</v>
      </c>
      <c r="F35" s="1484">
        <f t="shared" si="1"/>
        <v>0</v>
      </c>
      <c r="G35" s="1482">
        <f>Estadisticas!BM50</f>
        <v>0</v>
      </c>
      <c r="H35" s="1483">
        <f>Estadisticas!BN50</f>
        <v>0</v>
      </c>
      <c r="I35" s="1484">
        <f t="shared" si="2"/>
        <v>0</v>
      </c>
      <c r="J35" s="1482">
        <f>Estadisticas!BO50</f>
        <v>0</v>
      </c>
      <c r="K35" s="1483">
        <f>Estadisticas!BP50</f>
        <v>0</v>
      </c>
      <c r="L35" s="1484">
        <f t="shared" si="3"/>
        <v>0</v>
      </c>
      <c r="M35" s="1482">
        <f>Estadisticas!BQ50</f>
        <v>0</v>
      </c>
      <c r="N35" s="1483">
        <f>Estadisticas!BR50</f>
        <v>0</v>
      </c>
      <c r="O35" s="1484">
        <f t="shared" si="4"/>
        <v>0</v>
      </c>
      <c r="P35" s="1482">
        <f>Estadisticas!BS50</f>
        <v>0</v>
      </c>
      <c r="Q35" s="1483">
        <f>Estadisticas!BT50</f>
        <v>0</v>
      </c>
      <c r="R35" s="1484">
        <f t="shared" si="5"/>
        <v>0</v>
      </c>
      <c r="S35" s="1482">
        <f>Estadisticas!BU50</f>
        <v>0</v>
      </c>
      <c r="T35" s="1483">
        <f>Estadisticas!BV50</f>
        <v>0</v>
      </c>
      <c r="U35" s="1484">
        <f t="shared" si="6"/>
        <v>0</v>
      </c>
      <c r="V35" s="1485">
        <f t="shared" si="7"/>
        <v>0</v>
      </c>
      <c r="W35" s="1483">
        <f t="shared" si="7"/>
        <v>0</v>
      </c>
      <c r="X35" s="1486">
        <f t="shared" si="8"/>
        <v>0</v>
      </c>
    </row>
    <row r="36" spans="1:24" s="1466" customFormat="1" ht="21.75" customHeight="1">
      <c r="A36" s="4861" t="s">
        <v>1453</v>
      </c>
      <c r="B36" s="4862"/>
      <c r="C36" s="4863"/>
      <c r="D36" s="4858">
        <f>Estadisticas!BO46</f>
        <v>15</v>
      </c>
      <c r="E36" s="4859"/>
      <c r="F36" s="4870"/>
      <c r="G36" s="4858">
        <f>Estadisticas!BP46</f>
        <v>14</v>
      </c>
      <c r="H36" s="4859"/>
      <c r="I36" s="4870"/>
      <c r="J36" s="4858">
        <f>Estadisticas!BQ46</f>
        <v>15</v>
      </c>
      <c r="K36" s="4859"/>
      <c r="L36" s="4870"/>
      <c r="M36" s="4858">
        <f>Estadisticas!BR46</f>
        <v>15</v>
      </c>
      <c r="N36" s="4859"/>
      <c r="O36" s="4870"/>
      <c r="P36" s="4858">
        <f>Estadisticas!BS46</f>
        <v>17</v>
      </c>
      <c r="Q36" s="4859"/>
      <c r="R36" s="4870"/>
      <c r="S36" s="4858">
        <f>Estadisticas!BT46</f>
        <v>18</v>
      </c>
      <c r="T36" s="4859"/>
      <c r="U36" s="4870"/>
      <c r="V36" s="4858">
        <f>D36+G36+J36+M36+P36+S36</f>
        <v>94</v>
      </c>
      <c r="W36" s="4859"/>
      <c r="X36" s="4860"/>
    </row>
    <row r="37" spans="1:24" s="1466" customFormat="1" ht="21.75" customHeight="1">
      <c r="A37" s="4861" t="s">
        <v>1454</v>
      </c>
      <c r="B37" s="4862"/>
      <c r="C37" s="4863"/>
      <c r="D37" s="1482">
        <f>Estadisticas!BW50</f>
        <v>3</v>
      </c>
      <c r="E37" s="1483">
        <f>Estadisticas!BX50</f>
        <v>12</v>
      </c>
      <c r="F37" s="1484">
        <f>D37+E37</f>
        <v>15</v>
      </c>
      <c r="G37" s="1482">
        <f>Estadisticas!BY50</f>
        <v>0</v>
      </c>
      <c r="H37" s="1483">
        <f>Estadisticas!BZ50</f>
        <v>14</v>
      </c>
      <c r="I37" s="1484">
        <f>G37+H37</f>
        <v>14</v>
      </c>
      <c r="J37" s="1482">
        <f>Estadisticas!CA50</f>
        <v>4</v>
      </c>
      <c r="K37" s="1483">
        <f>Estadisticas!CB50</f>
        <v>11</v>
      </c>
      <c r="L37" s="1484">
        <f>J37+K37</f>
        <v>15</v>
      </c>
      <c r="M37" s="1482">
        <f>Estadisticas!CC50</f>
        <v>4</v>
      </c>
      <c r="N37" s="1483">
        <f>Estadisticas!CD50</f>
        <v>11</v>
      </c>
      <c r="O37" s="1484">
        <f>M37+N37</f>
        <v>15</v>
      </c>
      <c r="P37" s="1482">
        <f>Estadisticas!CE50</f>
        <v>11</v>
      </c>
      <c r="Q37" s="1483">
        <f>Estadisticas!CF50</f>
        <v>6</v>
      </c>
      <c r="R37" s="1484">
        <f>P37+Q37</f>
        <v>17</v>
      </c>
      <c r="S37" s="1482">
        <f>Estadisticas!CG50</f>
        <v>13</v>
      </c>
      <c r="T37" s="1483">
        <f>Estadisticas!CH50</f>
        <v>4</v>
      </c>
      <c r="U37" s="1484">
        <f>S37+T37</f>
        <v>17</v>
      </c>
      <c r="V37" s="1485">
        <f>D37+G37+J37+M37+P37+S37</f>
        <v>35</v>
      </c>
      <c r="W37" s="1483">
        <f>E37+H37+K37+N37+Q37+T37</f>
        <v>58</v>
      </c>
      <c r="X37" s="1486">
        <f>V37+W37</f>
        <v>93</v>
      </c>
    </row>
    <row r="38" spans="1:24" s="1466" customFormat="1" ht="21.75" customHeight="1" thickBot="1">
      <c r="A38" s="4864" t="s">
        <v>1455</v>
      </c>
      <c r="B38" s="4865"/>
      <c r="C38" s="4866"/>
      <c r="D38" s="2193">
        <f>S9+D35</f>
        <v>116</v>
      </c>
      <c r="E38" s="2194">
        <f>U9+E35</f>
        <v>96</v>
      </c>
      <c r="F38" s="2195">
        <f>D38+E38</f>
        <v>212</v>
      </c>
      <c r="G38" s="2193">
        <f>D34+G35</f>
        <v>227</v>
      </c>
      <c r="H38" s="2194">
        <f>E34+H35</f>
        <v>219</v>
      </c>
      <c r="I38" s="2195">
        <f>G38+H38</f>
        <v>446</v>
      </c>
      <c r="J38" s="2193">
        <f>G34+J35</f>
        <v>237</v>
      </c>
      <c r="K38" s="2194">
        <f>H34+K35</f>
        <v>195</v>
      </c>
      <c r="L38" s="2195">
        <f>J38+K38</f>
        <v>432</v>
      </c>
      <c r="M38" s="2193">
        <f>J34+M35</f>
        <v>216</v>
      </c>
      <c r="N38" s="2194">
        <f>K34+N35</f>
        <v>202</v>
      </c>
      <c r="O38" s="2195">
        <f>M38+N38</f>
        <v>418</v>
      </c>
      <c r="P38" s="2193">
        <f>M34+P35</f>
        <v>236</v>
      </c>
      <c r="Q38" s="2194">
        <f>N34+Q35</f>
        <v>211</v>
      </c>
      <c r="R38" s="2195">
        <f>P38+Q38</f>
        <v>447</v>
      </c>
      <c r="S38" s="2193">
        <f>P34+S35</f>
        <v>251</v>
      </c>
      <c r="T38" s="2194">
        <f>Q34+T35</f>
        <v>226</v>
      </c>
      <c r="U38" s="2195">
        <f>S38+T38</f>
        <v>477</v>
      </c>
      <c r="V38" s="2196">
        <f>D38+G38+J38+M38+P38+S38</f>
        <v>1283</v>
      </c>
      <c r="W38" s="2194">
        <f>E38+H38+K38+N38+Q38+T38</f>
        <v>1149</v>
      </c>
      <c r="X38" s="2197">
        <f>V38+W38</f>
        <v>2432</v>
      </c>
    </row>
    <row r="39" spans="1:24" ht="20.25" customHeight="1" thickTop="1">
      <c r="A39" s="1422"/>
      <c r="B39" s="1422"/>
      <c r="C39" s="1422"/>
      <c r="D39" s="1668">
        <f>SUM('[4]0055K'!$D$38:$F$38+'[4]0593I'!$D$38:$F$38+'[4]0564N'!$D$38:$F$38+'[4]0570Y'!$D$38:$F$38+'[4]0572W'!$D$38:$F$38+'[4]0581D'!$D$38:$F$38+'[4]0491L'!$D$38:$F$38+'[4]0492K'!$D$38:$F$38+'[4]0640C'!$D$38:$F$38)</f>
        <v>14</v>
      </c>
      <c r="E39" s="662"/>
      <c r="F39" s="1668"/>
      <c r="G39" s="1668">
        <f>SUM('[4]0055K'!$G$38:$I$38+'[4]0593I'!$G$38:$I$38+'[4]0564N'!$G$38:$I$38+'[4]0570Y'!$G$38:$I$38+'[4]0572W'!$G$38:$I$38+'[4]0581D'!$G$38:$I$38+'[4]0491L'!$G$38:$I$38+'[4]0492K'!$G$38:$I$38+'[4]0640C'!$G$38:$I$38+'[4]0681C'!$G$38:$I$38)</f>
        <v>15</v>
      </c>
      <c r="H39" s="662"/>
      <c r="I39" s="1668"/>
      <c r="J39" s="1668">
        <f>SUM('[4]0055K'!$J$38:$L$38+'[4]0593I'!$J$38:$L$38+'[4]0564N'!$J$38:$L$38+'[4]0570Y'!$J$38:$L$38+'[4]0572W'!$J$38:$L$38+'[4]0581D'!$J$38:$L$38+'[4]0491L'!$J$38:$L$38+'[4]0492K'!$J$38:$L$38+'[4]0640C'!$J$38:$L$38+'[4]0681C'!$J$38:$L$38)</f>
        <v>17</v>
      </c>
      <c r="K39" s="662"/>
      <c r="L39" s="1668"/>
      <c r="M39" s="1668">
        <f>SUM('[4]0055K'!$M$38:$O$38+'[4]0593I'!$M$38:$O$38+'[4]0564N'!$M$38:$O$38+'[4]0570Y'!$M$38:$O$38+'[4]0572W'!$M$38:$O$38+'[4]0581D'!$M$38:$O$38+'[4]0491L'!$M$38:$O$38+'[4]0492K'!$M$38:$O$38+'[4]0640C'!$M$38:$O$38+'[4]0681C'!$M$38:$O$38)</f>
        <v>17</v>
      </c>
      <c r="N39" s="662"/>
      <c r="O39" s="1668"/>
      <c r="P39" s="1668">
        <f>SUM('[4]0055K'!$P$38:$R$38+'[4]0593I'!$P$38:$R$38+'[4]0564N'!$P$38:$R$38+'[4]0570Y'!$P$38:$R$38+'[4]0572W'!$P$38:$R$38+'[4]0581D'!$P$38:$R$38+'[4]0491L'!$P$38:$R$38+'[4]0492K'!$P$38:$R$38+'[4]0640C'!$P$38:$R$38+'[4]0681C'!$P$38:$R$38)</f>
        <v>19</v>
      </c>
      <c r="Q39" s="662"/>
      <c r="R39" s="1668"/>
      <c r="S39" s="1668">
        <f>SUM('[4]0055K'!$S$38:$U$38+'[4]0593I'!$S$38:$U$38+'[4]0564N'!$S$38:$U$38+'[4]0570Y'!$S$38:$U$38+'[4]0572W'!$S$38:$U$38+'[4]0581D'!$S$38:$U$38+'[4]0491L'!$S$38:$U$38+'[4]0492K'!$S$38:$U$38+'[4]0640C'!$S$38:$U$38+'[4]0681C'!$S$38:$U$38)</f>
        <v>15</v>
      </c>
      <c r="T39" s="1441"/>
      <c r="U39" s="1422"/>
      <c r="V39" s="1422"/>
      <c r="W39" s="1422"/>
      <c r="X39" s="1422"/>
    </row>
    <row r="40" spans="1:24" ht="14.25" customHeight="1">
      <c r="A40" s="1422"/>
      <c r="B40" s="1422"/>
      <c r="C40" s="1422"/>
      <c r="D40" s="1668">
        <f>SUM('[4]0681C'!$D$38:$F$38+'[4]0688W'!$D$38:$F$38+[4]ESC_O_12!$D$38:$F$38+[4]ESC_O_13!$D$38:$F$38+[4]ESC_O_14!$D$38:$F$38+[4]ESC_O_15!$D$38:$F$38+[4]ESC_O_16!$D$38:$F$38+[4]ESC_O_17!$D$38:$F$38+[4]ESC_O_18!$D$38:$F$38)</f>
        <v>1</v>
      </c>
      <c r="E40" s="1668"/>
      <c r="F40" s="1668"/>
      <c r="G40" s="1668">
        <f>SUM('[4]0688W'!$G$38:$I$38+[4]ESC_O_12!$G$38:$I$38+[4]ESC_O_13!$G$38:$I$38+[4]ESC_O_14!$G$38:$I$38+[4]ESC_O_15!$G$38:$I$38+[4]ESC_O_16!$G$38:$I$38+[4]ESC_O_17!$G$38:$I$38+[4]ESC_O_18!$G$38:$I$38)</f>
        <v>0</v>
      </c>
      <c r="H40" s="1668"/>
      <c r="I40" s="1668"/>
      <c r="J40" s="1668">
        <f>SUM('[4]0688W'!$J$38:$L$38+[4]ESC_O_12!$J$38:$L$38+[4]ESC_O_13!$J$38:$L$38+[4]ESC_O_14!$J$38:$L$38+[4]ESC_O_15!$J$38:$L$38+[4]ESC_O_16!$J$38:$L$38+[4]ESC_O_17!$J$38:$L$38+[4]ESC_O_18!$J$38:$L$38)</f>
        <v>1</v>
      </c>
      <c r="K40" s="1668"/>
      <c r="L40" s="1668"/>
      <c r="M40" s="1668">
        <f>SUM('[4]0688W'!$M$38:$O$38+[4]ESC_O_12!$M$38:$O$38+[4]ESC_O_13!$M$38:$O$38+[4]ESC_O_14!$M$38:$O$38+[4]ESC_O_15!$M$38:$O$38+[4]ESC_O_16!$M$38:$O$38+[4]ESC_O_17!$M$38:$O$38+[4]ESC_O_18!$M$38:$O$38)</f>
        <v>2</v>
      </c>
      <c r="N40" s="1668"/>
      <c r="O40" s="1668"/>
      <c r="P40" s="1668">
        <f>SUM('[4]0688W'!$P$38:$R$38+[4]ESC_O_12!$P$38:$R$38+[4]ESC_O_13!$P$38:$R$38+[4]ESC_O_14!$P$38:$R$38+[4]ESC_O_15!$P$38:$R$38+[4]ESC_O_16!$P$38:$R$38+[4]ESC_O_17!$P$38:$R$38+[4]ESC_O_18!$P$38:$R$38)</f>
        <v>1</v>
      </c>
      <c r="Q40" s="1668"/>
      <c r="R40" s="1668"/>
      <c r="S40" s="1668">
        <f>SUM('[4]0688W'!$S$38:$U$38+[4]ESC_O_12!$S$38:$U$38+[4]ESC_O_13!$S$38:$U$38+[4]ESC_O_14!$S$38:$U$38+[4]ESC_O_15!$S$38:$U$38+[4]ESC_O_16!$S$38:$U$38+[4]ESC_O_17!$S$38:$U$38+[4]ESC_O_18!$S$38:$U$38)</f>
        <v>1</v>
      </c>
      <c r="T40" s="1422"/>
      <c r="U40" s="1422"/>
      <c r="V40" s="1422"/>
      <c r="W40" s="1422"/>
      <c r="X40" s="1422"/>
    </row>
    <row r="41" spans="1:24" ht="18.75" customHeight="1">
      <c r="A41" s="1422"/>
      <c r="B41" s="1422"/>
      <c r="C41" s="1422"/>
      <c r="D41" s="1422"/>
      <c r="E41" s="1422"/>
      <c r="F41" s="1422"/>
      <c r="G41" s="1422"/>
      <c r="H41" s="1422"/>
      <c r="I41" s="1447"/>
      <c r="J41" s="1447"/>
      <c r="K41" s="1447"/>
      <c r="L41" s="1447"/>
      <c r="M41" s="1447"/>
      <c r="N41" s="1447"/>
      <c r="O41" s="1422"/>
      <c r="P41" s="1422"/>
      <c r="Q41" s="1422"/>
      <c r="R41" s="1422"/>
      <c r="S41" s="1422"/>
      <c r="T41" s="1422"/>
      <c r="U41" s="1422"/>
      <c r="V41" s="2203" t="s">
        <v>1456</v>
      </c>
      <c r="W41" s="2203" t="s">
        <v>1145</v>
      </c>
      <c r="X41" s="2203" t="s">
        <v>1146</v>
      </c>
    </row>
    <row r="42" spans="1:24" s="1440" customFormat="1" ht="18.75" customHeight="1">
      <c r="A42" s="2262"/>
      <c r="B42" s="2262" t="s">
        <v>241</v>
      </c>
      <c r="C42" s="2262"/>
      <c r="D42" s="2179" t="s">
        <v>1718</v>
      </c>
      <c r="E42" s="2201"/>
      <c r="F42" s="2179"/>
      <c r="G42" s="4867" t="s">
        <v>26</v>
      </c>
      <c r="H42" s="4867"/>
      <c r="I42" s="4867"/>
      <c r="J42" s="4867"/>
      <c r="K42" s="4867"/>
      <c r="L42" s="4867"/>
      <c r="M42" s="4867"/>
      <c r="N42" s="2254"/>
      <c r="O42" s="2201" t="s">
        <v>1741</v>
      </c>
      <c r="P42" s="4868"/>
      <c r="Q42" s="4868"/>
      <c r="R42" s="4868"/>
      <c r="S42" s="4868"/>
      <c r="T42" s="4869" t="s">
        <v>109</v>
      </c>
      <c r="U42" s="4869"/>
      <c r="V42" s="2209" t="str">
        <f>Estadisticas!V44</f>
        <v>27</v>
      </c>
      <c r="W42" s="2601">
        <f>Estadisticas!W44</f>
        <v>3</v>
      </c>
      <c r="X42" s="2209" t="str">
        <f>Estadisticas!X44</f>
        <v>2014</v>
      </c>
    </row>
  </sheetData>
  <mergeCells count="48">
    <mergeCell ref="G1:R1"/>
    <mergeCell ref="S1:U1"/>
    <mergeCell ref="V1:X1"/>
    <mergeCell ref="I2:P2"/>
    <mergeCell ref="Q2:U2"/>
    <mergeCell ref="V2:X2"/>
    <mergeCell ref="S16:V16"/>
    <mergeCell ref="G3:R3"/>
    <mergeCell ref="S3:U3"/>
    <mergeCell ref="V3:X3"/>
    <mergeCell ref="A4:C4"/>
    <mergeCell ref="D4:O4"/>
    <mergeCell ref="R4:X4"/>
    <mergeCell ref="K8:L8"/>
    <mergeCell ref="K12:L12"/>
    <mergeCell ref="S13:V13"/>
    <mergeCell ref="S14:V14"/>
    <mergeCell ref="S15:V15"/>
    <mergeCell ref="A30:C30"/>
    <mergeCell ref="K17:L17"/>
    <mergeCell ref="E24:F24"/>
    <mergeCell ref="A27:C28"/>
    <mergeCell ref="D27:F27"/>
    <mergeCell ref="G27:I27"/>
    <mergeCell ref="J27:L27"/>
    <mergeCell ref="M27:O27"/>
    <mergeCell ref="P27:R27"/>
    <mergeCell ref="S27:U27"/>
    <mergeCell ref="V27:X27"/>
    <mergeCell ref="A29:C29"/>
    <mergeCell ref="A31:C31"/>
    <mergeCell ref="A32:C32"/>
    <mergeCell ref="A33:C33"/>
    <mergeCell ref="A34:C34"/>
    <mergeCell ref="A35:C35"/>
    <mergeCell ref="V36:X36"/>
    <mergeCell ref="A37:C37"/>
    <mergeCell ref="A38:C38"/>
    <mergeCell ref="G42:M42"/>
    <mergeCell ref="P42:S42"/>
    <mergeCell ref="T42:U42"/>
    <mergeCell ref="D36:F36"/>
    <mergeCell ref="G36:I36"/>
    <mergeCell ref="J36:L36"/>
    <mergeCell ref="M36:O36"/>
    <mergeCell ref="P36:R36"/>
    <mergeCell ref="S36:U36"/>
    <mergeCell ref="A36:C36"/>
  </mergeCells>
  <conditionalFormatting sqref="G7:I24 S9:W9 D29:X29 D30:E30 W13:W24 D32:E32 D35:E37 P7:P24 Q13:Q24 Q7 Q9:Q11 G29:H30 J29:K30 M29:N30 P29:Q30 S29:T30 G35:H35 J35:K35 M35:N35 P35:Q35 S35:T35 G32:H32 J32:K32 M32:N32 P32:Q32 S32:T32 F36:X37">
    <cfRule type="cellIs" dxfId="717" priority="3" stopIfTrue="1" operator="equal">
      <formula>0</formula>
    </cfRule>
  </conditionalFormatting>
  <conditionalFormatting sqref="P33:Q33 F30:F33 D33:E33 I30:I33 G33:H33 L30:L33 J33:K33 O30:O33 M33:N33 R30:R33 U30:X33 D31:E31 G31:H31 J31:K31 M31:N31 P31:Q31 S31:T31 S33:T33">
    <cfRule type="cellIs" dxfId="716" priority="4" stopIfTrue="1" operator="equal">
      <formula>0</formula>
    </cfRule>
    <cfRule type="expression" dxfId="715" priority="5" stopIfTrue="1">
      <formula>$W$42=9</formula>
    </cfRule>
    <cfRule type="expression" dxfId="714" priority="6" stopIfTrue="1">
      <formula>$W$42=10</formula>
    </cfRule>
  </conditionalFormatting>
  <conditionalFormatting sqref="D38:X38 D34:E34 F34:F35 G34:H34 I34:I35 J34:K34 L34:L35 M34:N34 O34:O35 P34:Q34 R34:R35 U34:X35 S34:T34">
    <cfRule type="cellIs" dxfId="713" priority="7" stopIfTrue="1" operator="equal">
      <formula>0</formula>
    </cfRule>
    <cfRule type="expression" dxfId="712" priority="8" stopIfTrue="1">
      <formula>$W$42=6</formula>
    </cfRule>
    <cfRule type="expression" dxfId="711" priority="9" stopIfTrue="1">
      <formula>$W$42=7</formula>
    </cfRule>
  </conditionalFormatting>
  <conditionalFormatting sqref="G42:M42 R4 D4:O4 V1:V3">
    <cfRule type="cellIs" dxfId="710" priority="10" stopIfTrue="1" operator="equal">
      <formula>0</formula>
    </cfRule>
  </conditionalFormatting>
  <conditionalFormatting sqref="Q12 Q8">
    <cfRule type="cellIs" dxfId="709" priority="11" stopIfTrue="1" operator="equal">
      <formula>0</formula>
    </cfRule>
  </conditionalFormatting>
  <conditionalFormatting sqref="W42">
    <cfRule type="cellIs" dxfId="708" priority="12" stopIfTrue="1" operator="equal">
      <formula>0</formula>
    </cfRule>
  </conditionalFormatting>
  <conditionalFormatting sqref="V26:X26">
    <cfRule type="cellIs" dxfId="707" priority="2" operator="equal">
      <formula>0</formula>
    </cfRule>
  </conditionalFormatting>
  <conditionalFormatting sqref="D26:U26">
    <cfRule type="cellIs" dxfId="706" priority="1" operator="equal">
      <formula>0</formula>
    </cfRule>
  </conditionalFormatting>
  <printOptions horizontalCentered="1"/>
  <pageMargins left="0.11811023622047245" right="0.11811023622047245" top="0.39370078740157483" bottom="0.15748031496062992" header="0" footer="0"/>
  <pageSetup scale="75" orientation="landscape" r:id="rId1"/>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7030A0"/>
  </sheetPr>
  <dimension ref="A1:X42"/>
  <sheetViews>
    <sheetView view="pageBreakPreview" topLeftCell="A22" zoomScale="75" zoomScaleSheetLayoutView="75" workbookViewId="0">
      <selection activeCell="H37" sqref="H37"/>
    </sheetView>
  </sheetViews>
  <sheetFormatPr baseColWidth="10" defaultRowHeight="12.75"/>
  <cols>
    <col min="1" max="24" width="7.42578125" style="417" customWidth="1"/>
    <col min="25" max="35" width="7.28515625" style="417" customWidth="1"/>
    <col min="36" max="16384" width="11.42578125" style="417"/>
  </cols>
  <sheetData>
    <row r="1" spans="1:24" s="1441" customFormat="1" ht="20.100000000000001" customHeight="1">
      <c r="A1" s="1422"/>
      <c r="B1" s="1422"/>
      <c r="C1" s="1422"/>
      <c r="D1" s="1422"/>
      <c r="E1" s="1422"/>
      <c r="F1" s="1422"/>
      <c r="G1" s="4888" t="s">
        <v>261</v>
      </c>
      <c r="H1" s="4888"/>
      <c r="I1" s="4888"/>
      <c r="J1" s="4888"/>
      <c r="K1" s="4888"/>
      <c r="L1" s="4888"/>
      <c r="M1" s="4888"/>
      <c r="N1" s="4888"/>
      <c r="O1" s="4888"/>
      <c r="P1" s="4888"/>
      <c r="Q1" s="4888"/>
      <c r="R1" s="4888"/>
      <c r="S1" s="4889" t="s">
        <v>1149</v>
      </c>
      <c r="T1" s="4889"/>
      <c r="U1" s="4889"/>
      <c r="V1" s="5183" t="str">
        <f>'E GENERAL'!V1:X1</f>
        <v>2011-2012</v>
      </c>
      <c r="W1" s="5183"/>
      <c r="X1" s="5183"/>
    </row>
    <row r="2" spans="1:24" s="1441" customFormat="1" ht="20.100000000000001" customHeight="1">
      <c r="A2" s="1422"/>
      <c r="B2" s="1422"/>
      <c r="C2" s="1422"/>
      <c r="D2" s="1422"/>
      <c r="E2" s="1422"/>
      <c r="F2" s="1422"/>
      <c r="G2" s="2250"/>
      <c r="H2" s="2250"/>
      <c r="I2" s="4888" t="s">
        <v>1410</v>
      </c>
      <c r="J2" s="4888"/>
      <c r="K2" s="4888"/>
      <c r="L2" s="4888"/>
      <c r="M2" s="4888"/>
      <c r="N2" s="4888"/>
      <c r="O2" s="4888"/>
      <c r="P2" s="4888"/>
      <c r="Q2" s="4889" t="s">
        <v>1709</v>
      </c>
      <c r="R2" s="4889"/>
      <c r="S2" s="4889"/>
      <c r="T2" s="4889"/>
      <c r="U2" s="4889"/>
      <c r="V2" s="5183" t="str">
        <f>'E GENERAL'!V2:X2</f>
        <v>23FIZ0042</v>
      </c>
      <c r="W2" s="5183"/>
      <c r="X2" s="5183"/>
    </row>
    <row r="3" spans="1:24" s="1441" customFormat="1" ht="20.100000000000001" customHeight="1">
      <c r="A3" s="1422"/>
      <c r="B3" s="2167"/>
      <c r="C3" s="2167"/>
      <c r="D3" s="2167"/>
      <c r="E3" s="1422"/>
      <c r="F3" s="1422"/>
      <c r="G3" s="4888" t="s">
        <v>1411</v>
      </c>
      <c r="H3" s="4888"/>
      <c r="I3" s="4888"/>
      <c r="J3" s="4888"/>
      <c r="K3" s="4888"/>
      <c r="L3" s="4888"/>
      <c r="M3" s="4888"/>
      <c r="N3" s="4888"/>
      <c r="O3" s="4888"/>
      <c r="P3" s="4888"/>
      <c r="Q3" s="4888"/>
      <c r="R3" s="4888"/>
      <c r="S3" s="4889" t="s">
        <v>2518</v>
      </c>
      <c r="T3" s="4889"/>
      <c r="U3" s="4889"/>
      <c r="V3" s="4890" t="str">
        <f>'E GENERAL'!V3:X3</f>
        <v>9981 30 19 11</v>
      </c>
      <c r="W3" s="4890"/>
      <c r="X3" s="4890"/>
    </row>
    <row r="4" spans="1:24" s="1441" customFormat="1" ht="15" customHeight="1" thickBot="1">
      <c r="A4" s="4891" t="s">
        <v>1711</v>
      </c>
      <c r="B4" s="4891"/>
      <c r="C4" s="4891"/>
      <c r="D4" s="4892" t="s">
        <v>1742</v>
      </c>
      <c r="E4" s="4892"/>
      <c r="F4" s="4892"/>
      <c r="G4" s="4892"/>
      <c r="H4" s="4892"/>
      <c r="I4" s="4892"/>
      <c r="J4" s="4892"/>
      <c r="K4" s="4892"/>
      <c r="L4" s="4892"/>
      <c r="M4" s="4892"/>
      <c r="N4" s="4892"/>
      <c r="O4" s="4892"/>
      <c r="P4" s="1422"/>
      <c r="Q4" s="2252" t="s">
        <v>1412</v>
      </c>
      <c r="R4" s="4893" t="str">
        <f>'E GENERAL'!R4:X4</f>
        <v xml:space="preserve">martincancun69@hotmail.com </v>
      </c>
      <c r="S4" s="4893"/>
      <c r="T4" s="4893"/>
      <c r="U4" s="4893"/>
      <c r="V4" s="4893"/>
      <c r="W4" s="4893"/>
      <c r="X4" s="4893"/>
    </row>
    <row r="5" spans="1:24" s="1441" customFormat="1" ht="5.25" customHeight="1" thickTop="1">
      <c r="A5" s="2168"/>
      <c r="B5" s="2169"/>
      <c r="C5" s="2169"/>
      <c r="D5" s="2169"/>
      <c r="E5" s="2169"/>
      <c r="F5" s="2169"/>
      <c r="G5" s="2169"/>
      <c r="H5" s="2169"/>
      <c r="I5" s="2169"/>
      <c r="J5" s="2169"/>
      <c r="K5" s="2169"/>
      <c r="L5" s="2169"/>
      <c r="M5" s="2169"/>
      <c r="N5" s="2169"/>
      <c r="O5" s="2169"/>
      <c r="P5" s="2169"/>
      <c r="Q5" s="2169"/>
      <c r="R5" s="2169"/>
      <c r="S5" s="2169"/>
      <c r="T5" s="2169"/>
      <c r="U5" s="2169"/>
      <c r="V5" s="2169"/>
      <c r="W5" s="2169"/>
      <c r="X5" s="2170"/>
    </row>
    <row r="6" spans="1:24" s="1441" customFormat="1" ht="16.5" customHeight="1">
      <c r="A6" s="1602"/>
      <c r="B6" s="1447"/>
      <c r="C6" s="1447"/>
      <c r="D6" s="1447"/>
      <c r="E6" s="1447"/>
      <c r="F6" s="1447"/>
      <c r="G6" s="2171" t="s">
        <v>1712</v>
      </c>
      <c r="H6" s="2171" t="s">
        <v>1713</v>
      </c>
      <c r="I6" s="2172" t="s">
        <v>408</v>
      </c>
      <c r="J6" s="1447"/>
      <c r="K6" s="2262" t="s">
        <v>1714</v>
      </c>
      <c r="L6" s="1447"/>
      <c r="M6" s="1447"/>
      <c r="N6" s="1447"/>
      <c r="O6" s="2173"/>
      <c r="P6" s="2253"/>
      <c r="Q6" s="1423"/>
      <c r="R6" s="1447"/>
      <c r="S6" s="1447"/>
      <c r="T6" s="1447"/>
      <c r="U6" s="1447"/>
      <c r="V6" s="1447"/>
      <c r="W6" s="1447"/>
      <c r="X6" s="2174"/>
    </row>
    <row r="7" spans="1:24" s="1441" customFormat="1" ht="16.5" customHeight="1">
      <c r="A7" s="1602"/>
      <c r="B7" s="2262" t="s">
        <v>1715</v>
      </c>
      <c r="C7" s="1447"/>
      <c r="D7" s="1447"/>
      <c r="E7" s="1447" t="s">
        <v>269</v>
      </c>
      <c r="F7" s="1447"/>
      <c r="G7" s="2251"/>
      <c r="H7" s="2251">
        <f>Estadisticas!AI47</f>
        <v>5</v>
      </c>
      <c r="I7" s="2251">
        <f>G7+H7</f>
        <v>5</v>
      </c>
      <c r="J7" s="2253"/>
      <c r="K7" s="2253"/>
      <c r="L7" s="1447"/>
      <c r="M7" s="2176" t="s">
        <v>1716</v>
      </c>
      <c r="N7" s="2176"/>
      <c r="O7" s="2176"/>
      <c r="P7" s="2239"/>
      <c r="Q7" s="1423"/>
      <c r="R7" s="1447"/>
      <c r="S7" s="2262" t="s">
        <v>1717</v>
      </c>
      <c r="T7" s="1422"/>
      <c r="U7" s="1422"/>
      <c r="V7" s="1422"/>
      <c r="W7" s="1447"/>
      <c r="X7" s="2174"/>
    </row>
    <row r="8" spans="1:24" s="1441" customFormat="1" ht="16.5" customHeight="1">
      <c r="A8" s="1602"/>
      <c r="B8" s="1447"/>
      <c r="C8" s="2253"/>
      <c r="D8" s="2253"/>
      <c r="E8" s="2253"/>
      <c r="F8" s="2253"/>
      <c r="G8" s="2239"/>
      <c r="H8" s="2239"/>
      <c r="I8" s="2239"/>
      <c r="K8" s="4880" t="s">
        <v>1718</v>
      </c>
      <c r="L8" s="4880"/>
      <c r="M8" s="2176" t="s">
        <v>1719</v>
      </c>
      <c r="N8" s="2176"/>
      <c r="O8" s="2176"/>
      <c r="P8" s="2239"/>
      <c r="Q8" s="2251">
        <f>P7+P8+P9</f>
        <v>0</v>
      </c>
      <c r="R8" s="2253"/>
      <c r="S8" s="1423" t="s">
        <v>406</v>
      </c>
      <c r="T8" s="1422"/>
      <c r="U8" s="1423" t="s">
        <v>407</v>
      </c>
      <c r="V8" s="1422"/>
      <c r="W8" s="2254" t="s">
        <v>495</v>
      </c>
      <c r="X8" s="2174"/>
    </row>
    <row r="9" spans="1:24" s="1441" customFormat="1" ht="16.5" customHeight="1">
      <c r="A9" s="1602"/>
      <c r="B9" s="2262" t="s">
        <v>1720</v>
      </c>
      <c r="C9" s="1447"/>
      <c r="D9" s="1447"/>
      <c r="E9" s="1447" t="s">
        <v>1038</v>
      </c>
      <c r="F9" s="1447"/>
      <c r="G9" s="2251"/>
      <c r="H9" s="2251">
        <f>Estadisticas!AN47</f>
        <v>1</v>
      </c>
      <c r="I9" s="2251">
        <f>G9+H9</f>
        <v>1</v>
      </c>
      <c r="J9" s="1447"/>
      <c r="K9" s="1423"/>
      <c r="L9" s="1423"/>
      <c r="M9" s="2176" t="s">
        <v>1721</v>
      </c>
      <c r="N9" s="2176"/>
      <c r="O9" s="2176"/>
      <c r="P9" s="2239"/>
      <c r="Q9" s="2239"/>
      <c r="R9" s="2253"/>
      <c r="S9" s="2251">
        <f>Estadisticas!BI47</f>
        <v>47</v>
      </c>
      <c r="T9" s="2259"/>
      <c r="U9" s="2251">
        <f>Estadisticas!BJ47</f>
        <v>50</v>
      </c>
      <c r="V9" s="2259"/>
      <c r="W9" s="2251">
        <f>S9+U9</f>
        <v>97</v>
      </c>
      <c r="X9" s="2174"/>
    </row>
    <row r="10" spans="1:24" s="1441" customFormat="1" ht="16.5" customHeight="1">
      <c r="A10" s="1602"/>
      <c r="B10" s="1447"/>
      <c r="C10" s="2253"/>
      <c r="D10" s="2253"/>
      <c r="E10" s="2253" t="s">
        <v>1417</v>
      </c>
      <c r="F10" s="2253"/>
      <c r="G10" s="2251"/>
      <c r="H10" s="2251">
        <f>Estadisticas!AO47</f>
        <v>4</v>
      </c>
      <c r="I10" s="2251">
        <f>G10+H10</f>
        <v>4</v>
      </c>
      <c r="J10" s="1422"/>
      <c r="K10" s="1422"/>
      <c r="L10" s="1422"/>
      <c r="M10" s="1422"/>
      <c r="N10" s="1422"/>
      <c r="O10" s="1422"/>
      <c r="P10" s="1458"/>
      <c r="Q10" s="1458"/>
      <c r="R10" s="2253"/>
      <c r="S10" s="1422"/>
      <c r="T10" s="1422"/>
      <c r="U10" s="1422"/>
      <c r="V10" s="1422"/>
      <c r="W10" s="1423"/>
      <c r="X10" s="2177"/>
    </row>
    <row r="11" spans="1:24" s="1441" customFormat="1" ht="16.5" customHeight="1">
      <c r="A11" s="1602"/>
      <c r="B11" s="1447"/>
      <c r="C11" s="1447"/>
      <c r="D11" s="1447"/>
      <c r="E11" s="1447" t="s">
        <v>1418</v>
      </c>
      <c r="F11" s="1447"/>
      <c r="G11" s="2251"/>
      <c r="H11" s="2251">
        <f>Estadisticas!AP47</f>
        <v>0</v>
      </c>
      <c r="I11" s="2251">
        <f>G11+H11</f>
        <v>0</v>
      </c>
      <c r="J11" s="1422"/>
      <c r="K11" s="1447"/>
      <c r="L11" s="1447"/>
      <c r="M11" s="2178"/>
      <c r="N11" s="2178" t="s">
        <v>1722</v>
      </c>
      <c r="O11" s="1447"/>
      <c r="P11" s="2239"/>
      <c r="Q11" s="2239"/>
      <c r="R11" s="1423"/>
      <c r="S11" s="1422"/>
      <c r="T11" s="1422"/>
      <c r="U11" s="1422"/>
      <c r="V11" s="1422"/>
      <c r="W11" s="1423"/>
      <c r="X11" s="2174"/>
    </row>
    <row r="12" spans="1:24" s="1441" customFormat="1" ht="16.5" customHeight="1">
      <c r="A12" s="1602"/>
      <c r="B12" s="1447"/>
      <c r="C12" s="2253"/>
      <c r="D12" s="2253"/>
      <c r="E12" s="2253"/>
      <c r="F12" s="2253"/>
      <c r="G12" s="2239"/>
      <c r="H12" s="2239"/>
      <c r="I12" s="2239"/>
      <c r="J12" s="1422"/>
      <c r="K12" s="4880" t="s">
        <v>1723</v>
      </c>
      <c r="L12" s="4880"/>
      <c r="M12" s="2178"/>
      <c r="N12" s="2178" t="s">
        <v>1724</v>
      </c>
      <c r="O12" s="1447"/>
      <c r="P12" s="2239"/>
      <c r="Q12" s="2251">
        <f>P11+P12+P13+P14</f>
        <v>0</v>
      </c>
      <c r="R12" s="1423"/>
      <c r="S12" s="2262" t="s">
        <v>1725</v>
      </c>
      <c r="T12" s="1447"/>
      <c r="U12" s="1447"/>
      <c r="V12" s="1447"/>
      <c r="W12" s="1423"/>
      <c r="X12" s="2174"/>
    </row>
    <row r="13" spans="1:24" s="1441" customFormat="1" ht="16.5" customHeight="1">
      <c r="A13" s="1602"/>
      <c r="B13" s="2262" t="s">
        <v>1726</v>
      </c>
      <c r="C13" s="2253"/>
      <c r="D13" s="2253"/>
      <c r="E13" s="2253" t="s">
        <v>528</v>
      </c>
      <c r="F13" s="2253"/>
      <c r="G13" s="2251"/>
      <c r="H13" s="2251">
        <f>Estadisticas!AL47</f>
        <v>5</v>
      </c>
      <c r="I13" s="2251">
        <f>G13+H13</f>
        <v>5</v>
      </c>
      <c r="J13" s="1422"/>
      <c r="K13" s="2253"/>
      <c r="L13" s="2253"/>
      <c r="M13" s="2178"/>
      <c r="N13" s="2178" t="s">
        <v>1727</v>
      </c>
      <c r="O13" s="2254"/>
      <c r="P13" s="2239"/>
      <c r="Q13" s="2239"/>
      <c r="R13" s="1423"/>
      <c r="S13" s="1447"/>
      <c r="T13" s="1447"/>
      <c r="U13" s="1423"/>
      <c r="V13" s="1447"/>
      <c r="W13" s="2239"/>
      <c r="X13" s="2174"/>
    </row>
    <row r="14" spans="1:24" s="1441" customFormat="1" ht="16.5" customHeight="1">
      <c r="A14" s="1602"/>
      <c r="B14" s="2262"/>
      <c r="C14" s="1447"/>
      <c r="D14" s="1447"/>
      <c r="E14" s="2253" t="s">
        <v>533</v>
      </c>
      <c r="F14" s="1447"/>
      <c r="G14" s="2251"/>
      <c r="H14" s="2251">
        <f>Estadisticas!AM47</f>
        <v>0</v>
      </c>
      <c r="I14" s="2251">
        <f>G14+H14</f>
        <v>0</v>
      </c>
      <c r="J14" s="1447"/>
      <c r="K14" s="1447"/>
      <c r="L14" s="1447"/>
      <c r="M14" s="2178"/>
      <c r="N14" s="2178" t="s">
        <v>1728</v>
      </c>
      <c r="O14" s="1447"/>
      <c r="P14" s="2239"/>
      <c r="Q14" s="2239"/>
      <c r="R14" s="1423"/>
      <c r="S14" s="4887" t="s">
        <v>1729</v>
      </c>
      <c r="T14" s="4887"/>
      <c r="U14" s="4887"/>
      <c r="V14" s="4887"/>
      <c r="W14" s="2251">
        <f>SUM('[4]0099M'!$O$19+'[4]0100L'!$O$19+'[4]0125U'!$O$19+'[4]0156N'!$O$19+'[4]0163X'!$O$19+[4]ESC_P_06!$O$19+[4]ESC_P_07!$O$19+[4]ESC_P_08!$O$19+[4]ESC_P_09!$O$19+[4]ESC_P_10!$O$19+[4]ESC_P_11!$O$19+[4]ESC_P_12!$O$19+[4]ESC_P_13!$O$19+[4]ESC_P_14!$O$19+[4]ESC_P_15!$O$19+[4]ESC_P_16!$O$19+[4]ESC_P_17!$O$19+[4]ESC_P_18!$O$19)</f>
        <v>0</v>
      </c>
      <c r="X14" s="2174"/>
    </row>
    <row r="15" spans="1:24" s="1441" customFormat="1" ht="16.5" customHeight="1">
      <c r="A15" s="1602"/>
      <c r="B15" s="2262"/>
      <c r="C15" s="1423"/>
      <c r="D15" s="1423"/>
      <c r="E15" s="1423"/>
      <c r="F15" s="1447"/>
      <c r="G15" s="2239"/>
      <c r="H15" s="2239"/>
      <c r="I15" s="2239"/>
      <c r="J15" s="1447"/>
      <c r="K15" s="1447"/>
      <c r="L15" s="1447"/>
      <c r="M15" s="1447"/>
      <c r="N15" s="2178"/>
      <c r="O15" s="1447"/>
      <c r="P15" s="2239"/>
      <c r="Q15" s="2239"/>
      <c r="R15" s="1423"/>
      <c r="S15" s="4887" t="s">
        <v>1730</v>
      </c>
      <c r="T15" s="4887"/>
      <c r="U15" s="4887"/>
      <c r="V15" s="4887"/>
      <c r="W15" s="2251">
        <f>SUM('[4]0099M'!$O$20+'[4]0100L'!$O$20+'[4]0125U'!$O$20+'[4]0156N'!$O$20+'[4]0163X'!$O$20+[4]ESC_P_06!$O$20+[4]ESC_P_07!$O$20+[4]ESC_P_08!$O$20+[4]ESC_P_09!$O$20+[4]ESC_P_10!$O$20+[4]ESC_P_11!$O$20+[4]ESC_P_12!$O$20+[4]ESC_P_13!$O$20+[4]ESC_P_14!$O$20+[4]ESC_P_15!$O$20+[4]ESC_P_16!$O$20+[4]ESC_P_17!$O$20+[4]ESC_P_18!$O$20)</f>
        <v>0</v>
      </c>
      <c r="X15" s="2174"/>
    </row>
    <row r="16" spans="1:24" s="1441" customFormat="1" ht="16.5" customHeight="1">
      <c r="A16" s="1602"/>
      <c r="B16" s="2262" t="s">
        <v>1731</v>
      </c>
      <c r="C16" s="1447"/>
      <c r="D16" s="1447"/>
      <c r="E16" s="2253" t="s">
        <v>69</v>
      </c>
      <c r="F16" s="1447"/>
      <c r="G16" s="2251"/>
      <c r="H16" s="2251">
        <f>Estadisticas!AJ47</f>
        <v>5</v>
      </c>
      <c r="I16" s="2251">
        <f>G16+H16</f>
        <v>5</v>
      </c>
      <c r="J16" s="1447"/>
      <c r="K16" s="1447"/>
      <c r="L16" s="1447"/>
      <c r="M16" s="2178"/>
      <c r="N16" s="2178" t="s">
        <v>1722</v>
      </c>
      <c r="O16" s="1447"/>
      <c r="P16" s="2239">
        <f>Estadisticas!AZ47</f>
        <v>3</v>
      </c>
      <c r="Q16" s="2239"/>
      <c r="R16" s="1447"/>
      <c r="S16" s="1422"/>
      <c r="T16" s="1422"/>
      <c r="U16" s="1422"/>
      <c r="V16" s="1422"/>
      <c r="W16" s="1417"/>
      <c r="X16" s="2174"/>
    </row>
    <row r="17" spans="1:24" s="1441" customFormat="1" ht="16.5" customHeight="1">
      <c r="A17" s="1602"/>
      <c r="B17" s="2262"/>
      <c r="C17" s="1447"/>
      <c r="D17" s="1447"/>
      <c r="E17" s="1447" t="s">
        <v>77</v>
      </c>
      <c r="F17" s="1447"/>
      <c r="G17" s="2251"/>
      <c r="H17" s="2251">
        <f>Estadisticas!AK47</f>
        <v>0</v>
      </c>
      <c r="I17" s="2251">
        <f>G17+H17</f>
        <v>0</v>
      </c>
      <c r="J17" s="1447"/>
      <c r="K17" s="4880" t="s">
        <v>1732</v>
      </c>
      <c r="L17" s="4880"/>
      <c r="M17" s="2178"/>
      <c r="N17" s="2178" t="s">
        <v>1724</v>
      </c>
      <c r="O17" s="1447"/>
      <c r="P17" s="2239">
        <f>Estadisticas!BA47</f>
        <v>2</v>
      </c>
      <c r="Q17" s="2251">
        <f>P16+P17+P18+P19</f>
        <v>5</v>
      </c>
      <c r="R17" s="1447"/>
      <c r="S17" s="2179" t="s">
        <v>1733</v>
      </c>
      <c r="T17" s="1447"/>
      <c r="U17" s="1447"/>
      <c r="V17" s="1447"/>
      <c r="W17" s="2239"/>
      <c r="X17" s="2174"/>
    </row>
    <row r="18" spans="1:24" s="1441" customFormat="1" ht="16.5" customHeight="1">
      <c r="A18" s="1602"/>
      <c r="B18" s="2262"/>
      <c r="C18" s="1447"/>
      <c r="D18" s="1447"/>
      <c r="E18" s="1447"/>
      <c r="F18" s="1447"/>
      <c r="G18" s="2239"/>
      <c r="H18" s="2239"/>
      <c r="I18" s="2239"/>
      <c r="J18" s="2262"/>
      <c r="K18" s="2253"/>
      <c r="L18" s="2253"/>
      <c r="M18" s="2178"/>
      <c r="N18" s="2178" t="s">
        <v>1727</v>
      </c>
      <c r="O18" s="2254"/>
      <c r="P18" s="2239">
        <f>Estadisticas!BB47</f>
        <v>0</v>
      </c>
      <c r="Q18" s="2239"/>
      <c r="R18" s="1447"/>
      <c r="S18" s="2179"/>
      <c r="T18" s="1422"/>
      <c r="U18" s="1447"/>
      <c r="V18" s="1447"/>
      <c r="W18" s="2239"/>
      <c r="X18" s="2174"/>
    </row>
    <row r="19" spans="1:24" s="1441" customFormat="1" ht="16.5" customHeight="1">
      <c r="A19" s="1602"/>
      <c r="B19" s="2262" t="s">
        <v>1734</v>
      </c>
      <c r="C19" s="1447"/>
      <c r="D19" s="1447"/>
      <c r="E19" s="1447" t="s">
        <v>1421</v>
      </c>
      <c r="F19" s="1423"/>
      <c r="G19" s="2251"/>
      <c r="H19" s="2251">
        <f>Estadisticas!AU47</f>
        <v>24</v>
      </c>
      <c r="I19" s="2251">
        <f t="shared" ref="I19:I24" si="0">G19+H19</f>
        <v>24</v>
      </c>
      <c r="J19" s="1447"/>
      <c r="K19" s="1447"/>
      <c r="L19" s="1447"/>
      <c r="M19" s="2178"/>
      <c r="N19" s="2178" t="s">
        <v>1728</v>
      </c>
      <c r="O19" s="1447"/>
      <c r="P19" s="2239">
        <f>Estadisticas!BC47</f>
        <v>0</v>
      </c>
      <c r="Q19" s="2239"/>
      <c r="R19" s="2254"/>
      <c r="S19" s="2254"/>
      <c r="T19" s="1447" t="s">
        <v>1735</v>
      </c>
      <c r="U19" s="2254"/>
      <c r="V19" s="1447"/>
      <c r="W19" s="2251">
        <v>1</v>
      </c>
      <c r="X19" s="2174"/>
    </row>
    <row r="20" spans="1:24" s="1441" customFormat="1" ht="16.5" customHeight="1">
      <c r="A20" s="2180"/>
      <c r="B20" s="1423"/>
      <c r="C20" s="1447"/>
      <c r="D20" s="1447"/>
      <c r="E20" s="1447" t="s">
        <v>1736</v>
      </c>
      <c r="F20" s="1423"/>
      <c r="G20" s="2251"/>
      <c r="H20" s="2251">
        <f>Estadisticas!AV47</f>
        <v>0</v>
      </c>
      <c r="I20" s="2251">
        <f t="shared" si="0"/>
        <v>0</v>
      </c>
      <c r="J20" s="1447"/>
      <c r="K20" s="1447"/>
      <c r="L20" s="1447" t="s">
        <v>1436</v>
      </c>
      <c r="M20" s="1447"/>
      <c r="N20" s="1423"/>
      <c r="O20" s="1447"/>
      <c r="P20" s="1447"/>
      <c r="Q20" s="2251">
        <f>Estadisticas!BD47</f>
        <v>22</v>
      </c>
      <c r="R20" s="1447"/>
      <c r="S20" s="1447"/>
      <c r="T20" s="1447" t="s">
        <v>1737</v>
      </c>
      <c r="U20" s="1447"/>
      <c r="V20" s="1447"/>
      <c r="W20" s="2251">
        <v>2</v>
      </c>
      <c r="X20" s="2174"/>
    </row>
    <row r="21" spans="1:24" s="1441" customFormat="1" ht="16.5" customHeight="1">
      <c r="A21" s="2180"/>
      <c r="B21" s="1423"/>
      <c r="C21" s="1447"/>
      <c r="D21" s="1447"/>
      <c r="E21" s="1447" t="s">
        <v>1738</v>
      </c>
      <c r="F21" s="1423"/>
      <c r="G21" s="2251"/>
      <c r="H21" s="2251">
        <f>Estadisticas!AW47</f>
        <v>4</v>
      </c>
      <c r="I21" s="2251">
        <f t="shared" si="0"/>
        <v>4</v>
      </c>
      <c r="J21" s="1447"/>
      <c r="K21" s="1447"/>
      <c r="L21" s="1447" t="s">
        <v>1437</v>
      </c>
      <c r="M21" s="1447"/>
      <c r="N21" s="1423"/>
      <c r="O21" s="1447"/>
      <c r="P21" s="1447"/>
      <c r="Q21" s="2251">
        <f>Estadisticas!BE47</f>
        <v>4</v>
      </c>
      <c r="R21" s="1447"/>
      <c r="S21" s="1447"/>
      <c r="T21" s="1447" t="s">
        <v>1732</v>
      </c>
      <c r="U21" s="1447"/>
      <c r="V21" s="1423"/>
      <c r="W21" s="2251">
        <f>Estadisticas!BK47</f>
        <v>0</v>
      </c>
      <c r="X21" s="2174"/>
    </row>
    <row r="22" spans="1:24" s="1441" customFormat="1" ht="16.5" customHeight="1">
      <c r="A22" s="1602"/>
      <c r="B22" s="1447"/>
      <c r="C22" s="1447"/>
      <c r="D22" s="1447"/>
      <c r="E22" s="1447" t="s">
        <v>447</v>
      </c>
      <c r="F22" s="1423"/>
      <c r="G22" s="2251"/>
      <c r="H22" s="2251">
        <f>Estadisticas!AX47</f>
        <v>5</v>
      </c>
      <c r="I22" s="2251">
        <f t="shared" si="0"/>
        <v>5</v>
      </c>
      <c r="J22" s="1447"/>
      <c r="K22" s="1447"/>
      <c r="L22" s="1447" t="s">
        <v>440</v>
      </c>
      <c r="M22" s="1447"/>
      <c r="N22" s="1423"/>
      <c r="O22" s="1447"/>
      <c r="P22" s="1447"/>
      <c r="Q22" s="2251">
        <f>Estadisticas!BF47</f>
        <v>0</v>
      </c>
      <c r="R22" s="1447"/>
      <c r="S22" s="1447"/>
      <c r="T22" s="1447" t="s">
        <v>1436</v>
      </c>
      <c r="U22" s="1447"/>
      <c r="V22" s="1423"/>
      <c r="W22" s="2251">
        <f>Estadisticas!BL47</f>
        <v>0</v>
      </c>
      <c r="X22" s="2174"/>
    </row>
    <row r="23" spans="1:24" s="1441" customFormat="1" ht="16.5" customHeight="1">
      <c r="A23" s="1602"/>
      <c r="B23" s="1447"/>
      <c r="C23" s="1447"/>
      <c r="D23" s="1447"/>
      <c r="E23" s="1447" t="s">
        <v>1423</v>
      </c>
      <c r="F23" s="1447"/>
      <c r="G23" s="2251"/>
      <c r="H23" s="2251">
        <f>Estadisticas!AY47</f>
        <v>2</v>
      </c>
      <c r="I23" s="2251">
        <f t="shared" si="0"/>
        <v>2</v>
      </c>
      <c r="J23" s="1447"/>
      <c r="K23" s="1447"/>
      <c r="L23" s="1447" t="s">
        <v>1739</v>
      </c>
      <c r="M23" s="1447"/>
      <c r="N23" s="1447"/>
      <c r="O23" s="1447"/>
      <c r="P23" s="1447"/>
      <c r="Q23" s="2251">
        <f>Estadisticas!BG47</f>
        <v>5</v>
      </c>
      <c r="R23" s="1447"/>
      <c r="S23" s="1447"/>
      <c r="T23" s="1447" t="s">
        <v>1437</v>
      </c>
      <c r="U23" s="1447"/>
      <c r="V23" s="2202">
        <f>W19+W20</f>
        <v>3</v>
      </c>
      <c r="W23" s="2251">
        <f>Estadisticas!BM47</f>
        <v>0</v>
      </c>
      <c r="X23" s="2174"/>
    </row>
    <row r="24" spans="1:24" s="1441" customFormat="1" ht="16.5" customHeight="1" thickBot="1">
      <c r="A24" s="1602"/>
      <c r="B24" s="1447"/>
      <c r="C24" s="1447"/>
      <c r="D24" s="1447"/>
      <c r="E24" s="4869" t="s">
        <v>408</v>
      </c>
      <c r="F24" s="4869"/>
      <c r="G24" s="2211">
        <f>SUM(G19:G23)</f>
        <v>0</v>
      </c>
      <c r="H24" s="2211">
        <f>SUM(H19:H23)</f>
        <v>35</v>
      </c>
      <c r="I24" s="2211">
        <f t="shared" si="0"/>
        <v>35</v>
      </c>
      <c r="J24" s="2254"/>
      <c r="K24" s="2254"/>
      <c r="L24" s="1423" t="s">
        <v>447</v>
      </c>
      <c r="M24" s="2254"/>
      <c r="N24" s="2254"/>
      <c r="O24" s="2254"/>
      <c r="P24" s="1447"/>
      <c r="Q24" s="2251">
        <f>Estadisticas!BH47</f>
        <v>20</v>
      </c>
      <c r="R24" s="1447"/>
      <c r="S24" s="1447"/>
      <c r="T24" s="1447" t="s">
        <v>1740</v>
      </c>
      <c r="U24" s="1447"/>
      <c r="V24" s="1423"/>
      <c r="W24" s="2251">
        <f>Estadisticas!BN47</f>
        <v>0</v>
      </c>
      <c r="X24" s="2174"/>
    </row>
    <row r="25" spans="1:24" s="1441" customFormat="1" ht="5.25" customHeight="1" thickBot="1">
      <c r="A25" s="2181"/>
      <c r="B25" s="2182"/>
      <c r="C25" s="2182"/>
      <c r="D25" s="2182"/>
      <c r="E25" s="2182"/>
      <c r="F25" s="2182"/>
      <c r="G25" s="2182"/>
      <c r="H25" s="2183"/>
      <c r="I25" s="2182"/>
      <c r="J25" s="2182"/>
      <c r="K25" s="2182"/>
      <c r="L25" s="2182"/>
      <c r="M25" s="2182"/>
      <c r="N25" s="2182"/>
      <c r="O25" s="2182"/>
      <c r="P25" s="2182"/>
      <c r="Q25" s="2182"/>
      <c r="R25" s="2182"/>
      <c r="S25" s="2182"/>
      <c r="T25" s="2182"/>
      <c r="U25" s="2182"/>
      <c r="V25" s="2183"/>
      <c r="W25" s="2182"/>
      <c r="X25" s="2184"/>
    </row>
    <row r="26" spans="1:24" s="1441" customFormat="1" ht="16.5" customHeight="1" thickTop="1" thickBot="1">
      <c r="A26" s="2169"/>
      <c r="B26" s="2169"/>
      <c r="C26" s="2169"/>
      <c r="D26" s="2186">
        <f>SUM('[4]0099M:0163X'!D28)</f>
        <v>0</v>
      </c>
      <c r="E26" s="2186">
        <f>SUM('[4]0099M:0163X'!E28)</f>
        <v>0</v>
      </c>
      <c r="F26" s="2186">
        <f>SUM('[4]0099M:0163X'!F28)</f>
        <v>0</v>
      </c>
      <c r="G26" s="2186">
        <f>SUM('[4]0099M:0163X'!G28)</f>
        <v>0</v>
      </c>
      <c r="H26" s="2186">
        <f>SUM('[4]0099M:0163X'!H28)</f>
        <v>0</v>
      </c>
      <c r="I26" s="2186">
        <f>SUM('[4]0099M:0163X'!I28)</f>
        <v>0</v>
      </c>
      <c r="J26" s="2186">
        <f>SUM('[4]0099M:0163X'!J28)</f>
        <v>0</v>
      </c>
      <c r="K26" s="2186">
        <f>SUM('[4]0099M:0163X'!K28)</f>
        <v>0</v>
      </c>
      <c r="L26" s="2186">
        <f>SUM('[4]0099M:0163X'!L28)</f>
        <v>0</v>
      </c>
      <c r="M26" s="2186">
        <f>SUM('[4]0099M:0163X'!M28)</f>
        <v>0</v>
      </c>
      <c r="N26" s="2186">
        <f>SUM('[4]0099M:0163X'!N28)</f>
        <v>0</v>
      </c>
      <c r="O26" s="2186">
        <f>SUM('[4]0099M:0163X'!O28)</f>
        <v>0</v>
      </c>
      <c r="P26" s="2186">
        <f>SUM('[4]0099M:0163X'!P28)</f>
        <v>0</v>
      </c>
      <c r="Q26" s="2186">
        <f>SUM('[4]0099M:0163X'!Q28)</f>
        <v>0</v>
      </c>
      <c r="R26" s="2186">
        <f>SUM('[4]0099M:0163X'!R28)</f>
        <v>0</v>
      </c>
      <c r="S26" s="2186">
        <f>SUM('[4]0099M:0163X'!S28)</f>
        <v>0</v>
      </c>
      <c r="T26" s="2186">
        <f>SUM('[4]0099M:0163X'!T28)</f>
        <v>0</v>
      </c>
      <c r="U26" s="2186">
        <f>SUM('[4]0099M:0163X'!U28)</f>
        <v>0</v>
      </c>
      <c r="V26" s="2186">
        <f>D26+G26+J26+M26+P26+S26</f>
        <v>0</v>
      </c>
      <c r="W26" s="2186">
        <f>E26+H26+K26+N26+Q26+T26</f>
        <v>0</v>
      </c>
      <c r="X26" s="2186">
        <f>F26+I26+L26+O26+R26+U26</f>
        <v>0</v>
      </c>
    </row>
    <row r="27" spans="1:24" s="1481" customFormat="1" ht="16.5" customHeight="1" thickTop="1">
      <c r="A27" s="5193" t="s">
        <v>1441</v>
      </c>
      <c r="B27" s="5194"/>
      <c r="C27" s="5195"/>
      <c r="D27" s="4871" t="s">
        <v>1442</v>
      </c>
      <c r="E27" s="4872"/>
      <c r="F27" s="4873"/>
      <c r="G27" s="4871" t="s">
        <v>1443</v>
      </c>
      <c r="H27" s="4872"/>
      <c r="I27" s="4873"/>
      <c r="J27" s="4874" t="s">
        <v>1444</v>
      </c>
      <c r="K27" s="4872"/>
      <c r="L27" s="4875"/>
      <c r="M27" s="4871" t="s">
        <v>1445</v>
      </c>
      <c r="N27" s="4872"/>
      <c r="O27" s="4873"/>
      <c r="P27" s="4874" t="s">
        <v>1446</v>
      </c>
      <c r="Q27" s="4872"/>
      <c r="R27" s="4875"/>
      <c r="S27" s="4871" t="s">
        <v>1447</v>
      </c>
      <c r="T27" s="4872"/>
      <c r="U27" s="4873"/>
      <c r="V27" s="4874" t="s">
        <v>1232</v>
      </c>
      <c r="W27" s="4872"/>
      <c r="X27" s="4876"/>
    </row>
    <row r="28" spans="1:24" s="1481" customFormat="1" ht="16.5" customHeight="1" thickBot="1">
      <c r="A28" s="5196"/>
      <c r="B28" s="5197"/>
      <c r="C28" s="5198"/>
      <c r="D28" s="2187" t="s">
        <v>406</v>
      </c>
      <c r="E28" s="2188" t="s">
        <v>407</v>
      </c>
      <c r="F28" s="2189" t="s">
        <v>495</v>
      </c>
      <c r="G28" s="2187" t="s">
        <v>406</v>
      </c>
      <c r="H28" s="2188" t="s">
        <v>407</v>
      </c>
      <c r="I28" s="2189" t="s">
        <v>495</v>
      </c>
      <c r="J28" s="2190" t="s">
        <v>406</v>
      </c>
      <c r="K28" s="2188" t="s">
        <v>407</v>
      </c>
      <c r="L28" s="2191" t="s">
        <v>495</v>
      </c>
      <c r="M28" s="2187" t="s">
        <v>406</v>
      </c>
      <c r="N28" s="2188" t="s">
        <v>407</v>
      </c>
      <c r="O28" s="2189" t="s">
        <v>495</v>
      </c>
      <c r="P28" s="2190" t="s">
        <v>406</v>
      </c>
      <c r="Q28" s="2188" t="s">
        <v>407</v>
      </c>
      <c r="R28" s="2191" t="s">
        <v>495</v>
      </c>
      <c r="S28" s="2187" t="s">
        <v>406</v>
      </c>
      <c r="T28" s="2188" t="s">
        <v>407</v>
      </c>
      <c r="U28" s="2189" t="s">
        <v>495</v>
      </c>
      <c r="V28" s="2190" t="s">
        <v>406</v>
      </c>
      <c r="W28" s="2188" t="s">
        <v>407</v>
      </c>
      <c r="X28" s="2192" t="s">
        <v>495</v>
      </c>
    </row>
    <row r="29" spans="1:24" s="1466" customFormat="1" ht="21.75" customHeight="1">
      <c r="A29" s="5190" t="s">
        <v>1448</v>
      </c>
      <c r="B29" s="5191"/>
      <c r="C29" s="5192"/>
      <c r="D29" s="1482">
        <f>Estadisticas!AA51</f>
        <v>50</v>
      </c>
      <c r="E29" s="1483">
        <f>Estadisticas!AB51</f>
        <v>38</v>
      </c>
      <c r="F29" s="1484">
        <f t="shared" ref="F29:F35" si="1">D29+E29</f>
        <v>88</v>
      </c>
      <c r="G29" s="1482">
        <f>Estadisticas!AC51</f>
        <v>47</v>
      </c>
      <c r="H29" s="1483">
        <f>Estadisticas!AD51</f>
        <v>33</v>
      </c>
      <c r="I29" s="1484">
        <f t="shared" ref="I29:I35" si="2">G29+H29</f>
        <v>80</v>
      </c>
      <c r="J29" s="1482">
        <f>Estadisticas!AE51</f>
        <v>39</v>
      </c>
      <c r="K29" s="1483">
        <f>Estadisticas!AF51</f>
        <v>39</v>
      </c>
      <c r="L29" s="1484">
        <f t="shared" ref="L29:L35" si="3">J29+K29</f>
        <v>78</v>
      </c>
      <c r="M29" s="1482">
        <f>Estadisticas!AG51</f>
        <v>40</v>
      </c>
      <c r="N29" s="1483">
        <f>Estadisticas!AH51</f>
        <v>30</v>
      </c>
      <c r="O29" s="1484">
        <f t="shared" ref="O29:O35" si="4">M29+N29</f>
        <v>70</v>
      </c>
      <c r="P29" s="1482">
        <f>Estadisticas!AI51</f>
        <v>45</v>
      </c>
      <c r="Q29" s="1483">
        <f>Estadisticas!AJ51</f>
        <v>36</v>
      </c>
      <c r="R29" s="1484">
        <f t="shared" ref="R29:R35" si="5">P29+Q29</f>
        <v>81</v>
      </c>
      <c r="S29" s="1482">
        <f>Estadisticas!AK51</f>
        <v>27</v>
      </c>
      <c r="T29" s="1483">
        <f>Estadisticas!AL51</f>
        <v>22</v>
      </c>
      <c r="U29" s="1484">
        <f t="shared" ref="U29:U35" si="6">S29+T29</f>
        <v>49</v>
      </c>
      <c r="V29" s="1485">
        <f t="shared" ref="V29:W35" si="7">D29+G29+J29+M29+P29+S29</f>
        <v>248</v>
      </c>
      <c r="W29" s="1483">
        <f t="shared" si="7"/>
        <v>198</v>
      </c>
      <c r="X29" s="1486">
        <f t="shared" ref="X29:X35" si="8">V29+W29</f>
        <v>446</v>
      </c>
    </row>
    <row r="30" spans="1:24" s="1466" customFormat="1" ht="21.75" customHeight="1">
      <c r="A30" s="5187" t="s">
        <v>1449</v>
      </c>
      <c r="B30" s="5188"/>
      <c r="C30" s="5189"/>
      <c r="D30" s="1482">
        <f>Estadisticas!AM51</f>
        <v>3</v>
      </c>
      <c r="E30" s="1483">
        <f>Estadisticas!AN51</f>
        <v>5</v>
      </c>
      <c r="F30" s="1484">
        <f t="shared" si="1"/>
        <v>8</v>
      </c>
      <c r="G30" s="1482">
        <f>Estadisticas!AO51</f>
        <v>6</v>
      </c>
      <c r="H30" s="1483">
        <f>Estadisticas!AP51</f>
        <v>8</v>
      </c>
      <c r="I30" s="1484">
        <f t="shared" si="2"/>
        <v>14</v>
      </c>
      <c r="J30" s="1482">
        <f>Estadisticas!AQ51</f>
        <v>2</v>
      </c>
      <c r="K30" s="1483">
        <f>Estadisticas!AR51</f>
        <v>8</v>
      </c>
      <c r="L30" s="1484">
        <f t="shared" si="3"/>
        <v>10</v>
      </c>
      <c r="M30" s="1482">
        <f>Estadisticas!AS51</f>
        <v>7</v>
      </c>
      <c r="N30" s="1483">
        <f>Estadisticas!AT51</f>
        <v>1</v>
      </c>
      <c r="O30" s="1484">
        <f t="shared" si="4"/>
        <v>8</v>
      </c>
      <c r="P30" s="1482">
        <f>Estadisticas!AU51</f>
        <v>4</v>
      </c>
      <c r="Q30" s="1483">
        <f>Estadisticas!AV51</f>
        <v>6</v>
      </c>
      <c r="R30" s="1484">
        <f t="shared" si="5"/>
        <v>10</v>
      </c>
      <c r="S30" s="1482">
        <f>Estadisticas!AW51</f>
        <v>8</v>
      </c>
      <c r="T30" s="1483">
        <f>Estadisticas!AX51</f>
        <v>4</v>
      </c>
      <c r="U30" s="1484">
        <f t="shared" si="6"/>
        <v>12</v>
      </c>
      <c r="V30" s="1485">
        <f t="shared" si="7"/>
        <v>30</v>
      </c>
      <c r="W30" s="1483">
        <f t="shared" si="7"/>
        <v>32</v>
      </c>
      <c r="X30" s="1486">
        <f t="shared" si="8"/>
        <v>62</v>
      </c>
    </row>
    <row r="31" spans="1:24" s="1466" customFormat="1" ht="21.75" customHeight="1">
      <c r="A31" s="5187" t="s">
        <v>1450</v>
      </c>
      <c r="B31" s="5188"/>
      <c r="C31" s="5189"/>
      <c r="D31" s="1482">
        <f>D29+D30</f>
        <v>53</v>
      </c>
      <c r="E31" s="1483">
        <f>E29+E30</f>
        <v>43</v>
      </c>
      <c r="F31" s="1484">
        <f t="shared" si="1"/>
        <v>96</v>
      </c>
      <c r="G31" s="1482">
        <f>G29+G30</f>
        <v>53</v>
      </c>
      <c r="H31" s="1483">
        <f>H29+H30</f>
        <v>41</v>
      </c>
      <c r="I31" s="1484">
        <f t="shared" si="2"/>
        <v>94</v>
      </c>
      <c r="J31" s="1482">
        <f>J29+J30</f>
        <v>41</v>
      </c>
      <c r="K31" s="1483">
        <f>K29+K30</f>
        <v>47</v>
      </c>
      <c r="L31" s="1484">
        <f t="shared" si="3"/>
        <v>88</v>
      </c>
      <c r="M31" s="1482">
        <f>M29+M30</f>
        <v>47</v>
      </c>
      <c r="N31" s="1483">
        <f>N29+N30</f>
        <v>31</v>
      </c>
      <c r="O31" s="1484">
        <f t="shared" si="4"/>
        <v>78</v>
      </c>
      <c r="P31" s="1482">
        <f>P29+P30</f>
        <v>49</v>
      </c>
      <c r="Q31" s="1483">
        <f>Q29+Q30</f>
        <v>42</v>
      </c>
      <c r="R31" s="1484">
        <f t="shared" si="5"/>
        <v>91</v>
      </c>
      <c r="S31" s="1482">
        <f>S29+S30</f>
        <v>35</v>
      </c>
      <c r="T31" s="1483">
        <f>T29+T30</f>
        <v>26</v>
      </c>
      <c r="U31" s="1484">
        <f t="shared" si="6"/>
        <v>61</v>
      </c>
      <c r="V31" s="1485">
        <f t="shared" si="7"/>
        <v>278</v>
      </c>
      <c r="W31" s="1483">
        <f t="shared" si="7"/>
        <v>230</v>
      </c>
      <c r="X31" s="1486">
        <f t="shared" si="8"/>
        <v>508</v>
      </c>
    </row>
    <row r="32" spans="1:24" s="1466" customFormat="1" ht="21.75" customHeight="1">
      <c r="A32" s="5187" t="s">
        <v>1451</v>
      </c>
      <c r="B32" s="5188"/>
      <c r="C32" s="5189"/>
      <c r="D32" s="1482">
        <f>Estadisticas!AY51</f>
        <v>4</v>
      </c>
      <c r="E32" s="1483">
        <f>Estadisticas!AZ51</f>
        <v>1</v>
      </c>
      <c r="F32" s="1484">
        <f t="shared" si="1"/>
        <v>5</v>
      </c>
      <c r="G32" s="1482">
        <f>Estadisticas!BA51</f>
        <v>3</v>
      </c>
      <c r="H32" s="1483">
        <f>Estadisticas!BB51</f>
        <v>3</v>
      </c>
      <c r="I32" s="1484">
        <f t="shared" si="2"/>
        <v>6</v>
      </c>
      <c r="J32" s="1482">
        <f>Estadisticas!BC51</f>
        <v>0</v>
      </c>
      <c r="K32" s="1483">
        <f>Estadisticas!BD51</f>
        <v>2</v>
      </c>
      <c r="L32" s="1484">
        <f t="shared" si="3"/>
        <v>2</v>
      </c>
      <c r="M32" s="1482">
        <f>Estadisticas!BE51</f>
        <v>4</v>
      </c>
      <c r="N32" s="1483">
        <f>Estadisticas!BF51</f>
        <v>1</v>
      </c>
      <c r="O32" s="1484">
        <f t="shared" si="4"/>
        <v>5</v>
      </c>
      <c r="P32" s="1482">
        <f>Estadisticas!BG51</f>
        <v>3</v>
      </c>
      <c r="Q32" s="1483">
        <f>Estadisticas!BH51</f>
        <v>2</v>
      </c>
      <c r="R32" s="1484">
        <f t="shared" si="5"/>
        <v>5</v>
      </c>
      <c r="S32" s="1482">
        <f>Estadisticas!BI51</f>
        <v>1</v>
      </c>
      <c r="T32" s="1483">
        <f>Estadisticas!BJ51</f>
        <v>0</v>
      </c>
      <c r="U32" s="1484">
        <f t="shared" si="6"/>
        <v>1</v>
      </c>
      <c r="V32" s="1485">
        <f t="shared" si="7"/>
        <v>15</v>
      </c>
      <c r="W32" s="1483">
        <f t="shared" si="7"/>
        <v>9</v>
      </c>
      <c r="X32" s="1486">
        <f t="shared" si="8"/>
        <v>24</v>
      </c>
    </row>
    <row r="33" spans="1:24" s="1466" customFormat="1" ht="21.75" customHeight="1">
      <c r="A33" s="5187" t="s">
        <v>848</v>
      </c>
      <c r="B33" s="5188"/>
      <c r="C33" s="5189"/>
      <c r="D33" s="1482">
        <f>D31-D32</f>
        <v>49</v>
      </c>
      <c r="E33" s="1483">
        <f>E31-E32</f>
        <v>42</v>
      </c>
      <c r="F33" s="1484">
        <f t="shared" si="1"/>
        <v>91</v>
      </c>
      <c r="G33" s="1482">
        <f>G31-G32</f>
        <v>50</v>
      </c>
      <c r="H33" s="1483">
        <f>H31-H32</f>
        <v>38</v>
      </c>
      <c r="I33" s="1484">
        <f t="shared" si="2"/>
        <v>88</v>
      </c>
      <c r="J33" s="1482">
        <f>J31-J32</f>
        <v>41</v>
      </c>
      <c r="K33" s="1483">
        <f>K31-K32</f>
        <v>45</v>
      </c>
      <c r="L33" s="1484">
        <f t="shared" si="3"/>
        <v>86</v>
      </c>
      <c r="M33" s="1482">
        <f>M31-M32</f>
        <v>43</v>
      </c>
      <c r="N33" s="1483">
        <f>N31-N32</f>
        <v>30</v>
      </c>
      <c r="O33" s="1484">
        <f t="shared" si="4"/>
        <v>73</v>
      </c>
      <c r="P33" s="1482">
        <f>P31-P32</f>
        <v>46</v>
      </c>
      <c r="Q33" s="1483">
        <f>Q31-Q32</f>
        <v>40</v>
      </c>
      <c r="R33" s="1484">
        <f>P33+Q33</f>
        <v>86</v>
      </c>
      <c r="S33" s="1482">
        <f>S31-S32</f>
        <v>34</v>
      </c>
      <c r="T33" s="1483">
        <f>T31-T32</f>
        <v>26</v>
      </c>
      <c r="U33" s="1484">
        <f t="shared" si="6"/>
        <v>60</v>
      </c>
      <c r="V33" s="1485">
        <f t="shared" si="7"/>
        <v>263</v>
      </c>
      <c r="W33" s="1483">
        <f t="shared" si="7"/>
        <v>221</v>
      </c>
      <c r="X33" s="1486">
        <f t="shared" si="8"/>
        <v>484</v>
      </c>
    </row>
    <row r="34" spans="1:24" s="1466" customFormat="1" ht="21.75" customHeight="1">
      <c r="A34" s="5187" t="s">
        <v>1452</v>
      </c>
      <c r="B34" s="5188"/>
      <c r="C34" s="5189"/>
      <c r="D34" s="2297">
        <f>D33-D35</f>
        <v>49</v>
      </c>
      <c r="E34" s="2298">
        <f>E33-E35</f>
        <v>42</v>
      </c>
      <c r="F34" s="2299">
        <f t="shared" si="1"/>
        <v>91</v>
      </c>
      <c r="G34" s="2297">
        <f>G33-G35</f>
        <v>50</v>
      </c>
      <c r="H34" s="2298">
        <f>H33-H35</f>
        <v>38</v>
      </c>
      <c r="I34" s="2299">
        <f t="shared" si="2"/>
        <v>88</v>
      </c>
      <c r="J34" s="2297">
        <f>J33-J35</f>
        <v>41</v>
      </c>
      <c r="K34" s="2298">
        <f>K33-K35</f>
        <v>45</v>
      </c>
      <c r="L34" s="2299">
        <f t="shared" si="3"/>
        <v>86</v>
      </c>
      <c r="M34" s="2297">
        <f>M33-M35</f>
        <v>43</v>
      </c>
      <c r="N34" s="2298">
        <f>N33-N35</f>
        <v>30</v>
      </c>
      <c r="O34" s="2299">
        <f t="shared" si="4"/>
        <v>73</v>
      </c>
      <c r="P34" s="2297">
        <f>P33-P35</f>
        <v>46</v>
      </c>
      <c r="Q34" s="2298">
        <f>Q33-Q35</f>
        <v>40</v>
      </c>
      <c r="R34" s="2299">
        <f>P34+Q34</f>
        <v>86</v>
      </c>
      <c r="S34" s="2297">
        <f>S33-S35</f>
        <v>34</v>
      </c>
      <c r="T34" s="2298">
        <f>T33-T35</f>
        <v>26</v>
      </c>
      <c r="U34" s="2299">
        <f t="shared" si="6"/>
        <v>60</v>
      </c>
      <c r="V34" s="2300">
        <f t="shared" si="7"/>
        <v>263</v>
      </c>
      <c r="W34" s="2298">
        <f t="shared" si="7"/>
        <v>221</v>
      </c>
      <c r="X34" s="2301">
        <f t="shared" si="8"/>
        <v>484</v>
      </c>
    </row>
    <row r="35" spans="1:24" s="1466" customFormat="1" ht="21.75" customHeight="1">
      <c r="A35" s="5187" t="s">
        <v>1142</v>
      </c>
      <c r="B35" s="5188"/>
      <c r="C35" s="5189"/>
      <c r="D35" s="2297">
        <f>Estadisticas!BK51</f>
        <v>0</v>
      </c>
      <c r="E35" s="2298">
        <f>Estadisticas!BL51</f>
        <v>0</v>
      </c>
      <c r="F35" s="2299">
        <f t="shared" si="1"/>
        <v>0</v>
      </c>
      <c r="G35" s="2297">
        <f>Estadisticas!BM51</f>
        <v>0</v>
      </c>
      <c r="H35" s="2298">
        <f>Estadisticas!BN51</f>
        <v>0</v>
      </c>
      <c r="I35" s="2299">
        <f t="shared" si="2"/>
        <v>0</v>
      </c>
      <c r="J35" s="2297">
        <f>Estadisticas!BO51</f>
        <v>0</v>
      </c>
      <c r="K35" s="2298">
        <f>Estadisticas!BP51</f>
        <v>0</v>
      </c>
      <c r="L35" s="2299">
        <f t="shared" si="3"/>
        <v>0</v>
      </c>
      <c r="M35" s="2297">
        <f>Estadisticas!BQ51</f>
        <v>0</v>
      </c>
      <c r="N35" s="2298">
        <f>Estadisticas!BR51</f>
        <v>0</v>
      </c>
      <c r="O35" s="2299">
        <f t="shared" si="4"/>
        <v>0</v>
      </c>
      <c r="P35" s="2297">
        <f>Estadisticas!BS51</f>
        <v>0</v>
      </c>
      <c r="Q35" s="2298">
        <f>Estadisticas!BT51</f>
        <v>0</v>
      </c>
      <c r="R35" s="2299">
        <f t="shared" si="5"/>
        <v>0</v>
      </c>
      <c r="S35" s="2297">
        <f>Estadisticas!BU51</f>
        <v>0</v>
      </c>
      <c r="T35" s="2298">
        <f>Estadisticas!BV51</f>
        <v>0</v>
      </c>
      <c r="U35" s="2299">
        <f t="shared" si="6"/>
        <v>0</v>
      </c>
      <c r="V35" s="2300">
        <f t="shared" si="7"/>
        <v>0</v>
      </c>
      <c r="W35" s="2298">
        <f t="shared" si="7"/>
        <v>0</v>
      </c>
      <c r="X35" s="2301">
        <f t="shared" si="8"/>
        <v>0</v>
      </c>
    </row>
    <row r="36" spans="1:24" s="1466" customFormat="1" ht="21.75" customHeight="1">
      <c r="A36" s="5187" t="s">
        <v>1453</v>
      </c>
      <c r="B36" s="5188"/>
      <c r="C36" s="5189"/>
      <c r="D36" s="4858">
        <f>Estadisticas!BO47</f>
        <v>6</v>
      </c>
      <c r="E36" s="4859"/>
      <c r="F36" s="4870"/>
      <c r="G36" s="4858">
        <f>Estadisticas!BP47</f>
        <v>6</v>
      </c>
      <c r="H36" s="4859"/>
      <c r="I36" s="4870"/>
      <c r="J36" s="4858">
        <f>Estadisticas!BQ47</f>
        <v>6</v>
      </c>
      <c r="K36" s="4859"/>
      <c r="L36" s="4870"/>
      <c r="M36" s="4858">
        <f>Estadisticas!BR47</f>
        <v>5</v>
      </c>
      <c r="N36" s="4859"/>
      <c r="O36" s="4870"/>
      <c r="P36" s="4858">
        <f>Estadisticas!BS47</f>
        <v>5</v>
      </c>
      <c r="Q36" s="4859"/>
      <c r="R36" s="4870"/>
      <c r="S36" s="4858">
        <f>Estadisticas!BT47</f>
        <v>4</v>
      </c>
      <c r="T36" s="4859"/>
      <c r="U36" s="4870"/>
      <c r="V36" s="4858">
        <f>D36+G36+J36+M36+P36+S36</f>
        <v>32</v>
      </c>
      <c r="W36" s="4859"/>
      <c r="X36" s="4860"/>
    </row>
    <row r="37" spans="1:24" s="1466" customFormat="1" ht="21.75" customHeight="1">
      <c r="A37" s="5187" t="s">
        <v>1454</v>
      </c>
      <c r="B37" s="5188"/>
      <c r="C37" s="5189"/>
      <c r="D37" s="1482">
        <f>Estadisticas!BW51</f>
        <v>0</v>
      </c>
      <c r="E37" s="1483">
        <f>Estadisticas!BX51</f>
        <v>6</v>
      </c>
      <c r="F37" s="1484">
        <f>D37+E37</f>
        <v>6</v>
      </c>
      <c r="G37" s="1482">
        <f>Estadisticas!BY51</f>
        <v>0</v>
      </c>
      <c r="H37" s="1483">
        <f>Estadisticas!BZ51</f>
        <v>3</v>
      </c>
      <c r="I37" s="1484">
        <f>G37+H37</f>
        <v>3</v>
      </c>
      <c r="J37" s="1482">
        <f>Estadisticas!CA51</f>
        <v>1</v>
      </c>
      <c r="K37" s="1483">
        <f>Estadisticas!CB51</f>
        <v>5</v>
      </c>
      <c r="L37" s="1484">
        <f>J37+K37</f>
        <v>6</v>
      </c>
      <c r="M37" s="1482">
        <f>Estadisticas!CC51</f>
        <v>0</v>
      </c>
      <c r="N37" s="1483">
        <f>Estadisticas!CD51</f>
        <v>3</v>
      </c>
      <c r="O37" s="1484">
        <f>M37+N37</f>
        <v>3</v>
      </c>
      <c r="P37" s="1482">
        <f>Estadisticas!CE51</f>
        <v>2</v>
      </c>
      <c r="Q37" s="1483">
        <f>Estadisticas!CF51</f>
        <v>3</v>
      </c>
      <c r="R37" s="1484">
        <f>P37+Q37</f>
        <v>5</v>
      </c>
      <c r="S37" s="1482">
        <f>Estadisticas!CG51</f>
        <v>0</v>
      </c>
      <c r="T37" s="1483">
        <f>Estadisticas!CH51</f>
        <v>2</v>
      </c>
      <c r="U37" s="1484">
        <f>S37+T37</f>
        <v>2</v>
      </c>
      <c r="V37" s="1485">
        <f>D37+G37+J37+M37+P37+S37</f>
        <v>3</v>
      </c>
      <c r="W37" s="1483">
        <f>E37+H37+K37+N37+Q37+T37</f>
        <v>22</v>
      </c>
      <c r="X37" s="1486">
        <f>V37+W37</f>
        <v>25</v>
      </c>
    </row>
    <row r="38" spans="1:24" s="1466" customFormat="1" ht="21.75" customHeight="1" thickBot="1">
      <c r="A38" s="5184" t="s">
        <v>1455</v>
      </c>
      <c r="B38" s="5185"/>
      <c r="C38" s="5186"/>
      <c r="D38" s="2193">
        <f>S9+D35</f>
        <v>47</v>
      </c>
      <c r="E38" s="2194">
        <f>U9+E35</f>
        <v>50</v>
      </c>
      <c r="F38" s="2195">
        <f>D38+E38</f>
        <v>97</v>
      </c>
      <c r="G38" s="2204">
        <f>D34+G35</f>
        <v>49</v>
      </c>
      <c r="H38" s="2205">
        <f>E34+H35</f>
        <v>42</v>
      </c>
      <c r="I38" s="2206">
        <f>G38+H38</f>
        <v>91</v>
      </c>
      <c r="J38" s="2204">
        <f>G34+J35</f>
        <v>50</v>
      </c>
      <c r="K38" s="2205">
        <f>H34+K35</f>
        <v>38</v>
      </c>
      <c r="L38" s="2206">
        <f>J38+K38</f>
        <v>88</v>
      </c>
      <c r="M38" s="2204">
        <f>J34+M35</f>
        <v>41</v>
      </c>
      <c r="N38" s="2205">
        <f>K34+N35</f>
        <v>45</v>
      </c>
      <c r="O38" s="2206">
        <f>M38+N38</f>
        <v>86</v>
      </c>
      <c r="P38" s="2204">
        <f>M34+P35</f>
        <v>43</v>
      </c>
      <c r="Q38" s="2205">
        <f>N34+Q35</f>
        <v>30</v>
      </c>
      <c r="R38" s="2206">
        <f>P38+Q38</f>
        <v>73</v>
      </c>
      <c r="S38" s="2204">
        <f>P34+S35</f>
        <v>46</v>
      </c>
      <c r="T38" s="2205">
        <f>Q34+T35</f>
        <v>40</v>
      </c>
      <c r="U38" s="2206">
        <f>S38+T38</f>
        <v>86</v>
      </c>
      <c r="V38" s="2207">
        <f>D38+G38+J38+M38+P38+S38</f>
        <v>276</v>
      </c>
      <c r="W38" s="2205">
        <f>E38+H38+K38+N38+Q38+T38</f>
        <v>245</v>
      </c>
      <c r="X38" s="2208">
        <f>V38+W38</f>
        <v>521</v>
      </c>
    </row>
    <row r="39" spans="1:24" ht="20.25" customHeight="1" thickTop="1">
      <c r="A39" s="1465"/>
      <c r="B39" s="1465"/>
      <c r="C39" s="1465"/>
      <c r="D39" s="2198">
        <f>SUM('[4]0099M'!$D$38:$F$38+'[4]0100L'!$D$38:$F$38+'[4]0125U'!$D$38:$F$38+'[4]0156N'!$D$38:$F$38+'[4]0163X'!$D$38:$F$38+[4]ESC_P_06!$D$38:$F$38+[4]ESC_P_07!$D$38:$F$38+[4]ESC_P_08!$D$38:$F$38+[4]ESC_P_09!$D$38:$F$38)</f>
        <v>5</v>
      </c>
      <c r="E39" s="2199"/>
      <c r="F39" s="2198"/>
      <c r="G39" s="2198">
        <f>SUM('[4]0099M'!$G$38:$I$38+'[4]0100L'!$G$38:$I$38+'[4]0125U'!$G$38:$I$38+'[4]0156N'!$G$38:$I$38+'[4]0163X'!$G$38:$I$38+[4]ESC_P_06!$G$38:$I$38+[4]ESC_P_07!$G$38:$I$38+[4]ESC_P_08!$G$38:$I$38+[4]ESC_P_09!$G$38:$I$38+[4]ESC_P_10!$G$38:$I$38)</f>
        <v>5</v>
      </c>
      <c r="H39" s="2199"/>
      <c r="I39" s="2198"/>
      <c r="J39" s="2198">
        <f>SUM('[4]0099M'!$J$38:$L$38+'[4]0100L'!$J$38:$L$38+'[4]0125U'!$J$38:$L$38+'[4]0156N'!$J$38:$L$38+'[4]0163X'!$J$38:$L$38+[4]ESC_P_06!$J$38:$L$38+[4]ESC_P_07!$J$38:$L$38+[4]ESC_P_08!$J$38:$L$38+[4]ESC_P_09!$J$38:$L$38+[4]ESC_P_10!$J$38:$L$38)</f>
        <v>4</v>
      </c>
      <c r="K39" s="2199"/>
      <c r="L39" s="2198"/>
      <c r="M39" s="2198">
        <f>SUM('[4]0099M'!$M$38:$O$38+'[4]0100L'!$M$38:$O$38+'[4]0125U'!$M$38:$O$38+'[4]0156N'!$M$38:$O$38+'[4]0163X'!$M$38:$O$38+[4]ESC_P_06!$M$38:$O$38+[4]ESC_P_07!$M$38:$O$38+[4]ESC_P_08!$M$38:$O$38+[4]ESC_P_09!$M$38:$O$38+[4]ESC_P_10!$M$38:$O$38)</f>
        <v>4</v>
      </c>
      <c r="N39" s="2199"/>
      <c r="O39" s="2198"/>
      <c r="P39" s="2198">
        <f>SUM('[4]0099M'!$P$38:$R$38+'[4]0100L'!$P$38:$R$38+'[4]0125U'!$P$38:$R$38+'[4]0156N'!$P$38:$R$38+'[4]0163X'!$P$38:$R$38+[4]ESC_P_06!$P$38:$R$38+[4]ESC_P_07!$P$38:$R$38+[4]ESC_P_08!$P$38:$R$38+[4]ESC_P_09!$P$38:$R$38+[4]ESC_P_10!$P$38:$R$38)</f>
        <v>4</v>
      </c>
      <c r="Q39" s="2199"/>
      <c r="R39" s="2198"/>
      <c r="S39" s="2198">
        <f>SUM('[4]0099M'!$S$38:$U$38+'[4]0100L'!$S$38:$U$38+'[4]0125U'!$S$38:$U$38+'[4]0156N'!$S$38:$U$38+'[4]0163X'!$S$38:$U$38+[4]ESC_P_06!$S$38:$U$38+[4]ESC_P_07!$S$38:$U$38+[4]ESC_P_08!$S$38:$U$38+[4]ESC_P_09!$S$38:$U$38+[4]ESC_P_10!$S$38:$U$38)</f>
        <v>4</v>
      </c>
      <c r="T39" s="2199"/>
      <c r="U39" s="2200"/>
      <c r="V39" s="1465"/>
      <c r="W39" s="1465"/>
      <c r="X39" s="1465"/>
    </row>
    <row r="40" spans="1:24" ht="14.25" customHeight="1">
      <c r="A40" s="1465"/>
      <c r="B40" s="1465"/>
      <c r="C40" s="1465"/>
      <c r="D40" s="2198">
        <f>SUM([4]ESC_P_10!$D$38:$F$38+[4]ESC_P_11!$D$38:$F$38+[4]ESC_P_12!$D$38:$F$38+[4]ESC_P_13!$D$38:$F$38+[4]ESC_P_14!$D$38:$F$38+[4]ESC_P_15!$D$38:$F$38+[4]ESC_P_16!$D$38:$F$38+[4]ESC_P_17!$D$38:$F$38+[4]ESC_P_18!$D$38:$F$38)</f>
        <v>0</v>
      </c>
      <c r="E40" s="2198"/>
      <c r="F40" s="2198"/>
      <c r="G40" s="2198">
        <f>SUM([4]ESC_P_11!$G$38:$I$38+[4]ESC_P_12!$G$38:$I$38+[4]ESC_P_13!$G$38:$I$38+[4]ESC_P_14!$G$38:$I$38+[4]ESC_P_15!$G$38:$I$38+[4]ESC_P_16!$G$38:$I$38+[4]ESC_P_17!$G$38:$I$38+[4]ESC_P_18!$G$38:$I$38)</f>
        <v>0</v>
      </c>
      <c r="H40" s="2198"/>
      <c r="I40" s="2198"/>
      <c r="J40" s="2198">
        <f>SUM([4]ESC_P_11!$J$38:$L$38+[4]ESC_P_12!$J$38:$L$38+[4]ESC_P_13!$J$38:$L$38+[4]ESC_P_14!$J$38:$L$38+[4]ESC_P_15!$J$38:$L$38+[4]ESC_P_16!$J$38:$L$38+[4]ESC_P_17!$J$38:$L$38+[4]ESC_P_18!$J$38:$L$38)</f>
        <v>0</v>
      </c>
      <c r="K40" s="2198"/>
      <c r="L40" s="2198"/>
      <c r="M40" s="2198">
        <f>SUM([4]ESC_P_11!$M$38:$O$38+[4]ESC_P_12!$M$38:$O$38+[4]ESC_P_13!$M$38:$O$38+[4]ESC_P_14!$M$38:$O$38+[4]ESC_P_15!$M$38:$O$38+[4]ESC_P_16!$M$38:$O$38+[4]ESC_P_17!$M$38:$O$38+[4]ESC_P_18!$M$38:$O$38)</f>
        <v>0</v>
      </c>
      <c r="N40" s="2198"/>
      <c r="O40" s="2198"/>
      <c r="P40" s="2198">
        <f>SUM([4]ESC_P_11!$P$38:$R$38+[4]ESC_P_12!$P$38:$R$38+[4]ESC_P_13!$P$38:$R$38+[4]ESC_P_14!$P$38:$R$38+[4]ESC_P_15!$P$38:$R$38+[4]ESC_P_16!$P$38:$R$38+[4]ESC_P_17!$P$38:$R$38+[4]ESC_P_18!$P$38:$R$38)</f>
        <v>0</v>
      </c>
      <c r="Q40" s="2198"/>
      <c r="R40" s="2198"/>
      <c r="S40" s="2198">
        <f>SUM([4]ESC_P_11!$S$38:$U$38+[4]ESC_P_12!$S$38:$U$38+[4]ESC_P_13!$S$38:$U$38+[4]ESC_P_14!$S$38:$U$38+[4]ESC_P_15!$S$38:$U$38+[4]ESC_P_16!$S$38:$U$38+[4]ESC_P_17!$S$38:$U$38+[4]ESC_P_18!$S$38:$U$38)</f>
        <v>0</v>
      </c>
      <c r="T40" s="2198"/>
      <c r="U40" s="1465"/>
      <c r="V40" s="1465"/>
      <c r="W40" s="1465"/>
      <c r="X40" s="1465"/>
    </row>
    <row r="41" spans="1:24" ht="18.75" customHeight="1">
      <c r="A41" s="1465"/>
      <c r="B41" s="1465"/>
      <c r="C41" s="1465"/>
      <c r="D41" s="1465"/>
      <c r="E41" s="1465"/>
      <c r="F41" s="1465"/>
      <c r="G41" s="1465"/>
      <c r="H41" s="1465"/>
      <c r="I41" s="1471"/>
      <c r="J41" s="1471"/>
      <c r="K41" s="1471"/>
      <c r="L41" s="1471"/>
      <c r="M41" s="1471"/>
      <c r="N41" s="1471"/>
      <c r="O41" s="1465"/>
      <c r="P41" s="1465"/>
      <c r="Q41" s="1465"/>
      <c r="R41" s="1465"/>
      <c r="S41" s="1465"/>
      <c r="T41" s="1465"/>
      <c r="U41" s="1465"/>
      <c r="V41" s="2550" t="s">
        <v>1456</v>
      </c>
      <c r="W41" s="2550" t="s">
        <v>1145</v>
      </c>
      <c r="X41" s="2550" t="s">
        <v>1146</v>
      </c>
    </row>
    <row r="42" spans="1:24" s="1440" customFormat="1" ht="18.75" customHeight="1">
      <c r="A42" s="2262"/>
      <c r="B42" s="2262" t="s">
        <v>241</v>
      </c>
      <c r="C42" s="2262"/>
      <c r="D42" s="2179" t="s">
        <v>1743</v>
      </c>
      <c r="E42" s="2201"/>
      <c r="F42" s="2179"/>
      <c r="G42" s="4867" t="s">
        <v>26</v>
      </c>
      <c r="H42" s="4867"/>
      <c r="I42" s="4867"/>
      <c r="J42" s="4867"/>
      <c r="K42" s="4867"/>
      <c r="L42" s="4867"/>
      <c r="M42" s="4867"/>
      <c r="N42" s="2254"/>
      <c r="O42" s="2201" t="s">
        <v>1741</v>
      </c>
      <c r="P42" s="4868"/>
      <c r="Q42" s="4868"/>
      <c r="R42" s="4868"/>
      <c r="S42" s="4868"/>
      <c r="T42" s="4869" t="s">
        <v>109</v>
      </c>
      <c r="U42" s="4869"/>
      <c r="V42" s="2548" t="str">
        <f>Estadisticas!V44</f>
        <v>27</v>
      </c>
      <c r="W42" s="2549">
        <f>Estadisticas!W44</f>
        <v>3</v>
      </c>
      <c r="X42" s="2548" t="str">
        <f>Estadisticas!X44</f>
        <v>2014</v>
      </c>
    </row>
  </sheetData>
  <mergeCells count="46">
    <mergeCell ref="G1:R1"/>
    <mergeCell ref="S1:U1"/>
    <mergeCell ref="V1:X1"/>
    <mergeCell ref="I2:P2"/>
    <mergeCell ref="Q2:U2"/>
    <mergeCell ref="V2:X2"/>
    <mergeCell ref="E24:F24"/>
    <mergeCell ref="G3:R3"/>
    <mergeCell ref="S3:U3"/>
    <mergeCell ref="V3:X3"/>
    <mergeCell ref="A4:C4"/>
    <mergeCell ref="D4:O4"/>
    <mergeCell ref="R4:X4"/>
    <mergeCell ref="K8:L8"/>
    <mergeCell ref="K12:L12"/>
    <mergeCell ref="S14:V14"/>
    <mergeCell ref="S15:V15"/>
    <mergeCell ref="K17:L17"/>
    <mergeCell ref="A32:C32"/>
    <mergeCell ref="A27:C28"/>
    <mergeCell ref="D27:F27"/>
    <mergeCell ref="G27:I27"/>
    <mergeCell ref="J27:L27"/>
    <mergeCell ref="S27:U27"/>
    <mergeCell ref="V27:X27"/>
    <mergeCell ref="A29:C29"/>
    <mergeCell ref="A30:C30"/>
    <mergeCell ref="A31:C31"/>
    <mergeCell ref="M27:O27"/>
    <mergeCell ref="P27:R27"/>
    <mergeCell ref="V36:X36"/>
    <mergeCell ref="A37:C37"/>
    <mergeCell ref="A33:C33"/>
    <mergeCell ref="A34:C34"/>
    <mergeCell ref="A35:C35"/>
    <mergeCell ref="A36:C36"/>
    <mergeCell ref="D36:F36"/>
    <mergeCell ref="G36:I36"/>
    <mergeCell ref="A38:C38"/>
    <mergeCell ref="G42:M42"/>
    <mergeCell ref="P42:S42"/>
    <mergeCell ref="T42:U42"/>
    <mergeCell ref="J36:L36"/>
    <mergeCell ref="M36:O36"/>
    <mergeCell ref="P36:R36"/>
    <mergeCell ref="S36:U36"/>
  </mergeCells>
  <conditionalFormatting sqref="G7:I24 S9:W9 P7:Q24 D29:X29 D30:E30 D32:E32 D35:E35 W14:W24 G32:H32 J32:K32 M32:N32 P32:Q32 S32:T32 G29:H30 J29:K30 M29:N30 P29:Q30 S29:T30 G35:H35 J35:K35 M35:N35 P35:Q35 S35:T35 V36:X37">
    <cfRule type="cellIs" dxfId="705" priority="6" stopIfTrue="1" operator="equal">
      <formula>0</formula>
    </cfRule>
  </conditionalFormatting>
  <conditionalFormatting sqref="P33:Q33 F30:F33 D33:E33 I30:I33 G33:H33 L30:L33 J33:K33 O30:O33 M33:N33 R30:R33 U30:X33 D31:E31 G31:H31 J31:K31 M31:N31 P31:Q31 S31:T31 S33:T33">
    <cfRule type="cellIs" dxfId="704" priority="7" stopIfTrue="1" operator="equal">
      <formula>0</formula>
    </cfRule>
    <cfRule type="expression" dxfId="703" priority="8" stopIfTrue="1">
      <formula>$W$42=9</formula>
    </cfRule>
    <cfRule type="expression" dxfId="702" priority="9" stopIfTrue="1">
      <formula>$W$42=10</formula>
    </cfRule>
  </conditionalFormatting>
  <conditionalFormatting sqref="D38:X38 D34:E34 F34:F35 G34:H34 I34:I35 J34:K34 L34:L35 M34:N34 O34:O35 P34:Q34 R34:R35 U34:X35 S34:T34">
    <cfRule type="cellIs" dxfId="701" priority="10" stopIfTrue="1" operator="equal">
      <formula>0</formula>
    </cfRule>
    <cfRule type="expression" dxfId="700" priority="11" stopIfTrue="1">
      <formula>$W$42=6</formula>
    </cfRule>
    <cfRule type="expression" dxfId="699" priority="12" stopIfTrue="1">
      <formula>$W$42=7</formula>
    </cfRule>
  </conditionalFormatting>
  <conditionalFormatting sqref="R4 D4:O4 G42:M42 V1:V3">
    <cfRule type="cellIs" dxfId="698" priority="13" stopIfTrue="1" operator="equal">
      <formula>0</formula>
    </cfRule>
  </conditionalFormatting>
  <conditionalFormatting sqref="W42">
    <cfRule type="cellIs" dxfId="697" priority="14" stopIfTrue="1" operator="equal">
      <formula>0</formula>
    </cfRule>
  </conditionalFormatting>
  <conditionalFormatting sqref="V26:X26">
    <cfRule type="cellIs" dxfId="696" priority="5" operator="equal">
      <formula>0</formula>
    </cfRule>
  </conditionalFormatting>
  <conditionalFormatting sqref="D26:U26">
    <cfRule type="cellIs" dxfId="695" priority="4" operator="equal">
      <formula>0</formula>
    </cfRule>
  </conditionalFormatting>
  <conditionalFormatting sqref="D36:U36">
    <cfRule type="cellIs" dxfId="694" priority="3" stopIfTrue="1" operator="equal">
      <formula>0</formula>
    </cfRule>
  </conditionalFormatting>
  <conditionalFormatting sqref="D37:S37 U37">
    <cfRule type="cellIs" dxfId="693" priority="2" stopIfTrue="1" operator="equal">
      <formula>0</formula>
    </cfRule>
  </conditionalFormatting>
  <conditionalFormatting sqref="T37">
    <cfRule type="cellIs" dxfId="692" priority="1" stopIfTrue="1" operator="equal">
      <formula>0</formula>
    </cfRule>
  </conditionalFormatting>
  <printOptions horizontalCentered="1"/>
  <pageMargins left="0.11811023622047245" right="0.11811023622047245" top="0.39370078740157483" bottom="0.15748031496062992" header="0" footer="0"/>
  <pageSetup scale="74" orientation="landscape" r:id="rId1"/>
  <drawing r:id="rId2"/>
  <legacyDrawing r:id="rId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7">
    <tabColor rgb="FF33CC33"/>
  </sheetPr>
  <dimension ref="A1:DD57"/>
  <sheetViews>
    <sheetView view="pageBreakPreview" topLeftCell="A10" zoomScale="75" zoomScaleNormal="91" zoomScaleSheetLayoutView="75" workbookViewId="0">
      <selection activeCell="CZ10" sqref="Z1:CZ1048576"/>
    </sheetView>
  </sheetViews>
  <sheetFormatPr baseColWidth="10" defaultRowHeight="12.75"/>
  <cols>
    <col min="1" max="24" width="7.42578125" style="417" customWidth="1"/>
    <col min="25" max="25" width="0.5703125" style="417" customWidth="1"/>
    <col min="26" max="33" width="4.85546875" style="417" hidden="1" customWidth="1"/>
    <col min="34" max="51" width="4.85546875" style="1466" hidden="1" customWidth="1"/>
    <col min="52" max="92" width="4.85546875" style="417" hidden="1" customWidth="1"/>
    <col min="93" max="104" width="5.140625" style="417" hidden="1" customWidth="1"/>
    <col min="105" max="16384" width="11.42578125" style="417"/>
  </cols>
  <sheetData>
    <row r="1" spans="1:104" ht="20.100000000000001" customHeight="1">
      <c r="A1" s="1465"/>
      <c r="B1" s="1465"/>
      <c r="C1" s="1465"/>
      <c r="D1" s="1465"/>
      <c r="E1" s="1465"/>
      <c r="F1" s="1465"/>
      <c r="G1" s="4888" t="s">
        <v>261</v>
      </c>
      <c r="H1" s="4888"/>
      <c r="I1" s="4888"/>
      <c r="J1" s="4888"/>
      <c r="K1" s="4888"/>
      <c r="L1" s="4888"/>
      <c r="M1" s="4888"/>
      <c r="N1" s="4888"/>
      <c r="O1" s="4888"/>
      <c r="P1" s="4888"/>
      <c r="Q1" s="4888"/>
      <c r="R1" s="4888"/>
      <c r="S1" s="5220" t="s">
        <v>1149</v>
      </c>
      <c r="T1" s="5220"/>
      <c r="U1" s="5220"/>
      <c r="V1" s="5221" t="str">
        <f>'VISITA DE INSP.'!AT9</f>
        <v>2012 / 2013</v>
      </c>
      <c r="W1" s="5222"/>
      <c r="X1" s="5222"/>
      <c r="Y1" s="801"/>
      <c r="Z1" s="2303">
        <f>'VISITA DE INSP.'!HG1</f>
        <v>0</v>
      </c>
      <c r="AA1" s="2355"/>
      <c r="AB1" s="4904" t="str">
        <f>'VISITA DE INSP.'!HI1</f>
        <v>DATOS DE LA ESCUELA</v>
      </c>
      <c r="AC1" s="4904"/>
      <c r="AD1" s="4904"/>
      <c r="AE1" s="4904"/>
      <c r="AF1" s="4904"/>
      <c r="AG1" s="4904"/>
      <c r="AH1" s="4904"/>
      <c r="AI1" s="3938"/>
      <c r="AJ1" s="5216" t="str">
        <f>'VISITA DE INSP.'!HQ1</f>
        <v>CARACTERISTICAS DE LA ESCUELA</v>
      </c>
      <c r="AK1" s="5201"/>
      <c r="AL1" s="5201"/>
      <c r="AM1" s="5201"/>
      <c r="AN1" s="5201"/>
      <c r="AO1" s="5201"/>
      <c r="AP1" s="5201"/>
      <c r="AQ1" s="5201"/>
      <c r="AR1" s="5201"/>
      <c r="AS1" s="5201"/>
      <c r="AT1" s="5201"/>
      <c r="AU1" s="5201"/>
      <c r="AV1" s="5201"/>
      <c r="AW1" s="5201"/>
      <c r="AX1" s="5201"/>
      <c r="AY1" s="5202"/>
      <c r="AZ1" s="5224" t="str">
        <f>'VISITA DE INSP.'!IG1</f>
        <v>CARATERISTICAS DEL PERSONAL DE LA ESCUELA</v>
      </c>
      <c r="BA1" s="5224"/>
      <c r="BB1" s="5224"/>
      <c r="BC1" s="5224"/>
      <c r="BD1" s="5224"/>
      <c r="BE1" s="5224"/>
      <c r="BF1" s="5224"/>
      <c r="BG1" s="5224"/>
      <c r="BH1" s="5224"/>
      <c r="BI1" s="5224"/>
      <c r="BJ1" s="5224"/>
      <c r="BK1" s="5224"/>
      <c r="BL1" s="5224"/>
      <c r="BM1" s="5224"/>
      <c r="BN1" s="5224"/>
      <c r="BO1" s="5216" t="str">
        <f>'VISITA DE INSP.'!IV1</f>
        <v>GRUPOS POR GRADOS</v>
      </c>
      <c r="BP1" s="5201"/>
      <c r="BQ1" s="5201"/>
      <c r="BR1" s="5201"/>
      <c r="BS1" s="5201"/>
      <c r="BT1" s="5202"/>
      <c r="BU1" s="2351" t="str">
        <f>'VISITA DE INSP.'!JB1</f>
        <v>D</v>
      </c>
      <c r="BV1" s="2352" t="str">
        <f>'VISITA DE INSP.'!JC1</f>
        <v>I</v>
      </c>
      <c r="BW1" s="5216" t="str">
        <f>'VISITA DE INSP.'!JD1</f>
        <v>INICIAL</v>
      </c>
      <c r="BX1" s="5201"/>
      <c r="BY1" s="5201"/>
      <c r="BZ1" s="5201"/>
      <c r="CA1" s="5212">
        <f>'VISITA DE INSP.'!JH1</f>
        <v>3320</v>
      </c>
      <c r="CB1" s="5213"/>
      <c r="CC1" s="5214" t="str">
        <f>'VISITA DE INSP.'!JJ1</f>
        <v>ALTAS</v>
      </c>
      <c r="CD1" s="5215"/>
      <c r="CE1" s="5215"/>
      <c r="CF1" s="5215"/>
      <c r="CG1" s="5201">
        <f>'VISITA DE INSP.'!JN1</f>
        <v>243</v>
      </c>
      <c r="CH1" s="5202"/>
      <c r="CI1" s="5217" t="str">
        <f>'VISITA DE INSP.'!JP1</f>
        <v>BAJAS</v>
      </c>
      <c r="CJ1" s="5218"/>
      <c r="CK1" s="5218"/>
      <c r="CL1" s="5218"/>
      <c r="CM1" s="5201">
        <f>'VISITA DE INSP.'!JT1</f>
        <v>330</v>
      </c>
      <c r="CN1" s="5202"/>
      <c r="CO1" s="5199" t="str">
        <f>'VISITA DE INSP.'!JV1</f>
        <v>EXISTENCIA</v>
      </c>
      <c r="CP1" s="5200"/>
      <c r="CQ1" s="5200"/>
      <c r="CR1" s="5200"/>
      <c r="CS1" s="5201">
        <f>'VISITA DE INSP.'!JZ1</f>
        <v>3233</v>
      </c>
      <c r="CT1" s="5202"/>
      <c r="CU1" s="5216" t="str">
        <f>'VISITA DE INSP.'!KB1</f>
        <v>REPROBADOS</v>
      </c>
      <c r="CV1" s="5201"/>
      <c r="CW1" s="5201"/>
      <c r="CX1" s="5201"/>
      <c r="CY1" s="5201"/>
      <c r="CZ1" s="5202"/>
    </row>
    <row r="2" spans="1:104" ht="20.100000000000001" customHeight="1">
      <c r="A2" s="1465"/>
      <c r="B2" s="1465"/>
      <c r="C2" s="1465"/>
      <c r="D2" s="1465"/>
      <c r="E2" s="1465"/>
      <c r="F2" s="1465"/>
      <c r="G2" s="4888" t="s">
        <v>1410</v>
      </c>
      <c r="H2" s="4888"/>
      <c r="I2" s="4888"/>
      <c r="J2" s="4888"/>
      <c r="K2" s="4888"/>
      <c r="L2" s="4888"/>
      <c r="M2" s="4888"/>
      <c r="N2" s="4888"/>
      <c r="O2" s="4888"/>
      <c r="P2" s="4888"/>
      <c r="Q2" s="4888"/>
      <c r="R2" s="4888"/>
      <c r="S2" s="5220" t="s">
        <v>42</v>
      </c>
      <c r="T2" s="5220"/>
      <c r="U2" s="5220"/>
      <c r="V2" s="5223" t="str">
        <f>'VISITA DE INSP.'!K9</f>
        <v>042</v>
      </c>
      <c r="W2" s="5223"/>
      <c r="X2" s="5223"/>
      <c r="Y2" s="801"/>
      <c r="Z2" s="2302">
        <f>'VISITA DE INSP.'!HG2</f>
        <v>0</v>
      </c>
      <c r="AA2" s="2341">
        <f>'VISITA DE INSP.'!HH2</f>
        <v>2</v>
      </c>
      <c r="AB2" s="2302">
        <f>'VISITA DE INSP.'!HI2</f>
        <v>3</v>
      </c>
      <c r="AC2" s="2302">
        <f>'VISITA DE INSP.'!HJ2</f>
        <v>4</v>
      </c>
      <c r="AD2" s="2302">
        <f>'VISITA DE INSP.'!HK2</f>
        <v>5</v>
      </c>
      <c r="AE2" s="2302">
        <f>'VISITA DE INSP.'!HL2</f>
        <v>6</v>
      </c>
      <c r="AF2" s="2302">
        <f>'VISITA DE INSP.'!HM2</f>
        <v>7</v>
      </c>
      <c r="AG2" s="2302">
        <f>'VISITA DE INSP.'!HN2</f>
        <v>8</v>
      </c>
      <c r="AH2" s="2302">
        <f>'VISITA DE INSP.'!HO2</f>
        <v>9</v>
      </c>
      <c r="AI2" s="2302">
        <f>'VISITA DE INSP.'!HP2</f>
        <v>10</v>
      </c>
      <c r="AJ2" s="2302">
        <f>'VISITA DE INSP.'!HQ2</f>
        <v>11</v>
      </c>
      <c r="AK2" s="2302">
        <f>'VISITA DE INSP.'!HR2</f>
        <v>12</v>
      </c>
      <c r="AL2" s="2302">
        <f>'VISITA DE INSP.'!HS2</f>
        <v>13</v>
      </c>
      <c r="AM2" s="2302">
        <f>'VISITA DE INSP.'!HT2</f>
        <v>14</v>
      </c>
      <c r="AN2" s="2302">
        <f>'VISITA DE INSP.'!HU2</f>
        <v>15</v>
      </c>
      <c r="AO2" s="2302">
        <f>'VISITA DE INSP.'!HV2</f>
        <v>16</v>
      </c>
      <c r="AP2" s="2302">
        <f>'VISITA DE INSP.'!HW2</f>
        <v>17</v>
      </c>
      <c r="AQ2" s="2302">
        <f>'VISITA DE INSP.'!HX2</f>
        <v>18</v>
      </c>
      <c r="AR2" s="2302">
        <f>'VISITA DE INSP.'!HY2</f>
        <v>19</v>
      </c>
      <c r="AS2" s="2302">
        <f>'VISITA DE INSP.'!HZ2</f>
        <v>20</v>
      </c>
      <c r="AT2" s="2302">
        <f>'VISITA DE INSP.'!IA2</f>
        <v>21</v>
      </c>
      <c r="AU2" s="2302">
        <f>'VISITA DE INSP.'!IB2</f>
        <v>22</v>
      </c>
      <c r="AV2" s="2302">
        <f>'VISITA DE INSP.'!IC2</f>
        <v>23</v>
      </c>
      <c r="AW2" s="2302">
        <f>'VISITA DE INSP.'!ID2</f>
        <v>24</v>
      </c>
      <c r="AX2" s="2302">
        <f>'VISITA DE INSP.'!IE2</f>
        <v>25</v>
      </c>
      <c r="AY2" s="2302">
        <f>'VISITA DE INSP.'!IF2</f>
        <v>26</v>
      </c>
      <c r="AZ2" s="2325">
        <f>'VISITA DE INSP.'!IG2</f>
        <v>27</v>
      </c>
      <c r="BA2" s="2325">
        <f>'VISITA DE INSP.'!IH2</f>
        <v>28</v>
      </c>
      <c r="BB2" s="2325">
        <f>'VISITA DE INSP.'!II2</f>
        <v>29</v>
      </c>
      <c r="BC2" s="2325">
        <f>'VISITA DE INSP.'!IJ2</f>
        <v>30</v>
      </c>
      <c r="BD2" s="2327">
        <f>'VISITA DE INSP.'!IK2</f>
        <v>31</v>
      </c>
      <c r="BE2" s="2302">
        <f>'VISITA DE INSP.'!IL2</f>
        <v>32</v>
      </c>
      <c r="BF2" s="2302">
        <f>'VISITA DE INSP.'!IM2</f>
        <v>33</v>
      </c>
      <c r="BG2" s="2302">
        <f>'VISITA DE INSP.'!IN2</f>
        <v>34</v>
      </c>
      <c r="BH2" s="2326">
        <f>'VISITA DE INSP.'!IO2</f>
        <v>35</v>
      </c>
      <c r="BI2" s="2325">
        <f>'VISITA DE INSP.'!IP2</f>
        <v>36</v>
      </c>
      <c r="BJ2" s="2325">
        <f>'VISITA DE INSP.'!IQ2</f>
        <v>37</v>
      </c>
      <c r="BK2" s="2325">
        <f>'VISITA DE INSP.'!IR2</f>
        <v>38</v>
      </c>
      <c r="BL2" s="2325">
        <f>'VISITA DE INSP.'!IS2</f>
        <v>39</v>
      </c>
      <c r="BM2" s="2325">
        <f>'VISITA DE INSP.'!IT2</f>
        <v>40</v>
      </c>
      <c r="BN2" s="2325">
        <f>'VISITA DE INSP.'!IU2</f>
        <v>41</v>
      </c>
      <c r="BO2" s="2302">
        <f>'VISITA DE INSP.'!IV2</f>
        <v>42</v>
      </c>
      <c r="BP2" s="2302">
        <f>'VISITA DE INSP.'!IW2</f>
        <v>43</v>
      </c>
      <c r="BQ2" s="2302">
        <f>'VISITA DE INSP.'!IX2</f>
        <v>44</v>
      </c>
      <c r="BR2" s="2302">
        <f>'VISITA DE INSP.'!IY2</f>
        <v>45</v>
      </c>
      <c r="BS2" s="2302">
        <f>'VISITA DE INSP.'!IZ2</f>
        <v>46</v>
      </c>
      <c r="BT2" s="2302">
        <f>'VISITA DE INSP.'!JA2</f>
        <v>47</v>
      </c>
      <c r="BU2" s="2302">
        <f>'VISITA DE INSP.'!JB2</f>
        <v>48</v>
      </c>
      <c r="BV2" s="2302">
        <f>'VISITA DE INSP.'!JC2</f>
        <v>49</v>
      </c>
      <c r="BW2" s="2302">
        <f>'VISITA DE INSP.'!JD2</f>
        <v>50</v>
      </c>
      <c r="BX2" s="2302">
        <f>'VISITA DE INSP.'!JE2</f>
        <v>51</v>
      </c>
      <c r="BY2" s="2302">
        <f>'VISITA DE INSP.'!JF2</f>
        <v>52</v>
      </c>
      <c r="BZ2" s="2302">
        <f>'VISITA DE INSP.'!JG2</f>
        <v>53</v>
      </c>
      <c r="CA2" s="2302">
        <f>'VISITA DE INSP.'!JH2</f>
        <v>54</v>
      </c>
      <c r="CB2" s="2302">
        <f>'VISITA DE INSP.'!JI2</f>
        <v>55</v>
      </c>
      <c r="CC2" s="2302">
        <f>'VISITA DE INSP.'!JJ2</f>
        <v>56</v>
      </c>
      <c r="CD2" s="2302">
        <f>'VISITA DE INSP.'!JK2</f>
        <v>57</v>
      </c>
      <c r="CE2" s="2302">
        <f>'VISITA DE INSP.'!JL2</f>
        <v>58</v>
      </c>
      <c r="CF2" s="2302">
        <f>'VISITA DE INSP.'!JM2</f>
        <v>59</v>
      </c>
      <c r="CG2" s="2302">
        <f>'VISITA DE INSP.'!JN2</f>
        <v>60</v>
      </c>
      <c r="CH2" s="2302">
        <f>'VISITA DE INSP.'!JO2</f>
        <v>61</v>
      </c>
      <c r="CI2" s="2302">
        <f>'VISITA DE INSP.'!JP2</f>
        <v>62</v>
      </c>
      <c r="CJ2" s="2302">
        <f>'VISITA DE INSP.'!JQ2</f>
        <v>63</v>
      </c>
      <c r="CK2" s="2302">
        <f>'VISITA DE INSP.'!JR2</f>
        <v>64</v>
      </c>
      <c r="CL2" s="2302">
        <f>'VISITA DE INSP.'!JS2</f>
        <v>65</v>
      </c>
      <c r="CM2" s="2302">
        <f>'VISITA DE INSP.'!JT2</f>
        <v>66</v>
      </c>
      <c r="CN2" s="2302">
        <f>'VISITA DE INSP.'!JU2</f>
        <v>67</v>
      </c>
      <c r="CO2" s="2302">
        <f>'VISITA DE INSP.'!JV2</f>
        <v>68</v>
      </c>
      <c r="CP2" s="2302">
        <f>'VISITA DE INSP.'!JW2</f>
        <v>69</v>
      </c>
      <c r="CQ2" s="2302">
        <f>'VISITA DE INSP.'!JX2</f>
        <v>70</v>
      </c>
      <c r="CR2" s="2302">
        <f>'VISITA DE INSP.'!JY2</f>
        <v>71</v>
      </c>
      <c r="CS2" s="2302">
        <f>'VISITA DE INSP.'!JZ2</f>
        <v>72</v>
      </c>
      <c r="CT2" s="2302">
        <f>'VISITA DE INSP.'!KA2</f>
        <v>73</v>
      </c>
      <c r="CU2" s="2302">
        <f>'VISITA DE INSP.'!KB2</f>
        <v>74</v>
      </c>
      <c r="CV2" s="2302">
        <f>'VISITA DE INSP.'!KC2</f>
        <v>75</v>
      </c>
      <c r="CW2" s="2302">
        <f>'VISITA DE INSP.'!KD2</f>
        <v>76</v>
      </c>
      <c r="CX2" s="2302">
        <f>'VISITA DE INSP.'!KE2</f>
        <v>77</v>
      </c>
      <c r="CY2" s="2302">
        <f>'VISITA DE INSP.'!KF2</f>
        <v>78</v>
      </c>
      <c r="CZ2" s="2302">
        <f>'VISITA DE INSP.'!KG2</f>
        <v>79</v>
      </c>
    </row>
    <row r="3" spans="1:104" ht="20.100000000000001" customHeight="1">
      <c r="A3" s="1465"/>
      <c r="B3" s="5234"/>
      <c r="C3" s="5234"/>
      <c r="D3" s="5234"/>
      <c r="E3" s="1465"/>
      <c r="F3" s="1465"/>
      <c r="H3" s="1413"/>
      <c r="I3" s="4888" t="s">
        <v>1411</v>
      </c>
      <c r="J3" s="4888"/>
      <c r="K3" s="4888"/>
      <c r="L3" s="4888"/>
      <c r="M3" s="4888"/>
      <c r="N3" s="4888"/>
      <c r="O3" s="4888"/>
      <c r="P3" s="4888"/>
      <c r="R3" s="1432" t="s">
        <v>1412</v>
      </c>
      <c r="S3" s="5232" t="str">
        <f>VLOOKUP(K13,Z2:CH22,2,2)</f>
        <v>gemelamarcar@hotmail.com</v>
      </c>
      <c r="T3" s="5232"/>
      <c r="U3" s="5232"/>
      <c r="V3" s="5232"/>
      <c r="W3" s="5232"/>
      <c r="X3" s="5232"/>
      <c r="Y3" s="801"/>
      <c r="Z3" s="2351">
        <f>'VISITA DE INSP.'!HG3</f>
        <v>1</v>
      </c>
      <c r="AA3" s="2342" t="str">
        <f>'VISITA DE INSP.'!HH3</f>
        <v>antonia-sari02@hotmail</v>
      </c>
      <c r="AB3" s="3738" t="str">
        <f>'VISITA DE INSP.'!HI3</f>
        <v>KABAH</v>
      </c>
      <c r="AC3" s="3738" t="str">
        <f>'VISITA DE INSP.'!HJ3</f>
        <v>23DPR0055K</v>
      </c>
      <c r="AD3" s="3738" t="str">
        <f>'VISITA DE INSP.'!HK3</f>
        <v>C. OCOSINGO CON OCOTEPEC</v>
      </c>
      <c r="AE3" s="3738" t="str">
        <f>'VISITA DE INSP.'!HL3</f>
        <v>9981 49 34 04</v>
      </c>
      <c r="AF3" s="3738" t="str">
        <f>'VISITA DE INSP.'!HM3</f>
        <v>CANCÚN</v>
      </c>
      <c r="AG3" s="3738" t="str">
        <f>'VISITA DE INSP.'!HN3</f>
        <v>BENITO JUAREZ</v>
      </c>
      <c r="AH3" s="2343" t="str">
        <f>'VISITA DE INSP.'!HO3</f>
        <v>X</v>
      </c>
      <c r="AI3" s="2352">
        <f>'VISITA DE INSP.'!HP3</f>
        <v>0</v>
      </c>
      <c r="AJ3" s="2353" t="str">
        <f>'VISITA DE INSP.'!HQ3</f>
        <v>X</v>
      </c>
      <c r="AK3" s="1463">
        <f>'VISITA DE INSP.'!HR3</f>
        <v>0</v>
      </c>
      <c r="AL3" s="1463" t="str">
        <f>'VISITA DE INSP.'!HS3</f>
        <v>X</v>
      </c>
      <c r="AM3" s="1463">
        <f>'VISITA DE INSP.'!HT3</f>
        <v>0</v>
      </c>
      <c r="AN3" s="1463" t="str">
        <f>'VISITA DE INSP.'!HU3</f>
        <v>X</v>
      </c>
      <c r="AO3" s="1463">
        <f>'VISITA DE INSP.'!HV3</f>
        <v>0</v>
      </c>
      <c r="AP3" s="1463">
        <f>'VISITA DE INSP.'!HW3</f>
        <v>0</v>
      </c>
      <c r="AQ3" s="1463">
        <f>'VISITA DE INSP.'!HX3</f>
        <v>0</v>
      </c>
      <c r="AR3" s="1463" t="str">
        <f>'VISITA DE INSP.'!HY3</f>
        <v>X</v>
      </c>
      <c r="AS3" s="1463" t="str">
        <f>'VISITA DE INSP.'!HZ3</f>
        <v>X</v>
      </c>
      <c r="AT3" s="1463">
        <f>'VISITA DE INSP.'!IA3</f>
        <v>0</v>
      </c>
      <c r="AU3" s="1463">
        <f>'VISITA DE INSP.'!IB3</f>
        <v>12</v>
      </c>
      <c r="AV3" s="1463">
        <f>'VISITA DE INSP.'!IC3</f>
        <v>1</v>
      </c>
      <c r="AW3" s="1463">
        <f>'VISITA DE INSP.'!ID3</f>
        <v>0</v>
      </c>
      <c r="AX3" s="1463">
        <f>'VISITA DE INSP.'!IE3</f>
        <v>0</v>
      </c>
      <c r="AY3" s="2346">
        <f>'VISITA DE INSP.'!IF3</f>
        <v>0</v>
      </c>
      <c r="AZ3" s="2353">
        <f>'VISITA DE INSP.'!IG3</f>
        <v>0</v>
      </c>
      <c r="BA3" s="2340">
        <f>'VISITA DE INSP.'!IH3</f>
        <v>1</v>
      </c>
      <c r="BB3" s="2340">
        <f>'VISITA DE INSP.'!II3</f>
        <v>0</v>
      </c>
      <c r="BC3" s="2346">
        <f>'VISITA DE INSP.'!IJ3</f>
        <v>0</v>
      </c>
      <c r="BD3" s="1463">
        <f>'VISITA DE INSP.'!IK3</f>
        <v>12</v>
      </c>
      <c r="BE3" s="1463">
        <f>'VISITA DE INSP.'!IL3</f>
        <v>1</v>
      </c>
      <c r="BF3" s="1463">
        <f>'VISITA DE INSP.'!IM3</f>
        <v>1</v>
      </c>
      <c r="BG3" s="1463">
        <f>'VISITA DE INSP.'!IN3</f>
        <v>1</v>
      </c>
      <c r="BH3" s="1463">
        <f>'VISITA DE INSP.'!IO3</f>
        <v>0</v>
      </c>
      <c r="BI3" s="2353">
        <f>'VISITA DE INSP.'!IP3</f>
        <v>0</v>
      </c>
      <c r="BJ3" s="2346">
        <f>'VISITA DE INSP.'!IQ3</f>
        <v>0</v>
      </c>
      <c r="BK3" s="2353">
        <f>'VISITA DE INSP.'!IR3</f>
        <v>1</v>
      </c>
      <c r="BL3" s="2340">
        <f>'VISITA DE INSP.'!IS3</f>
        <v>8</v>
      </c>
      <c r="BM3" s="2340">
        <f>'VISITA DE INSP.'!IT3</f>
        <v>0</v>
      </c>
      <c r="BN3" s="2346">
        <f>'VISITA DE INSP.'!IU3</f>
        <v>0</v>
      </c>
      <c r="BO3" s="2353">
        <f>'VISITA DE INSP.'!IV3</f>
        <v>2</v>
      </c>
      <c r="BP3" s="1463">
        <f>'VISITA DE INSP.'!IW3</f>
        <v>2</v>
      </c>
      <c r="BQ3" s="1463">
        <f>'VISITA DE INSP.'!IX3</f>
        <v>2</v>
      </c>
      <c r="BR3" s="1463">
        <f>'VISITA DE INSP.'!IY3</f>
        <v>2</v>
      </c>
      <c r="BS3" s="1463">
        <f>'VISITA DE INSP.'!IZ3</f>
        <v>2</v>
      </c>
      <c r="BT3" s="2346">
        <f>'VISITA DE INSP.'!JA3</f>
        <v>2</v>
      </c>
      <c r="BU3" s="3739" t="str">
        <f>'VISITA DE INSP.'!JB3</f>
        <v>ANTONIA CERVANTES BENITEZ</v>
      </c>
      <c r="BV3" s="3740" t="str">
        <f>'VISITA DE INSP.'!JC3</f>
        <v>JESUS MARTIN RICALDE CASTRO</v>
      </c>
      <c r="BW3" s="2353">
        <f>'VISITA DE INSP.'!JD3</f>
        <v>57</v>
      </c>
      <c r="BX3" s="1463">
        <f>'VISITA DE INSP.'!JE3</f>
        <v>68</v>
      </c>
      <c r="BY3" s="1463">
        <f>'VISITA DE INSP.'!JF3</f>
        <v>62</v>
      </c>
      <c r="BZ3" s="1463">
        <f>'VISITA DE INSP.'!JG3</f>
        <v>68</v>
      </c>
      <c r="CA3" s="1463">
        <f>'VISITA DE INSP.'!JH3</f>
        <v>65</v>
      </c>
      <c r="CB3" s="2346">
        <f>'VISITA DE INSP.'!JI3</f>
        <v>70</v>
      </c>
      <c r="CC3" s="2353">
        <f>'VISITA DE INSP.'!JJ3</f>
        <v>5</v>
      </c>
      <c r="CD3" s="1463">
        <f>'VISITA DE INSP.'!JK3</f>
        <v>4</v>
      </c>
      <c r="CE3" s="1463">
        <f>'VISITA DE INSP.'!JL3</f>
        <v>1</v>
      </c>
      <c r="CF3" s="1463">
        <f>'VISITA DE INSP.'!JM3</f>
        <v>1</v>
      </c>
      <c r="CG3" s="1463">
        <f>'VISITA DE INSP.'!JN3</f>
        <v>2</v>
      </c>
      <c r="CH3" s="2346">
        <f>'VISITA DE INSP.'!JO3</f>
        <v>3</v>
      </c>
      <c r="CI3" s="2353">
        <f>'VISITA DE INSP.'!JP3</f>
        <v>6</v>
      </c>
      <c r="CJ3" s="1463">
        <f>'VISITA DE INSP.'!JQ3</f>
        <v>8</v>
      </c>
      <c r="CK3" s="1463">
        <f>'VISITA DE INSP.'!JR3</f>
        <v>6</v>
      </c>
      <c r="CL3" s="1463">
        <f>'VISITA DE INSP.'!JS3</f>
        <v>9</v>
      </c>
      <c r="CM3" s="1463">
        <f>'VISITA DE INSP.'!JT3</f>
        <v>14</v>
      </c>
      <c r="CN3" s="2346">
        <f>'VISITA DE INSP.'!JU3</f>
        <v>13</v>
      </c>
      <c r="CO3" s="2353">
        <f>'VISITA DE INSP.'!JV3</f>
        <v>56</v>
      </c>
      <c r="CP3" s="1463">
        <f>'VISITA DE INSP.'!JW3</f>
        <v>64</v>
      </c>
      <c r="CQ3" s="1463">
        <f>'VISITA DE INSP.'!JX3</f>
        <v>57</v>
      </c>
      <c r="CR3" s="1463">
        <f>'VISITA DE INSP.'!JY3</f>
        <v>60</v>
      </c>
      <c r="CS3" s="1463">
        <f>'VISITA DE INSP.'!JZ3</f>
        <v>53</v>
      </c>
      <c r="CT3" s="2346">
        <f>'VISITA DE INSP.'!KA3</f>
        <v>60</v>
      </c>
      <c r="CU3" s="2353">
        <f>'VISITA DE INSP.'!KB3</f>
        <v>0</v>
      </c>
      <c r="CV3" s="1463">
        <f>'VISITA DE INSP.'!KC3</f>
        <v>0</v>
      </c>
      <c r="CW3" s="1463">
        <f>'VISITA DE INSP.'!KD3</f>
        <v>0</v>
      </c>
      <c r="CX3" s="1463">
        <f>'VISITA DE INSP.'!KE3</f>
        <v>0</v>
      </c>
      <c r="CY3" s="1463">
        <f>'VISITA DE INSP.'!KF3</f>
        <v>0</v>
      </c>
      <c r="CZ3" s="2346">
        <f>'VISITA DE INSP.'!KG3</f>
        <v>0</v>
      </c>
    </row>
    <row r="4" spans="1:104" ht="15" customHeight="1" thickBot="1">
      <c r="A4" s="1465"/>
      <c r="B4" s="5235"/>
      <c r="C4" s="5235"/>
      <c r="D4" s="5235"/>
      <c r="E4" s="1465"/>
      <c r="F4" s="1465"/>
      <c r="G4" s="1465"/>
      <c r="H4" s="1465"/>
      <c r="I4" s="1465"/>
      <c r="J4" s="1465"/>
      <c r="K4" s="1465"/>
      <c r="L4" s="1465"/>
      <c r="M4" s="1465"/>
      <c r="N4" s="1465"/>
      <c r="O4" s="1465"/>
      <c r="P4" s="1465"/>
      <c r="Q4" s="1465"/>
      <c r="R4" s="1465"/>
      <c r="S4" s="1465"/>
      <c r="T4" s="1465"/>
      <c r="U4" s="1465"/>
      <c r="V4" s="1465"/>
      <c r="W4" s="1465"/>
      <c r="X4" s="1465"/>
      <c r="Y4" s="801"/>
      <c r="Z4" s="2353">
        <f>'VISITA DE INSP.'!HG4</f>
        <v>2</v>
      </c>
      <c r="AA4" s="2330" t="str">
        <f>'VISITA DE INSP.'!HH4</f>
        <v>toloc65@hotmail.com</v>
      </c>
      <c r="AB4" s="1462" t="str">
        <f>'VISITA DE INSP.'!HI4</f>
        <v>8 DE OCTUBRE</v>
      </c>
      <c r="AC4" s="1462" t="str">
        <f>'VISITA DE INSP.'!HJ4</f>
        <v>23DPR0491L</v>
      </c>
      <c r="AD4" s="1462" t="str">
        <f>'VISITA DE INSP.'!HK4</f>
        <v xml:space="preserve">REG. 96 MZS. 89 Y 90 </v>
      </c>
      <c r="AE4" s="1462" t="str">
        <f>'VISITA DE INSP.'!HL4</f>
        <v>9988-95-00-52</v>
      </c>
      <c r="AF4" s="1462" t="str">
        <f>'VISITA DE INSP.'!HM4</f>
        <v>CANCUN</v>
      </c>
      <c r="AG4" s="1462" t="str">
        <f>'VISITA DE INSP.'!HN4</f>
        <v>BENITO JUAREZ</v>
      </c>
      <c r="AH4" s="1463" t="str">
        <f>'VISITA DE INSP.'!HO4</f>
        <v>X</v>
      </c>
      <c r="AI4" s="2346">
        <f>'VISITA DE INSP.'!HP4</f>
        <v>0</v>
      </c>
      <c r="AJ4" s="2353" t="str">
        <f>'VISITA DE INSP.'!HQ4</f>
        <v>X</v>
      </c>
      <c r="AK4" s="1463">
        <f>'VISITA DE INSP.'!HR4</f>
        <v>0</v>
      </c>
      <c r="AL4" s="1463" t="str">
        <f>'VISITA DE INSP.'!HS4</f>
        <v>X</v>
      </c>
      <c r="AM4" s="1463">
        <f>'VISITA DE INSP.'!HT4</f>
        <v>0</v>
      </c>
      <c r="AN4" s="1463" t="str">
        <f>'VISITA DE INSP.'!HU4</f>
        <v>X</v>
      </c>
      <c r="AO4" s="1463">
        <f>'VISITA DE INSP.'!HV4</f>
        <v>0</v>
      </c>
      <c r="AP4" s="1463">
        <f>'VISITA DE INSP.'!HW4</f>
        <v>0</v>
      </c>
      <c r="AQ4" s="1463">
        <f>'VISITA DE INSP.'!HX4</f>
        <v>0</v>
      </c>
      <c r="AR4" s="1463" t="str">
        <f>'VISITA DE INSP.'!HY4</f>
        <v>X</v>
      </c>
      <c r="AS4" s="1463" t="str">
        <f>'VISITA DE INSP.'!HZ4</f>
        <v>X</v>
      </c>
      <c r="AT4" s="1463">
        <f>'VISITA DE INSP.'!IA4</f>
        <v>0</v>
      </c>
      <c r="AU4" s="1463">
        <f>'VISITA DE INSP.'!IB4</f>
        <v>14</v>
      </c>
      <c r="AV4" s="1463">
        <f>'VISITA DE INSP.'!IC4</f>
        <v>1</v>
      </c>
      <c r="AW4" s="1463">
        <f>'VISITA DE INSP.'!ID4</f>
        <v>1</v>
      </c>
      <c r="AX4" s="1463">
        <f>'VISITA DE INSP.'!IE4</f>
        <v>0</v>
      </c>
      <c r="AY4" s="2346">
        <f>'VISITA DE INSP.'!IF4</f>
        <v>0</v>
      </c>
      <c r="AZ4" s="2353">
        <f>'VISITA DE INSP.'!IG4</f>
        <v>0</v>
      </c>
      <c r="BA4" s="2340">
        <f>'VISITA DE INSP.'!IH4</f>
        <v>1</v>
      </c>
      <c r="BB4" s="2340">
        <f>'VISITA DE INSP.'!II4</f>
        <v>0</v>
      </c>
      <c r="BC4" s="2346">
        <f>'VISITA DE INSP.'!IJ4</f>
        <v>0</v>
      </c>
      <c r="BD4" s="1463">
        <f>'VISITA DE INSP.'!IK4</f>
        <v>14</v>
      </c>
      <c r="BE4" s="1463">
        <f>'VISITA DE INSP.'!IL4</f>
        <v>1</v>
      </c>
      <c r="BF4" s="1463">
        <f>'VISITA DE INSP.'!IM4</f>
        <v>1</v>
      </c>
      <c r="BG4" s="1463">
        <f>'VISITA DE INSP.'!IN4</f>
        <v>2</v>
      </c>
      <c r="BH4" s="1463">
        <f>'VISITA DE INSP.'!IO4</f>
        <v>0</v>
      </c>
      <c r="BI4" s="2353">
        <f>'VISITA DE INSP.'!IP4</f>
        <v>42</v>
      </c>
      <c r="BJ4" s="2346">
        <f>'VISITA DE INSP.'!IQ4</f>
        <v>26</v>
      </c>
      <c r="BK4" s="2353">
        <f>'VISITA DE INSP.'!IR4</f>
        <v>1</v>
      </c>
      <c r="BL4" s="2340">
        <f>'VISITA DE INSP.'!IS4</f>
        <v>4</v>
      </c>
      <c r="BM4" s="2340">
        <f>'VISITA DE INSP.'!IT4</f>
        <v>0</v>
      </c>
      <c r="BN4" s="2346">
        <f>'VISITA DE INSP.'!IU4</f>
        <v>0</v>
      </c>
      <c r="BO4" s="2353">
        <f>'VISITA DE INSP.'!IV4</f>
        <v>3</v>
      </c>
      <c r="BP4" s="1463">
        <f>'VISITA DE INSP.'!IW4</f>
        <v>2</v>
      </c>
      <c r="BQ4" s="1463">
        <f>'VISITA DE INSP.'!IX4</f>
        <v>2</v>
      </c>
      <c r="BR4" s="1463">
        <f>'VISITA DE INSP.'!IY4</f>
        <v>3</v>
      </c>
      <c r="BS4" s="1463">
        <f>'VISITA DE INSP.'!IZ4</f>
        <v>2</v>
      </c>
      <c r="BT4" s="2346">
        <f>'VISITA DE INSP.'!JA4</f>
        <v>2</v>
      </c>
      <c r="BU4" s="3739" t="str">
        <f>'VISITA DE INSP.'!JB4</f>
        <v>MANUEL JESUS BALAM XIU</v>
      </c>
      <c r="BV4" s="3740" t="str">
        <f>'VISITA DE INSP.'!JC4</f>
        <v>JESUS MARTIN RICALDE CASTRO</v>
      </c>
      <c r="BW4" s="2353">
        <f>'VISITA DE INSP.'!JD4</f>
        <v>88</v>
      </c>
      <c r="BX4" s="1463">
        <f>'VISITA DE INSP.'!JE4</f>
        <v>69</v>
      </c>
      <c r="BY4" s="1463">
        <f>'VISITA DE INSP.'!JF4</f>
        <v>61</v>
      </c>
      <c r="BZ4" s="1463">
        <f>'VISITA DE INSP.'!JG4</f>
        <v>86</v>
      </c>
      <c r="CA4" s="1463">
        <f>'VISITA DE INSP.'!JH4</f>
        <v>70</v>
      </c>
      <c r="CB4" s="2346">
        <f>'VISITA DE INSP.'!JI4</f>
        <v>65</v>
      </c>
      <c r="CC4" s="2353">
        <f>'VISITA DE INSP.'!JJ4</f>
        <v>6</v>
      </c>
      <c r="CD4" s="1463">
        <f>'VISITA DE INSP.'!JK4</f>
        <v>3</v>
      </c>
      <c r="CE4" s="1463">
        <f>'VISITA DE INSP.'!JL4</f>
        <v>6</v>
      </c>
      <c r="CF4" s="1463">
        <f>'VISITA DE INSP.'!JM4</f>
        <v>5</v>
      </c>
      <c r="CG4" s="1463">
        <f>'VISITA DE INSP.'!JN4</f>
        <v>0</v>
      </c>
      <c r="CH4" s="2346">
        <f>'VISITA DE INSP.'!JO4</f>
        <v>2</v>
      </c>
      <c r="CI4" s="2353">
        <f>'VISITA DE INSP.'!JP4</f>
        <v>7</v>
      </c>
      <c r="CJ4" s="1463">
        <f>'VISITA DE INSP.'!JQ4</f>
        <v>6</v>
      </c>
      <c r="CK4" s="1463">
        <f>'VISITA DE INSP.'!JR4</f>
        <v>4</v>
      </c>
      <c r="CL4" s="1463">
        <f>'VISITA DE INSP.'!JS4</f>
        <v>7</v>
      </c>
      <c r="CM4" s="1463">
        <f>'VISITA DE INSP.'!JT4</f>
        <v>1</v>
      </c>
      <c r="CN4" s="2346">
        <f>'VISITA DE INSP.'!JU4</f>
        <v>0</v>
      </c>
      <c r="CO4" s="2353">
        <f>'VISITA DE INSP.'!JV4</f>
        <v>87</v>
      </c>
      <c r="CP4" s="1463">
        <f>'VISITA DE INSP.'!JW4</f>
        <v>66</v>
      </c>
      <c r="CQ4" s="1463">
        <f>'VISITA DE INSP.'!JX4</f>
        <v>63</v>
      </c>
      <c r="CR4" s="1463">
        <f>'VISITA DE INSP.'!JY4</f>
        <v>84</v>
      </c>
      <c r="CS4" s="1463">
        <f>'VISITA DE INSP.'!JZ4</f>
        <v>69</v>
      </c>
      <c r="CT4" s="2346">
        <f>'VISITA DE INSP.'!KA4</f>
        <v>67</v>
      </c>
      <c r="CU4" s="2353">
        <f>'VISITA DE INSP.'!KB4</f>
        <v>0</v>
      </c>
      <c r="CV4" s="1463">
        <f>'VISITA DE INSP.'!KC4</f>
        <v>0</v>
      </c>
      <c r="CW4" s="1463">
        <f>'VISITA DE INSP.'!KD4</f>
        <v>0</v>
      </c>
      <c r="CX4" s="1463">
        <f>'VISITA DE INSP.'!KE4</f>
        <v>0</v>
      </c>
      <c r="CY4" s="1463">
        <f>'VISITA DE INSP.'!KF4</f>
        <v>0</v>
      </c>
      <c r="CZ4" s="2346">
        <f>'VISITA DE INSP.'!KG4</f>
        <v>0</v>
      </c>
    </row>
    <row r="5" spans="1:104" ht="12.75" customHeight="1" thickTop="1">
      <c r="A5" s="1467"/>
      <c r="B5" s="1468"/>
      <c r="C5" s="1468"/>
      <c r="D5" s="1468"/>
      <c r="E5" s="1468"/>
      <c r="F5" s="1468"/>
      <c r="G5" s="1468"/>
      <c r="H5" s="1468"/>
      <c r="I5" s="1468"/>
      <c r="J5" s="1468"/>
      <c r="K5" s="1468"/>
      <c r="L5" s="1469"/>
      <c r="M5" s="1467"/>
      <c r="N5" s="1468"/>
      <c r="O5" s="1468"/>
      <c r="P5" s="1468"/>
      <c r="Q5" s="1468"/>
      <c r="R5" s="1468"/>
      <c r="S5" s="1468"/>
      <c r="T5" s="1468"/>
      <c r="U5" s="1468"/>
      <c r="V5" s="1468"/>
      <c r="W5" s="1468"/>
      <c r="X5" s="1469"/>
      <c r="Y5" s="801"/>
      <c r="Z5" s="2353">
        <f>'VISITA DE INSP.'!HG5</f>
        <v>3</v>
      </c>
      <c r="AA5" s="2330" t="str">
        <f>'VISITA DE INSP.'!HH5</f>
        <v>esmerald_96@hotmail.com</v>
      </c>
      <c r="AB5" s="1462" t="str">
        <f>'VISITA DE INSP.'!HI5</f>
        <v>8 DE OCTUBRE</v>
      </c>
      <c r="AC5" s="1462" t="str">
        <f>'VISITA DE INSP.'!HJ5</f>
        <v>23DPR0492K</v>
      </c>
      <c r="AD5" s="1462" t="str">
        <f>'VISITA DE INSP.'!HK5</f>
        <v>REG. 96 MZAS. 89 Y 90 C. 127</v>
      </c>
      <c r="AE5" s="1462" t="str">
        <f>'VISITA DE INSP.'!HL5</f>
        <v>9982 25 54 93</v>
      </c>
      <c r="AF5" s="1462" t="str">
        <f>'VISITA DE INSP.'!HM5</f>
        <v>CANCUN</v>
      </c>
      <c r="AG5" s="1462" t="str">
        <f>'VISITA DE INSP.'!HN5</f>
        <v>BENITO JUAREZ</v>
      </c>
      <c r="AH5" s="1463" t="str">
        <f>'VISITA DE INSP.'!HO5</f>
        <v>X</v>
      </c>
      <c r="AI5" s="2346">
        <f>'VISITA DE INSP.'!HP5</f>
        <v>0</v>
      </c>
      <c r="AJ5" s="2353">
        <f>'VISITA DE INSP.'!HQ5</f>
        <v>0</v>
      </c>
      <c r="AK5" s="1463" t="str">
        <f>'VISITA DE INSP.'!HR5</f>
        <v>X</v>
      </c>
      <c r="AL5" s="1463" t="str">
        <f>'VISITA DE INSP.'!HS5</f>
        <v>X</v>
      </c>
      <c r="AM5" s="1463">
        <f>'VISITA DE INSP.'!HT5</f>
        <v>0</v>
      </c>
      <c r="AN5" s="1463" t="str">
        <f>'VISITA DE INSP.'!HU5</f>
        <v>X</v>
      </c>
      <c r="AO5" s="1463">
        <f>'VISITA DE INSP.'!HV5</f>
        <v>0</v>
      </c>
      <c r="AP5" s="1463">
        <f>'VISITA DE INSP.'!HW5</f>
        <v>0</v>
      </c>
      <c r="AQ5" s="1463">
        <f>'VISITA DE INSP.'!HX5</f>
        <v>0</v>
      </c>
      <c r="AR5" s="1463" t="str">
        <f>'VISITA DE INSP.'!HY5</f>
        <v>X</v>
      </c>
      <c r="AS5" s="1463" t="str">
        <f>'VISITA DE INSP.'!HZ5</f>
        <v>X</v>
      </c>
      <c r="AT5" s="1463">
        <f>'VISITA DE INSP.'!IA5</f>
        <v>0</v>
      </c>
      <c r="AU5" s="1463">
        <f>'VISITA DE INSP.'!IB5</f>
        <v>0</v>
      </c>
      <c r="AV5" s="1463">
        <f>'VISITA DE INSP.'!IC5</f>
        <v>0</v>
      </c>
      <c r="AW5" s="1463">
        <f>'VISITA DE INSP.'!ID5</f>
        <v>0</v>
      </c>
      <c r="AX5" s="1463">
        <f>'VISITA DE INSP.'!IE5</f>
        <v>0</v>
      </c>
      <c r="AY5" s="2346">
        <f>'VISITA DE INSP.'!IF5</f>
        <v>0</v>
      </c>
      <c r="AZ5" s="2353">
        <f>'VISITA DE INSP.'!IG5</f>
        <v>0</v>
      </c>
      <c r="BA5" s="2340">
        <f>'VISITA DE INSP.'!IH5</f>
        <v>0</v>
      </c>
      <c r="BB5" s="2340">
        <f>'VISITA DE INSP.'!II5</f>
        <v>0</v>
      </c>
      <c r="BC5" s="2346">
        <f>'VISITA DE INSP.'!IJ5</f>
        <v>1</v>
      </c>
      <c r="BD5" s="1463">
        <f>'VISITA DE INSP.'!IK5</f>
        <v>11</v>
      </c>
      <c r="BE5" s="1463">
        <f>'VISITA DE INSP.'!IL5</f>
        <v>1</v>
      </c>
      <c r="BF5" s="1463">
        <f>'VISITA DE INSP.'!IM5</f>
        <v>0</v>
      </c>
      <c r="BG5" s="1463">
        <f>'VISITA DE INSP.'!IN5</f>
        <v>2</v>
      </c>
      <c r="BH5" s="1463">
        <f>'VISITA DE INSP.'!IO5</f>
        <v>0</v>
      </c>
      <c r="BI5" s="2353">
        <f>'VISITA DE INSP.'!IP5</f>
        <v>0</v>
      </c>
      <c r="BJ5" s="2346">
        <f>'VISITA DE INSP.'!IQ5</f>
        <v>0</v>
      </c>
      <c r="BK5" s="2353">
        <f>'VISITA DE INSP.'!IR5</f>
        <v>0</v>
      </c>
      <c r="BL5" s="2340">
        <f>'VISITA DE INSP.'!IS5</f>
        <v>6</v>
      </c>
      <c r="BM5" s="2340">
        <f>'VISITA DE INSP.'!IT5</f>
        <v>0</v>
      </c>
      <c r="BN5" s="2346">
        <f>'VISITA DE INSP.'!IU5</f>
        <v>0</v>
      </c>
      <c r="BO5" s="2353">
        <f>'VISITA DE INSP.'!IV5</f>
        <v>1</v>
      </c>
      <c r="BP5" s="1463">
        <f>'VISITA DE INSP.'!IW5</f>
        <v>2</v>
      </c>
      <c r="BQ5" s="1463">
        <f>'VISITA DE INSP.'!IX5</f>
        <v>2</v>
      </c>
      <c r="BR5" s="1463">
        <f>'VISITA DE INSP.'!IY5</f>
        <v>1</v>
      </c>
      <c r="BS5" s="1463">
        <f>'VISITA DE INSP.'!IZ5</f>
        <v>2</v>
      </c>
      <c r="BT5" s="2346">
        <f>'VISITA DE INSP.'!JA5</f>
        <v>2</v>
      </c>
      <c r="BU5" s="3739" t="str">
        <f>'VISITA DE INSP.'!JB5</f>
        <v>LIDIA ESMERALDA CARDEÑA BENITEZ</v>
      </c>
      <c r="BV5" s="3740" t="str">
        <f>'VISITA DE INSP.'!JC5</f>
        <v>JESUS MARTIN RICALDE CASTRO</v>
      </c>
      <c r="BW5" s="2353">
        <f>'VISITA DE INSP.'!JD5</f>
        <v>30</v>
      </c>
      <c r="BX5" s="1463">
        <f>'VISITA DE INSP.'!JE5</f>
        <v>65</v>
      </c>
      <c r="BY5" s="1463">
        <f>'VISITA DE INSP.'!JF5</f>
        <v>51</v>
      </c>
      <c r="BZ5" s="1463">
        <f>'VISITA DE INSP.'!JG5</f>
        <v>34</v>
      </c>
      <c r="CA5" s="1463">
        <f>'VISITA DE INSP.'!JH5</f>
        <v>48</v>
      </c>
      <c r="CB5" s="2346">
        <f>'VISITA DE INSP.'!JI5</f>
        <v>46</v>
      </c>
      <c r="CC5" s="2353">
        <f>'VISITA DE INSP.'!JJ5</f>
        <v>5</v>
      </c>
      <c r="CD5" s="1463">
        <f>'VISITA DE INSP.'!JK5</f>
        <v>7</v>
      </c>
      <c r="CE5" s="1463">
        <f>'VISITA DE INSP.'!JL5</f>
        <v>6</v>
      </c>
      <c r="CF5" s="1463">
        <f>'VISITA DE INSP.'!JM5</f>
        <v>3</v>
      </c>
      <c r="CG5" s="1463">
        <f>'VISITA DE INSP.'!JN5</f>
        <v>3</v>
      </c>
      <c r="CH5" s="2346">
        <f>'VISITA DE INSP.'!JO5</f>
        <v>2</v>
      </c>
      <c r="CI5" s="2353">
        <f>'VISITA DE INSP.'!JP5</f>
        <v>3</v>
      </c>
      <c r="CJ5" s="1463">
        <f>'VISITA DE INSP.'!JQ5</f>
        <v>14</v>
      </c>
      <c r="CK5" s="1463">
        <f>'VISITA DE INSP.'!JR5</f>
        <v>8</v>
      </c>
      <c r="CL5" s="1463">
        <f>'VISITA DE INSP.'!JS5</f>
        <v>2</v>
      </c>
      <c r="CM5" s="1463">
        <f>'VISITA DE INSP.'!JT5</f>
        <v>5</v>
      </c>
      <c r="CN5" s="2346">
        <f>'VISITA DE INSP.'!JU5</f>
        <v>5</v>
      </c>
      <c r="CO5" s="2353">
        <f>'VISITA DE INSP.'!JV5</f>
        <v>32</v>
      </c>
      <c r="CP5" s="1463">
        <f>'VISITA DE INSP.'!JW5</f>
        <v>58</v>
      </c>
      <c r="CQ5" s="1463">
        <f>'VISITA DE INSP.'!JX5</f>
        <v>49</v>
      </c>
      <c r="CR5" s="1463">
        <f>'VISITA DE INSP.'!JY5</f>
        <v>35</v>
      </c>
      <c r="CS5" s="1463">
        <f>'VISITA DE INSP.'!JZ5</f>
        <v>46</v>
      </c>
      <c r="CT5" s="2346">
        <f>'VISITA DE INSP.'!KA5</f>
        <v>43</v>
      </c>
      <c r="CU5" s="2353">
        <f>'VISITA DE INSP.'!KB5</f>
        <v>0</v>
      </c>
      <c r="CV5" s="1463">
        <f>'VISITA DE INSP.'!KC5</f>
        <v>0</v>
      </c>
      <c r="CW5" s="1463">
        <f>'VISITA DE INSP.'!KD5</f>
        <v>0</v>
      </c>
      <c r="CX5" s="1463">
        <f>'VISITA DE INSP.'!KE5</f>
        <v>0</v>
      </c>
      <c r="CY5" s="1463">
        <f>'VISITA DE INSP.'!KF5</f>
        <v>0</v>
      </c>
      <c r="CZ5" s="2346">
        <f>'VISITA DE INSP.'!KG5</f>
        <v>0</v>
      </c>
    </row>
    <row r="6" spans="1:104" ht="15" customHeight="1">
      <c r="A6" s="1601" t="s">
        <v>1510</v>
      </c>
      <c r="B6" s="1597"/>
      <c r="C6" s="5227" t="str">
        <f>VLOOKUP(K13,Z2:CH22,3)</f>
        <v>CUITLAHUAC</v>
      </c>
      <c r="D6" s="5227"/>
      <c r="E6" s="5227"/>
      <c r="F6" s="5227"/>
      <c r="G6" s="1597" t="s">
        <v>453</v>
      </c>
      <c r="H6" s="5227" t="str">
        <f>VLOOKUP(K13,Z2:CH22,4)</f>
        <v>23DPR0581D</v>
      </c>
      <c r="I6" s="5227"/>
      <c r="J6" s="5227"/>
      <c r="K6" s="5227"/>
      <c r="L6" s="1598"/>
      <c r="M6" s="1473" t="s">
        <v>1413</v>
      </c>
      <c r="N6" s="1473"/>
      <c r="O6" s="1471" t="s">
        <v>69</v>
      </c>
      <c r="P6" s="1474"/>
      <c r="Q6" s="2239">
        <f>VLOOKUP(K13,Z2:CH22,11)</f>
        <v>0</v>
      </c>
      <c r="R6" s="1474"/>
      <c r="S6" s="1471" t="s">
        <v>77</v>
      </c>
      <c r="T6" s="1471"/>
      <c r="U6" s="2239" t="str">
        <f>VLOOKUP(K13,Z2:CH22,12)</f>
        <v>X</v>
      </c>
      <c r="V6" s="1471"/>
      <c r="W6" s="1471"/>
      <c r="X6" s="1472"/>
      <c r="Y6" s="801"/>
      <c r="Z6" s="2353">
        <f>'VISITA DE INSP.'!HG6</f>
        <v>4</v>
      </c>
      <c r="AA6" s="2330" t="str">
        <f>'VISITA DE INSP.'!HH6</f>
        <v>m.roxana07@hotmail.com</v>
      </c>
      <c r="AB6" s="1462" t="str">
        <f>'VISITA DE INSP.'!HI6</f>
        <v>DERECHOS DEL NIÑO</v>
      </c>
      <c r="AC6" s="1462" t="str">
        <f>'VISITA DE INSP.'!HJ6</f>
        <v>23DPR0564N</v>
      </c>
      <c r="AD6" s="1462" t="str">
        <f>'VISITA DE INSP.'!HK6</f>
        <v>REG. 96 MZ. 23 L. 1 C. 12</v>
      </c>
      <c r="AE6" s="1462" t="str">
        <f>'VISITA DE INSP.'!HL6</f>
        <v>9988-43-76-43</v>
      </c>
      <c r="AF6" s="1462" t="str">
        <f>'VISITA DE INSP.'!HM6</f>
        <v>CANCUN</v>
      </c>
      <c r="AG6" s="1462" t="str">
        <f>'VISITA DE INSP.'!HN6</f>
        <v>BENITO JUAREZ</v>
      </c>
      <c r="AH6" s="1463" t="str">
        <f>'VISITA DE INSP.'!HO6</f>
        <v>X</v>
      </c>
      <c r="AI6" s="2346">
        <f>'VISITA DE INSP.'!HP6</f>
        <v>0</v>
      </c>
      <c r="AJ6" s="2353" t="str">
        <f>'VISITA DE INSP.'!HQ6</f>
        <v>X</v>
      </c>
      <c r="AK6" s="1463">
        <f>'VISITA DE INSP.'!HR6</f>
        <v>0</v>
      </c>
      <c r="AL6" s="1463" t="str">
        <f>'VISITA DE INSP.'!HS6</f>
        <v>X</v>
      </c>
      <c r="AM6" s="1463">
        <f>'VISITA DE INSP.'!HT6</f>
        <v>0</v>
      </c>
      <c r="AN6" s="1463" t="str">
        <f>'VISITA DE INSP.'!HU6</f>
        <v>X</v>
      </c>
      <c r="AO6" s="1463">
        <f>'VISITA DE INSP.'!HV6</f>
        <v>0</v>
      </c>
      <c r="AP6" s="1463">
        <f>'VISITA DE INSP.'!HW6</f>
        <v>0</v>
      </c>
      <c r="AQ6" s="1463">
        <f>'VISITA DE INSP.'!HX6</f>
        <v>0</v>
      </c>
      <c r="AR6" s="1463" t="str">
        <f>'VISITA DE INSP.'!HY6</f>
        <v>X</v>
      </c>
      <c r="AS6" s="1463" t="str">
        <f>'VISITA DE INSP.'!HZ6</f>
        <v>X</v>
      </c>
      <c r="AT6" s="1463">
        <f>'VISITA DE INSP.'!IA6</f>
        <v>0</v>
      </c>
      <c r="AU6" s="1463">
        <f>'VISITA DE INSP.'!IB6</f>
        <v>12</v>
      </c>
      <c r="AV6" s="1463">
        <f>'VISITA DE INSP.'!IC6</f>
        <v>0</v>
      </c>
      <c r="AW6" s="1463">
        <f>'VISITA DE INSP.'!ID6</f>
        <v>1</v>
      </c>
      <c r="AX6" s="1463">
        <f>'VISITA DE INSP.'!IE6</f>
        <v>0</v>
      </c>
      <c r="AY6" s="2346">
        <f>'VISITA DE INSP.'!IF6</f>
        <v>0</v>
      </c>
      <c r="AZ6" s="2353">
        <f>'VISITA DE INSP.'!IG6</f>
        <v>0</v>
      </c>
      <c r="BA6" s="2340">
        <f>'VISITA DE INSP.'!IH6</f>
        <v>1</v>
      </c>
      <c r="BB6" s="2340">
        <f>'VISITA DE INSP.'!II6</f>
        <v>0</v>
      </c>
      <c r="BC6" s="2346">
        <f>'VISITA DE INSP.'!IJ6</f>
        <v>0</v>
      </c>
      <c r="BD6" s="1463">
        <f>'VISITA DE INSP.'!IK6</f>
        <v>12</v>
      </c>
      <c r="BE6" s="1463">
        <f>'VISITA DE INSP.'!IL6</f>
        <v>1</v>
      </c>
      <c r="BF6" s="1463">
        <f>'VISITA DE INSP.'!IM6</f>
        <v>0</v>
      </c>
      <c r="BG6" s="1463">
        <f>'VISITA DE INSP.'!IN6</f>
        <v>1</v>
      </c>
      <c r="BH6" s="1463">
        <f>'VISITA DE INSP.'!IO6</f>
        <v>0</v>
      </c>
      <c r="BI6" s="2353">
        <f>'VISITA DE INSP.'!IP6</f>
        <v>0</v>
      </c>
      <c r="BJ6" s="2346">
        <f>'VISITA DE INSP.'!IQ6</f>
        <v>0</v>
      </c>
      <c r="BK6" s="2353">
        <f>'VISITA DE INSP.'!IR6</f>
        <v>1</v>
      </c>
      <c r="BL6" s="2340">
        <f>'VISITA DE INSP.'!IS6</f>
        <v>4</v>
      </c>
      <c r="BM6" s="2340">
        <f>'VISITA DE INSP.'!IT6</f>
        <v>0</v>
      </c>
      <c r="BN6" s="2346">
        <f>'VISITA DE INSP.'!IU6</f>
        <v>0</v>
      </c>
      <c r="BO6" s="2353">
        <f>'VISITA DE INSP.'!IV6</f>
        <v>2</v>
      </c>
      <c r="BP6" s="1463">
        <f>'VISITA DE INSP.'!IW6</f>
        <v>2</v>
      </c>
      <c r="BQ6" s="1463">
        <f>'VISITA DE INSP.'!IX6</f>
        <v>2</v>
      </c>
      <c r="BR6" s="1463">
        <f>'VISITA DE INSP.'!IY6</f>
        <v>2</v>
      </c>
      <c r="BS6" s="1463">
        <f>'VISITA DE INSP.'!IZ6</f>
        <v>2</v>
      </c>
      <c r="BT6" s="2346">
        <f>'VISITA DE INSP.'!JA6</f>
        <v>2</v>
      </c>
      <c r="BU6" s="3739" t="str">
        <f>'VISITA DE INSP.'!JB6</f>
        <v>CETINA CHAY  JUAN CARLOS</v>
      </c>
      <c r="BV6" s="3740" t="str">
        <f>'VISITA DE INSP.'!JC6</f>
        <v>JESUS MARTIN RICALDE CASTRO</v>
      </c>
      <c r="BW6" s="2353">
        <f>'VISITA DE INSP.'!JD6</f>
        <v>67</v>
      </c>
      <c r="BX6" s="1463">
        <f>'VISITA DE INSP.'!JE6</f>
        <v>69</v>
      </c>
      <c r="BY6" s="1463">
        <f>'VISITA DE INSP.'!JF6</f>
        <v>67</v>
      </c>
      <c r="BZ6" s="1463">
        <f>'VISITA DE INSP.'!JG6</f>
        <v>57</v>
      </c>
      <c r="CA6" s="1463">
        <f>'VISITA DE INSP.'!JH6</f>
        <v>50</v>
      </c>
      <c r="CB6" s="2346">
        <f>'VISITA DE INSP.'!JI6</f>
        <v>60</v>
      </c>
      <c r="CC6" s="2353">
        <f>'VISITA DE INSP.'!JJ6</f>
        <v>3</v>
      </c>
      <c r="CD6" s="1463">
        <f>'VISITA DE INSP.'!JK6</f>
        <v>4</v>
      </c>
      <c r="CE6" s="1463">
        <f>'VISITA DE INSP.'!JL6</f>
        <v>1</v>
      </c>
      <c r="CF6" s="1463">
        <f>'VISITA DE INSP.'!JM6</f>
        <v>2</v>
      </c>
      <c r="CG6" s="1463">
        <f>'VISITA DE INSP.'!JN6</f>
        <v>0</v>
      </c>
      <c r="CH6" s="2346">
        <f>'VISITA DE INSP.'!JO6</f>
        <v>3</v>
      </c>
      <c r="CI6" s="2353">
        <f>'VISITA DE INSP.'!JP6</f>
        <v>8</v>
      </c>
      <c r="CJ6" s="1463">
        <f>'VISITA DE INSP.'!JQ6</f>
        <v>3</v>
      </c>
      <c r="CK6" s="1463">
        <f>'VISITA DE INSP.'!JR6</f>
        <v>5</v>
      </c>
      <c r="CL6" s="1463">
        <f>'VISITA DE INSP.'!JS6</f>
        <v>3</v>
      </c>
      <c r="CM6" s="1463">
        <f>'VISITA DE INSP.'!JT6</f>
        <v>5</v>
      </c>
      <c r="CN6" s="2346">
        <f>'VISITA DE INSP.'!JU6</f>
        <v>2</v>
      </c>
      <c r="CO6" s="2353">
        <f>'VISITA DE INSP.'!JV6</f>
        <v>62</v>
      </c>
      <c r="CP6" s="1463">
        <f>'VISITA DE INSP.'!JW6</f>
        <v>70</v>
      </c>
      <c r="CQ6" s="1463">
        <f>'VISITA DE INSP.'!JX6</f>
        <v>63</v>
      </c>
      <c r="CR6" s="1463">
        <f>'VISITA DE INSP.'!JY6</f>
        <v>56</v>
      </c>
      <c r="CS6" s="1463">
        <f>'VISITA DE INSP.'!JZ6</f>
        <v>45</v>
      </c>
      <c r="CT6" s="2346">
        <f>'VISITA DE INSP.'!KA6</f>
        <v>61</v>
      </c>
      <c r="CU6" s="2353">
        <f>'VISITA DE INSP.'!KB6</f>
        <v>0</v>
      </c>
      <c r="CV6" s="1463">
        <f>'VISITA DE INSP.'!KC6</f>
        <v>0</v>
      </c>
      <c r="CW6" s="1463">
        <f>'VISITA DE INSP.'!KD6</f>
        <v>0</v>
      </c>
      <c r="CX6" s="1463">
        <f>'VISITA DE INSP.'!KE6</f>
        <v>0</v>
      </c>
      <c r="CY6" s="1463">
        <f>'VISITA DE INSP.'!KF6</f>
        <v>0</v>
      </c>
      <c r="CZ6" s="2346">
        <f>'VISITA DE INSP.'!KG6</f>
        <v>0</v>
      </c>
    </row>
    <row r="7" spans="1:104" ht="15" customHeight="1">
      <c r="A7" s="1596"/>
      <c r="B7" s="1597"/>
      <c r="C7" s="1599"/>
      <c r="D7" s="1599"/>
      <c r="E7" s="1599"/>
      <c r="F7" s="1599"/>
      <c r="G7" s="1597"/>
      <c r="H7" s="1597"/>
      <c r="I7" s="1597"/>
      <c r="J7" s="1597"/>
      <c r="K7" s="1597"/>
      <c r="L7" s="1598"/>
      <c r="M7" s="1473" t="s">
        <v>1414</v>
      </c>
      <c r="N7" s="1473"/>
      <c r="O7" s="1471" t="s">
        <v>528</v>
      </c>
      <c r="P7" s="1474"/>
      <c r="Q7" s="2239" t="str">
        <f>VLOOKUP(K13,Z2:CH22,13)</f>
        <v>X</v>
      </c>
      <c r="R7" s="1474"/>
      <c r="S7" s="1471" t="s">
        <v>533</v>
      </c>
      <c r="T7" s="1471"/>
      <c r="U7" s="2239">
        <f>VLOOKUP(K13,Z2:CH22,14)</f>
        <v>0</v>
      </c>
      <c r="V7" s="1471"/>
      <c r="W7" s="1471"/>
      <c r="X7" s="1472"/>
      <c r="Y7" s="801"/>
      <c r="Z7" s="2353">
        <f>'VISITA DE INSP.'!HG7</f>
        <v>5</v>
      </c>
      <c r="AA7" s="2330" t="str">
        <f>'VISITA DE INSP.'!HH7</f>
        <v>carcox_68@hotmail.com</v>
      </c>
      <c r="AB7" s="1462" t="str">
        <f>'VISITA DE INSP.'!HI7</f>
        <v>DERECHOS DEL NIÑO</v>
      </c>
      <c r="AC7" s="1462" t="str">
        <f>'VISITA DE INSP.'!HJ7</f>
        <v>23DPR0570Y</v>
      </c>
      <c r="AD7" s="1462" t="str">
        <f>'VISITA DE INSP.'!HK7</f>
        <v>REG. 96 INFONAVIT</v>
      </c>
      <c r="AE7" s="1462" t="str">
        <f>'VISITA DE INSP.'!HL7</f>
        <v>9981-09-97-59</v>
      </c>
      <c r="AF7" s="1462" t="str">
        <f>'VISITA DE INSP.'!HM7</f>
        <v>CANCUN</v>
      </c>
      <c r="AG7" s="1462" t="str">
        <f>'VISITA DE INSP.'!HN7</f>
        <v>BENITO JUAREZ</v>
      </c>
      <c r="AH7" s="1463" t="str">
        <f>'VISITA DE INSP.'!HO7</f>
        <v>X</v>
      </c>
      <c r="AI7" s="2346">
        <f>'VISITA DE INSP.'!HP7</f>
        <v>0</v>
      </c>
      <c r="AJ7" s="2353">
        <f>'VISITA DE INSP.'!HQ7</f>
        <v>0</v>
      </c>
      <c r="AK7" s="1463" t="str">
        <f>'VISITA DE INSP.'!HR7</f>
        <v>X</v>
      </c>
      <c r="AL7" s="1463" t="str">
        <f>'VISITA DE INSP.'!HS7</f>
        <v>X</v>
      </c>
      <c r="AM7" s="1463">
        <f>'VISITA DE INSP.'!HT7</f>
        <v>0</v>
      </c>
      <c r="AN7" s="1463" t="str">
        <f>'VISITA DE INSP.'!HU7</f>
        <v>X</v>
      </c>
      <c r="AO7" s="1463">
        <f>'VISITA DE INSP.'!HV7</f>
        <v>0</v>
      </c>
      <c r="AP7" s="1463">
        <f>'VISITA DE INSP.'!HW7</f>
        <v>0</v>
      </c>
      <c r="AQ7" s="1463">
        <f>'VISITA DE INSP.'!HX7</f>
        <v>0</v>
      </c>
      <c r="AR7" s="1463" t="str">
        <f>'VISITA DE INSP.'!HY7</f>
        <v>X</v>
      </c>
      <c r="AS7" s="1463" t="str">
        <f>'VISITA DE INSP.'!HZ7</f>
        <v>X</v>
      </c>
      <c r="AT7" s="1463">
        <f>'VISITA DE INSP.'!IA7</f>
        <v>0</v>
      </c>
      <c r="AU7" s="1463">
        <f>'VISITA DE INSP.'!IB7</f>
        <v>0</v>
      </c>
      <c r="AV7" s="1463">
        <f>'VISITA DE INSP.'!IC7</f>
        <v>0</v>
      </c>
      <c r="AW7" s="1463">
        <f>'VISITA DE INSP.'!ID7</f>
        <v>0</v>
      </c>
      <c r="AX7" s="1463">
        <f>'VISITA DE INSP.'!IE7</f>
        <v>0</v>
      </c>
      <c r="AY7" s="2346">
        <f>'VISITA DE INSP.'!IF7</f>
        <v>0</v>
      </c>
      <c r="AZ7" s="2353">
        <f>'VISITA DE INSP.'!IG7</f>
        <v>0</v>
      </c>
      <c r="BA7" s="2340">
        <f>'VISITA DE INSP.'!IH7</f>
        <v>1</v>
      </c>
      <c r="BB7" s="2340">
        <f>'VISITA DE INSP.'!II7</f>
        <v>0</v>
      </c>
      <c r="BC7" s="2346">
        <f>'VISITA DE INSP.'!IJ7</f>
        <v>0</v>
      </c>
      <c r="BD7" s="1463">
        <f>'VISITA DE INSP.'!IK7</f>
        <v>9</v>
      </c>
      <c r="BE7" s="1463">
        <f>'VISITA DE INSP.'!IL7</f>
        <v>1</v>
      </c>
      <c r="BF7" s="1463">
        <f>'VISITA DE INSP.'!IM7</f>
        <v>0</v>
      </c>
      <c r="BG7" s="1463">
        <f>'VISITA DE INSP.'!IN7</f>
        <v>1</v>
      </c>
      <c r="BH7" s="1463">
        <f>'VISITA DE INSP.'!IO7</f>
        <v>0</v>
      </c>
      <c r="BI7" s="2353">
        <f>'VISITA DE INSP.'!IP7</f>
        <v>0</v>
      </c>
      <c r="BJ7" s="2346">
        <f>'VISITA DE INSP.'!IQ7</f>
        <v>0</v>
      </c>
      <c r="BK7" s="2353">
        <f>'VISITA DE INSP.'!IR7</f>
        <v>1</v>
      </c>
      <c r="BL7" s="2340">
        <f>'VISITA DE INSP.'!IS7</f>
        <v>6</v>
      </c>
      <c r="BM7" s="2340">
        <f>'VISITA DE INSP.'!IT7</f>
        <v>0</v>
      </c>
      <c r="BN7" s="2346">
        <f>'VISITA DE INSP.'!IU7</f>
        <v>0</v>
      </c>
      <c r="BO7" s="2353">
        <f>'VISITA DE INSP.'!IV7</f>
        <v>1</v>
      </c>
      <c r="BP7" s="1463">
        <f>'VISITA DE INSP.'!IW7</f>
        <v>1</v>
      </c>
      <c r="BQ7" s="1463">
        <f>'VISITA DE INSP.'!IX7</f>
        <v>1</v>
      </c>
      <c r="BR7" s="1463">
        <f>'VISITA DE INSP.'!IY7</f>
        <v>1</v>
      </c>
      <c r="BS7" s="1463">
        <f>'VISITA DE INSP.'!IZ7</f>
        <v>1</v>
      </c>
      <c r="BT7" s="2346">
        <f>'VISITA DE INSP.'!JA7</f>
        <v>2</v>
      </c>
      <c r="BU7" s="3739" t="str">
        <f>'VISITA DE INSP.'!JB7</f>
        <v>CARLOS ENRIQUE COOX YAH</v>
      </c>
      <c r="BV7" s="3740" t="str">
        <f>'VISITA DE INSP.'!JC7</f>
        <v>JESUS MARTIN RICALDE CASTRO</v>
      </c>
      <c r="BW7" s="2353">
        <f>'VISITA DE INSP.'!JD7</f>
        <v>27</v>
      </c>
      <c r="BX7" s="1463">
        <f>'VISITA DE INSP.'!JE7</f>
        <v>35</v>
      </c>
      <c r="BY7" s="1463">
        <f>'VISITA DE INSP.'!JF7</f>
        <v>31</v>
      </c>
      <c r="BZ7" s="1463">
        <f>'VISITA DE INSP.'!JG7</f>
        <v>23</v>
      </c>
      <c r="CA7" s="1463">
        <f>'VISITA DE INSP.'!JH7</f>
        <v>32</v>
      </c>
      <c r="CB7" s="2346">
        <f>'VISITA DE INSP.'!JI7</f>
        <v>65</v>
      </c>
      <c r="CC7" s="2353">
        <f>'VISITA DE INSP.'!JJ7</f>
        <v>3</v>
      </c>
      <c r="CD7" s="1463">
        <f>'VISITA DE INSP.'!JK7</f>
        <v>3</v>
      </c>
      <c r="CE7" s="1463">
        <f>'VISITA DE INSP.'!JL7</f>
        <v>6</v>
      </c>
      <c r="CF7" s="1463">
        <f>'VISITA DE INSP.'!JM7</f>
        <v>6</v>
      </c>
      <c r="CG7" s="1463">
        <f>'VISITA DE INSP.'!JN7</f>
        <v>2</v>
      </c>
      <c r="CH7" s="2346">
        <f>'VISITA DE INSP.'!JO7</f>
        <v>0</v>
      </c>
      <c r="CI7" s="2353">
        <f>'VISITA DE INSP.'!JP7</f>
        <v>2</v>
      </c>
      <c r="CJ7" s="1463">
        <f>'VISITA DE INSP.'!JQ7</f>
        <v>6</v>
      </c>
      <c r="CK7" s="1463">
        <f>'VISITA DE INSP.'!JR7</f>
        <v>9</v>
      </c>
      <c r="CL7" s="1463">
        <f>'VISITA DE INSP.'!JS7</f>
        <v>3</v>
      </c>
      <c r="CM7" s="1463">
        <f>'VISITA DE INSP.'!JT7</f>
        <v>3</v>
      </c>
      <c r="CN7" s="2346">
        <f>'VISITA DE INSP.'!JU7</f>
        <v>3</v>
      </c>
      <c r="CO7" s="2353">
        <f>'VISITA DE INSP.'!JV7</f>
        <v>28</v>
      </c>
      <c r="CP7" s="1463">
        <f>'VISITA DE INSP.'!JW7</f>
        <v>32</v>
      </c>
      <c r="CQ7" s="1463">
        <f>'VISITA DE INSP.'!JX7</f>
        <v>28</v>
      </c>
      <c r="CR7" s="1463">
        <f>'VISITA DE INSP.'!JY7</f>
        <v>26</v>
      </c>
      <c r="CS7" s="1463">
        <f>'VISITA DE INSP.'!JZ7</f>
        <v>31</v>
      </c>
      <c r="CT7" s="2346">
        <f>'VISITA DE INSP.'!KA7</f>
        <v>62</v>
      </c>
      <c r="CU7" s="2353">
        <f>'VISITA DE INSP.'!KB7</f>
        <v>0</v>
      </c>
      <c r="CV7" s="1463">
        <f>'VISITA DE INSP.'!KC7</f>
        <v>0</v>
      </c>
      <c r="CW7" s="1463">
        <f>'VISITA DE INSP.'!KD7</f>
        <v>0</v>
      </c>
      <c r="CX7" s="1463">
        <f>'VISITA DE INSP.'!KE7</f>
        <v>0</v>
      </c>
      <c r="CY7" s="1463">
        <f>'VISITA DE INSP.'!KF7</f>
        <v>0</v>
      </c>
      <c r="CZ7" s="2346">
        <f>'VISITA DE INSP.'!KG7</f>
        <v>0</v>
      </c>
    </row>
    <row r="8" spans="1:104" ht="15" customHeight="1">
      <c r="A8" s="1601" t="s">
        <v>1511</v>
      </c>
      <c r="B8" s="1597"/>
      <c r="C8" s="5227" t="str">
        <f>VLOOKUP(K13,Z2:CH22,5)</f>
        <v>REG. 510 MZ. 36 L. 1 Y 2</v>
      </c>
      <c r="D8" s="5227"/>
      <c r="E8" s="5227"/>
      <c r="F8" s="5227"/>
      <c r="G8" s="1597" t="s">
        <v>1415</v>
      </c>
      <c r="H8" s="1597"/>
      <c r="I8" s="5227" t="str">
        <f>VLOOKUP(K13,Z2:CH22,6)</f>
        <v>9987-34-95-64</v>
      </c>
      <c r="J8" s="5227"/>
      <c r="K8" s="5227"/>
      <c r="L8" s="1598"/>
      <c r="M8" s="1473" t="s">
        <v>1416</v>
      </c>
      <c r="N8" s="1473"/>
      <c r="O8" s="1471" t="s">
        <v>1038</v>
      </c>
      <c r="P8" s="1474"/>
      <c r="Q8" s="2239">
        <f>VLOOKUP(K13,Z2:CH22,15)</f>
        <v>0</v>
      </c>
      <c r="R8" s="1474"/>
      <c r="S8" s="1471" t="s">
        <v>1417</v>
      </c>
      <c r="T8" s="1471"/>
      <c r="U8" s="2239" t="str">
        <f>VLOOKUP(K13,Z2:CH22,16)</f>
        <v>X</v>
      </c>
      <c r="V8" s="5226" t="s">
        <v>1418</v>
      </c>
      <c r="W8" s="5226"/>
      <c r="X8" s="1475">
        <f>VLOOKUP(K13,Z2:CH22,17)</f>
        <v>0</v>
      </c>
      <c r="Y8" s="801"/>
      <c r="Z8" s="2353">
        <f>'VISITA DE INSP.'!HG8</f>
        <v>6</v>
      </c>
      <c r="AA8" s="2330" t="str">
        <f>'VISITA DE INSP.'!HH8</f>
        <v>neydi_carrillo@hotmail.com</v>
      </c>
      <c r="AB8" s="1462" t="str">
        <f>'VISITA DE INSP.'!HI8</f>
        <v>CUITLAHUAC</v>
      </c>
      <c r="AC8" s="1462" t="str">
        <f>'VISITA DE INSP.'!HJ8</f>
        <v>23DPR0572W</v>
      </c>
      <c r="AD8" s="1462" t="str">
        <f>'VISITA DE INSP.'!HK8</f>
        <v>REG. 510 MZ. 36 L. 1 Y 2 COL JACINTO PAT</v>
      </c>
      <c r="AE8" s="1462" t="str">
        <f>'VISITA DE INSP.'!HL8</f>
        <v>9985 78 74 49</v>
      </c>
      <c r="AF8" s="1462" t="str">
        <f>'VISITA DE INSP.'!HM8</f>
        <v>CANCUN</v>
      </c>
      <c r="AG8" s="1462" t="str">
        <f>'VISITA DE INSP.'!HN8</f>
        <v>BENITO JUAREZ</v>
      </c>
      <c r="AH8" s="1463" t="str">
        <f>'VISITA DE INSP.'!HO8</f>
        <v>X</v>
      </c>
      <c r="AI8" s="2346">
        <f>'VISITA DE INSP.'!HP8</f>
        <v>0</v>
      </c>
      <c r="AJ8" s="2353" t="str">
        <f>'VISITA DE INSP.'!HQ8</f>
        <v>X</v>
      </c>
      <c r="AK8" s="1463">
        <f>'VISITA DE INSP.'!HR8</f>
        <v>0</v>
      </c>
      <c r="AL8" s="1463" t="str">
        <f>'VISITA DE INSP.'!HS8</f>
        <v>X</v>
      </c>
      <c r="AM8" s="1463">
        <f>'VISITA DE INSP.'!HT8</f>
        <v>0</v>
      </c>
      <c r="AN8" s="1463" t="str">
        <f>'VISITA DE INSP.'!HU8</f>
        <v>X</v>
      </c>
      <c r="AO8" s="1463">
        <f>'VISITA DE INSP.'!HV8</f>
        <v>0</v>
      </c>
      <c r="AP8" s="1463">
        <f>'VISITA DE INSP.'!HW8</f>
        <v>0</v>
      </c>
      <c r="AQ8" s="1463">
        <f>'VISITA DE INSP.'!HX8</f>
        <v>0</v>
      </c>
      <c r="AR8" s="1463" t="str">
        <f>'VISITA DE INSP.'!HY8</f>
        <v>X</v>
      </c>
      <c r="AS8" s="1463" t="str">
        <f>'VISITA DE INSP.'!HZ8</f>
        <v>X</v>
      </c>
      <c r="AT8" s="1463">
        <f>'VISITA DE INSP.'!IA8</f>
        <v>0</v>
      </c>
      <c r="AU8" s="1463">
        <f>'VISITA DE INSP.'!IB8</f>
        <v>13</v>
      </c>
      <c r="AV8" s="1463">
        <f>'VISITA DE INSP.'!IC8</f>
        <v>0</v>
      </c>
      <c r="AW8" s="1463">
        <f>'VISITA DE INSP.'!ID8</f>
        <v>0</v>
      </c>
      <c r="AX8" s="1463">
        <f>'VISITA DE INSP.'!IE8</f>
        <v>1</v>
      </c>
      <c r="AY8" s="2346">
        <f>'VISITA DE INSP.'!IF8</f>
        <v>0</v>
      </c>
      <c r="AZ8" s="2353">
        <f>'VISITA DE INSP.'!IG8</f>
        <v>0</v>
      </c>
      <c r="BA8" s="2340">
        <f>'VISITA DE INSP.'!IH8</f>
        <v>1</v>
      </c>
      <c r="BB8" s="2340">
        <f>'VISITA DE INSP.'!II8</f>
        <v>0</v>
      </c>
      <c r="BC8" s="2346">
        <f>'VISITA DE INSP.'!IJ8</f>
        <v>0</v>
      </c>
      <c r="BD8" s="1463">
        <f>'VISITA DE INSP.'!IK8</f>
        <v>13</v>
      </c>
      <c r="BE8" s="1463">
        <f>'VISITA DE INSP.'!IL8</f>
        <v>0</v>
      </c>
      <c r="BF8" s="1463">
        <f>'VISITA DE INSP.'!IM8</f>
        <v>0</v>
      </c>
      <c r="BG8" s="1463">
        <f>'VISITA DE INSP.'!IN8</f>
        <v>2</v>
      </c>
      <c r="BH8" s="1463">
        <f>'VISITA DE INSP.'!IO8</f>
        <v>0</v>
      </c>
      <c r="BI8" s="2353">
        <f>'VISITA DE INSP.'!IP8</f>
        <v>37</v>
      </c>
      <c r="BJ8" s="2346">
        <f>'VISITA DE INSP.'!IQ8</f>
        <v>31</v>
      </c>
      <c r="BK8" s="2353">
        <f>'VISITA DE INSP.'!IR8</f>
        <v>1</v>
      </c>
      <c r="BL8" s="2340">
        <f>'VISITA DE INSP.'!IS8</f>
        <v>7</v>
      </c>
      <c r="BM8" s="2340">
        <f>'VISITA DE INSP.'!IT8</f>
        <v>0</v>
      </c>
      <c r="BN8" s="2346">
        <f>'VISITA DE INSP.'!IU8</f>
        <v>0</v>
      </c>
      <c r="BO8" s="2353">
        <f>'VISITA DE INSP.'!IV8</f>
        <v>3</v>
      </c>
      <c r="BP8" s="1463">
        <f>'VISITA DE INSP.'!IW8</f>
        <v>2</v>
      </c>
      <c r="BQ8" s="1463">
        <f>'VISITA DE INSP.'!IX8</f>
        <v>2</v>
      </c>
      <c r="BR8" s="1463">
        <f>'VISITA DE INSP.'!IY8</f>
        <v>2</v>
      </c>
      <c r="BS8" s="1463">
        <f>'VISITA DE INSP.'!IZ8</f>
        <v>2</v>
      </c>
      <c r="BT8" s="2346">
        <f>'VISITA DE INSP.'!JA8</f>
        <v>2</v>
      </c>
      <c r="BU8" s="3739" t="str">
        <f>'VISITA DE INSP.'!JB8</f>
        <v>DZIB TUZ MANUEL JESUS</v>
      </c>
      <c r="BV8" s="3740" t="str">
        <f>'VISITA DE INSP.'!JC8</f>
        <v>JESUS MARTIN RICALDE CASTRO</v>
      </c>
      <c r="BW8" s="2353">
        <f>'VISITA DE INSP.'!JD8</f>
        <v>96</v>
      </c>
      <c r="BX8" s="1463">
        <f>'VISITA DE INSP.'!JE8</f>
        <v>62</v>
      </c>
      <c r="BY8" s="1463">
        <f>'VISITA DE INSP.'!JF8</f>
        <v>53</v>
      </c>
      <c r="BZ8" s="1463">
        <f>'VISITA DE INSP.'!JG8</f>
        <v>66</v>
      </c>
      <c r="CA8" s="1463">
        <f>'VISITA DE INSP.'!JH8</f>
        <v>68</v>
      </c>
      <c r="CB8" s="2346">
        <f>'VISITA DE INSP.'!JI8</f>
        <v>68</v>
      </c>
      <c r="CC8" s="2353">
        <f>'VISITA DE INSP.'!JJ8</f>
        <v>8</v>
      </c>
      <c r="CD8" s="1463">
        <f>'VISITA DE INSP.'!JK8</f>
        <v>3</v>
      </c>
      <c r="CE8" s="1463">
        <f>'VISITA DE INSP.'!JL8</f>
        <v>7</v>
      </c>
      <c r="CF8" s="1463">
        <f>'VISITA DE INSP.'!JM8</f>
        <v>3</v>
      </c>
      <c r="CG8" s="1463">
        <f>'VISITA DE INSP.'!JN8</f>
        <v>4</v>
      </c>
      <c r="CH8" s="2346">
        <f>'VISITA DE INSP.'!JO8</f>
        <v>2</v>
      </c>
      <c r="CI8" s="2353">
        <f>'VISITA DE INSP.'!JP8</f>
        <v>9</v>
      </c>
      <c r="CJ8" s="1463">
        <f>'VISITA DE INSP.'!JQ8</f>
        <v>9</v>
      </c>
      <c r="CK8" s="1463">
        <f>'VISITA DE INSP.'!JR8</f>
        <v>6</v>
      </c>
      <c r="CL8" s="1463">
        <f>'VISITA DE INSP.'!JS8</f>
        <v>3</v>
      </c>
      <c r="CM8" s="1463">
        <f>'VISITA DE INSP.'!JT8</f>
        <v>3</v>
      </c>
      <c r="CN8" s="2346">
        <f>'VISITA DE INSP.'!JU8</f>
        <v>0</v>
      </c>
      <c r="CO8" s="2353">
        <f>'VISITA DE INSP.'!JV8</f>
        <v>95</v>
      </c>
      <c r="CP8" s="1463">
        <f>'VISITA DE INSP.'!JW8</f>
        <v>56</v>
      </c>
      <c r="CQ8" s="1463">
        <f>'VISITA DE INSP.'!JX8</f>
        <v>54</v>
      </c>
      <c r="CR8" s="1463">
        <f>'VISITA DE INSP.'!JY8</f>
        <v>66</v>
      </c>
      <c r="CS8" s="1463">
        <f>'VISITA DE INSP.'!JZ8</f>
        <v>69</v>
      </c>
      <c r="CT8" s="2346">
        <f>'VISITA DE INSP.'!KA8</f>
        <v>70</v>
      </c>
      <c r="CU8" s="2353">
        <f>'VISITA DE INSP.'!KB8</f>
        <v>0</v>
      </c>
      <c r="CV8" s="1463">
        <f>'VISITA DE INSP.'!KC8</f>
        <v>0</v>
      </c>
      <c r="CW8" s="1463">
        <f>'VISITA DE INSP.'!KD8</f>
        <v>0</v>
      </c>
      <c r="CX8" s="1463">
        <f>'VISITA DE INSP.'!KE8</f>
        <v>0</v>
      </c>
      <c r="CY8" s="1463">
        <f>'VISITA DE INSP.'!KF8</f>
        <v>0</v>
      </c>
      <c r="CZ8" s="2346">
        <f>'VISITA DE INSP.'!KG8</f>
        <v>0</v>
      </c>
    </row>
    <row r="9" spans="1:104" ht="15" customHeight="1">
      <c r="A9" s="1596"/>
      <c r="B9" s="1597"/>
      <c r="C9" s="1599"/>
      <c r="D9" s="1599"/>
      <c r="E9" s="1599"/>
      <c r="F9" s="1599"/>
      <c r="G9" s="1597"/>
      <c r="H9" s="1597"/>
      <c r="I9" s="1597"/>
      <c r="J9" s="1597"/>
      <c r="K9" s="1597"/>
      <c r="L9" s="1598"/>
      <c r="M9" s="1473" t="s">
        <v>1419</v>
      </c>
      <c r="N9" s="1473"/>
      <c r="O9" s="2264"/>
      <c r="P9" s="2261" t="s">
        <v>116</v>
      </c>
      <c r="Q9" s="2239">
        <f>VLOOKUP(K13,Z2:CH22,18)</f>
        <v>0</v>
      </c>
      <c r="R9" s="1474"/>
      <c r="S9" s="1471"/>
      <c r="T9" s="2261" t="s">
        <v>117</v>
      </c>
      <c r="U9" s="2239" t="str">
        <f>VLOOKUP(K13,Z2:CH22,19)</f>
        <v>X</v>
      </c>
      <c r="V9" s="1471"/>
      <c r="W9" s="1471"/>
      <c r="X9" s="1472"/>
      <c r="Y9" s="801"/>
      <c r="Z9" s="2353">
        <f>'VISITA DE INSP.'!HG9</f>
        <v>7</v>
      </c>
      <c r="AA9" s="2330" t="str">
        <f>'VISITA DE INSP.'!HH9</f>
        <v>gemelamarcar@hotmail.com</v>
      </c>
      <c r="AB9" s="1462" t="str">
        <f>'VISITA DE INSP.'!HI9</f>
        <v>CUITLAHUAC</v>
      </c>
      <c r="AC9" s="1462" t="str">
        <f>'VISITA DE INSP.'!HJ9</f>
        <v>23DPR0581D</v>
      </c>
      <c r="AD9" s="1462" t="str">
        <f>'VISITA DE INSP.'!HK9</f>
        <v>REG. 510 MZ. 36 L. 1 Y 2</v>
      </c>
      <c r="AE9" s="1462" t="str">
        <f>'VISITA DE INSP.'!HL9</f>
        <v>9987-34-95-64</v>
      </c>
      <c r="AF9" s="1462" t="str">
        <f>'VISITA DE INSP.'!HM9</f>
        <v>CANCUN</v>
      </c>
      <c r="AG9" s="1462" t="str">
        <f>'VISITA DE INSP.'!HN9</f>
        <v>BENITO JUAREZ</v>
      </c>
      <c r="AH9" s="1463" t="str">
        <f>'VISITA DE INSP.'!HO9</f>
        <v>X</v>
      </c>
      <c r="AI9" s="2346">
        <f>'VISITA DE INSP.'!HP9</f>
        <v>0</v>
      </c>
      <c r="AJ9" s="2353">
        <f>'VISITA DE INSP.'!HQ9</f>
        <v>0</v>
      </c>
      <c r="AK9" s="1463" t="str">
        <f>'VISITA DE INSP.'!HR9</f>
        <v>X</v>
      </c>
      <c r="AL9" s="1463" t="str">
        <f>'VISITA DE INSP.'!HS9</f>
        <v>X</v>
      </c>
      <c r="AM9" s="1463">
        <f>'VISITA DE INSP.'!HT9</f>
        <v>0</v>
      </c>
      <c r="AN9" s="1463">
        <f>'VISITA DE INSP.'!HU9</f>
        <v>0</v>
      </c>
      <c r="AO9" s="1463" t="str">
        <f>'VISITA DE INSP.'!HV9</f>
        <v>X</v>
      </c>
      <c r="AP9" s="1463">
        <f>'VISITA DE INSP.'!HW9</f>
        <v>0</v>
      </c>
      <c r="AQ9" s="1463">
        <f>'VISITA DE INSP.'!HX9</f>
        <v>0</v>
      </c>
      <c r="AR9" s="1463" t="str">
        <f>'VISITA DE INSP.'!HY9</f>
        <v>X</v>
      </c>
      <c r="AS9" s="1463" t="str">
        <f>'VISITA DE INSP.'!HZ9</f>
        <v>X</v>
      </c>
      <c r="AT9" s="1463">
        <f>'VISITA DE INSP.'!IA9</f>
        <v>0</v>
      </c>
      <c r="AU9" s="1463">
        <f>'VISITA DE INSP.'!IB9</f>
        <v>0</v>
      </c>
      <c r="AV9" s="1463">
        <f>'VISITA DE INSP.'!IC9</f>
        <v>0</v>
      </c>
      <c r="AW9" s="1463">
        <f>'VISITA DE INSP.'!ID9</f>
        <v>0</v>
      </c>
      <c r="AX9" s="1463">
        <f>'VISITA DE INSP.'!IE9</f>
        <v>0</v>
      </c>
      <c r="AY9" s="2346">
        <f>'VISITA DE INSP.'!IF9</f>
        <v>0</v>
      </c>
      <c r="AZ9" s="2353">
        <f>'VISITA DE INSP.'!IG9</f>
        <v>1</v>
      </c>
      <c r="BA9" s="2340">
        <f>'VISITA DE INSP.'!IH9</f>
        <v>0</v>
      </c>
      <c r="BB9" s="2340">
        <f>'VISITA DE INSP.'!II9</f>
        <v>0</v>
      </c>
      <c r="BC9" s="2346">
        <f>'VISITA DE INSP.'!IJ9</f>
        <v>0</v>
      </c>
      <c r="BD9" s="1463">
        <f>'VISITA DE INSP.'!IK9</f>
        <v>5</v>
      </c>
      <c r="BE9" s="1463">
        <f>'VISITA DE INSP.'!IL9</f>
        <v>1</v>
      </c>
      <c r="BF9" s="1463">
        <f>'VISITA DE INSP.'!IM9</f>
        <v>0</v>
      </c>
      <c r="BG9" s="1463">
        <f>'VISITA DE INSP.'!IN9</f>
        <v>1</v>
      </c>
      <c r="BH9" s="1463">
        <f>'VISITA DE INSP.'!IO9</f>
        <v>0</v>
      </c>
      <c r="BI9" s="2353">
        <f>'VISITA DE INSP.'!IP9</f>
        <v>0</v>
      </c>
      <c r="BJ9" s="2346">
        <f>'VISITA DE INSP.'!IQ9</f>
        <v>0</v>
      </c>
      <c r="BK9" s="2353">
        <f>'VISITA DE INSP.'!IR9</f>
        <v>0</v>
      </c>
      <c r="BL9" s="2340">
        <f>'VISITA DE INSP.'!IS9</f>
        <v>3</v>
      </c>
      <c r="BM9" s="2340">
        <f>'VISITA DE INSP.'!IT9</f>
        <v>0</v>
      </c>
      <c r="BN9" s="2346">
        <f>'VISITA DE INSP.'!IU9</f>
        <v>0</v>
      </c>
      <c r="BO9" s="2353">
        <f>'VISITA DE INSP.'!IV9</f>
        <v>0</v>
      </c>
      <c r="BP9" s="1463">
        <f>'VISITA DE INSP.'!IW9</f>
        <v>0</v>
      </c>
      <c r="BQ9" s="1463">
        <f>'VISITA DE INSP.'!IX9</f>
        <v>1</v>
      </c>
      <c r="BR9" s="1463">
        <f>'VISITA DE INSP.'!IY9</f>
        <v>1</v>
      </c>
      <c r="BS9" s="1463">
        <f>'VISITA DE INSP.'!IZ9</f>
        <v>1</v>
      </c>
      <c r="BT9" s="2346">
        <f>'VISITA DE INSP.'!JA9</f>
        <v>2</v>
      </c>
      <c r="BU9" s="3739" t="str">
        <f>'VISITA DE INSP.'!JB9</f>
        <v>PUCH GOMEZ MADAI ROXANA</v>
      </c>
      <c r="BV9" s="3740" t="str">
        <f>'VISITA DE INSP.'!JC9</f>
        <v>JESUS MARTIN RICALDE CASTRO</v>
      </c>
      <c r="BW9" s="2353">
        <f>'VISITA DE INSP.'!JD9</f>
        <v>0</v>
      </c>
      <c r="BX9" s="1463">
        <f>'VISITA DE INSP.'!JE9</f>
        <v>0</v>
      </c>
      <c r="BY9" s="1463">
        <f>'VISITA DE INSP.'!JF9</f>
        <v>22</v>
      </c>
      <c r="BZ9" s="1463">
        <f>'VISITA DE INSP.'!JG9</f>
        <v>22</v>
      </c>
      <c r="CA9" s="1463">
        <f>'VISITA DE INSP.'!JH9</f>
        <v>27</v>
      </c>
      <c r="CB9" s="2346">
        <f>'VISITA DE INSP.'!JI9</f>
        <v>44</v>
      </c>
      <c r="CC9" s="2353">
        <f>'VISITA DE INSP.'!JJ9</f>
        <v>0</v>
      </c>
      <c r="CD9" s="1463">
        <f>'VISITA DE INSP.'!JK9</f>
        <v>0</v>
      </c>
      <c r="CE9" s="1463">
        <f>'VISITA DE INSP.'!JL9</f>
        <v>2</v>
      </c>
      <c r="CF9" s="1463">
        <f>'VISITA DE INSP.'!JM9</f>
        <v>1</v>
      </c>
      <c r="CG9" s="1463">
        <f>'VISITA DE INSP.'!JN9</f>
        <v>1</v>
      </c>
      <c r="CH9" s="2346">
        <f>'VISITA DE INSP.'!JO9</f>
        <v>1</v>
      </c>
      <c r="CI9" s="2353">
        <f>'VISITA DE INSP.'!JP9</f>
        <v>0</v>
      </c>
      <c r="CJ9" s="1463">
        <f>'VISITA DE INSP.'!JQ9</f>
        <v>0</v>
      </c>
      <c r="CK9" s="1463">
        <f>'VISITA DE INSP.'!JR9</f>
        <v>2</v>
      </c>
      <c r="CL9" s="1463">
        <f>'VISITA DE INSP.'!JS9</f>
        <v>2</v>
      </c>
      <c r="CM9" s="1463">
        <f>'VISITA DE INSP.'!JT9</f>
        <v>4</v>
      </c>
      <c r="CN9" s="2346">
        <f>'VISITA DE INSP.'!JU9</f>
        <v>2</v>
      </c>
      <c r="CO9" s="2353">
        <f>'VISITA DE INSP.'!JV9</f>
        <v>0</v>
      </c>
      <c r="CP9" s="1463">
        <f>'VISITA DE INSP.'!JW9</f>
        <v>0</v>
      </c>
      <c r="CQ9" s="1463">
        <f>'VISITA DE INSP.'!JX9</f>
        <v>22</v>
      </c>
      <c r="CR9" s="1463">
        <f>'VISITA DE INSP.'!JY9</f>
        <v>21</v>
      </c>
      <c r="CS9" s="1463">
        <f>'VISITA DE INSP.'!JZ9</f>
        <v>24</v>
      </c>
      <c r="CT9" s="2346">
        <f>'VISITA DE INSP.'!KA9</f>
        <v>43</v>
      </c>
      <c r="CU9" s="2353">
        <f>'VISITA DE INSP.'!KB9</f>
        <v>0</v>
      </c>
      <c r="CV9" s="1463">
        <f>'VISITA DE INSP.'!KC9</f>
        <v>0</v>
      </c>
      <c r="CW9" s="1463">
        <f>'VISITA DE INSP.'!KD9</f>
        <v>0</v>
      </c>
      <c r="CX9" s="1463">
        <f>'VISITA DE INSP.'!KE9</f>
        <v>0</v>
      </c>
      <c r="CY9" s="1463">
        <f>'VISITA DE INSP.'!KF9</f>
        <v>0</v>
      </c>
      <c r="CZ9" s="2346">
        <f>'VISITA DE INSP.'!KG9</f>
        <v>0</v>
      </c>
    </row>
    <row r="10" spans="1:104" ht="15" customHeight="1">
      <c r="A10" s="1601" t="s">
        <v>1512</v>
      </c>
      <c r="B10" s="1597"/>
      <c r="C10" s="5227" t="str">
        <f>VLOOKUP(K13,Z2:CH22,7)</f>
        <v>CANCUN</v>
      </c>
      <c r="D10" s="5227"/>
      <c r="E10" s="5227"/>
      <c r="F10" s="5227"/>
      <c r="G10" s="1597" t="s">
        <v>764</v>
      </c>
      <c r="H10" s="1597"/>
      <c r="I10" s="5227" t="str">
        <f>VLOOKUP(K13,Z2:CH22,8)</f>
        <v>BENITO JUAREZ</v>
      </c>
      <c r="J10" s="5227"/>
      <c r="K10" s="5227"/>
      <c r="L10" s="1598"/>
      <c r="M10" s="1473" t="s">
        <v>1420</v>
      </c>
      <c r="N10" s="1473"/>
      <c r="O10" s="1471"/>
      <c r="P10" s="2261" t="s">
        <v>116</v>
      </c>
      <c r="Q10" s="2239" t="str">
        <f>VLOOKUP(K13,Z2:CH22,20)</f>
        <v>X</v>
      </c>
      <c r="R10" s="1474"/>
      <c r="S10" s="1471"/>
      <c r="T10" s="2261" t="s">
        <v>117</v>
      </c>
      <c r="U10" s="2239">
        <f>VLOOKUP(K13,Z2:CH22,21)</f>
        <v>0</v>
      </c>
      <c r="V10" s="1471"/>
      <c r="W10" s="1471"/>
      <c r="X10" s="1472"/>
      <c r="Y10" s="801"/>
      <c r="Z10" s="2353">
        <f>'VISITA DE INSP.'!HG10</f>
        <v>8</v>
      </c>
      <c r="AA10" s="2330" t="str">
        <f>'VISITA DE INSP.'!HH10</f>
        <v>manueljesu_95@hotmail.com</v>
      </c>
      <c r="AB10" s="1462" t="str">
        <f>'VISITA DE INSP.'!HI10</f>
        <v>KABAH</v>
      </c>
      <c r="AC10" s="1462" t="str">
        <f>'VISITA DE INSP.'!HJ10</f>
        <v>23DPR0593I</v>
      </c>
      <c r="AD10" s="1462" t="str">
        <f>'VISITA DE INSP.'!HK10</f>
        <v>SMZ. 48 MZA. 13 L. 2 C. OCOSINGO</v>
      </c>
      <c r="AE10" s="1462" t="str">
        <f>'VISITA DE INSP.'!HL10</f>
        <v>998 2-51-88-28</v>
      </c>
      <c r="AF10" s="1462" t="str">
        <f>'VISITA DE INSP.'!HM10</f>
        <v>CANCUN</v>
      </c>
      <c r="AG10" s="1462" t="str">
        <f>'VISITA DE INSP.'!HN10</f>
        <v>BENITO JUAREZ</v>
      </c>
      <c r="AH10" s="1463" t="str">
        <f>'VISITA DE INSP.'!HO10</f>
        <v>X</v>
      </c>
      <c r="AI10" s="2346">
        <f>'VISITA DE INSP.'!HP10</f>
        <v>0</v>
      </c>
      <c r="AJ10" s="2353">
        <f>'VISITA DE INSP.'!HQ10</f>
        <v>0</v>
      </c>
      <c r="AK10" s="1463" t="str">
        <f>'VISITA DE INSP.'!HR10</f>
        <v>X</v>
      </c>
      <c r="AL10" s="1463" t="str">
        <f>'VISITA DE INSP.'!HS10</f>
        <v>X</v>
      </c>
      <c r="AM10" s="1463">
        <f>'VISITA DE INSP.'!HT10</f>
        <v>0</v>
      </c>
      <c r="AN10" s="1463">
        <f>'VISITA DE INSP.'!HU10</f>
        <v>0</v>
      </c>
      <c r="AO10" s="1463" t="str">
        <f>'VISITA DE INSP.'!HV10</f>
        <v>X</v>
      </c>
      <c r="AP10" s="1463">
        <f>'VISITA DE INSP.'!HW10</f>
        <v>0</v>
      </c>
      <c r="AQ10" s="1463">
        <f>'VISITA DE INSP.'!HX10</f>
        <v>0</v>
      </c>
      <c r="AR10" s="1463" t="str">
        <f>'VISITA DE INSP.'!HY10</f>
        <v>X</v>
      </c>
      <c r="AS10" s="1463">
        <f>'VISITA DE INSP.'!HZ10</f>
        <v>0</v>
      </c>
      <c r="AT10" s="1463" t="str">
        <f>'VISITA DE INSP.'!IA10</f>
        <v>X</v>
      </c>
      <c r="AU10" s="1463">
        <f>'VISITA DE INSP.'!IB10</f>
        <v>0</v>
      </c>
      <c r="AV10" s="1463">
        <f>'VISITA DE INSP.'!IC10</f>
        <v>0</v>
      </c>
      <c r="AW10" s="1463">
        <f>'VISITA DE INSP.'!ID10</f>
        <v>0</v>
      </c>
      <c r="AX10" s="1463">
        <f>'VISITA DE INSP.'!IE10</f>
        <v>0</v>
      </c>
      <c r="AY10" s="2346">
        <f>'VISITA DE INSP.'!IF10</f>
        <v>0</v>
      </c>
      <c r="AZ10" s="2353">
        <f>'VISITA DE INSP.'!IG10</f>
        <v>0</v>
      </c>
      <c r="BA10" s="2340">
        <f>'VISITA DE INSP.'!IH10</f>
        <v>0</v>
      </c>
      <c r="BB10" s="2340">
        <f>'VISITA DE INSP.'!II10</f>
        <v>1</v>
      </c>
      <c r="BC10" s="2346">
        <f>'VISITA DE INSP.'!IJ10</f>
        <v>0</v>
      </c>
      <c r="BD10" s="1463">
        <f>'VISITA DE INSP.'!IK10</f>
        <v>1</v>
      </c>
      <c r="BE10" s="1463">
        <f>'VISITA DE INSP.'!IL10</f>
        <v>1</v>
      </c>
      <c r="BF10" s="1463">
        <f>'VISITA DE INSP.'!IM10</f>
        <v>0</v>
      </c>
      <c r="BG10" s="1463">
        <f>'VISITA DE INSP.'!IN10</f>
        <v>1</v>
      </c>
      <c r="BH10" s="1463">
        <f>'VISITA DE INSP.'!IO10</f>
        <v>0</v>
      </c>
      <c r="BI10" s="2353">
        <f>'VISITA DE INSP.'!IP10</f>
        <v>0</v>
      </c>
      <c r="BJ10" s="2346">
        <f>'VISITA DE INSP.'!IQ10</f>
        <v>0</v>
      </c>
      <c r="BK10" s="2353">
        <f>'VISITA DE INSP.'!IR10</f>
        <v>0</v>
      </c>
      <c r="BL10" s="2340">
        <f>'VISITA DE INSP.'!IS10</f>
        <v>2</v>
      </c>
      <c r="BM10" s="2340">
        <f>'VISITA DE INSP.'!IT10</f>
        <v>0</v>
      </c>
      <c r="BN10" s="2346">
        <f>'VISITA DE INSP.'!IU10</f>
        <v>0</v>
      </c>
      <c r="BO10" s="2353">
        <f>'VISITA DE INSP.'!IV10</f>
        <v>0</v>
      </c>
      <c r="BP10" s="1463">
        <f>'VISITA DE INSP.'!IW10</f>
        <v>0</v>
      </c>
      <c r="BQ10" s="1463">
        <f>'VISITA DE INSP.'!IX10</f>
        <v>0</v>
      </c>
      <c r="BR10" s="1463">
        <f>'VISITA DE INSP.'!IY10</f>
        <v>0</v>
      </c>
      <c r="BS10" s="1463">
        <f>'VISITA DE INSP.'!IZ10</f>
        <v>1</v>
      </c>
      <c r="BT10" s="2346">
        <f>'VISITA DE INSP.'!JA10</f>
        <v>1</v>
      </c>
      <c r="BU10" s="3739" t="str">
        <f>'VISITA DE INSP.'!JB10</f>
        <v>MANUEL JESUS DZIB TUZ</v>
      </c>
      <c r="BV10" s="3740" t="str">
        <f>'VISITA DE INSP.'!JC10</f>
        <v>JESUS MARTIN RICALDE CASTRO</v>
      </c>
      <c r="BW10" s="2353">
        <f>'VISITA DE INSP.'!JD10</f>
        <v>0</v>
      </c>
      <c r="BX10" s="1463">
        <f>'VISITA DE INSP.'!JE10</f>
        <v>0</v>
      </c>
      <c r="BY10" s="1463">
        <f>'VISITA DE INSP.'!JF10</f>
        <v>0</v>
      </c>
      <c r="BZ10" s="1463">
        <f>'VISITA DE INSP.'!JG10</f>
        <v>0</v>
      </c>
      <c r="CA10" s="1463">
        <f>'VISITA DE INSP.'!JH10</f>
        <v>20</v>
      </c>
      <c r="CB10" s="2346">
        <f>'VISITA DE INSP.'!JI10</f>
        <v>28</v>
      </c>
      <c r="CC10" s="2353">
        <f>'VISITA DE INSP.'!JJ10</f>
        <v>0</v>
      </c>
      <c r="CD10" s="1463">
        <f>'VISITA DE INSP.'!JK10</f>
        <v>0</v>
      </c>
      <c r="CE10" s="1463">
        <f>'VISITA DE INSP.'!JL10</f>
        <v>0</v>
      </c>
      <c r="CF10" s="1463">
        <f>'VISITA DE INSP.'!JM10</f>
        <v>0</v>
      </c>
      <c r="CG10" s="1463">
        <f>'VISITA DE INSP.'!JN10</f>
        <v>1</v>
      </c>
      <c r="CH10" s="2346">
        <f>'VISITA DE INSP.'!JO10</f>
        <v>1</v>
      </c>
      <c r="CI10" s="2353">
        <f>'VISITA DE INSP.'!JP10</f>
        <v>0</v>
      </c>
      <c r="CJ10" s="1463">
        <f>'VISITA DE INSP.'!JQ10</f>
        <v>0</v>
      </c>
      <c r="CK10" s="1463">
        <f>'VISITA DE INSP.'!JR10</f>
        <v>0</v>
      </c>
      <c r="CL10" s="1463">
        <f>'VISITA DE INSP.'!JS10</f>
        <v>0</v>
      </c>
      <c r="CM10" s="1463">
        <f>'VISITA DE INSP.'!JT10</f>
        <v>2</v>
      </c>
      <c r="CN10" s="2346">
        <f>'VISITA DE INSP.'!JU10</f>
        <v>6</v>
      </c>
      <c r="CO10" s="2353">
        <f>'VISITA DE INSP.'!JV10</f>
        <v>0</v>
      </c>
      <c r="CP10" s="1463">
        <f>'VISITA DE INSP.'!JW10</f>
        <v>0</v>
      </c>
      <c r="CQ10" s="1463">
        <f>'VISITA DE INSP.'!JX10</f>
        <v>0</v>
      </c>
      <c r="CR10" s="1463">
        <f>'VISITA DE INSP.'!JY10</f>
        <v>0</v>
      </c>
      <c r="CS10" s="1463">
        <f>'VISITA DE INSP.'!JZ10</f>
        <v>19</v>
      </c>
      <c r="CT10" s="2346">
        <f>'VISITA DE INSP.'!KA10</f>
        <v>23</v>
      </c>
      <c r="CU10" s="2353">
        <f>'VISITA DE INSP.'!KB10</f>
        <v>0</v>
      </c>
      <c r="CV10" s="1463">
        <f>'VISITA DE INSP.'!KC10</f>
        <v>0</v>
      </c>
      <c r="CW10" s="1463">
        <f>'VISITA DE INSP.'!KD10</f>
        <v>0</v>
      </c>
      <c r="CX10" s="1463">
        <f>'VISITA DE INSP.'!KE10</f>
        <v>0</v>
      </c>
      <c r="CY10" s="1463">
        <f>'VISITA DE INSP.'!KF10</f>
        <v>0</v>
      </c>
      <c r="CZ10" s="2346">
        <f>'VISITA DE INSP.'!KG10</f>
        <v>0</v>
      </c>
    </row>
    <row r="11" spans="1:104" ht="15" customHeight="1">
      <c r="A11" s="1596"/>
      <c r="B11" s="1597"/>
      <c r="C11" s="1600"/>
      <c r="D11" s="1600"/>
      <c r="E11" s="1600"/>
      <c r="F11" s="1600"/>
      <c r="G11" s="1597"/>
      <c r="H11" s="1597"/>
      <c r="I11" s="1600"/>
      <c r="J11" s="1600"/>
      <c r="K11" s="1600"/>
      <c r="L11" s="1598"/>
      <c r="M11" s="1470"/>
      <c r="N11" s="1473"/>
      <c r="O11" s="2261"/>
      <c r="P11" s="2263" t="s">
        <v>1421</v>
      </c>
      <c r="Q11" s="5233" t="s">
        <v>440</v>
      </c>
      <c r="R11" s="5233" t="s">
        <v>1422</v>
      </c>
      <c r="S11" s="5233" t="s">
        <v>447</v>
      </c>
      <c r="T11" s="5233" t="s">
        <v>1423</v>
      </c>
      <c r="U11" s="5233"/>
      <c r="V11" s="5233"/>
      <c r="W11" s="5233" t="s">
        <v>408</v>
      </c>
      <c r="X11" s="1472"/>
      <c r="Y11" s="801"/>
      <c r="Z11" s="2353">
        <f>'VISITA DE INSP.'!HG11</f>
        <v>9</v>
      </c>
      <c r="AA11" s="2330" t="str">
        <f>'VISITA DE INSP.'!HH11</f>
        <v>arjonasantoyo@hotmail.com</v>
      </c>
      <c r="AB11" s="1462" t="str">
        <f>'VISITA DE INSP.'!HI11</f>
        <v>ANTONIO MEDIZ BOLIO</v>
      </c>
      <c r="AC11" s="1462" t="str">
        <f>'VISITA DE INSP.'!HJ11</f>
        <v>23DPR0640C</v>
      </c>
      <c r="AD11" s="1462" t="str">
        <f>'VISITA DE INSP.'!HK11</f>
        <v>SMZ. 502 MZ. 2 L. 1 COL. PEHALTUN</v>
      </c>
      <c r="AE11" s="1462" t="str">
        <f>'VISITA DE INSP.'!HL11</f>
        <v>9981 98 41 36</v>
      </c>
      <c r="AF11" s="1462" t="str">
        <f>'VISITA DE INSP.'!HM11</f>
        <v>CANCUN</v>
      </c>
      <c r="AG11" s="1462" t="str">
        <f>'VISITA DE INSP.'!HN11</f>
        <v>BENITO JUAREZ</v>
      </c>
      <c r="AH11" s="1463" t="str">
        <f>'VISITA DE INSP.'!HO11</f>
        <v>X</v>
      </c>
      <c r="AI11" s="2346">
        <f>'VISITA DE INSP.'!HP11</f>
        <v>0</v>
      </c>
      <c r="AJ11" s="2353" t="str">
        <f>'VISITA DE INSP.'!HQ11</f>
        <v>X</v>
      </c>
      <c r="AK11" s="1463">
        <f>'VISITA DE INSP.'!HR11</f>
        <v>0</v>
      </c>
      <c r="AL11" s="1463" t="str">
        <f>'VISITA DE INSP.'!HS11</f>
        <v>X</v>
      </c>
      <c r="AM11" s="1463">
        <f>'VISITA DE INSP.'!HT11</f>
        <v>0</v>
      </c>
      <c r="AN11" s="1463" t="str">
        <f>'VISITA DE INSP.'!HU11</f>
        <v>X</v>
      </c>
      <c r="AO11" s="1463">
        <f>'VISITA DE INSP.'!HV11</f>
        <v>0</v>
      </c>
      <c r="AP11" s="1463">
        <f>'VISITA DE INSP.'!HW11</f>
        <v>0</v>
      </c>
      <c r="AQ11" s="1463">
        <f>'VISITA DE INSP.'!HX11</f>
        <v>0</v>
      </c>
      <c r="AR11" s="1463" t="str">
        <f>'VISITA DE INSP.'!HY11</f>
        <v>X</v>
      </c>
      <c r="AS11" s="1463" t="str">
        <f>'VISITA DE INSP.'!HZ11</f>
        <v>X</v>
      </c>
      <c r="AT11" s="1463">
        <f>'VISITA DE INSP.'!IA11</f>
        <v>0</v>
      </c>
      <c r="AU11" s="1463">
        <f>'VISITA DE INSP.'!IB11</f>
        <v>12</v>
      </c>
      <c r="AV11" s="1463">
        <f>'VISITA DE INSP.'!IC11</f>
        <v>1</v>
      </c>
      <c r="AW11" s="1463">
        <f>'VISITA DE INSP.'!ID11</f>
        <v>0</v>
      </c>
      <c r="AX11" s="1463">
        <f>'VISITA DE INSP.'!IE11</f>
        <v>0</v>
      </c>
      <c r="AY11" s="2346">
        <f>'VISITA DE INSP.'!IF11</f>
        <v>0</v>
      </c>
      <c r="AZ11" s="2353">
        <f>'VISITA DE INSP.'!IG11</f>
        <v>0</v>
      </c>
      <c r="BA11" s="2340">
        <f>'VISITA DE INSP.'!IH11</f>
        <v>1</v>
      </c>
      <c r="BB11" s="2340">
        <f>'VISITA DE INSP.'!II11</f>
        <v>0</v>
      </c>
      <c r="BC11" s="2346">
        <f>'VISITA DE INSP.'!IJ11</f>
        <v>0</v>
      </c>
      <c r="BD11" s="1463">
        <f>'VISITA DE INSP.'!IK11</f>
        <v>12</v>
      </c>
      <c r="BE11" s="1463">
        <f>'VISITA DE INSP.'!IL11</f>
        <v>1</v>
      </c>
      <c r="BF11" s="1463">
        <f>'VISITA DE INSP.'!IM11</f>
        <v>1</v>
      </c>
      <c r="BG11" s="1463">
        <f>'VISITA DE INSP.'!IN11</f>
        <v>1</v>
      </c>
      <c r="BH11" s="1463">
        <f>'VISITA DE INSP.'!IO11</f>
        <v>0</v>
      </c>
      <c r="BI11" s="2353">
        <f>'VISITA DE INSP.'!IP11</f>
        <v>19</v>
      </c>
      <c r="BJ11" s="2346">
        <f>'VISITA DE INSP.'!IQ11</f>
        <v>23</v>
      </c>
      <c r="BK11" s="2353">
        <f>'VISITA DE INSP.'!IR11</f>
        <v>1</v>
      </c>
      <c r="BL11" s="2340">
        <f>'VISITA DE INSP.'!IS11</f>
        <v>11</v>
      </c>
      <c r="BM11" s="2340">
        <f>'VISITA DE INSP.'!IT11</f>
        <v>0</v>
      </c>
      <c r="BN11" s="2346">
        <f>'VISITA DE INSP.'!IU11</f>
        <v>1</v>
      </c>
      <c r="BO11" s="2353">
        <f>'VISITA DE INSP.'!IV11</f>
        <v>2</v>
      </c>
      <c r="BP11" s="1463">
        <f>'VISITA DE INSP.'!IW11</f>
        <v>2</v>
      </c>
      <c r="BQ11" s="1463">
        <f>'VISITA DE INSP.'!IX11</f>
        <v>2</v>
      </c>
      <c r="BR11" s="1463">
        <f>'VISITA DE INSP.'!IY11</f>
        <v>2</v>
      </c>
      <c r="BS11" s="1463">
        <f>'VISITA DE INSP.'!IZ11</f>
        <v>2</v>
      </c>
      <c r="BT11" s="2346">
        <f>'VISITA DE INSP.'!JA11</f>
        <v>2</v>
      </c>
      <c r="BU11" s="3739" t="str">
        <f>'VISITA DE INSP.'!JB11</f>
        <v>MARCO ANTONIO ARJONA SANTOYO</v>
      </c>
      <c r="BV11" s="3740" t="str">
        <f>'VISITA DE INSP.'!JC11</f>
        <v>JESUS MARTIN RICALDE CASTRO</v>
      </c>
      <c r="BW11" s="2353">
        <f>'VISITA DE INSP.'!JD11</f>
        <v>54</v>
      </c>
      <c r="BX11" s="1463">
        <f>'VISITA DE INSP.'!JE11</f>
        <v>59</v>
      </c>
      <c r="BY11" s="1463">
        <f>'VISITA DE INSP.'!JF11</f>
        <v>67</v>
      </c>
      <c r="BZ11" s="1463">
        <f>'VISITA DE INSP.'!JG11</f>
        <v>65</v>
      </c>
      <c r="CA11" s="1463">
        <f>'VISITA DE INSP.'!JH11</f>
        <v>68</v>
      </c>
      <c r="CB11" s="2346">
        <f>'VISITA DE INSP.'!JI11</f>
        <v>70</v>
      </c>
      <c r="CC11" s="2353">
        <f>'VISITA DE INSP.'!JJ11</f>
        <v>8</v>
      </c>
      <c r="CD11" s="1463">
        <f>'VISITA DE INSP.'!JK11</f>
        <v>7</v>
      </c>
      <c r="CE11" s="1463">
        <f>'VISITA DE INSP.'!JL11</f>
        <v>4</v>
      </c>
      <c r="CF11" s="1463">
        <f>'VISITA DE INSP.'!JM11</f>
        <v>5</v>
      </c>
      <c r="CG11" s="1463">
        <f>'VISITA DE INSP.'!JN11</f>
        <v>6</v>
      </c>
      <c r="CH11" s="2346">
        <f>'VISITA DE INSP.'!JO11</f>
        <v>4</v>
      </c>
      <c r="CI11" s="2353">
        <f>'VISITA DE INSP.'!JP11</f>
        <v>11</v>
      </c>
      <c r="CJ11" s="1463">
        <f>'VISITA DE INSP.'!JQ11</f>
        <v>13</v>
      </c>
      <c r="CK11" s="1463">
        <f>'VISITA DE INSP.'!JR11</f>
        <v>24</v>
      </c>
      <c r="CL11" s="1463">
        <f>'VISITA DE INSP.'!JS11</f>
        <v>6</v>
      </c>
      <c r="CM11" s="1463">
        <f>'VISITA DE INSP.'!JT11</f>
        <v>10</v>
      </c>
      <c r="CN11" s="2346">
        <f>'VISITA DE INSP.'!JU11</f>
        <v>8</v>
      </c>
      <c r="CO11" s="2353">
        <f>'VISITA DE INSP.'!JV11</f>
        <v>51</v>
      </c>
      <c r="CP11" s="1463">
        <f>'VISITA DE INSP.'!JW11</f>
        <v>53</v>
      </c>
      <c r="CQ11" s="1463">
        <f>'VISITA DE INSP.'!JX11</f>
        <v>47</v>
      </c>
      <c r="CR11" s="1463">
        <f>'VISITA DE INSP.'!JY11</f>
        <v>64</v>
      </c>
      <c r="CS11" s="1463">
        <f>'VISITA DE INSP.'!JZ11</f>
        <v>64</v>
      </c>
      <c r="CT11" s="2346">
        <f>'VISITA DE INSP.'!KA11</f>
        <v>66</v>
      </c>
      <c r="CU11" s="2353">
        <f>'VISITA DE INSP.'!KB11</f>
        <v>0</v>
      </c>
      <c r="CV11" s="1463">
        <f>'VISITA DE INSP.'!KC11</f>
        <v>0</v>
      </c>
      <c r="CW11" s="1463">
        <f>'VISITA DE INSP.'!KD11</f>
        <v>0</v>
      </c>
      <c r="CX11" s="1463">
        <f>'VISITA DE INSP.'!KE11</f>
        <v>0</v>
      </c>
      <c r="CY11" s="1463">
        <f>'VISITA DE INSP.'!KF11</f>
        <v>0</v>
      </c>
      <c r="CZ11" s="2346">
        <f>'VISITA DE INSP.'!KG11</f>
        <v>0</v>
      </c>
    </row>
    <row r="12" spans="1:104" ht="15" customHeight="1">
      <c r="A12" s="1470"/>
      <c r="B12" s="1471"/>
      <c r="C12" s="1471"/>
      <c r="D12" s="1471"/>
      <c r="E12" s="1471"/>
      <c r="F12" s="1471"/>
      <c r="G12" s="1471"/>
      <c r="H12" s="1471"/>
      <c r="I12" s="1471"/>
      <c r="J12" s="1471"/>
      <c r="K12" s="1471"/>
      <c r="L12" s="1472"/>
      <c r="M12" s="1470"/>
      <c r="N12" s="1471"/>
      <c r="O12" s="2261"/>
      <c r="P12" s="2263" t="s">
        <v>390</v>
      </c>
      <c r="Q12" s="5233"/>
      <c r="R12" s="5233"/>
      <c r="S12" s="5233"/>
      <c r="T12" s="5233"/>
      <c r="U12" s="5233"/>
      <c r="V12" s="5233"/>
      <c r="W12" s="5233"/>
      <c r="X12" s="1472"/>
      <c r="Y12" s="801"/>
      <c r="Z12" s="2353">
        <f>'VISITA DE INSP.'!HG12</f>
        <v>10</v>
      </c>
      <c r="AA12" s="2330" t="str">
        <f>'VISITA DE INSP.'!HH12</f>
        <v>esc.manuelcrescenciorejon.tm@hotmail.com</v>
      </c>
      <c r="AB12" s="1462" t="str">
        <f>'VISITA DE INSP.'!HI12</f>
        <v>MANUEL CRESCENCIO REJON</v>
      </c>
      <c r="AC12" s="1462" t="str">
        <f>'VISITA DE INSP.'!HJ12</f>
        <v>23DPR0681C</v>
      </c>
      <c r="AD12" s="1462" t="str">
        <f>'VISITA DE INSP.'!HK12</f>
        <v>REG. 95 MZA. 129 L. 2</v>
      </c>
      <c r="AE12" s="1462" t="str">
        <f>'VISITA DE INSP.'!HL12</f>
        <v>9987 34 27 50</v>
      </c>
      <c r="AF12" s="1462" t="str">
        <f>'VISITA DE INSP.'!HM12</f>
        <v>CANCUN</v>
      </c>
      <c r="AG12" s="1462" t="str">
        <f>'VISITA DE INSP.'!HN12</f>
        <v>BENITO JUAREZ</v>
      </c>
      <c r="AH12" s="1463" t="str">
        <f>'VISITA DE INSP.'!HO12</f>
        <v>X</v>
      </c>
      <c r="AI12" s="2346">
        <f>'VISITA DE INSP.'!HP12</f>
        <v>0</v>
      </c>
      <c r="AJ12" s="2353" t="str">
        <f>'VISITA DE INSP.'!HQ12</f>
        <v>X</v>
      </c>
      <c r="AK12" s="1463">
        <f>'VISITA DE INSP.'!HR12</f>
        <v>0</v>
      </c>
      <c r="AL12" s="1463" t="str">
        <f>'VISITA DE INSP.'!HS12</f>
        <v>X</v>
      </c>
      <c r="AM12" s="1463">
        <f>'VISITA DE INSP.'!HT12</f>
        <v>0</v>
      </c>
      <c r="AN12" s="1463" t="str">
        <f>'VISITA DE INSP.'!HU12</f>
        <v>X</v>
      </c>
      <c r="AO12" s="1463">
        <f>'VISITA DE INSP.'!HV12</f>
        <v>0</v>
      </c>
      <c r="AP12" s="1463">
        <f>'VISITA DE INSP.'!HW12</f>
        <v>0</v>
      </c>
      <c r="AQ12" s="1463">
        <f>'VISITA DE INSP.'!HX12</f>
        <v>0</v>
      </c>
      <c r="AR12" s="1463" t="str">
        <f>'VISITA DE INSP.'!HY12</f>
        <v>X</v>
      </c>
      <c r="AS12" s="1463" t="str">
        <f>'VISITA DE INSP.'!HZ12</f>
        <v>X</v>
      </c>
      <c r="AT12" s="1463">
        <f>'VISITA DE INSP.'!IA12</f>
        <v>0</v>
      </c>
      <c r="AU12" s="1463">
        <f>'VISITA DE INSP.'!IB12</f>
        <v>7</v>
      </c>
      <c r="AV12" s="1463">
        <f>'VISITA DE INSP.'!IC12</f>
        <v>0</v>
      </c>
      <c r="AW12" s="1463">
        <f>'VISITA DE INSP.'!ID12</f>
        <v>0</v>
      </c>
      <c r="AX12" s="1463">
        <f>'VISITA DE INSP.'!IE12</f>
        <v>0</v>
      </c>
      <c r="AY12" s="2346">
        <f>'VISITA DE INSP.'!IF12</f>
        <v>0</v>
      </c>
      <c r="AZ12" s="2353">
        <f>'VISITA DE INSP.'!IG12</f>
        <v>0</v>
      </c>
      <c r="BA12" s="2340">
        <f>'VISITA DE INSP.'!IH12</f>
        <v>1</v>
      </c>
      <c r="BB12" s="2340">
        <f>'VISITA DE INSP.'!II12</f>
        <v>0</v>
      </c>
      <c r="BC12" s="2346">
        <f>'VISITA DE INSP.'!IJ12</f>
        <v>0</v>
      </c>
      <c r="BD12" s="1463">
        <f>'VISITA DE INSP.'!IK12</f>
        <v>7</v>
      </c>
      <c r="BE12" s="1463">
        <f>'VISITA DE INSP.'!IL12</f>
        <v>1</v>
      </c>
      <c r="BF12" s="1463">
        <f>'VISITA DE INSP.'!IM12</f>
        <v>0</v>
      </c>
      <c r="BG12" s="1463">
        <f>'VISITA DE INSP.'!IN12</f>
        <v>1</v>
      </c>
      <c r="BH12" s="1463">
        <f>'VISITA DE INSP.'!IO12</f>
        <v>0</v>
      </c>
      <c r="BI12" s="2353">
        <f>'VISITA DE INSP.'!IP12</f>
        <v>18</v>
      </c>
      <c r="BJ12" s="2346">
        <f>'VISITA DE INSP.'!IQ12</f>
        <v>16</v>
      </c>
      <c r="BK12" s="2353">
        <f>'VISITA DE INSP.'!IR12</f>
        <v>1</v>
      </c>
      <c r="BL12" s="2340">
        <f>'VISITA DE INSP.'!IS12</f>
        <v>2</v>
      </c>
      <c r="BM12" s="2340">
        <f>'VISITA DE INSP.'!IT12</f>
        <v>1</v>
      </c>
      <c r="BN12" s="2346">
        <f>'VISITA DE INSP.'!IU12</f>
        <v>0</v>
      </c>
      <c r="BO12" s="2353">
        <f>'VISITA DE INSP.'!IV12</f>
        <v>1</v>
      </c>
      <c r="BP12" s="1463">
        <f>'VISITA DE INSP.'!IW12</f>
        <v>1</v>
      </c>
      <c r="BQ12" s="1463">
        <f>'VISITA DE INSP.'!IX12</f>
        <v>1</v>
      </c>
      <c r="BR12" s="1463">
        <f>'VISITA DE INSP.'!IY12</f>
        <v>1</v>
      </c>
      <c r="BS12" s="1463">
        <f>'VISITA DE INSP.'!IZ12</f>
        <v>2</v>
      </c>
      <c r="BT12" s="2346">
        <f>'VISITA DE INSP.'!JA12</f>
        <v>1</v>
      </c>
      <c r="BU12" s="3739" t="str">
        <f>'VISITA DE INSP.'!JB12</f>
        <v>DULCE RUTH CERVERA VIDAL</v>
      </c>
      <c r="BV12" s="3740" t="str">
        <f>'VISITA DE INSP.'!JC12</f>
        <v>JESUS MARTIN RICALDE CASTRO</v>
      </c>
      <c r="BW12" s="2353">
        <f>'VISITA DE INSP.'!JD12</f>
        <v>34</v>
      </c>
      <c r="BX12" s="1463">
        <f>'VISITA DE INSP.'!JE12</f>
        <v>35</v>
      </c>
      <c r="BY12" s="1463">
        <f>'VISITA DE INSP.'!JF12</f>
        <v>34</v>
      </c>
      <c r="BZ12" s="1463">
        <f>'VISITA DE INSP.'!JG12</f>
        <v>34</v>
      </c>
      <c r="CA12" s="1463">
        <f>'VISITA DE INSP.'!JH12</f>
        <v>58</v>
      </c>
      <c r="CB12" s="2346">
        <f>'VISITA DE INSP.'!JI12</f>
        <v>34</v>
      </c>
      <c r="CC12" s="2353">
        <f>'VISITA DE INSP.'!JJ12</f>
        <v>1</v>
      </c>
      <c r="CD12" s="1463">
        <f>'VISITA DE INSP.'!JK12</f>
        <v>1</v>
      </c>
      <c r="CE12" s="1463">
        <f>'VISITA DE INSP.'!JL12</f>
        <v>3</v>
      </c>
      <c r="CF12" s="1463">
        <f>'VISITA DE INSP.'!JM12</f>
        <v>3</v>
      </c>
      <c r="CG12" s="1463">
        <f>'VISITA DE INSP.'!JN12</f>
        <v>6</v>
      </c>
      <c r="CH12" s="2346">
        <f>'VISITA DE INSP.'!JO12</f>
        <v>2</v>
      </c>
      <c r="CI12" s="2353">
        <f>'VISITA DE INSP.'!JP12</f>
        <v>0</v>
      </c>
      <c r="CJ12" s="1463">
        <f>'VISITA DE INSP.'!JQ12</f>
        <v>3</v>
      </c>
      <c r="CK12" s="1463">
        <f>'VISITA DE INSP.'!JR12</f>
        <v>2</v>
      </c>
      <c r="CL12" s="1463">
        <f>'VISITA DE INSP.'!JS12</f>
        <v>2</v>
      </c>
      <c r="CM12" s="1463">
        <f>'VISITA DE INSP.'!JT12</f>
        <v>7</v>
      </c>
      <c r="CN12" s="2346">
        <f>'VISITA DE INSP.'!JU12</f>
        <v>2</v>
      </c>
      <c r="CO12" s="2353">
        <f>'VISITA DE INSP.'!JV12</f>
        <v>35</v>
      </c>
      <c r="CP12" s="1463">
        <f>'VISITA DE INSP.'!JW12</f>
        <v>33</v>
      </c>
      <c r="CQ12" s="1463">
        <f>'VISITA DE INSP.'!JX12</f>
        <v>35</v>
      </c>
      <c r="CR12" s="1463">
        <f>'VISITA DE INSP.'!JY12</f>
        <v>35</v>
      </c>
      <c r="CS12" s="1463">
        <f>'VISITA DE INSP.'!JZ12</f>
        <v>57</v>
      </c>
      <c r="CT12" s="2346">
        <f>'VISITA DE INSP.'!KA12</f>
        <v>34</v>
      </c>
      <c r="CU12" s="2353">
        <f>'VISITA DE INSP.'!KB12</f>
        <v>0</v>
      </c>
      <c r="CV12" s="1463">
        <f>'VISITA DE INSP.'!KC12</f>
        <v>0</v>
      </c>
      <c r="CW12" s="1463">
        <f>'VISITA DE INSP.'!KD12</f>
        <v>0</v>
      </c>
      <c r="CX12" s="1463">
        <f>'VISITA DE INSP.'!KE12</f>
        <v>0</v>
      </c>
      <c r="CY12" s="1463">
        <f>'VISITA DE INSP.'!KF12</f>
        <v>0</v>
      </c>
      <c r="CZ12" s="2346">
        <f>'VISITA DE INSP.'!KG12</f>
        <v>0</v>
      </c>
    </row>
    <row r="13" spans="1:104" ht="15" customHeight="1" thickBot="1">
      <c r="A13" s="1602" t="s">
        <v>1513</v>
      </c>
      <c r="B13" s="1471"/>
      <c r="C13" s="5225" t="s">
        <v>1424</v>
      </c>
      <c r="D13" s="5225"/>
      <c r="E13" s="2239" t="str">
        <f>VLOOKUP(K13,Z2:CH22,9)</f>
        <v>X</v>
      </c>
      <c r="F13" s="1471"/>
      <c r="G13" s="5226" t="s">
        <v>1425</v>
      </c>
      <c r="H13" s="5226"/>
      <c r="I13" s="2239">
        <f>VLOOKUP(K13,Z2:CH22,10)</f>
        <v>0</v>
      </c>
      <c r="J13" s="1471"/>
      <c r="K13" s="3482">
        <v>7</v>
      </c>
      <c r="L13" s="1472"/>
      <c r="M13" s="1470"/>
      <c r="N13" s="1471" t="s">
        <v>1426</v>
      </c>
      <c r="O13" s="1471"/>
      <c r="P13" s="2239">
        <f>VLOOKUP(K13,Z2:CH22,22)</f>
        <v>0</v>
      </c>
      <c r="Q13" s="2239">
        <f>VLOOKUP(K13,Z2:CH22,23)</f>
        <v>0</v>
      </c>
      <c r="R13" s="2239">
        <f>VLOOKUP(K13,Z2:CH22,24)</f>
        <v>0</v>
      </c>
      <c r="S13" s="2239">
        <f>VLOOKUP(K13,Z2:CH22,25)</f>
        <v>0</v>
      </c>
      <c r="T13" s="2239"/>
      <c r="U13" s="2239">
        <f>VLOOKUP(K13,Z2:CH22,26)</f>
        <v>0</v>
      </c>
      <c r="V13" s="2239"/>
      <c r="W13" s="1476">
        <f>P13+Q13+R13+S13+U13</f>
        <v>0</v>
      </c>
      <c r="X13" s="1472"/>
      <c r="Y13" s="801"/>
      <c r="Z13" s="2353">
        <f>'VISITA DE INSP.'!HG13</f>
        <v>11</v>
      </c>
      <c r="AA13" s="2330">
        <f>'VISITA DE INSP.'!HH13</f>
        <v>0</v>
      </c>
      <c r="AB13" s="1462">
        <f>'VISITA DE INSP.'!HI13</f>
        <v>0</v>
      </c>
      <c r="AC13" s="1462">
        <f>'VISITA DE INSP.'!HJ13</f>
        <v>0</v>
      </c>
      <c r="AD13" s="1462">
        <f>'VISITA DE INSP.'!HK13</f>
        <v>0</v>
      </c>
      <c r="AE13" s="1462">
        <f>'VISITA DE INSP.'!HL13</f>
        <v>0</v>
      </c>
      <c r="AF13" s="1462">
        <f>'VISITA DE INSP.'!HM13</f>
        <v>0</v>
      </c>
      <c r="AG13" s="1462">
        <f>'VISITA DE INSP.'!HN13</f>
        <v>0</v>
      </c>
      <c r="AH13" s="1463">
        <f>'VISITA DE INSP.'!HO13</f>
        <v>0</v>
      </c>
      <c r="AI13" s="2346">
        <f>'VISITA DE INSP.'!HP13</f>
        <v>0</v>
      </c>
      <c r="AJ13" s="2353">
        <f>'VISITA DE INSP.'!HQ13</f>
        <v>0</v>
      </c>
      <c r="AK13" s="1463">
        <f>'VISITA DE INSP.'!HR13</f>
        <v>0</v>
      </c>
      <c r="AL13" s="1463">
        <f>'VISITA DE INSP.'!HS13</f>
        <v>0</v>
      </c>
      <c r="AM13" s="1463">
        <f>'VISITA DE INSP.'!HT13</f>
        <v>0</v>
      </c>
      <c r="AN13" s="1463">
        <f>'VISITA DE INSP.'!HU13</f>
        <v>0</v>
      </c>
      <c r="AO13" s="1463">
        <f>'VISITA DE INSP.'!HV13</f>
        <v>0</v>
      </c>
      <c r="AP13" s="1463">
        <f>'VISITA DE INSP.'!HW13</f>
        <v>0</v>
      </c>
      <c r="AQ13" s="1463">
        <f>'VISITA DE INSP.'!HX13</f>
        <v>0</v>
      </c>
      <c r="AR13" s="1463">
        <f>'VISITA DE INSP.'!HY13</f>
        <v>0</v>
      </c>
      <c r="AS13" s="1463">
        <f>'VISITA DE INSP.'!HZ13</f>
        <v>0</v>
      </c>
      <c r="AT13" s="1463">
        <f>'VISITA DE INSP.'!IA13</f>
        <v>0</v>
      </c>
      <c r="AU13" s="1463">
        <f>'VISITA DE INSP.'!IB13</f>
        <v>0</v>
      </c>
      <c r="AV13" s="1463">
        <f>'VISITA DE INSP.'!IC13</f>
        <v>0</v>
      </c>
      <c r="AW13" s="1463">
        <f>'VISITA DE INSP.'!ID13</f>
        <v>0</v>
      </c>
      <c r="AX13" s="1463">
        <f>'VISITA DE INSP.'!IE13</f>
        <v>0</v>
      </c>
      <c r="AY13" s="2346">
        <f>'VISITA DE INSP.'!IF13</f>
        <v>0</v>
      </c>
      <c r="AZ13" s="2353">
        <f>'VISITA DE INSP.'!IG13</f>
        <v>0</v>
      </c>
      <c r="BA13" s="2340">
        <f>'VISITA DE INSP.'!IH13</f>
        <v>0</v>
      </c>
      <c r="BB13" s="2340">
        <f>'VISITA DE INSP.'!II13</f>
        <v>0</v>
      </c>
      <c r="BC13" s="2346">
        <f>'VISITA DE INSP.'!IJ13</f>
        <v>0</v>
      </c>
      <c r="BD13" s="1463">
        <f>'VISITA DE INSP.'!IK13</f>
        <v>0</v>
      </c>
      <c r="BE13" s="1463">
        <f>'VISITA DE INSP.'!IL13</f>
        <v>0</v>
      </c>
      <c r="BF13" s="1463">
        <f>'VISITA DE INSP.'!IM13</f>
        <v>0</v>
      </c>
      <c r="BG13" s="1463">
        <f>'VISITA DE INSP.'!IN13</f>
        <v>0</v>
      </c>
      <c r="BH13" s="1463">
        <f>'VISITA DE INSP.'!IO13</f>
        <v>0</v>
      </c>
      <c r="BI13" s="2353">
        <f>'VISITA DE INSP.'!IP13</f>
        <v>0</v>
      </c>
      <c r="BJ13" s="2346">
        <f>'VISITA DE INSP.'!IQ13</f>
        <v>0</v>
      </c>
      <c r="BK13" s="2353">
        <f>'VISITA DE INSP.'!IR13</f>
        <v>0</v>
      </c>
      <c r="BL13" s="2340">
        <f>'VISITA DE INSP.'!IS13</f>
        <v>0</v>
      </c>
      <c r="BM13" s="2340">
        <f>'VISITA DE INSP.'!IT13</f>
        <v>0</v>
      </c>
      <c r="BN13" s="2346">
        <f>'VISITA DE INSP.'!IU13</f>
        <v>0</v>
      </c>
      <c r="BO13" s="2353">
        <f>'VISITA DE INSP.'!IV13</f>
        <v>0</v>
      </c>
      <c r="BP13" s="1463">
        <f>'VISITA DE INSP.'!IW13</f>
        <v>0</v>
      </c>
      <c r="BQ13" s="1463">
        <f>'VISITA DE INSP.'!IX13</f>
        <v>0</v>
      </c>
      <c r="BR13" s="1463">
        <f>'VISITA DE INSP.'!IY13</f>
        <v>0</v>
      </c>
      <c r="BS13" s="1463">
        <f>'VISITA DE INSP.'!IZ13</f>
        <v>0</v>
      </c>
      <c r="BT13" s="2346">
        <f>'VISITA DE INSP.'!JA13</f>
        <v>0</v>
      </c>
      <c r="BU13" s="3739">
        <f>'VISITA DE INSP.'!JB13</f>
        <v>0</v>
      </c>
      <c r="BV13" s="3740" t="str">
        <f>'VISITA DE INSP.'!JC13</f>
        <v>JESUS MARTIN RICALDE CASTRO</v>
      </c>
      <c r="BW13" s="2353">
        <f>'VISITA DE INSP.'!JD13</f>
        <v>0</v>
      </c>
      <c r="BX13" s="1463">
        <f>'VISITA DE INSP.'!JE13</f>
        <v>0</v>
      </c>
      <c r="BY13" s="1463">
        <f>'VISITA DE INSP.'!JF13</f>
        <v>0</v>
      </c>
      <c r="BZ13" s="1463">
        <f>'VISITA DE INSP.'!JG13</f>
        <v>0</v>
      </c>
      <c r="CA13" s="1463">
        <f>'VISITA DE INSP.'!JH13</f>
        <v>0</v>
      </c>
      <c r="CB13" s="2346">
        <f>'VISITA DE INSP.'!JI13</f>
        <v>0</v>
      </c>
      <c r="CC13" s="2353">
        <f>'VISITA DE INSP.'!JJ13</f>
        <v>0</v>
      </c>
      <c r="CD13" s="1463">
        <f>'VISITA DE INSP.'!JK13</f>
        <v>0</v>
      </c>
      <c r="CE13" s="1463">
        <f>'VISITA DE INSP.'!JL13</f>
        <v>0</v>
      </c>
      <c r="CF13" s="1463">
        <f>'VISITA DE INSP.'!JM13</f>
        <v>0</v>
      </c>
      <c r="CG13" s="1463">
        <f>'VISITA DE INSP.'!JN13</f>
        <v>0</v>
      </c>
      <c r="CH13" s="2346">
        <f>'VISITA DE INSP.'!JO13</f>
        <v>0</v>
      </c>
      <c r="CI13" s="2353">
        <f>'VISITA DE INSP.'!JP13</f>
        <v>0</v>
      </c>
      <c r="CJ13" s="1463">
        <f>'VISITA DE INSP.'!JQ13</f>
        <v>0</v>
      </c>
      <c r="CK13" s="1463">
        <f>'VISITA DE INSP.'!JR13</f>
        <v>0</v>
      </c>
      <c r="CL13" s="1463">
        <f>'VISITA DE INSP.'!JS13</f>
        <v>0</v>
      </c>
      <c r="CM13" s="1463">
        <f>'VISITA DE INSP.'!JT13</f>
        <v>0</v>
      </c>
      <c r="CN13" s="2346">
        <f>'VISITA DE INSP.'!JU13</f>
        <v>0</v>
      </c>
      <c r="CO13" s="2353">
        <f>'VISITA DE INSP.'!JV13</f>
        <v>0</v>
      </c>
      <c r="CP13" s="1463">
        <f>'VISITA DE INSP.'!JW13</f>
        <v>0</v>
      </c>
      <c r="CQ13" s="1463">
        <f>'VISITA DE INSP.'!JX13</f>
        <v>0</v>
      </c>
      <c r="CR13" s="1463">
        <f>'VISITA DE INSP.'!JY13</f>
        <v>0</v>
      </c>
      <c r="CS13" s="1463">
        <f>'VISITA DE INSP.'!JZ13</f>
        <v>0</v>
      </c>
      <c r="CT13" s="2346">
        <f>'VISITA DE INSP.'!KA13</f>
        <v>0</v>
      </c>
      <c r="CU13" s="2353">
        <f>'VISITA DE INSP.'!KB13</f>
        <v>0</v>
      </c>
      <c r="CV13" s="1463">
        <f>'VISITA DE INSP.'!KC13</f>
        <v>0</v>
      </c>
      <c r="CW13" s="1463">
        <f>'VISITA DE INSP.'!KD13</f>
        <v>0</v>
      </c>
      <c r="CX13" s="1463">
        <f>'VISITA DE INSP.'!KE13</f>
        <v>0</v>
      </c>
      <c r="CY13" s="1463">
        <f>'VISITA DE INSP.'!KF13</f>
        <v>0</v>
      </c>
      <c r="CZ13" s="2346">
        <f>'VISITA DE INSP.'!KG13</f>
        <v>0</v>
      </c>
    </row>
    <row r="14" spans="1:104" ht="15" customHeight="1" thickBot="1">
      <c r="A14" s="1477"/>
      <c r="B14" s="1478"/>
      <c r="C14" s="1478"/>
      <c r="D14" s="1478"/>
      <c r="E14" s="1478"/>
      <c r="F14" s="1478"/>
      <c r="G14" s="1478"/>
      <c r="H14" s="1478"/>
      <c r="I14" s="1478"/>
      <c r="J14" s="1478"/>
      <c r="K14" s="1478"/>
      <c r="L14" s="1479"/>
      <c r="M14" s="1477"/>
      <c r="N14" s="1478"/>
      <c r="O14" s="1478"/>
      <c r="P14" s="1478"/>
      <c r="Q14" s="1478"/>
      <c r="R14" s="1478"/>
      <c r="S14" s="1478"/>
      <c r="T14" s="1478"/>
      <c r="U14" s="1478"/>
      <c r="V14" s="1478"/>
      <c r="W14" s="1478"/>
      <c r="X14" s="1479"/>
      <c r="Y14" s="801"/>
      <c r="Z14" s="2353">
        <f>'VISITA DE INSP.'!HG14</f>
        <v>12</v>
      </c>
      <c r="AA14" s="2330" t="str">
        <f>'VISITA DE INSP.'!HH14</f>
        <v>manantialcedu@hotmail.com</v>
      </c>
      <c r="AB14" s="1462" t="str">
        <f>'VISITA DE INSP.'!HI14</f>
        <v>CENTRO EDUCATIVO EL MANANTIAL</v>
      </c>
      <c r="AC14" s="1462" t="str">
        <f>'VISITA DE INSP.'!HJ14</f>
        <v>23PPR0099M</v>
      </c>
      <c r="AD14" s="1462" t="str">
        <f>'VISITA DE INSP.'!HK14</f>
        <v>AV. KABAH L. 7 MZ. 3 SMZ. 43</v>
      </c>
      <c r="AE14" s="1462" t="str">
        <f>'VISITA DE INSP.'!HL14</f>
        <v>9987 34 70 49</v>
      </c>
      <c r="AF14" s="1462" t="str">
        <f>'VISITA DE INSP.'!HM14</f>
        <v>CANCUN</v>
      </c>
      <c r="AG14" s="1462" t="str">
        <f>'VISITA DE INSP.'!HN14</f>
        <v>BENITO JUAREZ</v>
      </c>
      <c r="AH14" s="1463">
        <f>'VISITA DE INSP.'!HO14</f>
        <v>0</v>
      </c>
      <c r="AI14" s="2346" t="str">
        <f>'VISITA DE INSP.'!HP14</f>
        <v>X</v>
      </c>
      <c r="AJ14" s="2353" t="str">
        <f>'VISITA DE INSP.'!HQ14</f>
        <v>X</v>
      </c>
      <c r="AK14" s="1463">
        <f>'VISITA DE INSP.'!HR14</f>
        <v>0</v>
      </c>
      <c r="AL14" s="1463" t="str">
        <f>'VISITA DE INSP.'!HS14</f>
        <v>X</v>
      </c>
      <c r="AM14" s="1463">
        <f>'VISITA DE INSP.'!HT14</f>
        <v>0</v>
      </c>
      <c r="AN14" s="1463">
        <f>'VISITA DE INSP.'!HU14</f>
        <v>0</v>
      </c>
      <c r="AO14" s="1463" t="str">
        <f>'VISITA DE INSP.'!HV14</f>
        <v>X</v>
      </c>
      <c r="AP14" s="1463">
        <f>'VISITA DE INSP.'!HW14</f>
        <v>0</v>
      </c>
      <c r="AQ14" s="1463">
        <f>'VISITA DE INSP.'!HX14</f>
        <v>0</v>
      </c>
      <c r="AR14" s="1463" t="str">
        <f>'VISITA DE INSP.'!HY14</f>
        <v>X</v>
      </c>
      <c r="AS14" s="1463">
        <f>'VISITA DE INSP.'!HZ14</f>
        <v>0</v>
      </c>
      <c r="AT14" s="1463" t="str">
        <f>'VISITA DE INSP.'!IA14</f>
        <v>X</v>
      </c>
      <c r="AU14" s="1463">
        <f>'VISITA DE INSP.'!IB14</f>
        <v>4</v>
      </c>
      <c r="AV14" s="1463">
        <f>'VISITA DE INSP.'!IC14</f>
        <v>0</v>
      </c>
      <c r="AW14" s="1463">
        <f>'VISITA DE INSP.'!ID14</f>
        <v>1</v>
      </c>
      <c r="AX14" s="1463">
        <f>'VISITA DE INSP.'!IE14</f>
        <v>2</v>
      </c>
      <c r="AY14" s="2346">
        <f>'VISITA DE INSP.'!IF14</f>
        <v>0</v>
      </c>
      <c r="AZ14" s="2353">
        <f>'VISITA DE INSP.'!IG14</f>
        <v>1</v>
      </c>
      <c r="BA14" s="2340">
        <f>'VISITA DE INSP.'!IH14</f>
        <v>0</v>
      </c>
      <c r="BB14" s="2340">
        <f>'VISITA DE INSP.'!II14</f>
        <v>0</v>
      </c>
      <c r="BC14" s="2346">
        <f>'VISITA DE INSP.'!IJ14</f>
        <v>0</v>
      </c>
      <c r="BD14" s="1463">
        <f>'VISITA DE INSP.'!IK14</f>
        <v>3</v>
      </c>
      <c r="BE14" s="1463">
        <f>'VISITA DE INSP.'!IL14</f>
        <v>1</v>
      </c>
      <c r="BF14" s="1463">
        <f>'VISITA DE INSP.'!IM14</f>
        <v>0</v>
      </c>
      <c r="BG14" s="1463">
        <f>'VISITA DE INSP.'!IN14</f>
        <v>1</v>
      </c>
      <c r="BH14" s="1463">
        <f>'VISITA DE INSP.'!IO14</f>
        <v>5</v>
      </c>
      <c r="BI14" s="2353">
        <f>'VISITA DE INSP.'!IP14</f>
        <v>7</v>
      </c>
      <c r="BJ14" s="2346">
        <f>'VISITA DE INSP.'!IQ14</f>
        <v>8</v>
      </c>
      <c r="BK14" s="2353">
        <f>'VISITA DE INSP.'!IR14</f>
        <v>0</v>
      </c>
      <c r="BL14" s="2340">
        <f>'VISITA DE INSP.'!IS14</f>
        <v>0</v>
      </c>
      <c r="BM14" s="2340">
        <f>'VISITA DE INSP.'!IT14</f>
        <v>0</v>
      </c>
      <c r="BN14" s="2346">
        <f>'VISITA DE INSP.'!IU14</f>
        <v>0</v>
      </c>
      <c r="BO14" s="2353">
        <f>'VISITA DE INSP.'!IV14</f>
        <v>1</v>
      </c>
      <c r="BP14" s="1463">
        <f>'VISITA DE INSP.'!IW14</f>
        <v>1</v>
      </c>
      <c r="BQ14" s="1463">
        <f>'VISITA DE INSP.'!IX14</f>
        <v>1</v>
      </c>
      <c r="BR14" s="1463">
        <f>'VISITA DE INSP.'!IY14</f>
        <v>1</v>
      </c>
      <c r="BS14" s="1463">
        <f>'VISITA DE INSP.'!IZ14</f>
        <v>1</v>
      </c>
      <c r="BT14" s="2346">
        <f>'VISITA DE INSP.'!JA14</f>
        <v>1</v>
      </c>
      <c r="BU14" s="3739" t="str">
        <f>'VISITA DE INSP.'!JB14</f>
        <v>AURORA LETICIA TUCUCH SANTOS</v>
      </c>
      <c r="BV14" s="3740" t="str">
        <f>'VISITA DE INSP.'!JC14</f>
        <v>JESUS MARTIN RICALDE CASTRO</v>
      </c>
      <c r="BW14" s="2353">
        <f>'VISITA DE INSP.'!JD14</f>
        <v>9</v>
      </c>
      <c r="BX14" s="1463">
        <f>'VISITA DE INSP.'!JE14</f>
        <v>13</v>
      </c>
      <c r="BY14" s="1463">
        <f>'VISITA DE INSP.'!JF14</f>
        <v>8</v>
      </c>
      <c r="BZ14" s="1463">
        <f>'VISITA DE INSP.'!JG14</f>
        <v>13</v>
      </c>
      <c r="CA14" s="1463">
        <f>'VISITA DE INSP.'!JH14</f>
        <v>17</v>
      </c>
      <c r="CB14" s="2346">
        <f>'VISITA DE INSP.'!JI14</f>
        <v>13</v>
      </c>
      <c r="CC14" s="2353">
        <f>'VISITA DE INSP.'!JJ14</f>
        <v>1</v>
      </c>
      <c r="CD14" s="1463">
        <f>'VISITA DE INSP.'!JK14</f>
        <v>4</v>
      </c>
      <c r="CE14" s="1463">
        <f>'VISITA DE INSP.'!JL14</f>
        <v>3</v>
      </c>
      <c r="CF14" s="1463">
        <f>'VISITA DE INSP.'!JM14</f>
        <v>1</v>
      </c>
      <c r="CG14" s="1463">
        <f>'VISITA DE INSP.'!JN14</f>
        <v>3</v>
      </c>
      <c r="CH14" s="2346">
        <f>'VISITA DE INSP.'!JO14</f>
        <v>3</v>
      </c>
      <c r="CI14" s="2353">
        <f>'VISITA DE INSP.'!JP14</f>
        <v>1</v>
      </c>
      <c r="CJ14" s="1463">
        <f>'VISITA DE INSP.'!JQ14</f>
        <v>2</v>
      </c>
      <c r="CK14" s="1463">
        <f>'VISITA DE INSP.'!JR14</f>
        <v>0</v>
      </c>
      <c r="CL14" s="1463">
        <f>'VISITA DE INSP.'!JS14</f>
        <v>1</v>
      </c>
      <c r="CM14" s="1463">
        <f>'VISITA DE INSP.'!JT14</f>
        <v>1</v>
      </c>
      <c r="CN14" s="2346">
        <f>'VISITA DE INSP.'!JU14</f>
        <v>0</v>
      </c>
      <c r="CO14" s="2353">
        <f>'VISITA DE INSP.'!JV14</f>
        <v>9</v>
      </c>
      <c r="CP14" s="1463">
        <f>'VISITA DE INSP.'!JW14</f>
        <v>15</v>
      </c>
      <c r="CQ14" s="1463">
        <f>'VISITA DE INSP.'!JX14</f>
        <v>11</v>
      </c>
      <c r="CR14" s="1463">
        <f>'VISITA DE INSP.'!JY14</f>
        <v>13</v>
      </c>
      <c r="CS14" s="1463">
        <f>'VISITA DE INSP.'!JZ14</f>
        <v>19</v>
      </c>
      <c r="CT14" s="2346">
        <f>'VISITA DE INSP.'!KA14</f>
        <v>16</v>
      </c>
      <c r="CU14" s="2353">
        <f>'VISITA DE INSP.'!KB14</f>
        <v>0</v>
      </c>
      <c r="CV14" s="1463">
        <f>'VISITA DE INSP.'!KC14</f>
        <v>0</v>
      </c>
      <c r="CW14" s="1463">
        <f>'VISITA DE INSP.'!KD14</f>
        <v>0</v>
      </c>
      <c r="CX14" s="1463">
        <f>'VISITA DE INSP.'!KE14</f>
        <v>0</v>
      </c>
      <c r="CY14" s="1463">
        <f>'VISITA DE INSP.'!KF14</f>
        <v>0</v>
      </c>
      <c r="CZ14" s="2346">
        <f>'VISITA DE INSP.'!KG14</f>
        <v>0</v>
      </c>
    </row>
    <row r="15" spans="1:104" ht="15" customHeight="1" thickTop="1" thickBot="1">
      <c r="A15" s="1465"/>
      <c r="B15" s="1465"/>
      <c r="C15" s="1465"/>
      <c r="D15" s="1465"/>
      <c r="E15" s="1465"/>
      <c r="F15" s="1465"/>
      <c r="G15" s="1465"/>
      <c r="H15" s="1465"/>
      <c r="I15" s="1465"/>
      <c r="J15" s="1465"/>
      <c r="K15" s="1465"/>
      <c r="L15" s="1465"/>
      <c r="M15" s="1465"/>
      <c r="N15" s="1465"/>
      <c r="O15" s="1465"/>
      <c r="P15" s="1465"/>
      <c r="Q15" s="1465"/>
      <c r="R15" s="1465"/>
      <c r="S15" s="1465"/>
      <c r="T15" s="1465"/>
      <c r="U15" s="1465"/>
      <c r="V15" s="1465"/>
      <c r="W15" s="1465"/>
      <c r="X15" s="1465"/>
      <c r="Y15" s="801"/>
      <c r="Z15" s="2353">
        <f>'VISITA DE INSP.'!HG15</f>
        <v>13</v>
      </c>
      <c r="AA15" s="2330" t="str">
        <f>'VISITA DE INSP.'!HH15</f>
        <v>centroescolarhispano@hotmail.com</v>
      </c>
      <c r="AB15" s="1462" t="str">
        <f>'VISITA DE INSP.'!HI15</f>
        <v>COLEGIO HISPANOAMERICANO LA LUNA</v>
      </c>
      <c r="AC15" s="1462" t="str">
        <f>'VISITA DE INSP.'!HJ15</f>
        <v>23PPR0100L</v>
      </c>
      <c r="AD15" s="1462" t="str">
        <f>'VISITA DE INSP.'!HK15</f>
        <v>REG. 311 SMZ. 313 MADROÑO 131</v>
      </c>
      <c r="AE15" s="1462" t="str">
        <f>'VISITA DE INSP.'!HL15</f>
        <v>9981 23 57 16</v>
      </c>
      <c r="AF15" s="1462" t="str">
        <f>'VISITA DE INSP.'!HM15</f>
        <v>CANCUN</v>
      </c>
      <c r="AG15" s="1462" t="str">
        <f>'VISITA DE INSP.'!HN15</f>
        <v>BENITO JUAREZ</v>
      </c>
      <c r="AH15" s="1463">
        <f>'VISITA DE INSP.'!HO15</f>
        <v>0</v>
      </c>
      <c r="AI15" s="2346" t="str">
        <f>'VISITA DE INSP.'!HP15</f>
        <v>X</v>
      </c>
      <c r="AJ15" s="2353" t="str">
        <f>'VISITA DE INSP.'!HQ15</f>
        <v>X</v>
      </c>
      <c r="AK15" s="1463">
        <f>'VISITA DE INSP.'!HR15</f>
        <v>0</v>
      </c>
      <c r="AL15" s="1463" t="str">
        <f>'VISITA DE INSP.'!HS15</f>
        <v>X</v>
      </c>
      <c r="AM15" s="1463">
        <f>'VISITA DE INSP.'!HT15</f>
        <v>0</v>
      </c>
      <c r="AN15" s="1463" t="str">
        <f>'VISITA DE INSP.'!HU15</f>
        <v>X</v>
      </c>
      <c r="AO15" s="1463">
        <f>'VISITA DE INSP.'!HV15</f>
        <v>0</v>
      </c>
      <c r="AP15" s="1463">
        <f>'VISITA DE INSP.'!HW15</f>
        <v>0</v>
      </c>
      <c r="AQ15" s="1463">
        <f>'VISITA DE INSP.'!HX15</f>
        <v>0</v>
      </c>
      <c r="AR15" s="1463" t="str">
        <f>'VISITA DE INSP.'!HY15</f>
        <v>X</v>
      </c>
      <c r="AS15" s="1463">
        <f>'VISITA DE INSP.'!HZ15</f>
        <v>0</v>
      </c>
      <c r="AT15" s="1463" t="str">
        <f>'VISITA DE INSP.'!IA15</f>
        <v>X</v>
      </c>
      <c r="AU15" s="1463">
        <f>'VISITA DE INSP.'!IB15</f>
        <v>6</v>
      </c>
      <c r="AV15" s="1463">
        <f>'VISITA DE INSP.'!IC15</f>
        <v>0</v>
      </c>
      <c r="AW15" s="1463">
        <f>'VISITA DE INSP.'!ID15</f>
        <v>0</v>
      </c>
      <c r="AX15" s="1463">
        <f>'VISITA DE INSP.'!IE15</f>
        <v>1</v>
      </c>
      <c r="AY15" s="2346">
        <f>'VISITA DE INSP.'!IF15</f>
        <v>1</v>
      </c>
      <c r="AZ15" s="2353">
        <f>'VISITA DE INSP.'!IG15</f>
        <v>1</v>
      </c>
      <c r="BA15" s="2340">
        <f>'VISITA DE INSP.'!IH15</f>
        <v>0</v>
      </c>
      <c r="BB15" s="2340">
        <f>'VISITA DE INSP.'!II15</f>
        <v>0</v>
      </c>
      <c r="BC15" s="2346">
        <f>'VISITA DE INSP.'!IJ15</f>
        <v>0</v>
      </c>
      <c r="BD15" s="1463">
        <f>'VISITA DE INSP.'!IK15</f>
        <v>5</v>
      </c>
      <c r="BE15" s="1463">
        <f>'VISITA DE INSP.'!IL15</f>
        <v>1</v>
      </c>
      <c r="BF15" s="1463">
        <f>'VISITA DE INSP.'!IM15</f>
        <v>0</v>
      </c>
      <c r="BG15" s="1463">
        <f>'VISITA DE INSP.'!IN15</f>
        <v>1</v>
      </c>
      <c r="BH15" s="1463">
        <f>'VISITA DE INSP.'!IO15</f>
        <v>4</v>
      </c>
      <c r="BI15" s="2353">
        <f>'VISITA DE INSP.'!IP15</f>
        <v>12</v>
      </c>
      <c r="BJ15" s="2346">
        <f>'VISITA DE INSP.'!IQ15</f>
        <v>11</v>
      </c>
      <c r="BK15" s="2353">
        <f>'VISITA DE INSP.'!IR15</f>
        <v>0</v>
      </c>
      <c r="BL15" s="2340">
        <f>'VISITA DE INSP.'!IS15</f>
        <v>0</v>
      </c>
      <c r="BM15" s="2340">
        <f>'VISITA DE INSP.'!IT15</f>
        <v>0</v>
      </c>
      <c r="BN15" s="2346">
        <f>'VISITA DE INSP.'!IU15</f>
        <v>0</v>
      </c>
      <c r="BO15" s="2353">
        <f>'VISITA DE INSP.'!IV15</f>
        <v>1</v>
      </c>
      <c r="BP15" s="1463">
        <f>'VISITA DE INSP.'!IW15</f>
        <v>1</v>
      </c>
      <c r="BQ15" s="1463">
        <f>'VISITA DE INSP.'!IX15</f>
        <v>1</v>
      </c>
      <c r="BR15" s="1463">
        <f>'VISITA DE INSP.'!IY15</f>
        <v>1</v>
      </c>
      <c r="BS15" s="1463">
        <f>'VISITA DE INSP.'!IZ15</f>
        <v>1</v>
      </c>
      <c r="BT15" s="2346">
        <f>'VISITA DE INSP.'!JA15</f>
        <v>1</v>
      </c>
      <c r="BU15" s="3739" t="str">
        <f>'VISITA DE INSP.'!JB15</f>
        <v xml:space="preserve">CRUZ MARTINEZ BELEM </v>
      </c>
      <c r="BV15" s="3740" t="str">
        <f>'VISITA DE INSP.'!JC15</f>
        <v>JESUS MARTIN RICALDE CASTRO</v>
      </c>
      <c r="BW15" s="2353">
        <f>'VISITA DE INSP.'!JD15</f>
        <v>15</v>
      </c>
      <c r="BX15" s="1463">
        <f>'VISITA DE INSP.'!JE15</f>
        <v>17</v>
      </c>
      <c r="BY15" s="1463">
        <f>'VISITA DE INSP.'!JF15</f>
        <v>24</v>
      </c>
      <c r="BZ15" s="1463">
        <f>'VISITA DE INSP.'!JG15</f>
        <v>12</v>
      </c>
      <c r="CA15" s="1463">
        <f>'VISITA DE INSP.'!JH15</f>
        <v>19</v>
      </c>
      <c r="CB15" s="2346">
        <f>'VISITA DE INSP.'!JI15</f>
        <v>20</v>
      </c>
      <c r="CC15" s="2353">
        <f>'VISITA DE INSP.'!JJ15</f>
        <v>3</v>
      </c>
      <c r="CD15" s="1463">
        <f>'VISITA DE INSP.'!JK15</f>
        <v>5</v>
      </c>
      <c r="CE15" s="1463">
        <f>'VISITA DE INSP.'!JL15</f>
        <v>3</v>
      </c>
      <c r="CF15" s="1463">
        <f>'VISITA DE INSP.'!JM15</f>
        <v>3</v>
      </c>
      <c r="CG15" s="1463">
        <f>'VISITA DE INSP.'!JN15</f>
        <v>6</v>
      </c>
      <c r="CH15" s="2346">
        <f>'VISITA DE INSP.'!JO15</f>
        <v>6</v>
      </c>
      <c r="CI15" s="2353">
        <f>'VISITA DE INSP.'!JP15</f>
        <v>1</v>
      </c>
      <c r="CJ15" s="1463">
        <f>'VISITA DE INSP.'!JQ15</f>
        <v>1</v>
      </c>
      <c r="CK15" s="1463">
        <f>'VISITA DE INSP.'!JR15</f>
        <v>1</v>
      </c>
      <c r="CL15" s="1463">
        <f>'VISITA DE INSP.'!JS15</f>
        <v>0</v>
      </c>
      <c r="CM15" s="1463">
        <f>'VISITA DE INSP.'!JT15</f>
        <v>1</v>
      </c>
      <c r="CN15" s="2346">
        <f>'VISITA DE INSP.'!JU15</f>
        <v>0</v>
      </c>
      <c r="CO15" s="2353">
        <f>'VISITA DE INSP.'!JV15</f>
        <v>17</v>
      </c>
      <c r="CP15" s="1463">
        <f>'VISITA DE INSP.'!JW15</f>
        <v>21</v>
      </c>
      <c r="CQ15" s="1463">
        <f>'VISITA DE INSP.'!JX15</f>
        <v>26</v>
      </c>
      <c r="CR15" s="1463">
        <f>'VISITA DE INSP.'!JY15</f>
        <v>15</v>
      </c>
      <c r="CS15" s="1463">
        <f>'VISITA DE INSP.'!JZ15</f>
        <v>24</v>
      </c>
      <c r="CT15" s="2346">
        <f>'VISITA DE INSP.'!KA15</f>
        <v>26</v>
      </c>
      <c r="CU15" s="2353">
        <f>'VISITA DE INSP.'!KB15</f>
        <v>0</v>
      </c>
      <c r="CV15" s="1463">
        <f>'VISITA DE INSP.'!KC15</f>
        <v>0</v>
      </c>
      <c r="CW15" s="1463">
        <f>'VISITA DE INSP.'!KD15</f>
        <v>0</v>
      </c>
      <c r="CX15" s="1463">
        <f>'VISITA DE INSP.'!KE15</f>
        <v>0</v>
      </c>
      <c r="CY15" s="1463">
        <f>'VISITA DE INSP.'!KF15</f>
        <v>0</v>
      </c>
      <c r="CZ15" s="2346">
        <f>'VISITA DE INSP.'!KG15</f>
        <v>0</v>
      </c>
    </row>
    <row r="16" spans="1:104" ht="15" customHeight="1" thickTop="1">
      <c r="A16" s="1467"/>
      <c r="B16" s="1468"/>
      <c r="C16" s="1468"/>
      <c r="D16" s="1468"/>
      <c r="E16" s="1468"/>
      <c r="F16" s="1468"/>
      <c r="G16" s="1468"/>
      <c r="H16" s="1468"/>
      <c r="I16" s="1468"/>
      <c r="J16" s="1468"/>
      <c r="K16" s="1468"/>
      <c r="L16" s="1468"/>
      <c r="M16" s="1468"/>
      <c r="N16" s="1468"/>
      <c r="O16" s="1468"/>
      <c r="P16" s="1468"/>
      <c r="Q16" s="1468"/>
      <c r="R16" s="1468"/>
      <c r="S16" s="1468"/>
      <c r="T16" s="1468"/>
      <c r="U16" s="1468"/>
      <c r="V16" s="1468"/>
      <c r="W16" s="1468"/>
      <c r="X16" s="1469"/>
      <c r="Y16" s="801"/>
      <c r="Z16" s="2353">
        <f>'VISITA DE INSP.'!HG16</f>
        <v>14</v>
      </c>
      <c r="AA16" s="2330" t="str">
        <f>'VISITA DE INSP.'!HH16</f>
        <v>pspatriciarv@hotmail.com</v>
      </c>
      <c r="AB16" s="1462" t="str">
        <f>'VISITA DE INSP.'!HI16</f>
        <v>JOSE VASCONCELOS</v>
      </c>
      <c r="AC16" s="1462" t="str">
        <f>'VISITA DE INSP.'!HJ16</f>
        <v>23PPR0125U</v>
      </c>
      <c r="AD16" s="1462" t="str">
        <f>'VISITA DE INSP.'!HK16</f>
        <v>AV. POLITECNICO SMZ. 502 MZ. 8</v>
      </c>
      <c r="AE16" s="1462" t="str">
        <f>'VISITA DE INSP.'!HL16</f>
        <v>9981 47 65 68</v>
      </c>
      <c r="AF16" s="1462" t="str">
        <f>'VISITA DE INSP.'!HM16</f>
        <v>CANCUN</v>
      </c>
      <c r="AG16" s="1462" t="str">
        <f>'VISITA DE INSP.'!HN16</f>
        <v>BANITO JUAREZ</v>
      </c>
      <c r="AH16" s="1463">
        <f>'VISITA DE INSP.'!HO16</f>
        <v>0</v>
      </c>
      <c r="AI16" s="2346" t="str">
        <f>'VISITA DE INSP.'!HP16</f>
        <v>X</v>
      </c>
      <c r="AJ16" s="2353" t="str">
        <f>'VISITA DE INSP.'!HQ16</f>
        <v>X</v>
      </c>
      <c r="AK16" s="1463">
        <f>'VISITA DE INSP.'!HR16</f>
        <v>0</v>
      </c>
      <c r="AL16" s="1463" t="str">
        <f>'VISITA DE INSP.'!HS16</f>
        <v>X</v>
      </c>
      <c r="AM16" s="1463">
        <f>'VISITA DE INSP.'!HT16</f>
        <v>0</v>
      </c>
      <c r="AN16" s="1463">
        <f>'VISITA DE INSP.'!HU16</f>
        <v>0</v>
      </c>
      <c r="AO16" s="1463" t="str">
        <f>'VISITA DE INSP.'!HV16</f>
        <v>X</v>
      </c>
      <c r="AP16" s="1463">
        <f>'VISITA DE INSP.'!HW16</f>
        <v>0</v>
      </c>
      <c r="AQ16" s="1463">
        <f>'VISITA DE INSP.'!HX16</f>
        <v>0</v>
      </c>
      <c r="AR16" s="1463" t="str">
        <f>'VISITA DE INSP.'!HY16</f>
        <v>X</v>
      </c>
      <c r="AS16" s="1463">
        <f>'VISITA DE INSP.'!HZ16</f>
        <v>0</v>
      </c>
      <c r="AT16" s="1463" t="str">
        <f>'VISITA DE INSP.'!IA16</f>
        <v>X</v>
      </c>
      <c r="AU16" s="1463">
        <f>'VISITA DE INSP.'!IB16</f>
        <v>4</v>
      </c>
      <c r="AV16" s="1463">
        <f>'VISITA DE INSP.'!IC16</f>
        <v>0</v>
      </c>
      <c r="AW16" s="1463">
        <f>'VISITA DE INSP.'!ID16</f>
        <v>1</v>
      </c>
      <c r="AX16" s="1463">
        <f>'VISITA DE INSP.'!IE16</f>
        <v>1</v>
      </c>
      <c r="AY16" s="2346">
        <f>'VISITA DE INSP.'!IF16</f>
        <v>1</v>
      </c>
      <c r="AZ16" s="2353">
        <f>'VISITA DE INSP.'!IG16</f>
        <v>0</v>
      </c>
      <c r="BA16" s="2340">
        <f>'VISITA DE INSP.'!IH16</f>
        <v>1</v>
      </c>
      <c r="BB16" s="2340">
        <f>'VISITA DE INSP.'!II16</f>
        <v>0</v>
      </c>
      <c r="BC16" s="2346">
        <f>'VISITA DE INSP.'!IJ16</f>
        <v>0</v>
      </c>
      <c r="BD16" s="1463">
        <f>'VISITA DE INSP.'!IK16</f>
        <v>4</v>
      </c>
      <c r="BE16" s="1463">
        <f>'VISITA DE INSP.'!IL16</f>
        <v>1</v>
      </c>
      <c r="BF16" s="1463">
        <f>'VISITA DE INSP.'!IM16</f>
        <v>0</v>
      </c>
      <c r="BG16" s="1463">
        <f>'VISITA DE INSP.'!IN16</f>
        <v>1</v>
      </c>
      <c r="BH16" s="1463">
        <f>'VISITA DE INSP.'!IO16</f>
        <v>1</v>
      </c>
      <c r="BI16" s="2353">
        <f>'VISITA DE INSP.'!IP16</f>
        <v>6</v>
      </c>
      <c r="BJ16" s="2346">
        <f>'VISITA DE INSP.'!IQ16</f>
        <v>7</v>
      </c>
      <c r="BK16" s="2353">
        <f>'VISITA DE INSP.'!IR16</f>
        <v>0</v>
      </c>
      <c r="BL16" s="2340">
        <f>'VISITA DE INSP.'!IS16</f>
        <v>0</v>
      </c>
      <c r="BM16" s="2340">
        <f>'VISITA DE INSP.'!IT16</f>
        <v>0</v>
      </c>
      <c r="BN16" s="2346">
        <f>'VISITA DE INSP.'!IU16</f>
        <v>0</v>
      </c>
      <c r="BO16" s="2353">
        <f>'VISITA DE INSP.'!IV16</f>
        <v>1</v>
      </c>
      <c r="BP16" s="1463">
        <f>'VISITA DE INSP.'!IW16</f>
        <v>1</v>
      </c>
      <c r="BQ16" s="1463">
        <f>'VISITA DE INSP.'!IX16</f>
        <v>1</v>
      </c>
      <c r="BR16" s="1463">
        <f>'VISITA DE INSP.'!IY16</f>
        <v>1</v>
      </c>
      <c r="BS16" s="1463">
        <f>'VISITA DE INSP.'!IZ16</f>
        <v>1</v>
      </c>
      <c r="BT16" s="2346">
        <f>'VISITA DE INSP.'!JA16</f>
        <v>1</v>
      </c>
      <c r="BU16" s="3739" t="str">
        <f>'VISITA DE INSP.'!JB16</f>
        <v>PATRICIA RUIZ VALLE</v>
      </c>
      <c r="BV16" s="3740" t="str">
        <f>'VISITA DE INSP.'!JC16</f>
        <v>JESUS MARTIN RICALDE CASTRO</v>
      </c>
      <c r="BW16" s="2353">
        <f>'VISITA DE INSP.'!JD16</f>
        <v>7</v>
      </c>
      <c r="BX16" s="1463">
        <f>'VISITA DE INSP.'!JE16</f>
        <v>9</v>
      </c>
      <c r="BY16" s="1463">
        <f>'VISITA DE INSP.'!JF16</f>
        <v>12</v>
      </c>
      <c r="BZ16" s="1463">
        <f>'VISITA DE INSP.'!JG16</f>
        <v>11</v>
      </c>
      <c r="CA16" s="1463">
        <f>'VISITA DE INSP.'!JH16</f>
        <v>12</v>
      </c>
      <c r="CB16" s="2346">
        <f>'VISITA DE INSP.'!JI16</f>
        <v>7</v>
      </c>
      <c r="CC16" s="2353">
        <f>'VISITA DE INSP.'!JJ16</f>
        <v>1</v>
      </c>
      <c r="CD16" s="1463">
        <f>'VISITA DE INSP.'!JK16</f>
        <v>1</v>
      </c>
      <c r="CE16" s="1463">
        <f>'VISITA DE INSP.'!JL16</f>
        <v>1</v>
      </c>
      <c r="CF16" s="1463">
        <f>'VISITA DE INSP.'!JM16</f>
        <v>2</v>
      </c>
      <c r="CG16" s="1463">
        <f>'VISITA DE INSP.'!JN16</f>
        <v>1</v>
      </c>
      <c r="CH16" s="2346">
        <f>'VISITA DE INSP.'!JO16</f>
        <v>2</v>
      </c>
      <c r="CI16" s="2353">
        <f>'VISITA DE INSP.'!JP16</f>
        <v>0</v>
      </c>
      <c r="CJ16" s="1463">
        <f>'VISITA DE INSP.'!JQ16</f>
        <v>0</v>
      </c>
      <c r="CK16" s="1463">
        <f>'VISITA DE INSP.'!JR16</f>
        <v>0</v>
      </c>
      <c r="CL16" s="1463">
        <f>'VISITA DE INSP.'!JS16</f>
        <v>2</v>
      </c>
      <c r="CM16" s="1463">
        <f>'VISITA DE INSP.'!JT16</f>
        <v>2</v>
      </c>
      <c r="CN16" s="2346">
        <f>'VISITA DE INSP.'!JU16</f>
        <v>1</v>
      </c>
      <c r="CO16" s="2353">
        <f>'VISITA DE INSP.'!JV16</f>
        <v>8</v>
      </c>
      <c r="CP16" s="1463">
        <f>'VISITA DE INSP.'!JW16</f>
        <v>10</v>
      </c>
      <c r="CQ16" s="1463">
        <f>'VISITA DE INSP.'!JX16</f>
        <v>13</v>
      </c>
      <c r="CR16" s="1463">
        <f>'VISITA DE INSP.'!JY16</f>
        <v>11</v>
      </c>
      <c r="CS16" s="1463">
        <f>'VISITA DE INSP.'!JZ16</f>
        <v>11</v>
      </c>
      <c r="CT16" s="2346">
        <f>'VISITA DE INSP.'!KA16</f>
        <v>8</v>
      </c>
      <c r="CU16" s="2353">
        <f>'VISITA DE INSP.'!KB16</f>
        <v>0</v>
      </c>
      <c r="CV16" s="1463">
        <f>'VISITA DE INSP.'!KC16</f>
        <v>0</v>
      </c>
      <c r="CW16" s="1463">
        <f>'VISITA DE INSP.'!KD16</f>
        <v>0</v>
      </c>
      <c r="CX16" s="1463">
        <f>'VISITA DE INSP.'!KE16</f>
        <v>0</v>
      </c>
      <c r="CY16" s="1463">
        <f>'VISITA DE INSP.'!KF16</f>
        <v>0</v>
      </c>
      <c r="CZ16" s="2346">
        <f>'VISITA DE INSP.'!KG16</f>
        <v>0</v>
      </c>
    </row>
    <row r="17" spans="1:108" ht="15" customHeight="1">
      <c r="A17" s="1470"/>
      <c r="B17" s="1471"/>
      <c r="C17" s="1471" t="s">
        <v>1427</v>
      </c>
      <c r="D17" s="1471"/>
      <c r="E17" s="1471"/>
      <c r="F17" s="2239">
        <f>VLOOKUP(K13,Z2:CH22,27)</f>
        <v>1</v>
      </c>
      <c r="G17" s="1471"/>
      <c r="H17" s="2254" t="s">
        <v>408</v>
      </c>
      <c r="I17" s="1471"/>
      <c r="J17" s="2262"/>
      <c r="K17" s="2262" t="s">
        <v>1428</v>
      </c>
      <c r="L17" s="1471"/>
      <c r="M17" s="1471"/>
      <c r="N17" s="2254"/>
      <c r="O17" s="2254" t="s">
        <v>408</v>
      </c>
      <c r="P17" s="1471"/>
      <c r="Q17" s="1471"/>
      <c r="R17" s="4869" t="s">
        <v>1429</v>
      </c>
      <c r="S17" s="4869"/>
      <c r="T17" s="4869"/>
      <c r="U17" s="4869"/>
      <c r="V17" s="1471"/>
      <c r="W17" s="1471"/>
      <c r="X17" s="688"/>
      <c r="Y17" s="801"/>
      <c r="Z17" s="2353">
        <f>'VISITA DE INSP.'!HG17</f>
        <v>15</v>
      </c>
      <c r="AA17" s="2330" t="str">
        <f>'VISITA DE INSP.'!HH17</f>
        <v>cilaqroo@hotmail.com</v>
      </c>
      <c r="AB17" s="1462" t="str">
        <f>'VISITA DE INSP.'!HI17</f>
        <v>CENTRO INFANTIL LATINOAMERICANO</v>
      </c>
      <c r="AC17" s="1462" t="str">
        <f>'VISITA DE INSP.'!HJ17</f>
        <v>23PPR0156N</v>
      </c>
      <c r="AD17" s="1462" t="str">
        <f>'VISITA DE INSP.'!HK17</f>
        <v>AV. CANCÚN MZ. 25 L. 6</v>
      </c>
      <c r="AE17" s="1462" t="str">
        <f>'VISITA DE INSP.'!HL17</f>
        <v>9985 77 44 15</v>
      </c>
      <c r="AF17" s="1462" t="str">
        <f>'VISITA DE INSP.'!HM17</f>
        <v>CANCUN</v>
      </c>
      <c r="AG17" s="1462" t="str">
        <f>'VISITA DE INSP.'!HN17</f>
        <v>BENITO JUAREZ</v>
      </c>
      <c r="AH17" s="1463">
        <f>'VISITA DE INSP.'!HO17</f>
        <v>0</v>
      </c>
      <c r="AI17" s="2346" t="str">
        <f>'VISITA DE INSP.'!HP17</f>
        <v>X</v>
      </c>
      <c r="AJ17" s="2353" t="str">
        <f>'VISITA DE INSP.'!HQ17</f>
        <v>X</v>
      </c>
      <c r="AK17" s="1463">
        <f>'VISITA DE INSP.'!HR17</f>
        <v>0</v>
      </c>
      <c r="AL17" s="1463" t="str">
        <f>'VISITA DE INSP.'!HS17</f>
        <v>X</v>
      </c>
      <c r="AM17" s="1463">
        <f>'VISITA DE INSP.'!HT17</f>
        <v>0</v>
      </c>
      <c r="AN17" s="1463">
        <f>'VISITA DE INSP.'!HU17</f>
        <v>0</v>
      </c>
      <c r="AO17" s="1463" t="str">
        <f>'VISITA DE INSP.'!HV17</f>
        <v>X</v>
      </c>
      <c r="AP17" s="1463">
        <f>'VISITA DE INSP.'!HW17</f>
        <v>0</v>
      </c>
      <c r="AQ17" s="1463">
        <f>'VISITA DE INSP.'!HX17</f>
        <v>0</v>
      </c>
      <c r="AR17" s="1463" t="str">
        <f>'VISITA DE INSP.'!HY17</f>
        <v>X</v>
      </c>
      <c r="AS17" s="1463">
        <f>'VISITA DE INSP.'!HZ17</f>
        <v>0</v>
      </c>
      <c r="AT17" s="1463" t="str">
        <f>'VISITA DE INSP.'!IA17</f>
        <v>X</v>
      </c>
      <c r="AU17" s="1463">
        <f>'VISITA DE INSP.'!IB17</f>
        <v>4</v>
      </c>
      <c r="AV17" s="1463">
        <f>'VISITA DE INSP.'!IC17</f>
        <v>0</v>
      </c>
      <c r="AW17" s="1463">
        <f>'VISITA DE INSP.'!ID17</f>
        <v>1</v>
      </c>
      <c r="AX17" s="1463">
        <f>'VISITA DE INSP.'!IE17</f>
        <v>0</v>
      </c>
      <c r="AY17" s="2346">
        <f>'VISITA DE INSP.'!IF17</f>
        <v>0</v>
      </c>
      <c r="AZ17" s="2353">
        <f>'VISITA DE INSP.'!IG17</f>
        <v>0</v>
      </c>
      <c r="BA17" s="2340">
        <f>'VISITA DE INSP.'!IH17</f>
        <v>1</v>
      </c>
      <c r="BB17" s="2340">
        <f>'VISITA DE INSP.'!II17</f>
        <v>0</v>
      </c>
      <c r="BC17" s="2346">
        <f>'VISITA DE INSP.'!IJ17</f>
        <v>0</v>
      </c>
      <c r="BD17" s="1463">
        <f>'VISITA DE INSP.'!IK17</f>
        <v>2</v>
      </c>
      <c r="BE17" s="1463">
        <f>'VISITA DE INSP.'!IL17</f>
        <v>0</v>
      </c>
      <c r="BF17" s="1463">
        <f>'VISITA DE INSP.'!IM17</f>
        <v>0</v>
      </c>
      <c r="BG17" s="1463">
        <f>'VISITA DE INSP.'!IN17</f>
        <v>1</v>
      </c>
      <c r="BH17" s="1463">
        <f>'VISITA DE INSP.'!IO17</f>
        <v>3</v>
      </c>
      <c r="BI17" s="2353">
        <f>'VISITA DE INSP.'!IP17</f>
        <v>9</v>
      </c>
      <c r="BJ17" s="2346">
        <f>'VISITA DE INSP.'!IQ17</f>
        <v>9</v>
      </c>
      <c r="BK17" s="2353">
        <f>'VISITA DE INSP.'!IR17</f>
        <v>0</v>
      </c>
      <c r="BL17" s="2340">
        <f>'VISITA DE INSP.'!IS17</f>
        <v>0</v>
      </c>
      <c r="BM17" s="2340">
        <f>'VISITA DE INSP.'!IT17</f>
        <v>0</v>
      </c>
      <c r="BN17" s="2346">
        <f>'VISITA DE INSP.'!IU17</f>
        <v>0</v>
      </c>
      <c r="BO17" s="2353">
        <f>'VISITA DE INSP.'!IV17</f>
        <v>1</v>
      </c>
      <c r="BP17" s="1463">
        <f>'VISITA DE INSP.'!IW17</f>
        <v>1</v>
      </c>
      <c r="BQ17" s="1463">
        <f>'VISITA DE INSP.'!IX17</f>
        <v>1</v>
      </c>
      <c r="BR17" s="1463">
        <f>'VISITA DE INSP.'!IY17</f>
        <v>1</v>
      </c>
      <c r="BS17" s="1463">
        <f>'VISITA DE INSP.'!IZ17</f>
        <v>0</v>
      </c>
      <c r="BT17" s="2346">
        <f>'VISITA DE INSP.'!JA17</f>
        <v>0</v>
      </c>
      <c r="BU17" s="3739" t="str">
        <f>'VISITA DE INSP.'!JB17</f>
        <v>G.CANTO PUERTO REBECA</v>
      </c>
      <c r="BV17" s="3740" t="str">
        <f>'VISITA DE INSP.'!JC17</f>
        <v>JESUS MARTIN RICALDE CASTRO</v>
      </c>
      <c r="BW17" s="2353">
        <f>'VISITA DE INSP.'!JD17</f>
        <v>16</v>
      </c>
      <c r="BX17" s="1463">
        <f>'VISITA DE INSP.'!JE17</f>
        <v>14</v>
      </c>
      <c r="BY17" s="1463">
        <f>'VISITA DE INSP.'!JF17</f>
        <v>9</v>
      </c>
      <c r="BZ17" s="1463">
        <f>'VISITA DE INSP.'!JG17</f>
        <v>11</v>
      </c>
      <c r="CA17" s="1463">
        <f>'VISITA DE INSP.'!JH17</f>
        <v>0</v>
      </c>
      <c r="CB17" s="2346">
        <f>'VISITA DE INSP.'!JI17</f>
        <v>0</v>
      </c>
      <c r="CC17" s="2353">
        <f>'VISITA DE INSP.'!JJ17</f>
        <v>0</v>
      </c>
      <c r="CD17" s="1463">
        <f>'VISITA DE INSP.'!JK17</f>
        <v>1</v>
      </c>
      <c r="CE17" s="1463">
        <f>'VISITA DE INSP.'!JL17</f>
        <v>1</v>
      </c>
      <c r="CF17" s="1463">
        <f>'VISITA DE INSP.'!JM17</f>
        <v>1</v>
      </c>
      <c r="CG17" s="1463">
        <f>'VISITA DE INSP.'!JN17</f>
        <v>0</v>
      </c>
      <c r="CH17" s="2346">
        <f>'VISITA DE INSP.'!JO17</f>
        <v>0</v>
      </c>
      <c r="CI17" s="2353">
        <f>'VISITA DE INSP.'!JP17</f>
        <v>1</v>
      </c>
      <c r="CJ17" s="1463">
        <f>'VISITA DE INSP.'!JQ17</f>
        <v>2</v>
      </c>
      <c r="CK17" s="1463">
        <f>'VISITA DE INSP.'!JR17</f>
        <v>0</v>
      </c>
      <c r="CL17" s="1463">
        <f>'VISITA DE INSP.'!JS17</f>
        <v>1</v>
      </c>
      <c r="CM17" s="1463">
        <f>'VISITA DE INSP.'!JT17</f>
        <v>0</v>
      </c>
      <c r="CN17" s="2346">
        <f>'VISITA DE INSP.'!JU17</f>
        <v>0</v>
      </c>
      <c r="CO17" s="2353">
        <f>'VISITA DE INSP.'!JV17</f>
        <v>15</v>
      </c>
      <c r="CP17" s="1463">
        <f>'VISITA DE INSP.'!JW17</f>
        <v>13</v>
      </c>
      <c r="CQ17" s="1463">
        <f>'VISITA DE INSP.'!JX17</f>
        <v>10</v>
      </c>
      <c r="CR17" s="1463">
        <f>'VISITA DE INSP.'!JY17</f>
        <v>11</v>
      </c>
      <c r="CS17" s="1463">
        <f>'VISITA DE INSP.'!JZ17</f>
        <v>0</v>
      </c>
      <c r="CT17" s="2346">
        <f>'VISITA DE INSP.'!KA17</f>
        <v>0</v>
      </c>
      <c r="CU17" s="2353">
        <f>'VISITA DE INSP.'!KB17</f>
        <v>0</v>
      </c>
      <c r="CV17" s="1463">
        <f>'VISITA DE INSP.'!KC17</f>
        <v>0</v>
      </c>
      <c r="CW17" s="1463">
        <f>'VISITA DE INSP.'!KD17</f>
        <v>0</v>
      </c>
      <c r="CX17" s="1463">
        <f>'VISITA DE INSP.'!KE17</f>
        <v>0</v>
      </c>
      <c r="CY17" s="1463">
        <f>'VISITA DE INSP.'!KF17</f>
        <v>0</v>
      </c>
      <c r="CZ17" s="2346">
        <f>'VISITA DE INSP.'!KG17</f>
        <v>0</v>
      </c>
    </row>
    <row r="18" spans="1:108" ht="15" customHeight="1" thickBot="1">
      <c r="A18" s="5242" t="s">
        <v>1430</v>
      </c>
      <c r="B18" s="5226"/>
      <c r="C18" s="1471" t="s">
        <v>1431</v>
      </c>
      <c r="D18" s="1471"/>
      <c r="E18" s="1471"/>
      <c r="F18" s="2239">
        <f>VLOOKUP(K13,Z2:CH22,28)</f>
        <v>0</v>
      </c>
      <c r="G18" s="1471"/>
      <c r="H18" s="1476">
        <f>F17+F18+F19+F20</f>
        <v>1</v>
      </c>
      <c r="I18" s="1471"/>
      <c r="J18" s="1471"/>
      <c r="K18" s="1471"/>
      <c r="L18" s="1471"/>
      <c r="M18" s="1471"/>
      <c r="N18" s="1471"/>
      <c r="O18" s="1471"/>
      <c r="P18" s="1471"/>
      <c r="Q18" s="1471"/>
      <c r="R18" s="1471"/>
      <c r="S18" s="1471"/>
      <c r="T18" s="1471"/>
      <c r="U18" s="1471"/>
      <c r="V18" s="1471"/>
      <c r="W18" s="1471"/>
      <c r="X18" s="1472"/>
      <c r="Y18" s="801"/>
      <c r="Z18" s="2353">
        <f>'VISITA DE INSP.'!HG18</f>
        <v>16</v>
      </c>
      <c r="AA18" s="2330" t="str">
        <f>'VISITA DE INSP.'!HH18</f>
        <v>glorita05111@hotmail.com</v>
      </c>
      <c r="AB18" s="1462" t="str">
        <f>'VISITA DE INSP.'!HI18</f>
        <v>COLEGIO KING DAVID</v>
      </c>
      <c r="AC18" s="1462" t="str">
        <f>'VISITA DE INSP.'!HJ18</f>
        <v>23PPR0163X</v>
      </c>
      <c r="AD18" s="1462" t="str">
        <f>'VISITA DE INSP.'!HK18</f>
        <v>SM-313  MZA-20  LTE-3  AV-FONATUR</v>
      </c>
      <c r="AE18" s="1462" t="str">
        <f>'VISITA DE INSP.'!HL18</f>
        <v>9981 79 87 49</v>
      </c>
      <c r="AF18" s="1462" t="str">
        <f>'VISITA DE INSP.'!HM18</f>
        <v xml:space="preserve">CANCUN  </v>
      </c>
      <c r="AG18" s="1462" t="str">
        <f>'VISITA DE INSP.'!HN18</f>
        <v>BENITO JUAREZ</v>
      </c>
      <c r="AH18" s="1463">
        <f>'VISITA DE INSP.'!HO18</f>
        <v>0</v>
      </c>
      <c r="AI18" s="2346" t="str">
        <f>'VISITA DE INSP.'!HP18</f>
        <v>X</v>
      </c>
      <c r="AJ18" s="2353" t="str">
        <f>'VISITA DE INSP.'!HQ18</f>
        <v>X</v>
      </c>
      <c r="AK18" s="1463">
        <f>'VISITA DE INSP.'!HR18</f>
        <v>0</v>
      </c>
      <c r="AL18" s="1463" t="str">
        <f>'VISITA DE INSP.'!HS18</f>
        <v>X</v>
      </c>
      <c r="AM18" s="1463">
        <f>'VISITA DE INSP.'!HT18</f>
        <v>0</v>
      </c>
      <c r="AN18" s="1463">
        <f>'VISITA DE INSP.'!HU18</f>
        <v>0</v>
      </c>
      <c r="AO18" s="1463" t="str">
        <f>'VISITA DE INSP.'!HV18</f>
        <v>X</v>
      </c>
      <c r="AP18" s="1463">
        <f>'VISITA DE INSP.'!HW18</f>
        <v>0</v>
      </c>
      <c r="AQ18" s="1463">
        <f>'VISITA DE INSP.'!HX18</f>
        <v>0</v>
      </c>
      <c r="AR18" s="1463" t="str">
        <f>'VISITA DE INSP.'!HY18</f>
        <v>X</v>
      </c>
      <c r="AS18" s="1463">
        <f>'VISITA DE INSP.'!HZ18</f>
        <v>0</v>
      </c>
      <c r="AT18" s="1463" t="str">
        <f>'VISITA DE INSP.'!IA18</f>
        <v>X</v>
      </c>
      <c r="AU18" s="1463">
        <f>'VISITA DE INSP.'!IB18</f>
        <v>6</v>
      </c>
      <c r="AV18" s="1463">
        <f>'VISITA DE INSP.'!IC18</f>
        <v>0</v>
      </c>
      <c r="AW18" s="1463">
        <f>'VISITA DE INSP.'!ID18</f>
        <v>1</v>
      </c>
      <c r="AX18" s="1463">
        <f>'VISITA DE INSP.'!IE18</f>
        <v>1</v>
      </c>
      <c r="AY18" s="2346">
        <f>'VISITA DE INSP.'!IF18</f>
        <v>0</v>
      </c>
      <c r="AZ18" s="2353">
        <f>'VISITA DE INSP.'!IG18</f>
        <v>1</v>
      </c>
      <c r="BA18" s="2340">
        <f>'VISITA DE INSP.'!IH18</f>
        <v>0</v>
      </c>
      <c r="BB18" s="2340">
        <f>'VISITA DE INSP.'!II18</f>
        <v>0</v>
      </c>
      <c r="BC18" s="2346">
        <f>'VISITA DE INSP.'!IJ18</f>
        <v>0</v>
      </c>
      <c r="BD18" s="1463">
        <f>'VISITA DE INSP.'!IK18</f>
        <v>8</v>
      </c>
      <c r="BE18" s="1463">
        <f>'VISITA DE INSP.'!IL18</f>
        <v>1</v>
      </c>
      <c r="BF18" s="1463">
        <f>'VISITA DE INSP.'!IM18</f>
        <v>0</v>
      </c>
      <c r="BG18" s="1463">
        <f>'VISITA DE INSP.'!IN18</f>
        <v>1</v>
      </c>
      <c r="BH18" s="1463">
        <f>'VISITA DE INSP.'!IO18</f>
        <v>7</v>
      </c>
      <c r="BI18" s="2353">
        <f>'VISITA DE INSP.'!IP18</f>
        <v>13</v>
      </c>
      <c r="BJ18" s="2346">
        <f>'VISITA DE INSP.'!IQ18</f>
        <v>15</v>
      </c>
      <c r="BK18" s="2353">
        <f>'VISITA DE INSP.'!IR18</f>
        <v>0</v>
      </c>
      <c r="BL18" s="2340">
        <f>'VISITA DE INSP.'!IS18</f>
        <v>0</v>
      </c>
      <c r="BM18" s="2340">
        <f>'VISITA DE INSP.'!IT18</f>
        <v>0</v>
      </c>
      <c r="BN18" s="2346">
        <f>'VISITA DE INSP.'!IU18</f>
        <v>0</v>
      </c>
      <c r="BO18" s="2353">
        <f>'VISITA DE INSP.'!IV18</f>
        <v>2</v>
      </c>
      <c r="BP18" s="1463">
        <f>'VISITA DE INSP.'!IW18</f>
        <v>2</v>
      </c>
      <c r="BQ18" s="1463">
        <f>'VISITA DE INSP.'!IX18</f>
        <v>2</v>
      </c>
      <c r="BR18" s="1463">
        <f>'VISITA DE INSP.'!IY18</f>
        <v>1</v>
      </c>
      <c r="BS18" s="1463">
        <f>'VISITA DE INSP.'!IZ18</f>
        <v>2</v>
      </c>
      <c r="BT18" s="2346">
        <f>'VISITA DE INSP.'!JA18</f>
        <v>1</v>
      </c>
      <c r="BU18" s="3739" t="str">
        <f>'VISITA DE INSP.'!JB18</f>
        <v>MIRANDA VALDEZ MARIA ALMA</v>
      </c>
      <c r="BV18" s="3740" t="str">
        <f>'VISITA DE INSP.'!JC18</f>
        <v>JESUS MARTIN RICALDE CASTRO</v>
      </c>
      <c r="BW18" s="2353">
        <f>'VISITA DE INSP.'!JD18</f>
        <v>41</v>
      </c>
      <c r="BX18" s="1463">
        <f>'VISITA DE INSP.'!JE18</f>
        <v>27</v>
      </c>
      <c r="BY18" s="1463">
        <f>'VISITA DE INSP.'!JF18</f>
        <v>25</v>
      </c>
      <c r="BZ18" s="1463">
        <f>'VISITA DE INSP.'!JG18</f>
        <v>23</v>
      </c>
      <c r="CA18" s="1463">
        <f>'VISITA DE INSP.'!JH18</f>
        <v>33</v>
      </c>
      <c r="CB18" s="2346">
        <f>'VISITA DE INSP.'!JI18</f>
        <v>9</v>
      </c>
      <c r="CC18" s="2353">
        <f>'VISITA DE INSP.'!JJ18</f>
        <v>3</v>
      </c>
      <c r="CD18" s="1463">
        <f>'VISITA DE INSP.'!JK18</f>
        <v>3</v>
      </c>
      <c r="CE18" s="1463">
        <f>'VISITA DE INSP.'!JL18</f>
        <v>2</v>
      </c>
      <c r="CF18" s="1463">
        <f>'VISITA DE INSP.'!JM18</f>
        <v>1</v>
      </c>
      <c r="CG18" s="1463">
        <f>'VISITA DE INSP.'!JN18</f>
        <v>0</v>
      </c>
      <c r="CH18" s="2346">
        <f>'VISITA DE INSP.'!JO18</f>
        <v>1</v>
      </c>
      <c r="CI18" s="2353">
        <f>'VISITA DE INSP.'!JP18</f>
        <v>2</v>
      </c>
      <c r="CJ18" s="1463">
        <f>'VISITA DE INSP.'!JQ18</f>
        <v>1</v>
      </c>
      <c r="CK18" s="1463">
        <f>'VISITA DE INSP.'!JR18</f>
        <v>1</v>
      </c>
      <c r="CL18" s="1463">
        <f>'VISITA DE INSP.'!JS18</f>
        <v>1</v>
      </c>
      <c r="CM18" s="1463">
        <f>'VISITA DE INSP.'!JT18</f>
        <v>1</v>
      </c>
      <c r="CN18" s="2346">
        <f>'VISITA DE INSP.'!JU18</f>
        <v>0</v>
      </c>
      <c r="CO18" s="2353">
        <f>'VISITA DE INSP.'!JV18</f>
        <v>42</v>
      </c>
      <c r="CP18" s="1463">
        <f>'VISITA DE INSP.'!JW18</f>
        <v>29</v>
      </c>
      <c r="CQ18" s="1463">
        <f>'VISITA DE INSP.'!JX18</f>
        <v>26</v>
      </c>
      <c r="CR18" s="1463">
        <f>'VISITA DE INSP.'!JY18</f>
        <v>23</v>
      </c>
      <c r="CS18" s="1463">
        <f>'VISITA DE INSP.'!JZ18</f>
        <v>32</v>
      </c>
      <c r="CT18" s="2346">
        <f>'VISITA DE INSP.'!KA18</f>
        <v>10</v>
      </c>
      <c r="CU18" s="2353">
        <f>'VISITA DE INSP.'!KB18</f>
        <v>0</v>
      </c>
      <c r="CV18" s="1463">
        <f>'VISITA DE INSP.'!KC18</f>
        <v>0</v>
      </c>
      <c r="CW18" s="1463">
        <f>'VISITA DE INSP.'!KD18</f>
        <v>0</v>
      </c>
      <c r="CX18" s="1463">
        <f>'VISITA DE INSP.'!KE18</f>
        <v>0</v>
      </c>
      <c r="CY18" s="1463">
        <f>'VISITA DE INSP.'!KF18</f>
        <v>0</v>
      </c>
      <c r="CZ18" s="2346">
        <f>'VISITA DE INSP.'!KG18</f>
        <v>0</v>
      </c>
    </row>
    <row r="19" spans="1:108" ht="15" customHeight="1">
      <c r="A19" s="5242"/>
      <c r="B19" s="5226"/>
      <c r="C19" s="1471" t="s">
        <v>1432</v>
      </c>
      <c r="D19" s="1471"/>
      <c r="E19" s="1471"/>
      <c r="F19" s="2239">
        <f>VLOOKUP(K13,Z2:CH22,29)</f>
        <v>0</v>
      </c>
      <c r="G19" s="1471"/>
      <c r="H19" s="2239"/>
      <c r="I19" s="1471"/>
      <c r="J19" s="1471"/>
      <c r="K19" s="1471" t="s">
        <v>1433</v>
      </c>
      <c r="L19" s="1471"/>
      <c r="M19" s="1471"/>
      <c r="N19" s="2261"/>
      <c r="O19" s="2251"/>
      <c r="P19" s="1471"/>
      <c r="Q19" s="1471"/>
      <c r="R19" s="1471"/>
      <c r="S19" s="1471" t="s">
        <v>1430</v>
      </c>
      <c r="T19" s="1471"/>
      <c r="U19" s="1471"/>
      <c r="V19" s="2251">
        <f>VLOOKUP(K13,Z2:CH22,38)</f>
        <v>0</v>
      </c>
      <c r="W19" s="1471"/>
      <c r="X19" s="1472"/>
      <c r="Y19" s="801"/>
      <c r="Z19" s="2353">
        <f>'VISITA DE INSP.'!HG19</f>
        <v>17</v>
      </c>
      <c r="AA19" s="2330">
        <f>'VISITA DE INSP.'!HH19</f>
        <v>0</v>
      </c>
      <c r="AB19" s="1463">
        <f>'VISITA DE INSP.'!HI19</f>
        <v>0</v>
      </c>
      <c r="AC19" s="1463">
        <f>'VISITA DE INSP.'!HJ19</f>
        <v>0</v>
      </c>
      <c r="AD19" s="1463">
        <f>'VISITA DE INSP.'!HK19</f>
        <v>0</v>
      </c>
      <c r="AE19" s="1463">
        <f>'VISITA DE INSP.'!HL19</f>
        <v>0</v>
      </c>
      <c r="AF19" s="1463">
        <f>'VISITA DE INSP.'!HM19</f>
        <v>0</v>
      </c>
      <c r="AG19" s="1463">
        <f>'VISITA DE INSP.'!HN19</f>
        <v>0</v>
      </c>
      <c r="AH19" s="1463">
        <f>'VISITA DE INSP.'!HO19</f>
        <v>0</v>
      </c>
      <c r="AI19" s="2346">
        <f>'VISITA DE INSP.'!HP19</f>
        <v>0</v>
      </c>
      <c r="AJ19" s="2353">
        <f>'VISITA DE INSP.'!HQ19</f>
        <v>0</v>
      </c>
      <c r="AK19" s="1463">
        <f>'VISITA DE INSP.'!HR19</f>
        <v>0</v>
      </c>
      <c r="AL19" s="1463">
        <f>'VISITA DE INSP.'!HS19</f>
        <v>0</v>
      </c>
      <c r="AM19" s="1463">
        <f>'VISITA DE INSP.'!HT19</f>
        <v>0</v>
      </c>
      <c r="AN19" s="1463">
        <f>'VISITA DE INSP.'!HU19</f>
        <v>0</v>
      </c>
      <c r="AO19" s="1463">
        <f>'VISITA DE INSP.'!HV19</f>
        <v>0</v>
      </c>
      <c r="AP19" s="1463">
        <f>'VISITA DE INSP.'!HW19</f>
        <v>0</v>
      </c>
      <c r="AQ19" s="1463">
        <f>'VISITA DE INSP.'!HX19</f>
        <v>0</v>
      </c>
      <c r="AR19" s="1463">
        <f>'VISITA DE INSP.'!HY19</f>
        <v>0</v>
      </c>
      <c r="AS19" s="1463">
        <f>'VISITA DE INSP.'!HZ19</f>
        <v>0</v>
      </c>
      <c r="AT19" s="1463">
        <f>'VISITA DE INSP.'!IA19</f>
        <v>0</v>
      </c>
      <c r="AU19" s="1463">
        <f>'VISITA DE INSP.'!IB19</f>
        <v>0</v>
      </c>
      <c r="AV19" s="1463">
        <f>'VISITA DE INSP.'!IC19</f>
        <v>0</v>
      </c>
      <c r="AW19" s="1463">
        <f>'VISITA DE INSP.'!ID19</f>
        <v>0</v>
      </c>
      <c r="AX19" s="1463">
        <f>'VISITA DE INSP.'!IE19</f>
        <v>0</v>
      </c>
      <c r="AY19" s="2346">
        <f>'VISITA DE INSP.'!IF19</f>
        <v>0</v>
      </c>
      <c r="AZ19" s="2353">
        <f>'VISITA DE INSP.'!IG19</f>
        <v>0</v>
      </c>
      <c r="BA19" s="2340">
        <f>'VISITA DE INSP.'!IH19</f>
        <v>0</v>
      </c>
      <c r="BB19" s="2340">
        <f>'VISITA DE INSP.'!II19</f>
        <v>0</v>
      </c>
      <c r="BC19" s="2346">
        <f>'VISITA DE INSP.'!IJ19</f>
        <v>0</v>
      </c>
      <c r="BD19" s="1463">
        <f>'VISITA DE INSP.'!IK19</f>
        <v>0</v>
      </c>
      <c r="BE19" s="1463">
        <f>'VISITA DE INSP.'!IL19</f>
        <v>0</v>
      </c>
      <c r="BF19" s="1463">
        <f>'VISITA DE INSP.'!IM19</f>
        <v>0</v>
      </c>
      <c r="BG19" s="1463">
        <f>'VISITA DE INSP.'!IN19</f>
        <v>0</v>
      </c>
      <c r="BH19" s="1463">
        <f>'VISITA DE INSP.'!IO19</f>
        <v>0</v>
      </c>
      <c r="BI19" s="2353">
        <f>'VISITA DE INSP.'!IP19</f>
        <v>0</v>
      </c>
      <c r="BJ19" s="2346">
        <f>'VISITA DE INSP.'!IQ19</f>
        <v>0</v>
      </c>
      <c r="BK19" s="2353">
        <f>'VISITA DE INSP.'!IR19</f>
        <v>0</v>
      </c>
      <c r="BL19" s="2340">
        <f>'VISITA DE INSP.'!IS19</f>
        <v>0</v>
      </c>
      <c r="BM19" s="2340">
        <f>'VISITA DE INSP.'!IT19</f>
        <v>0</v>
      </c>
      <c r="BN19" s="2346">
        <f>'VISITA DE INSP.'!IU19</f>
        <v>0</v>
      </c>
      <c r="BO19" s="2353">
        <f>'VISITA DE INSP.'!IV19</f>
        <v>0</v>
      </c>
      <c r="BP19" s="1463">
        <f>'VISITA DE INSP.'!IW19</f>
        <v>0</v>
      </c>
      <c r="BQ19" s="1463">
        <f>'VISITA DE INSP.'!IX19</f>
        <v>0</v>
      </c>
      <c r="BR19" s="1463">
        <f>'VISITA DE INSP.'!IY19</f>
        <v>0</v>
      </c>
      <c r="BS19" s="1463">
        <f>'VISITA DE INSP.'!IZ19</f>
        <v>0</v>
      </c>
      <c r="BT19" s="2346">
        <f>'VISITA DE INSP.'!JA19</f>
        <v>0</v>
      </c>
      <c r="BU19" s="3739">
        <f>'VISITA DE INSP.'!JB19</f>
        <v>0</v>
      </c>
      <c r="BV19" s="3740">
        <f>'VISITA DE INSP.'!JC19</f>
        <v>0</v>
      </c>
      <c r="BW19" s="2353">
        <f>'VISITA DE INSP.'!JD19</f>
        <v>0</v>
      </c>
      <c r="BX19" s="1463">
        <f>'VISITA DE INSP.'!JE19</f>
        <v>0</v>
      </c>
      <c r="BY19" s="1463">
        <f>'VISITA DE INSP.'!JF19</f>
        <v>0</v>
      </c>
      <c r="BZ19" s="1463">
        <f>'VISITA DE INSP.'!JG19</f>
        <v>0</v>
      </c>
      <c r="CA19" s="1463">
        <f>'VISITA DE INSP.'!JH19</f>
        <v>0</v>
      </c>
      <c r="CB19" s="2346">
        <f>'VISITA DE INSP.'!JI19</f>
        <v>0</v>
      </c>
      <c r="CC19" s="2353">
        <f>'VISITA DE INSP.'!JJ19</f>
        <v>0</v>
      </c>
      <c r="CD19" s="1463">
        <f>'VISITA DE INSP.'!JK19</f>
        <v>0</v>
      </c>
      <c r="CE19" s="1463">
        <f>'VISITA DE INSP.'!JL19</f>
        <v>0</v>
      </c>
      <c r="CF19" s="1463">
        <f>'VISITA DE INSP.'!JM19</f>
        <v>0</v>
      </c>
      <c r="CG19" s="1463">
        <f>'VISITA DE INSP.'!JN19</f>
        <v>0</v>
      </c>
      <c r="CH19" s="2346">
        <f>'VISITA DE INSP.'!JO19</f>
        <v>0</v>
      </c>
      <c r="CI19" s="2353">
        <f>'VISITA DE INSP.'!JP19</f>
        <v>0</v>
      </c>
      <c r="CJ19" s="1463">
        <f>'VISITA DE INSP.'!JQ19</f>
        <v>0</v>
      </c>
      <c r="CK19" s="1463">
        <f>'VISITA DE INSP.'!JR19</f>
        <v>0</v>
      </c>
      <c r="CL19" s="1463">
        <f>'VISITA DE INSP.'!JS19</f>
        <v>0</v>
      </c>
      <c r="CM19" s="1463">
        <f>'VISITA DE INSP.'!JT19</f>
        <v>0</v>
      </c>
      <c r="CN19" s="2346">
        <f>'VISITA DE INSP.'!JU19</f>
        <v>0</v>
      </c>
      <c r="CO19" s="2353">
        <f>'VISITA DE INSP.'!JV19</f>
        <v>0</v>
      </c>
      <c r="CP19" s="1463">
        <f>'VISITA DE INSP.'!JW19</f>
        <v>0</v>
      </c>
      <c r="CQ19" s="1463">
        <f>'VISITA DE INSP.'!JX19</f>
        <v>0</v>
      </c>
      <c r="CR19" s="1463">
        <f>'VISITA DE INSP.'!JY19</f>
        <v>0</v>
      </c>
      <c r="CS19" s="1463">
        <f>'VISITA DE INSP.'!JZ19</f>
        <v>0</v>
      </c>
      <c r="CT19" s="2346">
        <f>'VISITA DE INSP.'!KA19</f>
        <v>0</v>
      </c>
      <c r="CU19" s="2353">
        <f>'VISITA DE INSP.'!KB19</f>
        <v>0</v>
      </c>
      <c r="CV19" s="1463">
        <f>'VISITA DE INSP.'!KC19</f>
        <v>0</v>
      </c>
      <c r="CW19" s="1463">
        <f>'VISITA DE INSP.'!KD19</f>
        <v>0</v>
      </c>
      <c r="CX19" s="1463">
        <f>'VISITA DE INSP.'!KE19</f>
        <v>0</v>
      </c>
      <c r="CY19" s="1463">
        <f>'VISITA DE INSP.'!KF19</f>
        <v>0</v>
      </c>
      <c r="CZ19" s="2346">
        <f>'VISITA DE INSP.'!KG19</f>
        <v>0</v>
      </c>
    </row>
    <row r="20" spans="1:108" ht="15" customHeight="1">
      <c r="A20" s="1470"/>
      <c r="B20" s="1471"/>
      <c r="C20" s="1471" t="s">
        <v>1434</v>
      </c>
      <c r="D20" s="1471"/>
      <c r="E20" s="1471"/>
      <c r="F20" s="2239">
        <f>VLOOKUP(K13,Z2:CH22,30)</f>
        <v>0</v>
      </c>
      <c r="G20" s="1471"/>
      <c r="H20" s="3669"/>
      <c r="I20" s="1471"/>
      <c r="J20" s="1471"/>
      <c r="K20" s="1471" t="s">
        <v>1435</v>
      </c>
      <c r="L20" s="1471"/>
      <c r="M20" s="1471"/>
      <c r="N20" s="2261"/>
      <c r="O20" s="2255"/>
      <c r="P20" s="1471"/>
      <c r="Q20" s="1471"/>
      <c r="R20" s="1471"/>
      <c r="S20" s="1471" t="s">
        <v>1436</v>
      </c>
      <c r="T20" s="1471"/>
      <c r="U20" s="1471"/>
      <c r="V20" s="2255">
        <f>VLOOKUP(K13,Z2:CH22,39)</f>
        <v>3</v>
      </c>
      <c r="W20" s="1471"/>
      <c r="X20" s="1472"/>
      <c r="Y20" s="801"/>
      <c r="Z20" s="2353">
        <f>'VISITA DE INSP.'!HG20</f>
        <v>18</v>
      </c>
      <c r="AA20" s="2330">
        <f>'VISITA DE INSP.'!HH20</f>
        <v>0</v>
      </c>
      <c r="AB20" s="1463">
        <f>'VISITA DE INSP.'!HI20</f>
        <v>0</v>
      </c>
      <c r="AC20" s="1463">
        <f>'VISITA DE INSP.'!HJ20</f>
        <v>0</v>
      </c>
      <c r="AD20" s="1463">
        <f>'VISITA DE INSP.'!HK20</f>
        <v>0</v>
      </c>
      <c r="AE20" s="1463">
        <f>'VISITA DE INSP.'!HL20</f>
        <v>0</v>
      </c>
      <c r="AF20" s="1463">
        <f>'VISITA DE INSP.'!HM20</f>
        <v>0</v>
      </c>
      <c r="AG20" s="1463">
        <f>'VISITA DE INSP.'!HN20</f>
        <v>0</v>
      </c>
      <c r="AH20" s="1463">
        <f>'VISITA DE INSP.'!HO20</f>
        <v>0</v>
      </c>
      <c r="AI20" s="2346">
        <f>'VISITA DE INSP.'!HP20</f>
        <v>0</v>
      </c>
      <c r="AJ20" s="2353">
        <f>'VISITA DE INSP.'!HQ20</f>
        <v>0</v>
      </c>
      <c r="AK20" s="1463">
        <f>'VISITA DE INSP.'!HR20</f>
        <v>0</v>
      </c>
      <c r="AL20" s="1463">
        <f>'VISITA DE INSP.'!HS20</f>
        <v>0</v>
      </c>
      <c r="AM20" s="1463">
        <f>'VISITA DE INSP.'!HT20</f>
        <v>0</v>
      </c>
      <c r="AN20" s="1463">
        <f>'VISITA DE INSP.'!HU20</f>
        <v>0</v>
      </c>
      <c r="AO20" s="1463">
        <f>'VISITA DE INSP.'!HV20</f>
        <v>0</v>
      </c>
      <c r="AP20" s="1463">
        <f>'VISITA DE INSP.'!HW20</f>
        <v>0</v>
      </c>
      <c r="AQ20" s="1463">
        <f>'VISITA DE INSP.'!HX20</f>
        <v>0</v>
      </c>
      <c r="AR20" s="1463">
        <f>'VISITA DE INSP.'!HY20</f>
        <v>0</v>
      </c>
      <c r="AS20" s="1463">
        <f>'VISITA DE INSP.'!HZ20</f>
        <v>0</v>
      </c>
      <c r="AT20" s="1463">
        <f>'VISITA DE INSP.'!IA20</f>
        <v>0</v>
      </c>
      <c r="AU20" s="1463">
        <f>'VISITA DE INSP.'!IB20</f>
        <v>0</v>
      </c>
      <c r="AV20" s="1463">
        <f>'VISITA DE INSP.'!IC20</f>
        <v>0</v>
      </c>
      <c r="AW20" s="1463">
        <f>'VISITA DE INSP.'!ID20</f>
        <v>0</v>
      </c>
      <c r="AX20" s="1463">
        <f>'VISITA DE INSP.'!IE20</f>
        <v>0</v>
      </c>
      <c r="AY20" s="2346">
        <f>'VISITA DE INSP.'!IF20</f>
        <v>0</v>
      </c>
      <c r="AZ20" s="2353">
        <f>'VISITA DE INSP.'!IG20</f>
        <v>0</v>
      </c>
      <c r="BA20" s="2340">
        <f>'VISITA DE INSP.'!IH20</f>
        <v>0</v>
      </c>
      <c r="BB20" s="2340">
        <f>'VISITA DE INSP.'!II20</f>
        <v>0</v>
      </c>
      <c r="BC20" s="2346">
        <f>'VISITA DE INSP.'!IJ20</f>
        <v>0</v>
      </c>
      <c r="BD20" s="1463">
        <f>'VISITA DE INSP.'!IK20</f>
        <v>0</v>
      </c>
      <c r="BE20" s="1463">
        <f>'VISITA DE INSP.'!IL20</f>
        <v>0</v>
      </c>
      <c r="BF20" s="1463">
        <f>'VISITA DE INSP.'!IM20</f>
        <v>0</v>
      </c>
      <c r="BG20" s="1463">
        <f>'VISITA DE INSP.'!IN20</f>
        <v>0</v>
      </c>
      <c r="BH20" s="1463">
        <f>'VISITA DE INSP.'!IO20</f>
        <v>0</v>
      </c>
      <c r="BI20" s="2353">
        <f>'VISITA DE INSP.'!IP20</f>
        <v>0</v>
      </c>
      <c r="BJ20" s="2346">
        <f>'VISITA DE INSP.'!IQ20</f>
        <v>0</v>
      </c>
      <c r="BK20" s="2353">
        <f>'VISITA DE INSP.'!IR20</f>
        <v>0</v>
      </c>
      <c r="BL20" s="2340">
        <f>'VISITA DE INSP.'!IS20</f>
        <v>0</v>
      </c>
      <c r="BM20" s="2340">
        <f>'VISITA DE INSP.'!IT20</f>
        <v>0</v>
      </c>
      <c r="BN20" s="2346">
        <f>'VISITA DE INSP.'!IU20</f>
        <v>0</v>
      </c>
      <c r="BO20" s="2353">
        <f>'VISITA DE INSP.'!IV20</f>
        <v>0</v>
      </c>
      <c r="BP20" s="1463">
        <f>'VISITA DE INSP.'!IW20</f>
        <v>0</v>
      </c>
      <c r="BQ20" s="1463">
        <f>'VISITA DE INSP.'!IX20</f>
        <v>0</v>
      </c>
      <c r="BR20" s="1463">
        <f>'VISITA DE INSP.'!IY20</f>
        <v>0</v>
      </c>
      <c r="BS20" s="1463">
        <f>'VISITA DE INSP.'!IZ20</f>
        <v>0</v>
      </c>
      <c r="BT20" s="2346">
        <f>'VISITA DE INSP.'!JA20</f>
        <v>0</v>
      </c>
      <c r="BU20" s="3739">
        <f>'VISITA DE INSP.'!JB20</f>
        <v>0</v>
      </c>
      <c r="BV20" s="3740">
        <f>'VISITA DE INSP.'!JC20</f>
        <v>0</v>
      </c>
      <c r="BW20" s="2353">
        <f>'VISITA DE INSP.'!JD20</f>
        <v>0</v>
      </c>
      <c r="BX20" s="1463">
        <f>'VISITA DE INSP.'!JE20</f>
        <v>0</v>
      </c>
      <c r="BY20" s="1463">
        <f>'VISITA DE INSP.'!JF20</f>
        <v>0</v>
      </c>
      <c r="BZ20" s="1463">
        <f>'VISITA DE INSP.'!JG20</f>
        <v>0</v>
      </c>
      <c r="CA20" s="1463">
        <f>'VISITA DE INSP.'!JH20</f>
        <v>0</v>
      </c>
      <c r="CB20" s="2346">
        <f>'VISITA DE INSP.'!JI20</f>
        <v>0</v>
      </c>
      <c r="CC20" s="2353">
        <f>'VISITA DE INSP.'!JJ20</f>
        <v>0</v>
      </c>
      <c r="CD20" s="1463">
        <f>'VISITA DE INSP.'!JK20</f>
        <v>0</v>
      </c>
      <c r="CE20" s="1463">
        <f>'VISITA DE INSP.'!JL20</f>
        <v>0</v>
      </c>
      <c r="CF20" s="1463">
        <f>'VISITA DE INSP.'!JM20</f>
        <v>0</v>
      </c>
      <c r="CG20" s="1463">
        <f>'VISITA DE INSP.'!JN20</f>
        <v>0</v>
      </c>
      <c r="CH20" s="2346">
        <f>'VISITA DE INSP.'!JO20</f>
        <v>0</v>
      </c>
      <c r="CI20" s="2353">
        <f>'VISITA DE INSP.'!JP20</f>
        <v>0</v>
      </c>
      <c r="CJ20" s="1463">
        <f>'VISITA DE INSP.'!JQ20</f>
        <v>0</v>
      </c>
      <c r="CK20" s="1463">
        <f>'VISITA DE INSP.'!JR20</f>
        <v>0</v>
      </c>
      <c r="CL20" s="1463">
        <f>'VISITA DE INSP.'!JS20</f>
        <v>0</v>
      </c>
      <c r="CM20" s="1463">
        <f>'VISITA DE INSP.'!JT20</f>
        <v>0</v>
      </c>
      <c r="CN20" s="2346">
        <f>'VISITA DE INSP.'!JU20</f>
        <v>0</v>
      </c>
      <c r="CO20" s="2353">
        <f>'VISITA DE INSP.'!JV20</f>
        <v>0</v>
      </c>
      <c r="CP20" s="1463">
        <f>'VISITA DE INSP.'!JW20</f>
        <v>0</v>
      </c>
      <c r="CQ20" s="1463">
        <f>'VISITA DE INSP.'!JX20</f>
        <v>0</v>
      </c>
      <c r="CR20" s="1463">
        <f>'VISITA DE INSP.'!JY20</f>
        <v>0</v>
      </c>
      <c r="CS20" s="1463">
        <f>'VISITA DE INSP.'!JZ20</f>
        <v>0</v>
      </c>
      <c r="CT20" s="2346">
        <f>'VISITA DE INSP.'!KA20</f>
        <v>0</v>
      </c>
      <c r="CU20" s="2353">
        <f>'VISITA DE INSP.'!KB20</f>
        <v>0</v>
      </c>
      <c r="CV20" s="1463">
        <f>'VISITA DE INSP.'!KC20</f>
        <v>0</v>
      </c>
      <c r="CW20" s="1463">
        <f>'VISITA DE INSP.'!KD20</f>
        <v>0</v>
      </c>
      <c r="CX20" s="1463">
        <f>'VISITA DE INSP.'!KE20</f>
        <v>0</v>
      </c>
      <c r="CY20" s="1463">
        <f>'VISITA DE INSP.'!KF20</f>
        <v>0</v>
      </c>
      <c r="CZ20" s="2346">
        <f>'VISITA DE INSP.'!KG20</f>
        <v>0</v>
      </c>
    </row>
    <row r="21" spans="1:108" ht="17.25" customHeight="1">
      <c r="A21" s="1602" t="s">
        <v>1514</v>
      </c>
      <c r="B21" s="1471"/>
      <c r="C21" s="1471"/>
      <c r="D21" s="1471"/>
      <c r="E21" s="1471"/>
      <c r="F21" s="1471"/>
      <c r="G21" s="1471"/>
      <c r="H21" s="3668">
        <f>VLOOKUP(K13,Z2:CH22,31)</f>
        <v>5</v>
      </c>
      <c r="I21" s="1471"/>
      <c r="J21" s="1471"/>
      <c r="K21" s="1471"/>
      <c r="L21" s="1471"/>
      <c r="M21" s="1471"/>
      <c r="N21" s="1471"/>
      <c r="O21" s="1471"/>
      <c r="P21" s="1471"/>
      <c r="Q21" s="1471"/>
      <c r="R21" s="1471"/>
      <c r="S21" s="1471" t="s">
        <v>1437</v>
      </c>
      <c r="T21" s="1471"/>
      <c r="U21" s="1471"/>
      <c r="V21" s="2255">
        <f>VLOOKUP(K13,Z2:CH22,40)</f>
        <v>0</v>
      </c>
      <c r="W21" s="1471"/>
      <c r="X21" s="1472"/>
      <c r="Y21" s="801"/>
      <c r="Z21" s="2353">
        <f>'VISITA DE INSP.'!HG21</f>
        <v>19</v>
      </c>
      <c r="AA21" s="2330">
        <f>'VISITA DE INSP.'!HH21</f>
        <v>0</v>
      </c>
      <c r="AB21" s="1463">
        <f>'VISITA DE INSP.'!HI21</f>
        <v>0</v>
      </c>
      <c r="AC21" s="1463">
        <f>'VISITA DE INSP.'!HJ21</f>
        <v>0</v>
      </c>
      <c r="AD21" s="1463">
        <f>'VISITA DE INSP.'!HK21</f>
        <v>0</v>
      </c>
      <c r="AE21" s="1463">
        <f>'VISITA DE INSP.'!HL21</f>
        <v>0</v>
      </c>
      <c r="AF21" s="1463">
        <f>'VISITA DE INSP.'!HM21</f>
        <v>0</v>
      </c>
      <c r="AG21" s="1463">
        <f>'VISITA DE INSP.'!HN21</f>
        <v>0</v>
      </c>
      <c r="AH21" s="1463">
        <f>'VISITA DE INSP.'!HO21</f>
        <v>0</v>
      </c>
      <c r="AI21" s="2346">
        <f>'VISITA DE INSP.'!HP21</f>
        <v>0</v>
      </c>
      <c r="AJ21" s="2354">
        <f>'VISITA DE INSP.'!HQ21</f>
        <v>0</v>
      </c>
      <c r="AK21" s="2347">
        <f>'VISITA DE INSP.'!HR21</f>
        <v>0</v>
      </c>
      <c r="AL21" s="2347">
        <f>'VISITA DE INSP.'!HS21</f>
        <v>0</v>
      </c>
      <c r="AM21" s="2347">
        <f>'VISITA DE INSP.'!HT21</f>
        <v>0</v>
      </c>
      <c r="AN21" s="2347">
        <f>'VISITA DE INSP.'!HU21</f>
        <v>0</v>
      </c>
      <c r="AO21" s="2347">
        <f>'VISITA DE INSP.'!HV21</f>
        <v>0</v>
      </c>
      <c r="AP21" s="2347">
        <f>'VISITA DE INSP.'!HW21</f>
        <v>0</v>
      </c>
      <c r="AQ21" s="2347">
        <f>'VISITA DE INSP.'!HX21</f>
        <v>0</v>
      </c>
      <c r="AR21" s="2347">
        <f>'VISITA DE INSP.'!HY21</f>
        <v>0</v>
      </c>
      <c r="AS21" s="2347">
        <f>'VISITA DE INSP.'!HZ21</f>
        <v>0</v>
      </c>
      <c r="AT21" s="2347">
        <f>'VISITA DE INSP.'!IA21</f>
        <v>0</v>
      </c>
      <c r="AU21" s="2347">
        <f>'VISITA DE INSP.'!IB21</f>
        <v>0</v>
      </c>
      <c r="AV21" s="2347">
        <f>'VISITA DE INSP.'!IC21</f>
        <v>0</v>
      </c>
      <c r="AW21" s="2347">
        <f>'VISITA DE INSP.'!ID21</f>
        <v>0</v>
      </c>
      <c r="AX21" s="2347">
        <f>'VISITA DE INSP.'!IE21</f>
        <v>0</v>
      </c>
      <c r="AY21" s="2348">
        <f>'VISITA DE INSP.'!IF21</f>
        <v>0</v>
      </c>
      <c r="AZ21" s="2353">
        <f>'VISITA DE INSP.'!IG21</f>
        <v>0</v>
      </c>
      <c r="BA21" s="2340">
        <f>'VISITA DE INSP.'!IH21</f>
        <v>0</v>
      </c>
      <c r="BB21" s="2340">
        <f>'VISITA DE INSP.'!II21</f>
        <v>0</v>
      </c>
      <c r="BC21" s="2346">
        <f>'VISITA DE INSP.'!IJ21</f>
        <v>0</v>
      </c>
      <c r="BD21" s="1463">
        <f>'VISITA DE INSP.'!IK21</f>
        <v>0</v>
      </c>
      <c r="BE21" s="1463">
        <f>'VISITA DE INSP.'!IL21</f>
        <v>0</v>
      </c>
      <c r="BF21" s="1463">
        <f>'VISITA DE INSP.'!IM21</f>
        <v>0</v>
      </c>
      <c r="BG21" s="1463">
        <f>'VISITA DE INSP.'!IN21</f>
        <v>0</v>
      </c>
      <c r="BH21" s="1463">
        <f>'VISITA DE INSP.'!IO21</f>
        <v>0</v>
      </c>
      <c r="BI21" s="2354">
        <f>'VISITA DE INSP.'!IP21</f>
        <v>0</v>
      </c>
      <c r="BJ21" s="2348">
        <f>'VISITA DE INSP.'!IQ21</f>
        <v>0</v>
      </c>
      <c r="BK21" s="2353">
        <f>'VISITA DE INSP.'!IR21</f>
        <v>0</v>
      </c>
      <c r="BL21" s="2340">
        <f>'VISITA DE INSP.'!IS21</f>
        <v>0</v>
      </c>
      <c r="BM21" s="2340">
        <f>'VISITA DE INSP.'!IT21</f>
        <v>0</v>
      </c>
      <c r="BN21" s="2346">
        <f>'VISITA DE INSP.'!IU21</f>
        <v>0</v>
      </c>
      <c r="BO21" s="2353">
        <f>'VISITA DE INSP.'!IV21</f>
        <v>0</v>
      </c>
      <c r="BP21" s="1463">
        <f>'VISITA DE INSP.'!IW21</f>
        <v>0</v>
      </c>
      <c r="BQ21" s="1463">
        <f>'VISITA DE INSP.'!IX21</f>
        <v>0</v>
      </c>
      <c r="BR21" s="1463">
        <f>'VISITA DE INSP.'!IY21</f>
        <v>0</v>
      </c>
      <c r="BS21" s="1463">
        <f>'VISITA DE INSP.'!IZ21</f>
        <v>0</v>
      </c>
      <c r="BT21" s="2346">
        <f>'VISITA DE INSP.'!JA21</f>
        <v>0</v>
      </c>
      <c r="BU21" s="3739">
        <f>'VISITA DE INSP.'!JB21</f>
        <v>0</v>
      </c>
      <c r="BV21" s="3740">
        <f>'VISITA DE INSP.'!JC21</f>
        <v>0</v>
      </c>
      <c r="BW21" s="2353">
        <f>'VISITA DE INSP.'!JD21</f>
        <v>0</v>
      </c>
      <c r="BX21" s="1463">
        <f>'VISITA DE INSP.'!JE21</f>
        <v>0</v>
      </c>
      <c r="BY21" s="1463">
        <f>'VISITA DE INSP.'!JF21</f>
        <v>0</v>
      </c>
      <c r="BZ21" s="1463">
        <f>'VISITA DE INSP.'!JG21</f>
        <v>0</v>
      </c>
      <c r="CA21" s="1463">
        <f>'VISITA DE INSP.'!JH21</f>
        <v>0</v>
      </c>
      <c r="CB21" s="2346">
        <f>'VISITA DE INSP.'!JI21</f>
        <v>0</v>
      </c>
      <c r="CC21" s="2353">
        <f>'VISITA DE INSP.'!JJ21</f>
        <v>0</v>
      </c>
      <c r="CD21" s="1463">
        <f>'VISITA DE INSP.'!JK21</f>
        <v>0</v>
      </c>
      <c r="CE21" s="1463">
        <f>'VISITA DE INSP.'!JL21</f>
        <v>0</v>
      </c>
      <c r="CF21" s="1463">
        <f>'VISITA DE INSP.'!JM21</f>
        <v>0</v>
      </c>
      <c r="CG21" s="1463">
        <f>'VISITA DE INSP.'!JN21</f>
        <v>0</v>
      </c>
      <c r="CH21" s="2346">
        <f>'VISITA DE INSP.'!JO21</f>
        <v>0</v>
      </c>
      <c r="CI21" s="2353">
        <f>'VISITA DE INSP.'!JP21</f>
        <v>0</v>
      </c>
      <c r="CJ21" s="1463">
        <f>'VISITA DE INSP.'!JQ21</f>
        <v>0</v>
      </c>
      <c r="CK21" s="1463">
        <f>'VISITA DE INSP.'!JR21</f>
        <v>0</v>
      </c>
      <c r="CL21" s="1463">
        <f>'VISITA DE INSP.'!JS21</f>
        <v>0</v>
      </c>
      <c r="CM21" s="1463">
        <f>'VISITA DE INSP.'!JT21</f>
        <v>0</v>
      </c>
      <c r="CN21" s="2346">
        <f>'VISITA DE INSP.'!JU21</f>
        <v>0</v>
      </c>
      <c r="CO21" s="2353">
        <f>'VISITA DE INSP.'!JV21</f>
        <v>0</v>
      </c>
      <c r="CP21" s="1463">
        <f>'VISITA DE INSP.'!JW21</f>
        <v>0</v>
      </c>
      <c r="CQ21" s="1463">
        <f>'VISITA DE INSP.'!JX21</f>
        <v>0</v>
      </c>
      <c r="CR21" s="1463">
        <f>'VISITA DE INSP.'!JY21</f>
        <v>0</v>
      </c>
      <c r="CS21" s="1463">
        <f>'VISITA DE INSP.'!JZ21</f>
        <v>0</v>
      </c>
      <c r="CT21" s="2346">
        <f>'VISITA DE INSP.'!KA21</f>
        <v>0</v>
      </c>
      <c r="CU21" s="2354">
        <f>'VISITA DE INSP.'!KB21</f>
        <v>0</v>
      </c>
      <c r="CV21" s="2347">
        <f>'VISITA DE INSP.'!KC21</f>
        <v>0</v>
      </c>
      <c r="CW21" s="2347">
        <f>'VISITA DE INSP.'!KD21</f>
        <v>0</v>
      </c>
      <c r="CX21" s="2347">
        <f>'VISITA DE INSP.'!KE21</f>
        <v>0</v>
      </c>
      <c r="CY21" s="2347">
        <f>'VISITA DE INSP.'!KF21</f>
        <v>0</v>
      </c>
      <c r="CZ21" s="2348">
        <f>'VISITA DE INSP.'!KG21</f>
        <v>0</v>
      </c>
    </row>
    <row r="22" spans="1:108" ht="17.25" customHeight="1">
      <c r="A22" s="1602" t="s">
        <v>1515</v>
      </c>
      <c r="B22" s="1471"/>
      <c r="C22" s="1471"/>
      <c r="D22" s="1471"/>
      <c r="E22" s="1471"/>
      <c r="F22" s="1471"/>
      <c r="G22" s="1471"/>
      <c r="H22" s="2255">
        <f>VLOOKUP(K13,Z2:CH22,32)</f>
        <v>1</v>
      </c>
      <c r="I22" s="1471"/>
      <c r="J22" s="2254"/>
      <c r="K22" s="4869" t="s">
        <v>1438</v>
      </c>
      <c r="L22" s="4869"/>
      <c r="M22" s="4869"/>
      <c r="N22" s="4869"/>
      <c r="O22" s="4869"/>
      <c r="P22" s="1471"/>
      <c r="Q22" s="1471"/>
      <c r="R22" s="1471"/>
      <c r="S22" s="1471" t="s">
        <v>440</v>
      </c>
      <c r="T22" s="1471"/>
      <c r="U22" s="1471"/>
      <c r="V22" s="2255">
        <f>VLOOKUP(K13,Z2:CH22,41)</f>
        <v>0</v>
      </c>
      <c r="W22" s="1471"/>
      <c r="X22" s="1472"/>
      <c r="Y22" s="801"/>
      <c r="Z22" s="2302">
        <f>'VISITA DE INSP.'!HG22</f>
        <v>20</v>
      </c>
      <c r="AA22" s="2341">
        <f>'VISITA DE INSP.'!HH22</f>
        <v>0</v>
      </c>
      <c r="AB22" s="2302">
        <f>'VISITA DE INSP.'!HI22</f>
        <v>16</v>
      </c>
      <c r="AC22" s="2302">
        <f>'VISITA DE INSP.'!HJ22</f>
        <v>16</v>
      </c>
      <c r="AD22" s="2302">
        <f>'VISITA DE INSP.'!HK22</f>
        <v>16</v>
      </c>
      <c r="AE22" s="2302">
        <f>'VISITA DE INSP.'!HL22</f>
        <v>16</v>
      </c>
      <c r="AF22" s="2302">
        <f>'VISITA DE INSP.'!HM22</f>
        <v>16</v>
      </c>
      <c r="AG22" s="2302">
        <f>'VISITA DE INSP.'!HN22</f>
        <v>16</v>
      </c>
      <c r="AH22" s="2302">
        <f>'VISITA DE INSP.'!HO22</f>
        <v>10</v>
      </c>
      <c r="AI22" s="2302">
        <f>'VISITA DE INSP.'!HP22</f>
        <v>5</v>
      </c>
      <c r="AJ22" s="2304">
        <f>'VISITA DE INSP.'!HQ22</f>
        <v>11</v>
      </c>
      <c r="AK22" s="2302">
        <f>'VISITA DE INSP.'!HR22</f>
        <v>4</v>
      </c>
      <c r="AL22" s="2302">
        <f>'VISITA DE INSP.'!HS22</f>
        <v>15</v>
      </c>
      <c r="AM22" s="2302">
        <f>'VISITA DE INSP.'!HT22</f>
        <v>0</v>
      </c>
      <c r="AN22" s="2302">
        <f>'VISITA DE INSP.'!HU22</f>
        <v>9</v>
      </c>
      <c r="AO22" s="2302">
        <f>'VISITA DE INSP.'!HV22</f>
        <v>6</v>
      </c>
      <c r="AP22" s="2302">
        <f>'VISITA DE INSP.'!HW22</f>
        <v>0</v>
      </c>
      <c r="AQ22" s="2302">
        <f>'VISITA DE INSP.'!HX22</f>
        <v>0</v>
      </c>
      <c r="AR22" s="2302">
        <f>'VISITA DE INSP.'!HY22</f>
        <v>15</v>
      </c>
      <c r="AS22" s="2302">
        <f>'VISITA DE INSP.'!HZ22</f>
        <v>9</v>
      </c>
      <c r="AT22" s="2302">
        <f>'VISITA DE INSP.'!IA22</f>
        <v>6</v>
      </c>
      <c r="AU22" s="2302">
        <f>'VISITA DE INSP.'!IB22</f>
        <v>94</v>
      </c>
      <c r="AV22" s="2302">
        <f>'VISITA DE INSP.'!IC22</f>
        <v>3</v>
      </c>
      <c r="AW22" s="2302">
        <f>'VISITA DE INSP.'!ID22</f>
        <v>6</v>
      </c>
      <c r="AX22" s="2302">
        <f>'VISITA DE INSP.'!IE22</f>
        <v>6</v>
      </c>
      <c r="AY22" s="2302">
        <f>'VISITA DE INSP.'!IF22</f>
        <v>2</v>
      </c>
      <c r="AZ22" s="2325">
        <f>'VISITA DE INSP.'!IG22</f>
        <v>4</v>
      </c>
      <c r="BA22" s="2325">
        <f>'VISITA DE INSP.'!IH22</f>
        <v>9</v>
      </c>
      <c r="BB22" s="2325">
        <f>'VISITA DE INSP.'!II22</f>
        <v>1</v>
      </c>
      <c r="BC22" s="2325">
        <f>'VISITA DE INSP.'!IJ22</f>
        <v>1</v>
      </c>
      <c r="BD22" s="2327">
        <f>'VISITA DE INSP.'!IK22</f>
        <v>118</v>
      </c>
      <c r="BE22" s="2302">
        <f>'VISITA DE INSP.'!IL22</f>
        <v>13</v>
      </c>
      <c r="BF22" s="2302">
        <f>'VISITA DE INSP.'!IM22</f>
        <v>3</v>
      </c>
      <c r="BG22" s="2302">
        <f>'VISITA DE INSP.'!IN22</f>
        <v>18</v>
      </c>
      <c r="BH22" s="2302">
        <f>'VISITA DE INSP.'!IO22</f>
        <v>20</v>
      </c>
      <c r="BI22" s="2302">
        <f>'VISITA DE INSP.'!IP22</f>
        <v>163</v>
      </c>
      <c r="BJ22" s="2326">
        <f>'VISITA DE INSP.'!IQ22</f>
        <v>146</v>
      </c>
      <c r="BK22" s="2325">
        <f>'VISITA DE INSP.'!IR22</f>
        <v>7</v>
      </c>
      <c r="BL22" s="2325">
        <f>'VISITA DE INSP.'!IS22</f>
        <v>53</v>
      </c>
      <c r="BM22" s="2325">
        <f>'VISITA DE INSP.'!IT22</f>
        <v>1</v>
      </c>
      <c r="BN22" s="2325">
        <f>'VISITA DE INSP.'!IU22</f>
        <v>1</v>
      </c>
      <c r="BO22" s="2302">
        <f>'VISITA DE INSP.'!IV22</f>
        <v>21</v>
      </c>
      <c r="BP22" s="2302">
        <f>'VISITA DE INSP.'!IW22</f>
        <v>20</v>
      </c>
      <c r="BQ22" s="2302">
        <f>'VISITA DE INSP.'!IX22</f>
        <v>21</v>
      </c>
      <c r="BR22" s="2302">
        <f>'VISITA DE INSP.'!IY22</f>
        <v>20</v>
      </c>
      <c r="BS22" s="2302">
        <f>'VISITA DE INSP.'!IZ22</f>
        <v>22</v>
      </c>
      <c r="BT22" s="2302">
        <f>'VISITA DE INSP.'!JA22</f>
        <v>22</v>
      </c>
      <c r="BU22" s="2302">
        <f>'VISITA DE INSP.'!JB22</f>
        <v>16</v>
      </c>
      <c r="BV22" s="2302">
        <f>'VISITA DE INSP.'!JC22</f>
        <v>16</v>
      </c>
      <c r="BW22" s="2302">
        <f>'VISITA DE INSP.'!JD22</f>
        <v>541</v>
      </c>
      <c r="BX22" s="2302">
        <f>'VISITA DE INSP.'!JE22</f>
        <v>542</v>
      </c>
      <c r="BY22" s="2302">
        <f>'VISITA DE INSP.'!JF22</f>
        <v>526</v>
      </c>
      <c r="BZ22" s="2302">
        <f>'VISITA DE INSP.'!JG22</f>
        <v>525</v>
      </c>
      <c r="CA22" s="2302">
        <f>'VISITA DE INSP.'!JH22</f>
        <v>587</v>
      </c>
      <c r="CB22" s="2302">
        <f>'VISITA DE INSP.'!JI22</f>
        <v>599</v>
      </c>
      <c r="CC22" s="2302">
        <f>'VISITA DE INSP.'!JJ22</f>
        <v>47</v>
      </c>
      <c r="CD22" s="2302">
        <f>'VISITA DE INSP.'!JK22</f>
        <v>46</v>
      </c>
      <c r="CE22" s="2302">
        <f>'VISITA DE INSP.'!JL22</f>
        <v>46</v>
      </c>
      <c r="CF22" s="2302">
        <f>'VISITA DE INSP.'!JM22</f>
        <v>37</v>
      </c>
      <c r="CG22" s="2302">
        <f>'VISITA DE INSP.'!JN22</f>
        <v>35</v>
      </c>
      <c r="CH22" s="2302">
        <f>'VISITA DE INSP.'!JO22</f>
        <v>32</v>
      </c>
      <c r="CI22" s="2302">
        <f>'VISITA DE INSP.'!JP22</f>
        <v>51</v>
      </c>
      <c r="CJ22" s="2302">
        <f>'VISITA DE INSP.'!JQ22</f>
        <v>68</v>
      </c>
      <c r="CK22" s="2302">
        <f>'VISITA DE INSP.'!JR22</f>
        <v>68</v>
      </c>
      <c r="CL22" s="2302">
        <f>'VISITA DE INSP.'!JS22</f>
        <v>42</v>
      </c>
      <c r="CM22" s="2302">
        <f>'VISITA DE INSP.'!JT22</f>
        <v>59</v>
      </c>
      <c r="CN22" s="2302">
        <f>'VISITA DE INSP.'!JU22</f>
        <v>42</v>
      </c>
      <c r="CO22" s="2302">
        <f>'VISITA DE INSP.'!JV22</f>
        <v>537</v>
      </c>
      <c r="CP22" s="2302">
        <f>'VISITA DE INSP.'!JW22</f>
        <v>520</v>
      </c>
      <c r="CQ22" s="2302">
        <f>'VISITA DE INSP.'!JX22</f>
        <v>504</v>
      </c>
      <c r="CR22" s="2302">
        <f>'VISITA DE INSP.'!JY22</f>
        <v>520</v>
      </c>
      <c r="CS22" s="2302">
        <f>'VISITA DE INSP.'!JZ22</f>
        <v>563</v>
      </c>
      <c r="CT22" s="2302">
        <f>'VISITA DE INSP.'!KA22</f>
        <v>589</v>
      </c>
      <c r="CU22" s="2304">
        <f>'VISITA DE INSP.'!KB22</f>
        <v>0</v>
      </c>
      <c r="CV22" s="2302">
        <f>'VISITA DE INSP.'!KC22</f>
        <v>0</v>
      </c>
      <c r="CW22" s="2302">
        <f>'VISITA DE INSP.'!KD22</f>
        <v>0</v>
      </c>
      <c r="CX22" s="2302">
        <f>'VISITA DE INSP.'!KE22</f>
        <v>0</v>
      </c>
      <c r="CY22" s="2302">
        <f>'VISITA DE INSP.'!KF22</f>
        <v>0</v>
      </c>
      <c r="CZ22" s="2302">
        <f>'VISITA DE INSP.'!KG22</f>
        <v>0</v>
      </c>
    </row>
    <row r="23" spans="1:108" ht="17.25" customHeight="1">
      <c r="A23" s="1602" t="s">
        <v>1516</v>
      </c>
      <c r="B23" s="1471"/>
      <c r="C23" s="1471"/>
      <c r="D23" s="1471"/>
      <c r="E23" s="1471"/>
      <c r="F23" s="2234"/>
      <c r="G23" s="1471"/>
      <c r="H23" s="2255">
        <f>VLOOKUP(K13,Z2:CH22,33)</f>
        <v>0</v>
      </c>
      <c r="I23" s="1471"/>
      <c r="J23" s="2254"/>
      <c r="K23" s="2254"/>
      <c r="L23" s="2254"/>
      <c r="M23" s="2254"/>
      <c r="N23" s="2254"/>
      <c r="O23" s="2254"/>
      <c r="P23" s="1471"/>
      <c r="Q23" s="1471"/>
      <c r="R23" s="1471"/>
      <c r="S23" s="1471"/>
      <c r="T23" s="1471"/>
      <c r="U23" s="1471"/>
      <c r="V23" s="2239"/>
      <c r="W23" s="1471"/>
      <c r="X23" s="1472"/>
      <c r="Y23" s="801"/>
      <c r="Z23" s="2356">
        <f>'VISITA DE INSP.'!HG23</f>
        <v>0</v>
      </c>
      <c r="AA23" s="5205" t="str">
        <f>'VISITA DE INSP.'!HJ23</f>
        <v>I  N  I  C  I  A  L</v>
      </c>
      <c r="AB23" s="5206"/>
      <c r="AC23" s="5206"/>
      <c r="AD23" s="5206"/>
      <c r="AE23" s="5206"/>
      <c r="AF23" s="5206"/>
      <c r="AG23" s="5206"/>
      <c r="AH23" s="5206"/>
      <c r="AI23" s="5206"/>
      <c r="AJ23" s="5207"/>
      <c r="AK23" s="5203">
        <f>'VISITA DE INSP.'!HR23</f>
        <v>3320</v>
      </c>
      <c r="AL23" s="5204"/>
      <c r="AM23" s="5208" t="str">
        <f>'VISITA DE INSP.'!HV23</f>
        <v>A  L  T  A  S</v>
      </c>
      <c r="AN23" s="5209"/>
      <c r="AO23" s="5209"/>
      <c r="AP23" s="5209"/>
      <c r="AQ23" s="5209"/>
      <c r="AR23" s="5209"/>
      <c r="AS23" s="5209"/>
      <c r="AT23" s="5209"/>
      <c r="AU23" s="5209"/>
      <c r="AV23" s="5209"/>
      <c r="AW23" s="5203">
        <f>'VISITA DE INSP.'!ID23</f>
        <v>243</v>
      </c>
      <c r="AX23" s="5204"/>
      <c r="AY23" s="5210" t="str">
        <f>'VISITA DE INSP.'!IH23</f>
        <v>B  A  J  A  S</v>
      </c>
      <c r="AZ23" s="5207"/>
      <c r="BA23" s="5207"/>
      <c r="BB23" s="5207"/>
      <c r="BC23" s="5207"/>
      <c r="BD23" s="5207"/>
      <c r="BE23" s="5207"/>
      <c r="BF23" s="5207"/>
      <c r="BG23" s="5207"/>
      <c r="BH23" s="5207"/>
      <c r="BI23" s="5203">
        <f>'VISITA DE INSP.'!IP23</f>
        <v>330</v>
      </c>
      <c r="BJ23" s="5204"/>
      <c r="BK23" s="5211" t="str">
        <f>'VISITA DE INSP.'!IT23</f>
        <v>R  E  P  R  O  B  A  D  O  S</v>
      </c>
      <c r="BL23" s="5203"/>
      <c r="BM23" s="5203"/>
      <c r="BN23" s="5203"/>
      <c r="BO23" s="5203"/>
      <c r="BP23" s="5203"/>
      <c r="BQ23" s="5203"/>
      <c r="BR23" s="5203"/>
      <c r="BS23" s="5203"/>
      <c r="BT23" s="5203"/>
      <c r="BU23" s="5203"/>
      <c r="BV23" s="5204"/>
      <c r="BW23" s="5211" t="str">
        <f>'VISITA DE INSP.'!JF23</f>
        <v>SEXO   DEL   PERSONAL   DOCENTE</v>
      </c>
      <c r="BX23" s="5203"/>
      <c r="BY23" s="5203"/>
      <c r="BZ23" s="5203"/>
      <c r="CA23" s="5203"/>
      <c r="CB23" s="5203"/>
      <c r="CC23" s="5203"/>
      <c r="CD23" s="5203"/>
      <c r="CE23" s="5203"/>
      <c r="CF23" s="5203"/>
      <c r="CG23" s="5203">
        <f>'VISITA DE INSP.'!JN23</f>
        <v>118</v>
      </c>
      <c r="CH23" s="5204"/>
      <c r="CI23" s="5211" t="str">
        <f>'VISITA DE INSP.'!JR23</f>
        <v>ALUMNOS   A  TENDIDOS   POR   USAER</v>
      </c>
      <c r="CJ23" s="5203"/>
      <c r="CK23" s="5203"/>
      <c r="CL23" s="5203"/>
      <c r="CM23" s="5203"/>
      <c r="CN23" s="5203"/>
      <c r="CO23" s="5203"/>
      <c r="CP23" s="5203"/>
      <c r="CQ23" s="5203"/>
      <c r="CR23" s="5203"/>
      <c r="CS23" s="5203">
        <f>'VISITA DE INSP.'!JZ23</f>
        <v>0</v>
      </c>
      <c r="CT23" s="5204"/>
      <c r="CU23" s="5211" t="str">
        <f>'VISITA DE INSP.'!KB23</f>
        <v>TOTALES    USAER</v>
      </c>
      <c r="CV23" s="5203"/>
      <c r="CW23" s="5203"/>
      <c r="CX23" s="5203"/>
      <c r="CY23" s="5203"/>
      <c r="CZ23" s="5204"/>
    </row>
    <row r="24" spans="1:108" ht="17.25" customHeight="1">
      <c r="A24" s="1602" t="s">
        <v>1517</v>
      </c>
      <c r="B24" s="1471"/>
      <c r="C24" s="1471"/>
      <c r="D24" s="1471"/>
      <c r="E24" s="1471"/>
      <c r="F24" s="1471"/>
      <c r="G24" s="1471"/>
      <c r="H24" s="2255">
        <f>VLOOKUP(K13,Z2:CH22,34)</f>
        <v>1</v>
      </c>
      <c r="I24" s="1471"/>
      <c r="J24" s="1471"/>
      <c r="K24" s="1471"/>
      <c r="L24" s="1471"/>
      <c r="M24" s="1471"/>
      <c r="N24" s="1471"/>
      <c r="O24" s="1471"/>
      <c r="P24" s="1471"/>
      <c r="Q24" s="1471"/>
      <c r="R24" s="1471"/>
      <c r="S24" s="1471"/>
      <c r="T24" s="1471"/>
      <c r="U24" s="1471"/>
      <c r="V24" s="2239"/>
      <c r="W24" s="1471"/>
      <c r="X24" s="1472"/>
      <c r="Y24" s="801"/>
      <c r="Z24" s="2302">
        <f>'VISITA DE INSP.'!HG24</f>
        <v>0</v>
      </c>
      <c r="AA24" s="2350">
        <f>'VISITA DE INSP.'!HH24</f>
        <v>2</v>
      </c>
      <c r="AB24" s="2349">
        <f>'VISITA DE INSP.'!HI24</f>
        <v>3</v>
      </c>
      <c r="AC24" s="2350">
        <f>'VISITA DE INSP.'!HJ24</f>
        <v>4</v>
      </c>
      <c r="AD24" s="2349">
        <f>'VISITA DE INSP.'!HK24</f>
        <v>5</v>
      </c>
      <c r="AE24" s="2350">
        <f>'VISITA DE INSP.'!HL24</f>
        <v>6</v>
      </c>
      <c r="AF24" s="2349">
        <f>'VISITA DE INSP.'!HM24</f>
        <v>7</v>
      </c>
      <c r="AG24" s="2350">
        <f>'VISITA DE INSP.'!HN24</f>
        <v>8</v>
      </c>
      <c r="AH24" s="2349">
        <f>'VISITA DE INSP.'!HO24</f>
        <v>9</v>
      </c>
      <c r="AI24" s="2350">
        <f>'VISITA DE INSP.'!HP24</f>
        <v>10</v>
      </c>
      <c r="AJ24" s="2349">
        <f>'VISITA DE INSP.'!HQ24</f>
        <v>11</v>
      </c>
      <c r="AK24" s="2350">
        <f>'VISITA DE INSP.'!HR24</f>
        <v>12</v>
      </c>
      <c r="AL24" s="2349">
        <f>'VISITA DE INSP.'!HS24</f>
        <v>13</v>
      </c>
      <c r="AM24" s="2350">
        <f>'VISITA DE INSP.'!HT24</f>
        <v>14</v>
      </c>
      <c r="AN24" s="2349">
        <f>'VISITA DE INSP.'!HU24</f>
        <v>15</v>
      </c>
      <c r="AO24" s="2350">
        <f>'VISITA DE INSP.'!HV24</f>
        <v>16</v>
      </c>
      <c r="AP24" s="2349">
        <f>'VISITA DE INSP.'!HW24</f>
        <v>17</v>
      </c>
      <c r="AQ24" s="2350">
        <f>'VISITA DE INSP.'!HX24</f>
        <v>18</v>
      </c>
      <c r="AR24" s="2349">
        <f>'VISITA DE INSP.'!HY24</f>
        <v>19</v>
      </c>
      <c r="AS24" s="2350">
        <f>'VISITA DE INSP.'!HZ24</f>
        <v>20</v>
      </c>
      <c r="AT24" s="2349">
        <f>'VISITA DE INSP.'!IA24</f>
        <v>21</v>
      </c>
      <c r="AU24" s="2350">
        <f>'VISITA DE INSP.'!IB24</f>
        <v>22</v>
      </c>
      <c r="AV24" s="2349">
        <f>'VISITA DE INSP.'!IC24</f>
        <v>23</v>
      </c>
      <c r="AW24" s="2350">
        <f>'VISITA DE INSP.'!ID24</f>
        <v>24</v>
      </c>
      <c r="AX24" s="2349">
        <f>'VISITA DE INSP.'!IE24</f>
        <v>25</v>
      </c>
      <c r="AY24" s="2350">
        <f>'VISITA DE INSP.'!IF24</f>
        <v>26</v>
      </c>
      <c r="AZ24" s="2349">
        <f>'VISITA DE INSP.'!IG24</f>
        <v>27</v>
      </c>
      <c r="BA24" s="2350">
        <f>'VISITA DE INSP.'!IH24</f>
        <v>28</v>
      </c>
      <c r="BB24" s="2349">
        <f>'VISITA DE INSP.'!II24</f>
        <v>29</v>
      </c>
      <c r="BC24" s="2350">
        <f>'VISITA DE INSP.'!IJ24</f>
        <v>30</v>
      </c>
      <c r="BD24" s="2349">
        <f>'VISITA DE INSP.'!IK24</f>
        <v>31</v>
      </c>
      <c r="BE24" s="2350">
        <f>'VISITA DE INSP.'!IL24</f>
        <v>32</v>
      </c>
      <c r="BF24" s="2349">
        <f>'VISITA DE INSP.'!IM24</f>
        <v>33</v>
      </c>
      <c r="BG24" s="2350">
        <f>'VISITA DE INSP.'!IN24</f>
        <v>34</v>
      </c>
      <c r="BH24" s="2349">
        <f>'VISITA DE INSP.'!IO24</f>
        <v>35</v>
      </c>
      <c r="BI24" s="2350">
        <f>'VISITA DE INSP.'!IP24</f>
        <v>36</v>
      </c>
      <c r="BJ24" s="2349">
        <f>'VISITA DE INSP.'!IQ24</f>
        <v>37</v>
      </c>
      <c r="BK24" s="2350">
        <f>'VISITA DE INSP.'!IR24</f>
        <v>38</v>
      </c>
      <c r="BL24" s="2349">
        <f>'VISITA DE INSP.'!IS24</f>
        <v>39</v>
      </c>
      <c r="BM24" s="2350">
        <f>'VISITA DE INSP.'!IT24</f>
        <v>40</v>
      </c>
      <c r="BN24" s="2349">
        <f>'VISITA DE INSP.'!IU24</f>
        <v>41</v>
      </c>
      <c r="BO24" s="2350">
        <f>'VISITA DE INSP.'!IV24</f>
        <v>42</v>
      </c>
      <c r="BP24" s="2349">
        <f>'VISITA DE INSP.'!IW24</f>
        <v>43</v>
      </c>
      <c r="BQ24" s="2350">
        <f>'VISITA DE INSP.'!IX24</f>
        <v>44</v>
      </c>
      <c r="BR24" s="2349">
        <f>'VISITA DE INSP.'!IY24</f>
        <v>45</v>
      </c>
      <c r="BS24" s="2350">
        <f>'VISITA DE INSP.'!IZ24</f>
        <v>46</v>
      </c>
      <c r="BT24" s="2349">
        <f>'VISITA DE INSP.'!JA24</f>
        <v>47</v>
      </c>
      <c r="BU24" s="2350">
        <f>'VISITA DE INSP.'!JB24</f>
        <v>48</v>
      </c>
      <c r="BV24" s="2349">
        <f>'VISITA DE INSP.'!JC24</f>
        <v>49</v>
      </c>
      <c r="BW24" s="2350">
        <f>'VISITA DE INSP.'!JD24</f>
        <v>50</v>
      </c>
      <c r="BX24" s="2349">
        <f>'VISITA DE INSP.'!JE24</f>
        <v>51</v>
      </c>
      <c r="BY24" s="2350">
        <f>'VISITA DE INSP.'!JF24</f>
        <v>52</v>
      </c>
      <c r="BZ24" s="2349">
        <f>'VISITA DE INSP.'!JG24</f>
        <v>53</v>
      </c>
      <c r="CA24" s="2350">
        <f>'VISITA DE INSP.'!JH24</f>
        <v>54</v>
      </c>
      <c r="CB24" s="2349">
        <f>'VISITA DE INSP.'!JI24</f>
        <v>55</v>
      </c>
      <c r="CC24" s="2350">
        <f>'VISITA DE INSP.'!JJ24</f>
        <v>56</v>
      </c>
      <c r="CD24" s="2349">
        <f>'VISITA DE INSP.'!JK24</f>
        <v>57</v>
      </c>
      <c r="CE24" s="2350">
        <f>'VISITA DE INSP.'!JL24</f>
        <v>58</v>
      </c>
      <c r="CF24" s="2349">
        <f>'VISITA DE INSP.'!JM24</f>
        <v>59</v>
      </c>
      <c r="CG24" s="2350">
        <f>'VISITA DE INSP.'!JN24</f>
        <v>60</v>
      </c>
      <c r="CH24" s="2349">
        <f>'VISITA DE INSP.'!JO24</f>
        <v>61</v>
      </c>
      <c r="CI24" s="2350">
        <f>'VISITA DE INSP.'!JP24</f>
        <v>62</v>
      </c>
      <c r="CJ24" s="2349">
        <f>'VISITA DE INSP.'!JQ24</f>
        <v>63</v>
      </c>
      <c r="CK24" s="2350">
        <f>'VISITA DE INSP.'!JR24</f>
        <v>64</v>
      </c>
      <c r="CL24" s="2349">
        <f>'VISITA DE INSP.'!JS24</f>
        <v>65</v>
      </c>
      <c r="CM24" s="2350">
        <f>'VISITA DE INSP.'!JT24</f>
        <v>66</v>
      </c>
      <c r="CN24" s="2349">
        <f>'VISITA DE INSP.'!JU24</f>
        <v>67</v>
      </c>
      <c r="CO24" s="2350">
        <f>'VISITA DE INSP.'!JV24</f>
        <v>68</v>
      </c>
      <c r="CP24" s="2349">
        <f>'VISITA DE INSP.'!JW24</f>
        <v>69</v>
      </c>
      <c r="CQ24" s="2350">
        <f>'VISITA DE INSP.'!JX24</f>
        <v>70</v>
      </c>
      <c r="CR24" s="2349">
        <f>'VISITA DE INSP.'!JY24</f>
        <v>71</v>
      </c>
      <c r="CS24" s="2350">
        <f>'VISITA DE INSP.'!JZ24</f>
        <v>72</v>
      </c>
      <c r="CT24" s="2349">
        <f>'VISITA DE INSP.'!KA24</f>
        <v>73</v>
      </c>
      <c r="CU24" s="2350">
        <f>'VISITA DE INSP.'!KB24</f>
        <v>74</v>
      </c>
      <c r="CV24" s="2302">
        <f>'VISITA DE INSP.'!KC24</f>
        <v>75</v>
      </c>
      <c r="CW24" s="2302">
        <f>'VISITA DE INSP.'!KD24</f>
        <v>76</v>
      </c>
      <c r="CX24" s="2302">
        <f>'VISITA DE INSP.'!KE24</f>
        <v>77</v>
      </c>
      <c r="CY24" s="2302">
        <f>'VISITA DE INSP.'!KF24</f>
        <v>78</v>
      </c>
      <c r="CZ24" s="2302">
        <f>'VISITA DE INSP.'!KG24</f>
        <v>79</v>
      </c>
    </row>
    <row r="25" spans="1:108" ht="17.25" customHeight="1">
      <c r="A25" s="1602" t="s">
        <v>1518</v>
      </c>
      <c r="B25" s="1471"/>
      <c r="C25" s="1471"/>
      <c r="D25" s="1471"/>
      <c r="E25" s="1471"/>
      <c r="F25" s="1471"/>
      <c r="G25" s="1471"/>
      <c r="H25" s="2255">
        <f>VLOOKUP(K13,Z2:CH22,35)</f>
        <v>0</v>
      </c>
      <c r="I25" s="1471"/>
      <c r="J25" s="1423"/>
      <c r="K25" s="1423" t="s">
        <v>406</v>
      </c>
      <c r="L25" s="1423"/>
      <c r="M25" s="1423" t="s">
        <v>407</v>
      </c>
      <c r="N25" s="2254"/>
      <c r="O25" s="2254" t="s">
        <v>408</v>
      </c>
      <c r="P25" s="1471"/>
      <c r="Q25" s="1471"/>
      <c r="R25" s="1471"/>
      <c r="S25" s="1471" t="s">
        <v>1439</v>
      </c>
      <c r="T25" s="1471"/>
      <c r="U25" s="1471"/>
      <c r="V25" s="2251"/>
      <c r="W25" s="1471"/>
      <c r="X25" s="1472"/>
      <c r="Y25" s="801"/>
      <c r="Z25" s="2356">
        <f>'VISITA DE INSP.'!HG25</f>
        <v>1</v>
      </c>
      <c r="AA25" s="2344">
        <f>'VISITA DE INSP.'!HH25</f>
        <v>32</v>
      </c>
      <c r="AB25" s="2333">
        <f>'VISITA DE INSP.'!HI25</f>
        <v>25</v>
      </c>
      <c r="AC25" s="2328">
        <f>'VISITA DE INSP.'!HJ25</f>
        <v>39</v>
      </c>
      <c r="AD25" s="2333">
        <f>'VISITA DE INSP.'!HK25</f>
        <v>29</v>
      </c>
      <c r="AE25" s="2328">
        <f>'VISITA DE INSP.'!HL25</f>
        <v>29</v>
      </c>
      <c r="AF25" s="2333">
        <f>'VISITA DE INSP.'!HM25</f>
        <v>33</v>
      </c>
      <c r="AG25" s="2328">
        <f>'VISITA DE INSP.'!HN25</f>
        <v>35</v>
      </c>
      <c r="AH25" s="2333">
        <f>'VISITA DE INSP.'!HO25</f>
        <v>33</v>
      </c>
      <c r="AI25" s="2328">
        <f>'VISITA DE INSP.'!HP25</f>
        <v>45</v>
      </c>
      <c r="AJ25" s="2333">
        <f>'VISITA DE INSP.'!HQ25</f>
        <v>20</v>
      </c>
      <c r="AK25" s="2328">
        <f>'VISITA DE INSP.'!HR25</f>
        <v>39</v>
      </c>
      <c r="AL25" s="2345">
        <f>'VISITA DE INSP.'!HS25</f>
        <v>31</v>
      </c>
      <c r="AM25" s="2344">
        <f>'VISITA DE INSP.'!HT25</f>
        <v>1</v>
      </c>
      <c r="AN25" s="2333">
        <f>'VISITA DE INSP.'!HU25</f>
        <v>4</v>
      </c>
      <c r="AO25" s="2328">
        <f>'VISITA DE INSP.'!HV25</f>
        <v>1</v>
      </c>
      <c r="AP25" s="2333">
        <f>'VISITA DE INSP.'!HW25</f>
        <v>3</v>
      </c>
      <c r="AQ25" s="2328">
        <f>'VISITA DE INSP.'!HX25</f>
        <v>0</v>
      </c>
      <c r="AR25" s="2333">
        <f>'VISITA DE INSP.'!HY25</f>
        <v>1</v>
      </c>
      <c r="AS25" s="2328">
        <f>'VISITA DE INSP.'!HZ25</f>
        <v>0</v>
      </c>
      <c r="AT25" s="2333">
        <f>'VISITA DE INSP.'!IA25</f>
        <v>1</v>
      </c>
      <c r="AU25" s="2328">
        <f>'VISITA DE INSP.'!IB25</f>
        <v>1</v>
      </c>
      <c r="AV25" s="2333">
        <f>'VISITA DE INSP.'!IC25</f>
        <v>1</v>
      </c>
      <c r="AW25" s="2328">
        <f>'VISITA DE INSP.'!ID25</f>
        <v>1</v>
      </c>
      <c r="AX25" s="2345">
        <f>'VISITA DE INSP.'!IE25</f>
        <v>2</v>
      </c>
      <c r="AY25" s="2344">
        <f>'VISITA DE INSP.'!IF25</f>
        <v>3</v>
      </c>
      <c r="AZ25" s="2333">
        <f>'VISITA DE INSP.'!IG25</f>
        <v>3</v>
      </c>
      <c r="BA25" s="2328">
        <f>'VISITA DE INSP.'!IH25</f>
        <v>4</v>
      </c>
      <c r="BB25" s="2333">
        <f>'VISITA DE INSP.'!II25</f>
        <v>4</v>
      </c>
      <c r="BC25" s="2328">
        <f>'VISITA DE INSP.'!IJ25</f>
        <v>1</v>
      </c>
      <c r="BD25" s="2333">
        <f>'VISITA DE INSP.'!IK25</f>
        <v>5</v>
      </c>
      <c r="BE25" s="2328">
        <f>'VISITA DE INSP.'!IL25</f>
        <v>6</v>
      </c>
      <c r="BF25" s="2333">
        <f>'VISITA DE INSP.'!IM25</f>
        <v>3</v>
      </c>
      <c r="BG25" s="2328">
        <f>'VISITA DE INSP.'!IN25</f>
        <v>10</v>
      </c>
      <c r="BH25" s="2333">
        <f>'VISITA DE INSP.'!IO25</f>
        <v>4</v>
      </c>
      <c r="BI25" s="2328">
        <f>'VISITA DE INSP.'!IP25</f>
        <v>10</v>
      </c>
      <c r="BJ25" s="2345">
        <f>'VISITA DE INSP.'!IQ25</f>
        <v>3</v>
      </c>
      <c r="BK25" s="2344">
        <f>'VISITA DE INSP.'!IR25</f>
        <v>0</v>
      </c>
      <c r="BL25" s="2333">
        <f>'VISITA DE INSP.'!IS25</f>
        <v>0</v>
      </c>
      <c r="BM25" s="2328">
        <f>'VISITA DE INSP.'!IT25</f>
        <v>0</v>
      </c>
      <c r="BN25" s="2333">
        <f>'VISITA DE INSP.'!IU25</f>
        <v>0</v>
      </c>
      <c r="BO25" s="2328">
        <f>'VISITA DE INSP.'!IV25</f>
        <v>0</v>
      </c>
      <c r="BP25" s="2333">
        <f>'VISITA DE INSP.'!IW25</f>
        <v>0</v>
      </c>
      <c r="BQ25" s="2328">
        <f>'VISITA DE INSP.'!IX25</f>
        <v>0</v>
      </c>
      <c r="BR25" s="2333">
        <f>'VISITA DE INSP.'!IY25</f>
        <v>0</v>
      </c>
      <c r="BS25" s="2328">
        <f>'VISITA DE INSP.'!IZ25</f>
        <v>0</v>
      </c>
      <c r="BT25" s="2333">
        <f>'VISITA DE INSP.'!JA25</f>
        <v>0</v>
      </c>
      <c r="BU25" s="2328">
        <f>'VISITA DE INSP.'!JB25</f>
        <v>0</v>
      </c>
      <c r="BV25" s="2345">
        <f>'VISITA DE INSP.'!JC25</f>
        <v>0</v>
      </c>
      <c r="BW25" s="2344">
        <f>'VISITA DE INSP.'!JD25</f>
        <v>0</v>
      </c>
      <c r="BX25" s="2333">
        <f>'VISITA DE INSP.'!JE25</f>
        <v>2</v>
      </c>
      <c r="BY25" s="2328">
        <f>'VISITA DE INSP.'!JF25</f>
        <v>0</v>
      </c>
      <c r="BZ25" s="2333">
        <f>'VISITA DE INSP.'!JG25</f>
        <v>2</v>
      </c>
      <c r="CA25" s="2328">
        <f>'VISITA DE INSP.'!JH25</f>
        <v>0</v>
      </c>
      <c r="CB25" s="2333">
        <f>'VISITA DE INSP.'!JI25</f>
        <v>2</v>
      </c>
      <c r="CC25" s="2328">
        <f>'VISITA DE INSP.'!JJ25</f>
        <v>0</v>
      </c>
      <c r="CD25" s="2333">
        <f>'VISITA DE INSP.'!JK25</f>
        <v>2</v>
      </c>
      <c r="CE25" s="2328">
        <f>'VISITA DE INSP.'!JL25</f>
        <v>1</v>
      </c>
      <c r="CF25" s="2333">
        <f>'VISITA DE INSP.'!JM25</f>
        <v>1</v>
      </c>
      <c r="CG25" s="2328">
        <f>'VISITA DE INSP.'!JN25</f>
        <v>1</v>
      </c>
      <c r="CH25" s="2345">
        <f>'VISITA DE INSP.'!JO25</f>
        <v>1</v>
      </c>
      <c r="CI25" s="2344">
        <f>'VISITA DE INSP.'!JP25</f>
        <v>0</v>
      </c>
      <c r="CJ25" s="2333">
        <f>'VISITA DE INSP.'!JQ25</f>
        <v>0</v>
      </c>
      <c r="CK25" s="2328">
        <f>'VISITA DE INSP.'!JR25</f>
        <v>0</v>
      </c>
      <c r="CL25" s="2333">
        <f>'VISITA DE INSP.'!JS25</f>
        <v>0</v>
      </c>
      <c r="CM25" s="2328">
        <f>'VISITA DE INSP.'!JT25</f>
        <v>0</v>
      </c>
      <c r="CN25" s="2333">
        <f>'VISITA DE INSP.'!JU25</f>
        <v>0</v>
      </c>
      <c r="CO25" s="2328">
        <f>'VISITA DE INSP.'!JV25</f>
        <v>0</v>
      </c>
      <c r="CP25" s="2333">
        <f>'VISITA DE INSP.'!JW25</f>
        <v>0</v>
      </c>
      <c r="CQ25" s="2328">
        <f>'VISITA DE INSP.'!JX25</f>
        <v>0</v>
      </c>
      <c r="CR25" s="2333">
        <f>'VISITA DE INSP.'!JY25</f>
        <v>0</v>
      </c>
      <c r="CS25" s="2328">
        <f>'VISITA DE INSP.'!JZ25</f>
        <v>0</v>
      </c>
      <c r="CT25" s="2345">
        <f>'VISITA DE INSP.'!KA25</f>
        <v>0</v>
      </c>
      <c r="CU25" s="2344">
        <f>'VISITA DE INSP.'!KB25</f>
        <v>0</v>
      </c>
      <c r="CV25" s="1463">
        <f>'VISITA DE INSP.'!KC25</f>
        <v>0</v>
      </c>
      <c r="CW25" s="1463">
        <f>'VISITA DE INSP.'!KD25</f>
        <v>0</v>
      </c>
      <c r="CX25" s="1463">
        <f>'VISITA DE INSP.'!KE25</f>
        <v>0</v>
      </c>
      <c r="CY25" s="1463">
        <f>'VISITA DE INSP.'!KF25</f>
        <v>0</v>
      </c>
      <c r="CZ25" s="2346">
        <f>'VISITA DE INSP.'!KG25</f>
        <v>0</v>
      </c>
    </row>
    <row r="26" spans="1:108" ht="17.25" customHeight="1" thickBot="1">
      <c r="A26" s="5243" t="s">
        <v>2517</v>
      </c>
      <c r="B26" s="5244"/>
      <c r="C26" s="1471"/>
      <c r="D26" s="1471"/>
      <c r="E26" s="1471"/>
      <c r="F26" s="1471"/>
      <c r="G26" s="1471"/>
      <c r="H26" s="1480">
        <f>H18+H21+H22+H23+H24+H25</f>
        <v>8</v>
      </c>
      <c r="I26" s="1471"/>
      <c r="J26" s="1471"/>
      <c r="K26" s="2251">
        <f>VLOOKUP(K13,Z2:CH22,36)</f>
        <v>0</v>
      </c>
      <c r="L26" s="2239"/>
      <c r="M26" s="2251">
        <f>VLOOKUP(K13,Z2:CH22,37)</f>
        <v>0</v>
      </c>
      <c r="N26" s="2239"/>
      <c r="O26" s="1476">
        <f>K26+M26</f>
        <v>0</v>
      </c>
      <c r="P26" s="1471"/>
      <c r="Q26" s="1471"/>
      <c r="R26" s="1471"/>
      <c r="S26" s="1471" t="s">
        <v>1440</v>
      </c>
      <c r="T26" s="1471"/>
      <c r="U26" s="1471"/>
      <c r="V26" s="2255"/>
      <c r="W26" s="1471"/>
      <c r="X26" s="1472"/>
      <c r="Y26" s="801"/>
      <c r="Z26" s="2356">
        <f>'VISITA DE INSP.'!HG26</f>
        <v>2</v>
      </c>
      <c r="AA26" s="2344">
        <f>'VISITA DE INSP.'!HH26</f>
        <v>45</v>
      </c>
      <c r="AB26" s="2333">
        <f>'VISITA DE INSP.'!HI26</f>
        <v>43</v>
      </c>
      <c r="AC26" s="2328">
        <f>'VISITA DE INSP.'!HJ26</f>
        <v>36</v>
      </c>
      <c r="AD26" s="2333">
        <f>'VISITA DE INSP.'!HK26</f>
        <v>33</v>
      </c>
      <c r="AE26" s="2328">
        <f>'VISITA DE INSP.'!HL26</f>
        <v>34</v>
      </c>
      <c r="AF26" s="2333">
        <f>'VISITA DE INSP.'!HM26</f>
        <v>27</v>
      </c>
      <c r="AG26" s="2328">
        <f>'VISITA DE INSP.'!HN26</f>
        <v>52</v>
      </c>
      <c r="AH26" s="2333">
        <f>'VISITA DE INSP.'!HO26</f>
        <v>34</v>
      </c>
      <c r="AI26" s="2328">
        <f>'VISITA DE INSP.'!HP26</f>
        <v>34</v>
      </c>
      <c r="AJ26" s="2333">
        <f>'VISITA DE INSP.'!HQ26</f>
        <v>36</v>
      </c>
      <c r="AK26" s="2328">
        <f>'VISITA DE INSP.'!HR26</f>
        <v>28</v>
      </c>
      <c r="AL26" s="2345">
        <f>'VISITA DE INSP.'!HS26</f>
        <v>37</v>
      </c>
      <c r="AM26" s="2344">
        <f>'VISITA DE INSP.'!HT26</f>
        <v>3</v>
      </c>
      <c r="AN26" s="2333">
        <f>'VISITA DE INSP.'!HU26</f>
        <v>3</v>
      </c>
      <c r="AO26" s="2328">
        <f>'VISITA DE INSP.'!HV26</f>
        <v>2</v>
      </c>
      <c r="AP26" s="2333">
        <f>'VISITA DE INSP.'!HW26</f>
        <v>1</v>
      </c>
      <c r="AQ26" s="2328">
        <f>'VISITA DE INSP.'!HX26</f>
        <v>4</v>
      </c>
      <c r="AR26" s="2333">
        <f>'VISITA DE INSP.'!HY26</f>
        <v>2</v>
      </c>
      <c r="AS26" s="2328">
        <f>'VISITA DE INSP.'!HZ26</f>
        <v>3</v>
      </c>
      <c r="AT26" s="2333">
        <f>'VISITA DE INSP.'!IA26</f>
        <v>2</v>
      </c>
      <c r="AU26" s="2328">
        <f>'VISITA DE INSP.'!IB26</f>
        <v>0</v>
      </c>
      <c r="AV26" s="2333">
        <f>'VISITA DE INSP.'!IC26</f>
        <v>0</v>
      </c>
      <c r="AW26" s="2328">
        <f>'VISITA DE INSP.'!ID26</f>
        <v>0</v>
      </c>
      <c r="AX26" s="2345">
        <f>'VISITA DE INSP.'!IE26</f>
        <v>2</v>
      </c>
      <c r="AY26" s="2344">
        <f>'VISITA DE INSP.'!IF26</f>
        <v>6</v>
      </c>
      <c r="AZ26" s="2333">
        <f>'VISITA DE INSP.'!IG26</f>
        <v>1</v>
      </c>
      <c r="BA26" s="2328">
        <f>'VISITA DE INSP.'!IH26</f>
        <v>3</v>
      </c>
      <c r="BB26" s="2333">
        <f>'VISITA DE INSP.'!II26</f>
        <v>3</v>
      </c>
      <c r="BC26" s="2328">
        <f>'VISITA DE INSP.'!IJ26</f>
        <v>3</v>
      </c>
      <c r="BD26" s="2333">
        <f>'VISITA DE INSP.'!IK26</f>
        <v>1</v>
      </c>
      <c r="BE26" s="2328">
        <f>'VISITA DE INSP.'!IL26</f>
        <v>5</v>
      </c>
      <c r="BF26" s="2333">
        <f>'VISITA DE INSP.'!IM26</f>
        <v>2</v>
      </c>
      <c r="BG26" s="2328">
        <f>'VISITA DE INSP.'!IN26</f>
        <v>1</v>
      </c>
      <c r="BH26" s="2333">
        <f>'VISITA DE INSP.'!IO26</f>
        <v>0</v>
      </c>
      <c r="BI26" s="2328">
        <f>'VISITA DE INSP.'!IP26</f>
        <v>0</v>
      </c>
      <c r="BJ26" s="2345">
        <f>'VISITA DE INSP.'!IQ26</f>
        <v>0</v>
      </c>
      <c r="BK26" s="2344">
        <f>'VISITA DE INSP.'!IR26</f>
        <v>0</v>
      </c>
      <c r="BL26" s="2333">
        <f>'VISITA DE INSP.'!IS26</f>
        <v>0</v>
      </c>
      <c r="BM26" s="2328">
        <f>'VISITA DE INSP.'!IT26</f>
        <v>0</v>
      </c>
      <c r="BN26" s="2333">
        <f>'VISITA DE INSP.'!IU26</f>
        <v>0</v>
      </c>
      <c r="BO26" s="2328">
        <f>'VISITA DE INSP.'!IV26</f>
        <v>0</v>
      </c>
      <c r="BP26" s="2333">
        <f>'VISITA DE INSP.'!IW26</f>
        <v>0</v>
      </c>
      <c r="BQ26" s="2328">
        <f>'VISITA DE INSP.'!IX26</f>
        <v>0</v>
      </c>
      <c r="BR26" s="2333">
        <f>'VISITA DE INSP.'!IY26</f>
        <v>0</v>
      </c>
      <c r="BS26" s="2328">
        <f>'VISITA DE INSP.'!IZ26</f>
        <v>0</v>
      </c>
      <c r="BT26" s="2333">
        <f>'VISITA DE INSP.'!JA26</f>
        <v>0</v>
      </c>
      <c r="BU26" s="2328">
        <f>'VISITA DE INSP.'!JB26</f>
        <v>0</v>
      </c>
      <c r="BV26" s="2345">
        <f>'VISITA DE INSP.'!JC26</f>
        <v>0</v>
      </c>
      <c r="BW26" s="2344">
        <f>'VISITA DE INSP.'!JD26</f>
        <v>1</v>
      </c>
      <c r="BX26" s="2333">
        <f>'VISITA DE INSP.'!JE26</f>
        <v>2</v>
      </c>
      <c r="BY26" s="2328">
        <f>'VISITA DE INSP.'!JF26</f>
        <v>0</v>
      </c>
      <c r="BZ26" s="2333">
        <f>'VISITA DE INSP.'!JG26</f>
        <v>2</v>
      </c>
      <c r="CA26" s="2328">
        <f>'VISITA DE INSP.'!JH26</f>
        <v>0</v>
      </c>
      <c r="CB26" s="2333">
        <f>'VISITA DE INSP.'!JI26</f>
        <v>2</v>
      </c>
      <c r="CC26" s="2328">
        <f>'VISITA DE INSP.'!JJ26</f>
        <v>0</v>
      </c>
      <c r="CD26" s="2333">
        <f>'VISITA DE INSP.'!JK26</f>
        <v>3</v>
      </c>
      <c r="CE26" s="2328">
        <f>'VISITA DE INSP.'!JL26</f>
        <v>2</v>
      </c>
      <c r="CF26" s="2333">
        <f>'VISITA DE INSP.'!JM26</f>
        <v>0</v>
      </c>
      <c r="CG26" s="2328">
        <f>'VISITA DE INSP.'!JN26</f>
        <v>1</v>
      </c>
      <c r="CH26" s="2345">
        <f>'VISITA DE INSP.'!JO26</f>
        <v>0</v>
      </c>
      <c r="CI26" s="2344">
        <f>'VISITA DE INSP.'!JP26</f>
        <v>0</v>
      </c>
      <c r="CJ26" s="2333">
        <f>'VISITA DE INSP.'!JQ26</f>
        <v>0</v>
      </c>
      <c r="CK26" s="2328">
        <f>'VISITA DE INSP.'!JR26</f>
        <v>0</v>
      </c>
      <c r="CL26" s="2333">
        <f>'VISITA DE INSP.'!JS26</f>
        <v>0</v>
      </c>
      <c r="CM26" s="2328">
        <f>'VISITA DE INSP.'!JT26</f>
        <v>0</v>
      </c>
      <c r="CN26" s="2333">
        <f>'VISITA DE INSP.'!JU26</f>
        <v>0</v>
      </c>
      <c r="CO26" s="2328">
        <f>'VISITA DE INSP.'!JV26</f>
        <v>0</v>
      </c>
      <c r="CP26" s="2333">
        <f>'VISITA DE INSP.'!JW26</f>
        <v>0</v>
      </c>
      <c r="CQ26" s="2328">
        <f>'VISITA DE INSP.'!JX26</f>
        <v>0</v>
      </c>
      <c r="CR26" s="2333">
        <f>'VISITA DE INSP.'!JY26</f>
        <v>0</v>
      </c>
      <c r="CS26" s="2328">
        <f>'VISITA DE INSP.'!JZ26</f>
        <v>0</v>
      </c>
      <c r="CT26" s="2345">
        <f>'VISITA DE INSP.'!KA26</f>
        <v>0</v>
      </c>
      <c r="CU26" s="2344">
        <f>'VISITA DE INSP.'!KB26</f>
        <v>0</v>
      </c>
      <c r="CV26" s="1463">
        <f>'VISITA DE INSP.'!KC26</f>
        <v>0</v>
      </c>
      <c r="CW26" s="1463">
        <f>'VISITA DE INSP.'!KD26</f>
        <v>0</v>
      </c>
      <c r="CX26" s="1463">
        <f>'VISITA DE INSP.'!KE26</f>
        <v>0</v>
      </c>
      <c r="CY26" s="1463">
        <f>'VISITA DE INSP.'!KF26</f>
        <v>0</v>
      </c>
      <c r="CZ26" s="2346">
        <f>'VISITA DE INSP.'!KG26</f>
        <v>0</v>
      </c>
    </row>
    <row r="27" spans="1:108" ht="11.25" customHeight="1" thickBot="1">
      <c r="A27" s="1477"/>
      <c r="B27" s="1478"/>
      <c r="C27" s="1478"/>
      <c r="D27" s="1478"/>
      <c r="E27" s="1478"/>
      <c r="F27" s="1478"/>
      <c r="G27" s="1478"/>
      <c r="H27" s="1478"/>
      <c r="I27" s="1478"/>
      <c r="J27" s="1478"/>
      <c r="K27" s="1478"/>
      <c r="L27" s="1478"/>
      <c r="M27" s="1478"/>
      <c r="N27" s="1478"/>
      <c r="O27" s="1478"/>
      <c r="P27" s="1478"/>
      <c r="Q27" s="1478"/>
      <c r="R27" s="1478"/>
      <c r="S27" s="1478"/>
      <c r="T27" s="1478"/>
      <c r="U27" s="1478"/>
      <c r="V27" s="1478"/>
      <c r="W27" s="1478"/>
      <c r="X27" s="1479"/>
      <c r="Y27" s="801"/>
      <c r="Z27" s="2356">
        <f>'VISITA DE INSP.'!HG27</f>
        <v>3</v>
      </c>
      <c r="AA27" s="2344">
        <f>'VISITA DE INSP.'!HH27</f>
        <v>12</v>
      </c>
      <c r="AB27" s="2333">
        <f>'VISITA DE INSP.'!HI27</f>
        <v>18</v>
      </c>
      <c r="AC27" s="2328">
        <f>'VISITA DE INSP.'!HJ27</f>
        <v>37</v>
      </c>
      <c r="AD27" s="2333">
        <f>'VISITA DE INSP.'!HK27</f>
        <v>28</v>
      </c>
      <c r="AE27" s="2328">
        <f>'VISITA DE INSP.'!HL27</f>
        <v>23</v>
      </c>
      <c r="AF27" s="2333">
        <f>'VISITA DE INSP.'!HM27</f>
        <v>28</v>
      </c>
      <c r="AG27" s="2328">
        <f>'VISITA DE INSP.'!HN27</f>
        <v>17</v>
      </c>
      <c r="AH27" s="2333">
        <f>'VISITA DE INSP.'!HO27</f>
        <v>17</v>
      </c>
      <c r="AI27" s="2328">
        <f>'VISITA DE INSP.'!HP27</f>
        <v>23</v>
      </c>
      <c r="AJ27" s="2333">
        <f>'VISITA DE INSP.'!HQ27</f>
        <v>25</v>
      </c>
      <c r="AK27" s="2328">
        <f>'VISITA DE INSP.'!HR27</f>
        <v>25</v>
      </c>
      <c r="AL27" s="2345">
        <f>'VISITA DE INSP.'!HS27</f>
        <v>21</v>
      </c>
      <c r="AM27" s="2344">
        <f>'VISITA DE INSP.'!HT27</f>
        <v>3</v>
      </c>
      <c r="AN27" s="2333">
        <f>'VISITA DE INSP.'!HU27</f>
        <v>2</v>
      </c>
      <c r="AO27" s="2328">
        <f>'VISITA DE INSP.'!HV27</f>
        <v>2</v>
      </c>
      <c r="AP27" s="2333">
        <f>'VISITA DE INSP.'!HW27</f>
        <v>5</v>
      </c>
      <c r="AQ27" s="2328">
        <f>'VISITA DE INSP.'!HX27</f>
        <v>1</v>
      </c>
      <c r="AR27" s="2333">
        <f>'VISITA DE INSP.'!HY27</f>
        <v>5</v>
      </c>
      <c r="AS27" s="2328">
        <f>'VISITA DE INSP.'!HZ27</f>
        <v>1</v>
      </c>
      <c r="AT27" s="2333">
        <f>'VISITA DE INSP.'!IA27</f>
        <v>2</v>
      </c>
      <c r="AU27" s="2328">
        <f>'VISITA DE INSP.'!IB27</f>
        <v>2</v>
      </c>
      <c r="AV27" s="2333">
        <f>'VISITA DE INSP.'!IC27</f>
        <v>1</v>
      </c>
      <c r="AW27" s="2328">
        <f>'VISITA DE INSP.'!ID27</f>
        <v>1</v>
      </c>
      <c r="AX27" s="2345">
        <f>'VISITA DE INSP.'!IE27</f>
        <v>1</v>
      </c>
      <c r="AY27" s="2344">
        <f>'VISITA DE INSP.'!IF27</f>
        <v>1</v>
      </c>
      <c r="AZ27" s="2333">
        <f>'VISITA DE INSP.'!IG27</f>
        <v>2</v>
      </c>
      <c r="BA27" s="2328">
        <f>'VISITA DE INSP.'!IH27</f>
        <v>8</v>
      </c>
      <c r="BB27" s="2333">
        <f>'VISITA DE INSP.'!II27</f>
        <v>6</v>
      </c>
      <c r="BC27" s="2328">
        <f>'VISITA DE INSP.'!IJ27</f>
        <v>5</v>
      </c>
      <c r="BD27" s="2333">
        <f>'VISITA DE INSP.'!IK27</f>
        <v>3</v>
      </c>
      <c r="BE27" s="2328">
        <f>'VISITA DE INSP.'!IL27</f>
        <v>0</v>
      </c>
      <c r="BF27" s="2333">
        <f>'VISITA DE INSP.'!IM27</f>
        <v>2</v>
      </c>
      <c r="BG27" s="2328">
        <f>'VISITA DE INSP.'!IN27</f>
        <v>3</v>
      </c>
      <c r="BH27" s="2333">
        <f>'VISITA DE INSP.'!IO27</f>
        <v>2</v>
      </c>
      <c r="BI27" s="2328">
        <f>'VISITA DE INSP.'!IP27</f>
        <v>4</v>
      </c>
      <c r="BJ27" s="2345">
        <f>'VISITA DE INSP.'!IQ27</f>
        <v>1</v>
      </c>
      <c r="BK27" s="2344">
        <f>'VISITA DE INSP.'!IR27</f>
        <v>0</v>
      </c>
      <c r="BL27" s="2333">
        <f>'VISITA DE INSP.'!IS27</f>
        <v>0</v>
      </c>
      <c r="BM27" s="2328">
        <f>'VISITA DE INSP.'!IT27</f>
        <v>0</v>
      </c>
      <c r="BN27" s="2333">
        <f>'VISITA DE INSP.'!IU27</f>
        <v>0</v>
      </c>
      <c r="BO27" s="2328">
        <f>'VISITA DE INSP.'!IV27</f>
        <v>0</v>
      </c>
      <c r="BP27" s="2333">
        <f>'VISITA DE INSP.'!IW27</f>
        <v>0</v>
      </c>
      <c r="BQ27" s="2328">
        <f>'VISITA DE INSP.'!IX27</f>
        <v>0</v>
      </c>
      <c r="BR27" s="2333">
        <f>'VISITA DE INSP.'!IY27</f>
        <v>0</v>
      </c>
      <c r="BS27" s="2328">
        <f>'VISITA DE INSP.'!IZ27</f>
        <v>0</v>
      </c>
      <c r="BT27" s="2333">
        <f>'VISITA DE INSP.'!JA27</f>
        <v>0</v>
      </c>
      <c r="BU27" s="2328">
        <f>'VISITA DE INSP.'!JB27</f>
        <v>0</v>
      </c>
      <c r="BV27" s="2345">
        <f>'VISITA DE INSP.'!JC27</f>
        <v>0</v>
      </c>
      <c r="BW27" s="2344">
        <f>'VISITA DE INSP.'!JD27</f>
        <v>0</v>
      </c>
      <c r="BX27" s="2333">
        <f>'VISITA DE INSP.'!JE27</f>
        <v>1</v>
      </c>
      <c r="BY27" s="2328">
        <f>'VISITA DE INSP.'!JF27</f>
        <v>0</v>
      </c>
      <c r="BZ27" s="2333">
        <f>'VISITA DE INSP.'!JG27</f>
        <v>2</v>
      </c>
      <c r="CA27" s="2328">
        <f>'VISITA DE INSP.'!JH27</f>
        <v>2</v>
      </c>
      <c r="CB27" s="2333">
        <f>'VISITA DE INSP.'!JI27</f>
        <v>0</v>
      </c>
      <c r="CC27" s="2328">
        <f>'VISITA DE INSP.'!JJ27</f>
        <v>1</v>
      </c>
      <c r="CD27" s="2333">
        <f>'VISITA DE INSP.'!JK27</f>
        <v>0</v>
      </c>
      <c r="CE27" s="2328">
        <f>'VISITA DE INSP.'!JL27</f>
        <v>1</v>
      </c>
      <c r="CF27" s="2333">
        <f>'VISITA DE INSP.'!JM27</f>
        <v>1</v>
      </c>
      <c r="CG27" s="2328">
        <f>'VISITA DE INSP.'!JN27</f>
        <v>1</v>
      </c>
      <c r="CH27" s="2345">
        <f>'VISITA DE INSP.'!JO27</f>
        <v>1</v>
      </c>
      <c r="CI27" s="2344">
        <f>'VISITA DE INSP.'!JP27</f>
        <v>0</v>
      </c>
      <c r="CJ27" s="2333">
        <f>'VISITA DE INSP.'!JQ27</f>
        <v>0</v>
      </c>
      <c r="CK27" s="2328">
        <f>'VISITA DE INSP.'!JR27</f>
        <v>0</v>
      </c>
      <c r="CL27" s="2333">
        <f>'VISITA DE INSP.'!JS27</f>
        <v>0</v>
      </c>
      <c r="CM27" s="2328">
        <f>'VISITA DE INSP.'!JT27</f>
        <v>0</v>
      </c>
      <c r="CN27" s="2333">
        <f>'VISITA DE INSP.'!JU27</f>
        <v>0</v>
      </c>
      <c r="CO27" s="2328">
        <f>'VISITA DE INSP.'!JV27</f>
        <v>0</v>
      </c>
      <c r="CP27" s="2333">
        <f>'VISITA DE INSP.'!JW27</f>
        <v>0</v>
      </c>
      <c r="CQ27" s="2328">
        <f>'VISITA DE INSP.'!JX27</f>
        <v>0</v>
      </c>
      <c r="CR27" s="2333">
        <f>'VISITA DE INSP.'!JY27</f>
        <v>0</v>
      </c>
      <c r="CS27" s="2328">
        <f>'VISITA DE INSP.'!JZ27</f>
        <v>0</v>
      </c>
      <c r="CT27" s="2345">
        <f>'VISITA DE INSP.'!KA27</f>
        <v>0</v>
      </c>
      <c r="CU27" s="2344">
        <f>'VISITA DE INSP.'!KB27</f>
        <v>0</v>
      </c>
      <c r="CV27" s="1463">
        <f>'VISITA DE INSP.'!KC27</f>
        <v>0</v>
      </c>
      <c r="CW27" s="1463">
        <f>'VISITA DE INSP.'!KD27</f>
        <v>0</v>
      </c>
      <c r="CX27" s="1463">
        <f>'VISITA DE INSP.'!KE27</f>
        <v>0</v>
      </c>
      <c r="CY27" s="1463">
        <f>'VISITA DE INSP.'!KF27</f>
        <v>0</v>
      </c>
      <c r="CZ27" s="2346">
        <f>'VISITA DE INSP.'!KG27</f>
        <v>0</v>
      </c>
    </row>
    <row r="28" spans="1:108" ht="10.5" customHeight="1" thickTop="1" thickBot="1">
      <c r="A28" s="5219" t="s">
        <v>1679</v>
      </c>
      <c r="B28" s="5219"/>
      <c r="C28" s="5219"/>
      <c r="D28" s="2144">
        <f>VLOOKUP(K13,Z24:CZ44,62)</f>
        <v>0</v>
      </c>
      <c r="E28" s="2144">
        <f>VLOOKUP(K13,Z24:CZ44,63)</f>
        <v>0</v>
      </c>
      <c r="F28" s="2144">
        <f>D28+E28</f>
        <v>0</v>
      </c>
      <c r="G28" s="2144">
        <f>VLOOKUP(K13,Z24:CZ44,64)</f>
        <v>0</v>
      </c>
      <c r="H28" s="2144">
        <v>5</v>
      </c>
      <c r="I28" s="2144">
        <f>G28+H28</f>
        <v>5</v>
      </c>
      <c r="J28" s="2144">
        <v>2</v>
      </c>
      <c r="K28" s="2144">
        <v>4</v>
      </c>
      <c r="L28" s="2144">
        <f>J28+K28</f>
        <v>6</v>
      </c>
      <c r="M28" s="2144">
        <v>1</v>
      </c>
      <c r="N28" s="2144">
        <v>2</v>
      </c>
      <c r="O28" s="2144">
        <f>M28+N28</f>
        <v>3</v>
      </c>
      <c r="P28" s="2144">
        <f>VLOOKUP(K13,Z24:CZ44,70)</f>
        <v>0</v>
      </c>
      <c r="Q28" s="2144">
        <f>VLOOKUP(K13,Z24:CZ44,71)</f>
        <v>0</v>
      </c>
      <c r="R28" s="2144">
        <f>P28+Q28</f>
        <v>0</v>
      </c>
      <c r="S28" s="2144">
        <f>VLOOKUP(K13,Z24:CZ44,72)</f>
        <v>0</v>
      </c>
      <c r="T28" s="2144">
        <f>VLOOKUP(K13,Z24:CZ44,73)</f>
        <v>0</v>
      </c>
      <c r="U28" s="2144">
        <f>S28+T28</f>
        <v>0</v>
      </c>
      <c r="V28" s="2144">
        <f>D28+G28+J28+M28+P28+S28</f>
        <v>3</v>
      </c>
      <c r="W28" s="2144">
        <f>E28+H28+K28+N28+Q28+T28</f>
        <v>11</v>
      </c>
      <c r="X28" s="2144">
        <f>F28+I28+L28+O28+R28+U28</f>
        <v>14</v>
      </c>
      <c r="Y28" s="801"/>
      <c r="Z28" s="2356">
        <f>'VISITA DE INSP.'!HG28</f>
        <v>4</v>
      </c>
      <c r="AA28" s="2344">
        <f>'VISITA DE INSP.'!HH28</f>
        <v>30</v>
      </c>
      <c r="AB28" s="2333">
        <f>'VISITA DE INSP.'!HI28</f>
        <v>37</v>
      </c>
      <c r="AC28" s="2328">
        <f>'VISITA DE INSP.'!HJ28</f>
        <v>34</v>
      </c>
      <c r="AD28" s="2333">
        <f>'VISITA DE INSP.'!HK28</f>
        <v>35</v>
      </c>
      <c r="AE28" s="2328">
        <f>'VISITA DE INSP.'!HL28</f>
        <v>31</v>
      </c>
      <c r="AF28" s="2333">
        <f>'VISITA DE INSP.'!HM28</f>
        <v>36</v>
      </c>
      <c r="AG28" s="2328">
        <f>'VISITA DE INSP.'!HN28</f>
        <v>36</v>
      </c>
      <c r="AH28" s="2333">
        <f>'VISITA DE INSP.'!HO28</f>
        <v>21</v>
      </c>
      <c r="AI28" s="2328">
        <f>'VISITA DE INSP.'!HP28</f>
        <v>28</v>
      </c>
      <c r="AJ28" s="2333">
        <f>'VISITA DE INSP.'!HQ28</f>
        <v>22</v>
      </c>
      <c r="AK28" s="2328">
        <f>'VISITA DE INSP.'!HR28</f>
        <v>33</v>
      </c>
      <c r="AL28" s="2345">
        <f>'VISITA DE INSP.'!HS28</f>
        <v>27</v>
      </c>
      <c r="AM28" s="2344">
        <f>'VISITA DE INSP.'!HT28</f>
        <v>2</v>
      </c>
      <c r="AN28" s="2333">
        <f>'VISITA DE INSP.'!HU28</f>
        <v>1</v>
      </c>
      <c r="AO28" s="2328">
        <f>'VISITA DE INSP.'!HV28</f>
        <v>2</v>
      </c>
      <c r="AP28" s="2333">
        <f>'VISITA DE INSP.'!HW28</f>
        <v>2</v>
      </c>
      <c r="AQ28" s="2328">
        <f>'VISITA DE INSP.'!HX28</f>
        <v>1</v>
      </c>
      <c r="AR28" s="2333">
        <f>'VISITA DE INSP.'!HY28</f>
        <v>0</v>
      </c>
      <c r="AS28" s="2328">
        <f>'VISITA DE INSP.'!HZ28</f>
        <v>2</v>
      </c>
      <c r="AT28" s="2333">
        <f>'VISITA DE INSP.'!IA28</f>
        <v>0</v>
      </c>
      <c r="AU28" s="2328">
        <f>'VISITA DE INSP.'!IB28</f>
        <v>0</v>
      </c>
      <c r="AV28" s="2333">
        <f>'VISITA DE INSP.'!IC28</f>
        <v>0</v>
      </c>
      <c r="AW28" s="2328">
        <f>'VISITA DE INSP.'!ID28</f>
        <v>1</v>
      </c>
      <c r="AX28" s="2345">
        <f>'VISITA DE INSP.'!IE28</f>
        <v>2</v>
      </c>
      <c r="AY28" s="2344">
        <f>'VISITA DE INSP.'!IF28</f>
        <v>3</v>
      </c>
      <c r="AZ28" s="2333">
        <f>'VISITA DE INSP.'!IG28</f>
        <v>5</v>
      </c>
      <c r="BA28" s="2328">
        <f>'VISITA DE INSP.'!IH28</f>
        <v>2</v>
      </c>
      <c r="BB28" s="2333">
        <f>'VISITA DE INSP.'!II28</f>
        <v>1</v>
      </c>
      <c r="BC28" s="2328">
        <f>'VISITA DE INSP.'!IJ28</f>
        <v>5</v>
      </c>
      <c r="BD28" s="2333">
        <f>'VISITA DE INSP.'!IK28</f>
        <v>0</v>
      </c>
      <c r="BE28" s="2328">
        <f>'VISITA DE INSP.'!IL28</f>
        <v>2</v>
      </c>
      <c r="BF28" s="2333">
        <f>'VISITA DE INSP.'!IM28</f>
        <v>1</v>
      </c>
      <c r="BG28" s="2328">
        <f>'VISITA DE INSP.'!IN28</f>
        <v>4</v>
      </c>
      <c r="BH28" s="2333">
        <f>'VISITA DE INSP.'!IO28</f>
        <v>1</v>
      </c>
      <c r="BI28" s="2328">
        <f>'VISITA DE INSP.'!IP28</f>
        <v>0</v>
      </c>
      <c r="BJ28" s="2345">
        <f>'VISITA DE INSP.'!IQ28</f>
        <v>2</v>
      </c>
      <c r="BK28" s="2344">
        <f>'VISITA DE INSP.'!IR28</f>
        <v>0</v>
      </c>
      <c r="BL28" s="2333">
        <f>'VISITA DE INSP.'!IS28</f>
        <v>0</v>
      </c>
      <c r="BM28" s="2328">
        <f>'VISITA DE INSP.'!IT28</f>
        <v>0</v>
      </c>
      <c r="BN28" s="2333">
        <f>'VISITA DE INSP.'!IU28</f>
        <v>0</v>
      </c>
      <c r="BO28" s="2328">
        <f>'VISITA DE INSP.'!IV28</f>
        <v>0</v>
      </c>
      <c r="BP28" s="2333">
        <f>'VISITA DE INSP.'!IW28</f>
        <v>0</v>
      </c>
      <c r="BQ28" s="2328">
        <f>'VISITA DE INSP.'!IX28</f>
        <v>0</v>
      </c>
      <c r="BR28" s="2333">
        <f>'VISITA DE INSP.'!IY28</f>
        <v>0</v>
      </c>
      <c r="BS28" s="2328">
        <f>'VISITA DE INSP.'!IZ28</f>
        <v>0</v>
      </c>
      <c r="BT28" s="2333">
        <f>'VISITA DE INSP.'!JA28</f>
        <v>0</v>
      </c>
      <c r="BU28" s="2328">
        <f>'VISITA DE INSP.'!JB28</f>
        <v>0</v>
      </c>
      <c r="BV28" s="2345">
        <f>'VISITA DE INSP.'!JC28</f>
        <v>0</v>
      </c>
      <c r="BW28" s="2344">
        <f>'VISITA DE INSP.'!JD28</f>
        <v>0</v>
      </c>
      <c r="BX28" s="2333">
        <f>'VISITA DE INSP.'!JE28</f>
        <v>2</v>
      </c>
      <c r="BY28" s="2328">
        <f>'VISITA DE INSP.'!JF28</f>
        <v>0</v>
      </c>
      <c r="BZ28" s="2333">
        <f>'VISITA DE INSP.'!JG28</f>
        <v>2</v>
      </c>
      <c r="CA28" s="2328">
        <f>'VISITA DE INSP.'!JH28</f>
        <v>1</v>
      </c>
      <c r="CB28" s="2333">
        <f>'VISITA DE INSP.'!JI28</f>
        <v>1</v>
      </c>
      <c r="CC28" s="2328">
        <f>'VISITA DE INSP.'!JJ28</f>
        <v>2</v>
      </c>
      <c r="CD28" s="2333">
        <f>'VISITA DE INSP.'!JK28</f>
        <v>0</v>
      </c>
      <c r="CE28" s="2328">
        <f>'VISITA DE INSP.'!JL28</f>
        <v>1</v>
      </c>
      <c r="CF28" s="2333">
        <f>'VISITA DE INSP.'!JM28</f>
        <v>1</v>
      </c>
      <c r="CG28" s="2328">
        <f>'VISITA DE INSP.'!JN28</f>
        <v>2</v>
      </c>
      <c r="CH28" s="2345">
        <f>'VISITA DE INSP.'!JO28</f>
        <v>0</v>
      </c>
      <c r="CI28" s="2344">
        <f>'VISITA DE INSP.'!JP28</f>
        <v>0</v>
      </c>
      <c r="CJ28" s="2333">
        <f>'VISITA DE INSP.'!JQ28</f>
        <v>0</v>
      </c>
      <c r="CK28" s="2328">
        <f>'VISITA DE INSP.'!JR28</f>
        <v>0</v>
      </c>
      <c r="CL28" s="2333">
        <f>'VISITA DE INSP.'!JS28</f>
        <v>0</v>
      </c>
      <c r="CM28" s="2328">
        <f>'VISITA DE INSP.'!JT28</f>
        <v>0</v>
      </c>
      <c r="CN28" s="2333">
        <f>'VISITA DE INSP.'!JU28</f>
        <v>0</v>
      </c>
      <c r="CO28" s="2328">
        <f>'VISITA DE INSP.'!JV28</f>
        <v>0</v>
      </c>
      <c r="CP28" s="2333">
        <f>'VISITA DE INSP.'!JW28</f>
        <v>0</v>
      </c>
      <c r="CQ28" s="2328">
        <f>'VISITA DE INSP.'!JX28</f>
        <v>0</v>
      </c>
      <c r="CR28" s="2333">
        <f>'VISITA DE INSP.'!JY28</f>
        <v>0</v>
      </c>
      <c r="CS28" s="2328">
        <f>'VISITA DE INSP.'!JZ28</f>
        <v>0</v>
      </c>
      <c r="CT28" s="2345">
        <f>'VISITA DE INSP.'!KA28</f>
        <v>0</v>
      </c>
      <c r="CU28" s="2344">
        <f>'VISITA DE INSP.'!KB28</f>
        <v>0</v>
      </c>
      <c r="CV28" s="1463">
        <f>'VISITA DE INSP.'!KC28</f>
        <v>0</v>
      </c>
      <c r="CW28" s="1463">
        <f>'VISITA DE INSP.'!KD28</f>
        <v>0</v>
      </c>
      <c r="CX28" s="1463">
        <f>'VISITA DE INSP.'!KE28</f>
        <v>0</v>
      </c>
      <c r="CY28" s="1463">
        <f>'VISITA DE INSP.'!KF28</f>
        <v>0</v>
      </c>
      <c r="CZ28" s="2346">
        <f>'VISITA DE INSP.'!KG28</f>
        <v>0</v>
      </c>
      <c r="DD28" s="2225"/>
    </row>
    <row r="29" spans="1:108" s="1481" customFormat="1" ht="20.25" customHeight="1" thickTop="1" thickBot="1">
      <c r="A29" s="5245" t="s">
        <v>1441</v>
      </c>
      <c r="B29" s="5246"/>
      <c r="C29" s="5247"/>
      <c r="D29" s="5251" t="s">
        <v>1442</v>
      </c>
      <c r="E29" s="5252"/>
      <c r="F29" s="5253"/>
      <c r="G29" s="5251" t="s">
        <v>1443</v>
      </c>
      <c r="H29" s="5252"/>
      <c r="I29" s="5253"/>
      <c r="J29" s="5254" t="s">
        <v>1444</v>
      </c>
      <c r="K29" s="5252"/>
      <c r="L29" s="5255"/>
      <c r="M29" s="5251" t="s">
        <v>1445</v>
      </c>
      <c r="N29" s="5252"/>
      <c r="O29" s="5253"/>
      <c r="P29" s="5254" t="s">
        <v>1446</v>
      </c>
      <c r="Q29" s="5252"/>
      <c r="R29" s="5255"/>
      <c r="S29" s="5251" t="s">
        <v>1447</v>
      </c>
      <c r="T29" s="5252"/>
      <c r="U29" s="5253"/>
      <c r="V29" s="5229" t="s">
        <v>1232</v>
      </c>
      <c r="W29" s="5230"/>
      <c r="X29" s="5231"/>
      <c r="Y29" s="1460"/>
      <c r="Z29" s="2356">
        <f>'VISITA DE INSP.'!HG29</f>
        <v>5</v>
      </c>
      <c r="AA29" s="2344">
        <f>'VISITA DE INSP.'!HH29</f>
        <v>13</v>
      </c>
      <c r="AB29" s="2333">
        <f>'VISITA DE INSP.'!HI29</f>
        <v>14</v>
      </c>
      <c r="AC29" s="2328">
        <f>'VISITA DE INSP.'!HJ29</f>
        <v>21</v>
      </c>
      <c r="AD29" s="2333">
        <f>'VISITA DE INSP.'!HK29</f>
        <v>14</v>
      </c>
      <c r="AE29" s="2328">
        <f>'VISITA DE INSP.'!HL29</f>
        <v>19</v>
      </c>
      <c r="AF29" s="2333">
        <f>'VISITA DE INSP.'!HM29</f>
        <v>12</v>
      </c>
      <c r="AG29" s="2328">
        <f>'VISITA DE INSP.'!HN29</f>
        <v>13</v>
      </c>
      <c r="AH29" s="2333">
        <f>'VISITA DE INSP.'!HO29</f>
        <v>10</v>
      </c>
      <c r="AI29" s="2328">
        <f>'VISITA DE INSP.'!HP29</f>
        <v>18</v>
      </c>
      <c r="AJ29" s="2333">
        <f>'VISITA DE INSP.'!HQ29</f>
        <v>14</v>
      </c>
      <c r="AK29" s="2328">
        <f>'VISITA DE INSP.'!HR29</f>
        <v>34</v>
      </c>
      <c r="AL29" s="2345">
        <f>'VISITA DE INSP.'!HS29</f>
        <v>31</v>
      </c>
      <c r="AM29" s="2344">
        <f>'VISITA DE INSP.'!HT29</f>
        <v>1</v>
      </c>
      <c r="AN29" s="2333">
        <f>'VISITA DE INSP.'!HU29</f>
        <v>2</v>
      </c>
      <c r="AO29" s="2328">
        <f>'VISITA DE INSP.'!HV29</f>
        <v>2</v>
      </c>
      <c r="AP29" s="2333">
        <f>'VISITA DE INSP.'!HW29</f>
        <v>1</v>
      </c>
      <c r="AQ29" s="2328">
        <f>'VISITA DE INSP.'!HX29</f>
        <v>4</v>
      </c>
      <c r="AR29" s="2333">
        <f>'VISITA DE INSP.'!HY29</f>
        <v>2</v>
      </c>
      <c r="AS29" s="2328">
        <f>'VISITA DE INSP.'!HZ29</f>
        <v>4</v>
      </c>
      <c r="AT29" s="2333">
        <f>'VISITA DE INSP.'!IA29</f>
        <v>2</v>
      </c>
      <c r="AU29" s="2328">
        <f>'VISITA DE INSP.'!IB29</f>
        <v>1</v>
      </c>
      <c r="AV29" s="2333">
        <f>'VISITA DE INSP.'!IC29</f>
        <v>1</v>
      </c>
      <c r="AW29" s="2328">
        <f>'VISITA DE INSP.'!ID29</f>
        <v>0</v>
      </c>
      <c r="AX29" s="2345">
        <f>'VISITA DE INSP.'!IE29</f>
        <v>0</v>
      </c>
      <c r="AY29" s="2344">
        <f>'VISITA DE INSP.'!IF29</f>
        <v>2</v>
      </c>
      <c r="AZ29" s="2333">
        <f>'VISITA DE INSP.'!IG29</f>
        <v>0</v>
      </c>
      <c r="BA29" s="2328">
        <f>'VISITA DE INSP.'!IH29</f>
        <v>3</v>
      </c>
      <c r="BB29" s="2333">
        <f>'VISITA DE INSP.'!II29</f>
        <v>3</v>
      </c>
      <c r="BC29" s="2328">
        <f>'VISITA DE INSP.'!IJ29</f>
        <v>4</v>
      </c>
      <c r="BD29" s="2333">
        <f>'VISITA DE INSP.'!IK29</f>
        <v>5</v>
      </c>
      <c r="BE29" s="2328">
        <f>'VISITA DE INSP.'!IL29</f>
        <v>3</v>
      </c>
      <c r="BF29" s="2333">
        <f>'VISITA DE INSP.'!IM29</f>
        <v>0</v>
      </c>
      <c r="BG29" s="2328">
        <f>'VISITA DE INSP.'!IN29</f>
        <v>2</v>
      </c>
      <c r="BH29" s="2333">
        <f>'VISITA DE INSP.'!IO29</f>
        <v>1</v>
      </c>
      <c r="BI29" s="2328">
        <f>'VISITA DE INSP.'!IP29</f>
        <v>3</v>
      </c>
      <c r="BJ29" s="2345">
        <f>'VISITA DE INSP.'!IQ29</f>
        <v>0</v>
      </c>
      <c r="BK29" s="2344">
        <f>'VISITA DE INSP.'!IR29</f>
        <v>0</v>
      </c>
      <c r="BL29" s="2333">
        <f>'VISITA DE INSP.'!IS29</f>
        <v>0</v>
      </c>
      <c r="BM29" s="2328">
        <f>'VISITA DE INSP.'!IT29</f>
        <v>0</v>
      </c>
      <c r="BN29" s="2333">
        <f>'VISITA DE INSP.'!IU29</f>
        <v>0</v>
      </c>
      <c r="BO29" s="2328">
        <f>'VISITA DE INSP.'!IV29</f>
        <v>0</v>
      </c>
      <c r="BP29" s="2333">
        <f>'VISITA DE INSP.'!IW29</f>
        <v>0</v>
      </c>
      <c r="BQ29" s="2328">
        <f>'VISITA DE INSP.'!IX29</f>
        <v>0</v>
      </c>
      <c r="BR29" s="2333">
        <f>'VISITA DE INSP.'!IY29</f>
        <v>0</v>
      </c>
      <c r="BS29" s="2328">
        <f>'VISITA DE INSP.'!IZ29</f>
        <v>0</v>
      </c>
      <c r="BT29" s="2333">
        <f>'VISITA DE INSP.'!JA29</f>
        <v>0</v>
      </c>
      <c r="BU29" s="2328">
        <f>'VISITA DE INSP.'!JB29</f>
        <v>0</v>
      </c>
      <c r="BV29" s="2345">
        <f>'VISITA DE INSP.'!JC29</f>
        <v>0</v>
      </c>
      <c r="BW29" s="2344">
        <f>'VISITA DE INSP.'!JD29</f>
        <v>0</v>
      </c>
      <c r="BX29" s="2333">
        <f>'VISITA DE INSP.'!JE29</f>
        <v>1</v>
      </c>
      <c r="BY29" s="2328">
        <f>'VISITA DE INSP.'!JF29</f>
        <v>0</v>
      </c>
      <c r="BZ29" s="2333">
        <f>'VISITA DE INSP.'!JG29</f>
        <v>1</v>
      </c>
      <c r="CA29" s="2328">
        <f>'VISITA DE INSP.'!JH29</f>
        <v>1</v>
      </c>
      <c r="CB29" s="2333">
        <f>'VISITA DE INSP.'!JI29</f>
        <v>0</v>
      </c>
      <c r="CC29" s="2328">
        <f>'VISITA DE INSP.'!JJ29</f>
        <v>1</v>
      </c>
      <c r="CD29" s="2333">
        <f>'VISITA DE INSP.'!JK29</f>
        <v>0</v>
      </c>
      <c r="CE29" s="2328">
        <f>'VISITA DE INSP.'!JL29</f>
        <v>0</v>
      </c>
      <c r="CF29" s="2333">
        <f>'VISITA DE INSP.'!JM29</f>
        <v>1</v>
      </c>
      <c r="CG29" s="2328">
        <f>'VISITA DE INSP.'!JN29</f>
        <v>2</v>
      </c>
      <c r="CH29" s="2345">
        <f>'VISITA DE INSP.'!JO29</f>
        <v>0</v>
      </c>
      <c r="CI29" s="2344">
        <f>'VISITA DE INSP.'!JP29</f>
        <v>0</v>
      </c>
      <c r="CJ29" s="2333">
        <f>'VISITA DE INSP.'!JQ29</f>
        <v>0</v>
      </c>
      <c r="CK29" s="2328">
        <f>'VISITA DE INSP.'!JR29</f>
        <v>0</v>
      </c>
      <c r="CL29" s="2333">
        <f>'VISITA DE INSP.'!JS29</f>
        <v>0</v>
      </c>
      <c r="CM29" s="2328">
        <f>'VISITA DE INSP.'!JT29</f>
        <v>0</v>
      </c>
      <c r="CN29" s="2333">
        <f>'VISITA DE INSP.'!JU29</f>
        <v>0</v>
      </c>
      <c r="CO29" s="2328">
        <f>'VISITA DE INSP.'!JV29</f>
        <v>0</v>
      </c>
      <c r="CP29" s="2333">
        <f>'VISITA DE INSP.'!JW29</f>
        <v>0</v>
      </c>
      <c r="CQ29" s="2328">
        <f>'VISITA DE INSP.'!JX29</f>
        <v>0</v>
      </c>
      <c r="CR29" s="2333">
        <f>'VISITA DE INSP.'!JY29</f>
        <v>0</v>
      </c>
      <c r="CS29" s="2328">
        <f>'VISITA DE INSP.'!JZ29</f>
        <v>0</v>
      </c>
      <c r="CT29" s="2345">
        <f>'VISITA DE INSP.'!KA29</f>
        <v>0</v>
      </c>
      <c r="CU29" s="2344">
        <f>'VISITA DE INSP.'!KB29</f>
        <v>0</v>
      </c>
      <c r="CV29" s="1463">
        <f>'VISITA DE INSP.'!KC29</f>
        <v>0</v>
      </c>
      <c r="CW29" s="1463">
        <f>'VISITA DE INSP.'!KD29</f>
        <v>0</v>
      </c>
      <c r="CX29" s="1463">
        <f>'VISITA DE INSP.'!KE29</f>
        <v>0</v>
      </c>
      <c r="CY29" s="1463">
        <f>'VISITA DE INSP.'!KF29</f>
        <v>0</v>
      </c>
      <c r="CZ29" s="2346">
        <f>'VISITA DE INSP.'!KG29</f>
        <v>0</v>
      </c>
      <c r="DD29" s="2226"/>
    </row>
    <row r="30" spans="1:108" s="1481" customFormat="1" ht="20.25" customHeight="1" thickBot="1">
      <c r="A30" s="5248"/>
      <c r="B30" s="5249"/>
      <c r="C30" s="5250"/>
      <c r="D30" s="2227" t="s">
        <v>406</v>
      </c>
      <c r="E30" s="2228" t="s">
        <v>407</v>
      </c>
      <c r="F30" s="2229" t="s">
        <v>495</v>
      </c>
      <c r="G30" s="2227" t="s">
        <v>406</v>
      </c>
      <c r="H30" s="2228" t="s">
        <v>407</v>
      </c>
      <c r="I30" s="2229" t="s">
        <v>495</v>
      </c>
      <c r="J30" s="2230" t="s">
        <v>406</v>
      </c>
      <c r="K30" s="2228" t="s">
        <v>407</v>
      </c>
      <c r="L30" s="2231" t="s">
        <v>495</v>
      </c>
      <c r="M30" s="2227" t="s">
        <v>406</v>
      </c>
      <c r="N30" s="2228" t="s">
        <v>407</v>
      </c>
      <c r="O30" s="2229" t="s">
        <v>495</v>
      </c>
      <c r="P30" s="2230" t="s">
        <v>406</v>
      </c>
      <c r="Q30" s="2228" t="s">
        <v>407</v>
      </c>
      <c r="R30" s="2231" t="s">
        <v>495</v>
      </c>
      <c r="S30" s="2227" t="s">
        <v>406</v>
      </c>
      <c r="T30" s="2228" t="s">
        <v>407</v>
      </c>
      <c r="U30" s="2229" t="s">
        <v>495</v>
      </c>
      <c r="V30" s="2230" t="s">
        <v>406</v>
      </c>
      <c r="W30" s="2228" t="s">
        <v>407</v>
      </c>
      <c r="X30" s="2232" t="s">
        <v>495</v>
      </c>
      <c r="Y30" s="1460"/>
      <c r="Z30" s="2356">
        <f>'VISITA DE INSP.'!HG30</f>
        <v>6</v>
      </c>
      <c r="AA30" s="2344">
        <f>'VISITA DE INSP.'!HH30</f>
        <v>47</v>
      </c>
      <c r="AB30" s="2333">
        <f>'VISITA DE INSP.'!HI30</f>
        <v>49</v>
      </c>
      <c r="AC30" s="2328">
        <f>'VISITA DE INSP.'!HJ30</f>
        <v>28</v>
      </c>
      <c r="AD30" s="2333">
        <f>'VISITA DE INSP.'!HK30</f>
        <v>34</v>
      </c>
      <c r="AE30" s="2328">
        <f>'VISITA DE INSP.'!HL30</f>
        <v>23</v>
      </c>
      <c r="AF30" s="2333">
        <f>'VISITA DE INSP.'!HM30</f>
        <v>30</v>
      </c>
      <c r="AG30" s="2328">
        <f>'VISITA DE INSP.'!HN30</f>
        <v>33</v>
      </c>
      <c r="AH30" s="2333">
        <f>'VISITA DE INSP.'!HO30</f>
        <v>33</v>
      </c>
      <c r="AI30" s="2328">
        <f>'VISITA DE INSP.'!HP30</f>
        <v>25</v>
      </c>
      <c r="AJ30" s="2333">
        <f>'VISITA DE INSP.'!HQ30</f>
        <v>43</v>
      </c>
      <c r="AK30" s="2328">
        <f>'VISITA DE INSP.'!HR30</f>
        <v>38</v>
      </c>
      <c r="AL30" s="2345">
        <f>'VISITA DE INSP.'!HS30</f>
        <v>30</v>
      </c>
      <c r="AM30" s="2344">
        <f>'VISITA DE INSP.'!HT30</f>
        <v>6</v>
      </c>
      <c r="AN30" s="2333">
        <f>'VISITA DE INSP.'!HU30</f>
        <v>2</v>
      </c>
      <c r="AO30" s="2328">
        <f>'VISITA DE INSP.'!HV30</f>
        <v>3</v>
      </c>
      <c r="AP30" s="2333">
        <f>'VISITA DE INSP.'!HW30</f>
        <v>0</v>
      </c>
      <c r="AQ30" s="2328">
        <f>'VISITA DE INSP.'!HX30</f>
        <v>4</v>
      </c>
      <c r="AR30" s="2333">
        <f>'VISITA DE INSP.'!HY30</f>
        <v>3</v>
      </c>
      <c r="AS30" s="2328">
        <f>'VISITA DE INSP.'!HZ30</f>
        <v>1</v>
      </c>
      <c r="AT30" s="2333">
        <f>'VISITA DE INSP.'!IA30</f>
        <v>2</v>
      </c>
      <c r="AU30" s="2328">
        <f>'VISITA DE INSP.'!IB30</f>
        <v>2</v>
      </c>
      <c r="AV30" s="2333">
        <f>'VISITA DE INSP.'!IC30</f>
        <v>2</v>
      </c>
      <c r="AW30" s="2328">
        <f>'VISITA DE INSP.'!ID30</f>
        <v>0</v>
      </c>
      <c r="AX30" s="2345">
        <f>'VISITA DE INSP.'!IE30</f>
        <v>2</v>
      </c>
      <c r="AY30" s="2344">
        <f>'VISITA DE INSP.'!IF30</f>
        <v>3</v>
      </c>
      <c r="AZ30" s="2333">
        <f>'VISITA DE INSP.'!IG30</f>
        <v>6</v>
      </c>
      <c r="BA30" s="2328">
        <f>'VISITA DE INSP.'!IH30</f>
        <v>4</v>
      </c>
      <c r="BB30" s="2333">
        <f>'VISITA DE INSP.'!II30</f>
        <v>5</v>
      </c>
      <c r="BC30" s="2328">
        <f>'VISITA DE INSP.'!IJ30</f>
        <v>4</v>
      </c>
      <c r="BD30" s="2333">
        <f>'VISITA DE INSP.'!IK30</f>
        <v>2</v>
      </c>
      <c r="BE30" s="2328">
        <f>'VISITA DE INSP.'!IL30</f>
        <v>2</v>
      </c>
      <c r="BF30" s="2333">
        <f>'VISITA DE INSP.'!IM30</f>
        <v>1</v>
      </c>
      <c r="BG30" s="2328">
        <f>'VISITA DE INSP.'!IN30</f>
        <v>1</v>
      </c>
      <c r="BH30" s="2333">
        <f>'VISITA DE INSP.'!IO30</f>
        <v>2</v>
      </c>
      <c r="BI30" s="2328">
        <f>'VISITA DE INSP.'!IP30</f>
        <v>0</v>
      </c>
      <c r="BJ30" s="2345">
        <f>'VISITA DE INSP.'!IQ30</f>
        <v>0</v>
      </c>
      <c r="BK30" s="2344">
        <f>'VISITA DE INSP.'!IR30</f>
        <v>0</v>
      </c>
      <c r="BL30" s="2333">
        <f>'VISITA DE INSP.'!IS30</f>
        <v>0</v>
      </c>
      <c r="BM30" s="2328">
        <f>'VISITA DE INSP.'!IT30</f>
        <v>0</v>
      </c>
      <c r="BN30" s="2333">
        <f>'VISITA DE INSP.'!IU30</f>
        <v>0</v>
      </c>
      <c r="BO30" s="2328">
        <f>'VISITA DE INSP.'!IV30</f>
        <v>0</v>
      </c>
      <c r="BP30" s="2333">
        <f>'VISITA DE INSP.'!IW30</f>
        <v>0</v>
      </c>
      <c r="BQ30" s="2328">
        <f>'VISITA DE INSP.'!IX30</f>
        <v>0</v>
      </c>
      <c r="BR30" s="2333">
        <f>'VISITA DE INSP.'!IY30</f>
        <v>0</v>
      </c>
      <c r="BS30" s="2328">
        <f>'VISITA DE INSP.'!IZ30</f>
        <v>0</v>
      </c>
      <c r="BT30" s="2333">
        <f>'VISITA DE INSP.'!JA30</f>
        <v>0</v>
      </c>
      <c r="BU30" s="2328">
        <f>'VISITA DE INSP.'!JB30</f>
        <v>0</v>
      </c>
      <c r="BV30" s="2345">
        <f>'VISITA DE INSP.'!JC30</f>
        <v>0</v>
      </c>
      <c r="BW30" s="2344">
        <f>'VISITA DE INSP.'!JD30</f>
        <v>0</v>
      </c>
      <c r="BX30" s="2333">
        <f>'VISITA DE INSP.'!JE30</f>
        <v>3</v>
      </c>
      <c r="BY30" s="2328">
        <f>'VISITA DE INSP.'!JF30</f>
        <v>0</v>
      </c>
      <c r="BZ30" s="2333">
        <f>'VISITA DE INSP.'!JG30</f>
        <v>2</v>
      </c>
      <c r="CA30" s="2328">
        <f>'VISITA DE INSP.'!JH30</f>
        <v>0</v>
      </c>
      <c r="CB30" s="2333">
        <f>'VISITA DE INSP.'!JI30</f>
        <v>2</v>
      </c>
      <c r="CC30" s="2328">
        <f>'VISITA DE INSP.'!JJ30</f>
        <v>0</v>
      </c>
      <c r="CD30" s="2333">
        <f>'VISITA DE INSP.'!JK30</f>
        <v>2</v>
      </c>
      <c r="CE30" s="2328">
        <f>'VISITA DE INSP.'!JL30</f>
        <v>2</v>
      </c>
      <c r="CF30" s="2333">
        <f>'VISITA DE INSP.'!JM30</f>
        <v>0</v>
      </c>
      <c r="CG30" s="2328">
        <f>'VISITA DE INSP.'!JN30</f>
        <v>2</v>
      </c>
      <c r="CH30" s="2345">
        <f>'VISITA DE INSP.'!JO30</f>
        <v>0</v>
      </c>
      <c r="CI30" s="2344">
        <f>'VISITA DE INSP.'!JP30</f>
        <v>0</v>
      </c>
      <c r="CJ30" s="2333">
        <f>'VISITA DE INSP.'!JQ30</f>
        <v>0</v>
      </c>
      <c r="CK30" s="2328">
        <f>'VISITA DE INSP.'!JR30</f>
        <v>0</v>
      </c>
      <c r="CL30" s="2333">
        <f>'VISITA DE INSP.'!JS30</f>
        <v>0</v>
      </c>
      <c r="CM30" s="2328">
        <f>'VISITA DE INSP.'!JT30</f>
        <v>0</v>
      </c>
      <c r="CN30" s="2333">
        <f>'VISITA DE INSP.'!JU30</f>
        <v>0</v>
      </c>
      <c r="CO30" s="2328">
        <f>'VISITA DE INSP.'!JV30</f>
        <v>0</v>
      </c>
      <c r="CP30" s="2333">
        <f>'VISITA DE INSP.'!JW30</f>
        <v>0</v>
      </c>
      <c r="CQ30" s="2328">
        <f>'VISITA DE INSP.'!JX30</f>
        <v>0</v>
      </c>
      <c r="CR30" s="2333">
        <f>'VISITA DE INSP.'!JY30</f>
        <v>0</v>
      </c>
      <c r="CS30" s="2328">
        <f>'VISITA DE INSP.'!JZ30</f>
        <v>0</v>
      </c>
      <c r="CT30" s="2345">
        <f>'VISITA DE INSP.'!KA30</f>
        <v>0</v>
      </c>
      <c r="CU30" s="2344">
        <f>'VISITA DE INSP.'!KB30</f>
        <v>0</v>
      </c>
      <c r="CV30" s="1463">
        <f>'VISITA DE INSP.'!KC30</f>
        <v>0</v>
      </c>
      <c r="CW30" s="1463">
        <f>'VISITA DE INSP.'!KD30</f>
        <v>0</v>
      </c>
      <c r="CX30" s="1463">
        <f>'VISITA DE INSP.'!KE30</f>
        <v>0</v>
      </c>
      <c r="CY30" s="1463">
        <f>'VISITA DE INSP.'!KF30</f>
        <v>0</v>
      </c>
      <c r="CZ30" s="2346">
        <f>'VISITA DE INSP.'!KG30</f>
        <v>0</v>
      </c>
    </row>
    <row r="31" spans="1:108" s="1466" customFormat="1" ht="20.25" customHeight="1">
      <c r="A31" s="5236" t="s">
        <v>1448</v>
      </c>
      <c r="B31" s="5237"/>
      <c r="C31" s="5238"/>
      <c r="D31" s="1482">
        <f>VLOOKUP(K13,Z24:CH55,2)</f>
        <v>0</v>
      </c>
      <c r="E31" s="1483">
        <f>VLOOKUP(K13,Z24:CH55,3)</f>
        <v>0</v>
      </c>
      <c r="F31" s="1484">
        <f t="shared" ref="F31:F37" si="0">D31+E31</f>
        <v>0</v>
      </c>
      <c r="G31" s="1482">
        <f>VLOOKUP(K13,Z24:CH55,4)</f>
        <v>0</v>
      </c>
      <c r="H31" s="1483">
        <f>VLOOKUP(K13,Z24:BV55,5)</f>
        <v>0</v>
      </c>
      <c r="I31" s="1484">
        <f t="shared" ref="I31:I37" si="1">G31+H31</f>
        <v>0</v>
      </c>
      <c r="J31" s="1482">
        <f>VLOOKUP(K13,Z24:CH55,6)</f>
        <v>13</v>
      </c>
      <c r="K31" s="1483">
        <f>VLOOKUP(K13,Z24:BV55,7)</f>
        <v>9</v>
      </c>
      <c r="L31" s="1484">
        <f t="shared" ref="L31:L37" si="2">J31+K31</f>
        <v>22</v>
      </c>
      <c r="M31" s="1482">
        <f>VLOOKUP(K13,Z24:CH55,8)</f>
        <v>12</v>
      </c>
      <c r="N31" s="1483">
        <f>VLOOKUP(K13,Z24:CH55,9)</f>
        <v>10</v>
      </c>
      <c r="O31" s="1484">
        <f t="shared" ref="O31:O37" si="3">M31+N31</f>
        <v>22</v>
      </c>
      <c r="P31" s="1482">
        <f>VLOOKUP(K13,Z24:CH55,10)</f>
        <v>16</v>
      </c>
      <c r="Q31" s="1483">
        <f>VLOOKUP(K13,Z24:CH55,11)</f>
        <v>11</v>
      </c>
      <c r="R31" s="1484">
        <f t="shared" ref="R31:R37" si="4">P31+Q31</f>
        <v>27</v>
      </c>
      <c r="S31" s="1482">
        <f>VLOOKUP(K13,Z24:CH55,12)</f>
        <v>22</v>
      </c>
      <c r="T31" s="1483">
        <f>VLOOKUP(K13,Z24:CH55,13)</f>
        <v>22</v>
      </c>
      <c r="U31" s="1484">
        <f t="shared" ref="U31:U37" si="5">S31+T31</f>
        <v>44</v>
      </c>
      <c r="V31" s="1485">
        <f>D31+G31+J31+M31+P31+S31</f>
        <v>63</v>
      </c>
      <c r="W31" s="1483">
        <f t="shared" ref="W31:W37" si="6">E31+H31+K31+N31+Q31+T31</f>
        <v>52</v>
      </c>
      <c r="X31" s="1486">
        <f t="shared" ref="X31:X37" si="7">V31+W31</f>
        <v>115</v>
      </c>
      <c r="Y31" s="2331"/>
      <c r="Z31" s="2356">
        <f>'VISITA DE INSP.'!HG31</f>
        <v>7</v>
      </c>
      <c r="AA31" s="2344">
        <f>'VISITA DE INSP.'!HH31</f>
        <v>0</v>
      </c>
      <c r="AB31" s="2333">
        <f>'VISITA DE INSP.'!HI31</f>
        <v>0</v>
      </c>
      <c r="AC31" s="2328">
        <f>'VISITA DE INSP.'!HJ31</f>
        <v>0</v>
      </c>
      <c r="AD31" s="2333">
        <f>'VISITA DE INSP.'!HK31</f>
        <v>0</v>
      </c>
      <c r="AE31" s="2328">
        <f>'VISITA DE INSP.'!HL31</f>
        <v>13</v>
      </c>
      <c r="AF31" s="2333">
        <f>'VISITA DE INSP.'!HM31</f>
        <v>9</v>
      </c>
      <c r="AG31" s="2328">
        <f>'VISITA DE INSP.'!HN31</f>
        <v>12</v>
      </c>
      <c r="AH31" s="2333">
        <f>'VISITA DE INSP.'!HO31</f>
        <v>10</v>
      </c>
      <c r="AI31" s="2328">
        <f>'VISITA DE INSP.'!HP31</f>
        <v>16</v>
      </c>
      <c r="AJ31" s="2333">
        <f>'VISITA DE INSP.'!HQ31</f>
        <v>11</v>
      </c>
      <c r="AK31" s="2328">
        <f>'VISITA DE INSP.'!HR31</f>
        <v>22</v>
      </c>
      <c r="AL31" s="2345">
        <f>'VISITA DE INSP.'!HS31</f>
        <v>22</v>
      </c>
      <c r="AM31" s="2344">
        <f>'VISITA DE INSP.'!HT31</f>
        <v>0</v>
      </c>
      <c r="AN31" s="2333">
        <f>'VISITA DE INSP.'!HU31</f>
        <v>0</v>
      </c>
      <c r="AO31" s="2328">
        <f>'VISITA DE INSP.'!HV31</f>
        <v>0</v>
      </c>
      <c r="AP31" s="2333">
        <f>'VISITA DE INSP.'!HW31</f>
        <v>0</v>
      </c>
      <c r="AQ31" s="2328">
        <f>'VISITA DE INSP.'!HX31</f>
        <v>1</v>
      </c>
      <c r="AR31" s="2333">
        <f>'VISITA DE INSP.'!HY31</f>
        <v>1</v>
      </c>
      <c r="AS31" s="2328">
        <f>'VISITA DE INSP.'!HZ31</f>
        <v>1</v>
      </c>
      <c r="AT31" s="2333">
        <f>'VISITA DE INSP.'!IA31</f>
        <v>0</v>
      </c>
      <c r="AU31" s="2328">
        <f>'VISITA DE INSP.'!IB31</f>
        <v>1</v>
      </c>
      <c r="AV31" s="2333">
        <f>'VISITA DE INSP.'!IC31</f>
        <v>0</v>
      </c>
      <c r="AW31" s="2328">
        <f>'VISITA DE INSP.'!ID31</f>
        <v>1</v>
      </c>
      <c r="AX31" s="2345">
        <f>'VISITA DE INSP.'!IE31</f>
        <v>0</v>
      </c>
      <c r="AY31" s="2344">
        <f>'VISITA DE INSP.'!IF31</f>
        <v>0</v>
      </c>
      <c r="AZ31" s="2333">
        <f>'VISITA DE INSP.'!IG31</f>
        <v>0</v>
      </c>
      <c r="BA31" s="2328">
        <f>'VISITA DE INSP.'!IH31</f>
        <v>0</v>
      </c>
      <c r="BB31" s="2333">
        <f>'VISITA DE INSP.'!II31</f>
        <v>0</v>
      </c>
      <c r="BC31" s="2328">
        <f>'VISITA DE INSP.'!IJ31</f>
        <v>2</v>
      </c>
      <c r="BD31" s="2333">
        <f>'VISITA DE INSP.'!IK31</f>
        <v>0</v>
      </c>
      <c r="BE31" s="2328">
        <f>'VISITA DE INSP.'!IL31</f>
        <v>2</v>
      </c>
      <c r="BF31" s="2333">
        <f>'VISITA DE INSP.'!IM31</f>
        <v>0</v>
      </c>
      <c r="BG31" s="2328">
        <f>'VISITA DE INSP.'!IN31</f>
        <v>1</v>
      </c>
      <c r="BH31" s="2333">
        <f>'VISITA DE INSP.'!IO31</f>
        <v>3</v>
      </c>
      <c r="BI31" s="2328">
        <f>'VISITA DE INSP.'!IP31</f>
        <v>1</v>
      </c>
      <c r="BJ31" s="2345">
        <f>'VISITA DE INSP.'!IQ31</f>
        <v>1</v>
      </c>
      <c r="BK31" s="2344">
        <f>'VISITA DE INSP.'!IR31</f>
        <v>0</v>
      </c>
      <c r="BL31" s="2333">
        <f>'VISITA DE INSP.'!IS31</f>
        <v>0</v>
      </c>
      <c r="BM31" s="2328">
        <f>'VISITA DE INSP.'!IT31</f>
        <v>0</v>
      </c>
      <c r="BN31" s="2333">
        <f>'VISITA DE INSP.'!IU31</f>
        <v>0</v>
      </c>
      <c r="BO31" s="2328">
        <f>'VISITA DE INSP.'!IV31</f>
        <v>0</v>
      </c>
      <c r="BP31" s="2333">
        <f>'VISITA DE INSP.'!IW31</f>
        <v>0</v>
      </c>
      <c r="BQ31" s="2328">
        <f>'VISITA DE INSP.'!IX31</f>
        <v>0</v>
      </c>
      <c r="BR31" s="2333">
        <f>'VISITA DE INSP.'!IY31</f>
        <v>0</v>
      </c>
      <c r="BS31" s="2328">
        <f>'VISITA DE INSP.'!IZ31</f>
        <v>0</v>
      </c>
      <c r="BT31" s="2333">
        <f>'VISITA DE INSP.'!JA31</f>
        <v>0</v>
      </c>
      <c r="BU31" s="2328">
        <f>'VISITA DE INSP.'!JB31</f>
        <v>0</v>
      </c>
      <c r="BV31" s="2345">
        <f>'VISITA DE INSP.'!JC31</f>
        <v>0</v>
      </c>
      <c r="BW31" s="2344">
        <f>'VISITA DE INSP.'!JD31</f>
        <v>0</v>
      </c>
      <c r="BX31" s="2333">
        <f>'VISITA DE INSP.'!JE31</f>
        <v>0</v>
      </c>
      <c r="BY31" s="2328">
        <f>'VISITA DE INSP.'!JF31</f>
        <v>0</v>
      </c>
      <c r="BZ31" s="2333">
        <f>'VISITA DE INSP.'!JG31</f>
        <v>0</v>
      </c>
      <c r="CA31" s="2328">
        <f>'VISITA DE INSP.'!JH31</f>
        <v>0</v>
      </c>
      <c r="CB31" s="2333">
        <f>'VISITA DE INSP.'!JI31</f>
        <v>1</v>
      </c>
      <c r="CC31" s="2328">
        <f>'VISITA DE INSP.'!JJ31</f>
        <v>0</v>
      </c>
      <c r="CD31" s="2333">
        <f>'VISITA DE INSP.'!JK31</f>
        <v>1</v>
      </c>
      <c r="CE31" s="2328">
        <f>'VISITA DE INSP.'!JL31</f>
        <v>1</v>
      </c>
      <c r="CF31" s="2333">
        <f>'VISITA DE INSP.'!JM31</f>
        <v>0</v>
      </c>
      <c r="CG31" s="2328">
        <f>'VISITA DE INSP.'!JN31</f>
        <v>2</v>
      </c>
      <c r="CH31" s="2345">
        <f>'VISITA DE INSP.'!JO31</f>
        <v>0</v>
      </c>
      <c r="CI31" s="2344">
        <f>'VISITA DE INSP.'!JP31</f>
        <v>0</v>
      </c>
      <c r="CJ31" s="2333">
        <f>'VISITA DE INSP.'!JQ31</f>
        <v>0</v>
      </c>
      <c r="CK31" s="2328">
        <f>'VISITA DE INSP.'!JR31</f>
        <v>0</v>
      </c>
      <c r="CL31" s="2333">
        <f>'VISITA DE INSP.'!JS31</f>
        <v>0</v>
      </c>
      <c r="CM31" s="2328">
        <f>'VISITA DE INSP.'!JT31</f>
        <v>0</v>
      </c>
      <c r="CN31" s="2333">
        <f>'VISITA DE INSP.'!JU31</f>
        <v>0</v>
      </c>
      <c r="CO31" s="2328">
        <f>'VISITA DE INSP.'!JV31</f>
        <v>0</v>
      </c>
      <c r="CP31" s="2333">
        <f>'VISITA DE INSP.'!JW31</f>
        <v>0</v>
      </c>
      <c r="CQ31" s="2328">
        <f>'VISITA DE INSP.'!JX31</f>
        <v>0</v>
      </c>
      <c r="CR31" s="2333">
        <f>'VISITA DE INSP.'!JY31</f>
        <v>0</v>
      </c>
      <c r="CS31" s="2328">
        <f>'VISITA DE INSP.'!JZ31</f>
        <v>0</v>
      </c>
      <c r="CT31" s="2345">
        <f>'VISITA DE INSP.'!KA31</f>
        <v>0</v>
      </c>
      <c r="CU31" s="2344">
        <f>'VISITA DE INSP.'!KB31</f>
        <v>0</v>
      </c>
      <c r="CV31" s="1463">
        <f>'VISITA DE INSP.'!KC31</f>
        <v>0</v>
      </c>
      <c r="CW31" s="1463">
        <f>'VISITA DE INSP.'!KD31</f>
        <v>0</v>
      </c>
      <c r="CX31" s="1463">
        <f>'VISITA DE INSP.'!KE31</f>
        <v>0</v>
      </c>
      <c r="CY31" s="1463">
        <f>'VISITA DE INSP.'!KF31</f>
        <v>0</v>
      </c>
      <c r="CZ31" s="2346">
        <f>'VISITA DE INSP.'!KG31</f>
        <v>0</v>
      </c>
    </row>
    <row r="32" spans="1:108" s="1466" customFormat="1" ht="20.25" customHeight="1">
      <c r="A32" s="5239" t="s">
        <v>1449</v>
      </c>
      <c r="B32" s="5240"/>
      <c r="C32" s="5241"/>
      <c r="D32" s="1482">
        <f>VLOOKUP(K13,Z24:CH55,14)</f>
        <v>0</v>
      </c>
      <c r="E32" s="1483">
        <f>VLOOKUP(K13,Z24:CH55,15)</f>
        <v>0</v>
      </c>
      <c r="F32" s="1484">
        <f t="shared" si="0"/>
        <v>0</v>
      </c>
      <c r="G32" s="1482">
        <f>VLOOKUP(K13,Z24:CH55,16)</f>
        <v>0</v>
      </c>
      <c r="H32" s="1483">
        <f>VLOOKUP(K13,Z24:BV55,17)</f>
        <v>0</v>
      </c>
      <c r="I32" s="1484">
        <f t="shared" si="1"/>
        <v>0</v>
      </c>
      <c r="J32" s="1482">
        <f>VLOOKUP(K13,Z24:CH55,18)</f>
        <v>1</v>
      </c>
      <c r="K32" s="1483">
        <f>VLOOKUP(K13,Z24:BV55,19)</f>
        <v>1</v>
      </c>
      <c r="L32" s="1484">
        <f t="shared" si="2"/>
        <v>2</v>
      </c>
      <c r="M32" s="1482">
        <f>VLOOKUP(K13,Z24:CH55,20)</f>
        <v>1</v>
      </c>
      <c r="N32" s="1483">
        <f>VLOOKUP(K13,Z24:CH55,21)</f>
        <v>0</v>
      </c>
      <c r="O32" s="1484">
        <f t="shared" si="3"/>
        <v>1</v>
      </c>
      <c r="P32" s="1482">
        <f>VLOOKUP(K13,Z24:CH55,22)</f>
        <v>1</v>
      </c>
      <c r="Q32" s="1483">
        <f>VLOOKUP(K13,Z24:CH55,23)</f>
        <v>0</v>
      </c>
      <c r="R32" s="1484">
        <f t="shared" si="4"/>
        <v>1</v>
      </c>
      <c r="S32" s="1482">
        <f>VLOOKUP(K13,Z24:CH55,24)</f>
        <v>1</v>
      </c>
      <c r="T32" s="1483">
        <f>VLOOKUP(K13,Z24:CH55,25)</f>
        <v>0</v>
      </c>
      <c r="U32" s="1484">
        <f t="shared" si="5"/>
        <v>1</v>
      </c>
      <c r="V32" s="1485">
        <f t="shared" ref="V32:V37" si="8">D32+G32+J32+M32+P32+S32</f>
        <v>4</v>
      </c>
      <c r="W32" s="1483">
        <f t="shared" si="6"/>
        <v>1</v>
      </c>
      <c r="X32" s="1486">
        <f t="shared" si="7"/>
        <v>5</v>
      </c>
      <c r="Y32" s="2331"/>
      <c r="Z32" s="2356">
        <f>'VISITA DE INSP.'!HG32</f>
        <v>8</v>
      </c>
      <c r="AA32" s="2344">
        <f>'VISITA DE INSP.'!HH32</f>
        <v>0</v>
      </c>
      <c r="AB32" s="2333">
        <f>'VISITA DE INSP.'!HI32</f>
        <v>0</v>
      </c>
      <c r="AC32" s="2328">
        <f>'VISITA DE INSP.'!HJ32</f>
        <v>0</v>
      </c>
      <c r="AD32" s="2333">
        <f>'VISITA DE INSP.'!HK32</f>
        <v>0</v>
      </c>
      <c r="AE32" s="2328">
        <f>'VISITA DE INSP.'!HL32</f>
        <v>0</v>
      </c>
      <c r="AF32" s="2333">
        <f>'VISITA DE INSP.'!HM32</f>
        <v>0</v>
      </c>
      <c r="AG32" s="2328">
        <f>'VISITA DE INSP.'!HN32</f>
        <v>0</v>
      </c>
      <c r="AH32" s="2333">
        <f>'VISITA DE INSP.'!HO32</f>
        <v>0</v>
      </c>
      <c r="AI32" s="2328">
        <f>'VISITA DE INSP.'!HP32</f>
        <v>9</v>
      </c>
      <c r="AJ32" s="2333">
        <f>'VISITA DE INSP.'!HQ32</f>
        <v>11</v>
      </c>
      <c r="AK32" s="2328">
        <f>'VISITA DE INSP.'!HR32</f>
        <v>16</v>
      </c>
      <c r="AL32" s="2345">
        <f>'VISITA DE INSP.'!HS32</f>
        <v>12</v>
      </c>
      <c r="AM32" s="2344">
        <f>'VISITA DE INSP.'!HT32</f>
        <v>0</v>
      </c>
      <c r="AN32" s="2333">
        <f>'VISITA DE INSP.'!HU32</f>
        <v>0</v>
      </c>
      <c r="AO32" s="2328">
        <f>'VISITA DE INSP.'!HV32</f>
        <v>0</v>
      </c>
      <c r="AP32" s="2333">
        <f>'VISITA DE INSP.'!HW32</f>
        <v>0</v>
      </c>
      <c r="AQ32" s="2328">
        <f>'VISITA DE INSP.'!HX32</f>
        <v>0</v>
      </c>
      <c r="AR32" s="2333">
        <f>'VISITA DE INSP.'!HY32</f>
        <v>0</v>
      </c>
      <c r="AS32" s="2328">
        <f>'VISITA DE INSP.'!HZ32</f>
        <v>0</v>
      </c>
      <c r="AT32" s="2333">
        <f>'VISITA DE INSP.'!IA32</f>
        <v>0</v>
      </c>
      <c r="AU32" s="2328">
        <f>'VISITA DE INSP.'!IB32</f>
        <v>0</v>
      </c>
      <c r="AV32" s="2333">
        <f>'VISITA DE INSP.'!IC32</f>
        <v>1</v>
      </c>
      <c r="AW32" s="2328">
        <f>'VISITA DE INSP.'!ID32</f>
        <v>1</v>
      </c>
      <c r="AX32" s="2345">
        <f>'VISITA DE INSP.'!IE32</f>
        <v>0</v>
      </c>
      <c r="AY32" s="2344">
        <f>'VISITA DE INSP.'!IF32</f>
        <v>0</v>
      </c>
      <c r="AZ32" s="2333">
        <f>'VISITA DE INSP.'!IG32</f>
        <v>0</v>
      </c>
      <c r="BA32" s="2328">
        <f>'VISITA DE INSP.'!IH32</f>
        <v>0</v>
      </c>
      <c r="BB32" s="2333">
        <f>'VISITA DE INSP.'!II32</f>
        <v>0</v>
      </c>
      <c r="BC32" s="2328">
        <f>'VISITA DE INSP.'!IJ32</f>
        <v>0</v>
      </c>
      <c r="BD32" s="2333">
        <f>'VISITA DE INSP.'!IK32</f>
        <v>0</v>
      </c>
      <c r="BE32" s="2328">
        <f>'VISITA DE INSP.'!IL32</f>
        <v>0</v>
      </c>
      <c r="BF32" s="2333">
        <f>'VISITA DE INSP.'!IM32</f>
        <v>0</v>
      </c>
      <c r="BG32" s="2328">
        <f>'VISITA DE INSP.'!IN32</f>
        <v>1</v>
      </c>
      <c r="BH32" s="2333">
        <f>'VISITA DE INSP.'!IO32</f>
        <v>1</v>
      </c>
      <c r="BI32" s="2328">
        <f>'VISITA DE INSP.'!IP32</f>
        <v>4</v>
      </c>
      <c r="BJ32" s="2345">
        <f>'VISITA DE INSP.'!IQ32</f>
        <v>2</v>
      </c>
      <c r="BK32" s="2344">
        <f>'VISITA DE INSP.'!IR32</f>
        <v>0</v>
      </c>
      <c r="BL32" s="2333">
        <f>'VISITA DE INSP.'!IS32</f>
        <v>0</v>
      </c>
      <c r="BM32" s="2328">
        <f>'VISITA DE INSP.'!IT32</f>
        <v>0</v>
      </c>
      <c r="BN32" s="2333">
        <f>'VISITA DE INSP.'!IU32</f>
        <v>0</v>
      </c>
      <c r="BO32" s="2328">
        <f>'VISITA DE INSP.'!IV32</f>
        <v>0</v>
      </c>
      <c r="BP32" s="2333">
        <f>'VISITA DE INSP.'!IW32</f>
        <v>0</v>
      </c>
      <c r="BQ32" s="2328">
        <f>'VISITA DE INSP.'!IX32</f>
        <v>0</v>
      </c>
      <c r="BR32" s="2333">
        <f>'VISITA DE INSP.'!IY32</f>
        <v>0</v>
      </c>
      <c r="BS32" s="2328">
        <f>'VISITA DE INSP.'!IZ32</f>
        <v>0</v>
      </c>
      <c r="BT32" s="2333">
        <f>'VISITA DE INSP.'!JA32</f>
        <v>0</v>
      </c>
      <c r="BU32" s="2328">
        <f>'VISITA DE INSP.'!JB32</f>
        <v>0</v>
      </c>
      <c r="BV32" s="2345">
        <f>'VISITA DE INSP.'!JC32</f>
        <v>0</v>
      </c>
      <c r="BW32" s="2344">
        <f>'VISITA DE INSP.'!JD32</f>
        <v>0</v>
      </c>
      <c r="BX32" s="2333">
        <f>'VISITA DE INSP.'!JE32</f>
        <v>0</v>
      </c>
      <c r="BY32" s="2328">
        <f>'VISITA DE INSP.'!JF32</f>
        <v>0</v>
      </c>
      <c r="BZ32" s="2333">
        <f>'VISITA DE INSP.'!JG32</f>
        <v>0</v>
      </c>
      <c r="CA32" s="2328">
        <f>'VISITA DE INSP.'!JH32</f>
        <v>0</v>
      </c>
      <c r="CB32" s="2333">
        <f>'VISITA DE INSP.'!JI32</f>
        <v>0</v>
      </c>
      <c r="CC32" s="2328">
        <f>'VISITA DE INSP.'!JJ32</f>
        <v>0</v>
      </c>
      <c r="CD32" s="2333">
        <f>'VISITA DE INSP.'!JK32</f>
        <v>0</v>
      </c>
      <c r="CE32" s="2328">
        <f>'VISITA DE INSP.'!JL32</f>
        <v>1</v>
      </c>
      <c r="CF32" s="2333">
        <f>'VISITA DE INSP.'!JM32</f>
        <v>0</v>
      </c>
      <c r="CG32" s="2328">
        <f>'VISITA DE INSP.'!JN32</f>
        <v>0</v>
      </c>
      <c r="CH32" s="2345">
        <f>'VISITA DE INSP.'!JO32</f>
        <v>1</v>
      </c>
      <c r="CI32" s="2344">
        <f>'VISITA DE INSP.'!JP32</f>
        <v>0</v>
      </c>
      <c r="CJ32" s="2333">
        <f>'VISITA DE INSP.'!JQ32</f>
        <v>0</v>
      </c>
      <c r="CK32" s="2328">
        <f>'VISITA DE INSP.'!JR32</f>
        <v>0</v>
      </c>
      <c r="CL32" s="2333">
        <f>'VISITA DE INSP.'!JS32</f>
        <v>0</v>
      </c>
      <c r="CM32" s="2328">
        <f>'VISITA DE INSP.'!JT32</f>
        <v>0</v>
      </c>
      <c r="CN32" s="2333">
        <f>'VISITA DE INSP.'!JU32</f>
        <v>0</v>
      </c>
      <c r="CO32" s="2328">
        <f>'VISITA DE INSP.'!JV32</f>
        <v>0</v>
      </c>
      <c r="CP32" s="2333">
        <f>'VISITA DE INSP.'!JW32</f>
        <v>0</v>
      </c>
      <c r="CQ32" s="2328">
        <f>'VISITA DE INSP.'!JX32</f>
        <v>0</v>
      </c>
      <c r="CR32" s="2333">
        <f>'VISITA DE INSP.'!JY32</f>
        <v>0</v>
      </c>
      <c r="CS32" s="2328">
        <f>'VISITA DE INSP.'!JZ32</f>
        <v>0</v>
      </c>
      <c r="CT32" s="2345">
        <f>'VISITA DE INSP.'!KA32</f>
        <v>0</v>
      </c>
      <c r="CU32" s="2344">
        <f>'VISITA DE INSP.'!KB32</f>
        <v>0</v>
      </c>
      <c r="CV32" s="1463">
        <f>'VISITA DE INSP.'!KC32</f>
        <v>0</v>
      </c>
      <c r="CW32" s="1463">
        <f>'VISITA DE INSP.'!KD32</f>
        <v>0</v>
      </c>
      <c r="CX32" s="1463">
        <f>'VISITA DE INSP.'!KE32</f>
        <v>0</v>
      </c>
      <c r="CY32" s="1463">
        <f>'VISITA DE INSP.'!KF32</f>
        <v>0</v>
      </c>
      <c r="CZ32" s="2346">
        <f>'VISITA DE INSP.'!KG32</f>
        <v>0</v>
      </c>
    </row>
    <row r="33" spans="1:104" s="1466" customFormat="1" ht="20.25" customHeight="1">
      <c r="A33" s="5239" t="s">
        <v>1450</v>
      </c>
      <c r="B33" s="5240"/>
      <c r="C33" s="5241"/>
      <c r="D33" s="1482">
        <f>D31+D32</f>
        <v>0</v>
      </c>
      <c r="E33" s="1483">
        <f>E31+E32</f>
        <v>0</v>
      </c>
      <c r="F33" s="1484">
        <f t="shared" si="0"/>
        <v>0</v>
      </c>
      <c r="G33" s="1482">
        <f>G31+G32</f>
        <v>0</v>
      </c>
      <c r="H33" s="1483">
        <f>H31+H32</f>
        <v>0</v>
      </c>
      <c r="I33" s="1484">
        <f t="shared" si="1"/>
        <v>0</v>
      </c>
      <c r="J33" s="1482">
        <f>J31+J32</f>
        <v>14</v>
      </c>
      <c r="K33" s="1483">
        <f>K31+K32</f>
        <v>10</v>
      </c>
      <c r="L33" s="1484">
        <f t="shared" si="2"/>
        <v>24</v>
      </c>
      <c r="M33" s="1482">
        <f>M31+M32</f>
        <v>13</v>
      </c>
      <c r="N33" s="1483">
        <f>N31+N32</f>
        <v>10</v>
      </c>
      <c r="O33" s="1484">
        <f t="shared" si="3"/>
        <v>23</v>
      </c>
      <c r="P33" s="1482">
        <f>P31+P32</f>
        <v>17</v>
      </c>
      <c r="Q33" s="1483">
        <f>Q31+Q32</f>
        <v>11</v>
      </c>
      <c r="R33" s="1484">
        <f t="shared" si="4"/>
        <v>28</v>
      </c>
      <c r="S33" s="1482">
        <f>S31+S32</f>
        <v>23</v>
      </c>
      <c r="T33" s="1483">
        <f>T31+T32</f>
        <v>22</v>
      </c>
      <c r="U33" s="1484">
        <f t="shared" si="5"/>
        <v>45</v>
      </c>
      <c r="V33" s="1485">
        <f>D33+G33+J33+M33+P33+S33</f>
        <v>67</v>
      </c>
      <c r="W33" s="1483">
        <f>E33+H33+K33+N33+Q33+T33</f>
        <v>53</v>
      </c>
      <c r="X33" s="1486">
        <f t="shared" si="7"/>
        <v>120</v>
      </c>
      <c r="Y33" s="2331"/>
      <c r="Z33" s="2356">
        <f>'VISITA DE INSP.'!HG33</f>
        <v>9</v>
      </c>
      <c r="AA33" s="2344">
        <f>'VISITA DE INSP.'!HH33</f>
        <v>30</v>
      </c>
      <c r="AB33" s="2333">
        <f>'VISITA DE INSP.'!HI33</f>
        <v>24</v>
      </c>
      <c r="AC33" s="2328">
        <f>'VISITA DE INSP.'!HJ33</f>
        <v>37</v>
      </c>
      <c r="AD33" s="2333">
        <f>'VISITA DE INSP.'!HK33</f>
        <v>22</v>
      </c>
      <c r="AE33" s="2328">
        <f>'VISITA DE INSP.'!HL33</f>
        <v>42</v>
      </c>
      <c r="AF33" s="2333">
        <f>'VISITA DE INSP.'!HM33</f>
        <v>25</v>
      </c>
      <c r="AG33" s="2328">
        <f>'VISITA DE INSP.'!HN33</f>
        <v>26</v>
      </c>
      <c r="AH33" s="2333">
        <f>'VISITA DE INSP.'!HO33</f>
        <v>39</v>
      </c>
      <c r="AI33" s="2328">
        <f>'VISITA DE INSP.'!HP33</f>
        <v>36</v>
      </c>
      <c r="AJ33" s="2333">
        <f>'VISITA DE INSP.'!HQ33</f>
        <v>32</v>
      </c>
      <c r="AK33" s="2328">
        <f>'VISITA DE INSP.'!HR33</f>
        <v>40</v>
      </c>
      <c r="AL33" s="2345">
        <f>'VISITA DE INSP.'!HS33</f>
        <v>30</v>
      </c>
      <c r="AM33" s="2344">
        <f>'VISITA DE INSP.'!HT33</f>
        <v>4</v>
      </c>
      <c r="AN33" s="2333">
        <f>'VISITA DE INSP.'!HU33</f>
        <v>4</v>
      </c>
      <c r="AO33" s="2328">
        <f>'VISITA DE INSP.'!HV33</f>
        <v>4</v>
      </c>
      <c r="AP33" s="2333">
        <f>'VISITA DE INSP.'!HW33</f>
        <v>3</v>
      </c>
      <c r="AQ33" s="2328">
        <f>'VISITA DE INSP.'!HX33</f>
        <v>3</v>
      </c>
      <c r="AR33" s="2333">
        <f>'VISITA DE INSP.'!HY33</f>
        <v>1</v>
      </c>
      <c r="AS33" s="2328">
        <f>'VISITA DE INSP.'!HZ33</f>
        <v>2</v>
      </c>
      <c r="AT33" s="2333">
        <f>'VISITA DE INSP.'!IA33</f>
        <v>3</v>
      </c>
      <c r="AU33" s="2328">
        <f>'VISITA DE INSP.'!IB33</f>
        <v>3</v>
      </c>
      <c r="AV33" s="2333">
        <f>'VISITA DE INSP.'!IC33</f>
        <v>3</v>
      </c>
      <c r="AW33" s="2328">
        <f>'VISITA DE INSP.'!ID33</f>
        <v>1</v>
      </c>
      <c r="AX33" s="2345">
        <f>'VISITA DE INSP.'!IE33</f>
        <v>3</v>
      </c>
      <c r="AY33" s="2344">
        <f>'VISITA DE INSP.'!IF33</f>
        <v>3</v>
      </c>
      <c r="AZ33" s="2333">
        <f>'VISITA DE INSP.'!IG33</f>
        <v>8</v>
      </c>
      <c r="BA33" s="2328">
        <f>'VISITA DE INSP.'!IH33</f>
        <v>10</v>
      </c>
      <c r="BB33" s="2333">
        <f>'VISITA DE INSP.'!II33</f>
        <v>3</v>
      </c>
      <c r="BC33" s="2328">
        <f>'VISITA DE INSP.'!IJ33</f>
        <v>13</v>
      </c>
      <c r="BD33" s="2333">
        <f>'VISITA DE INSP.'!IK33</f>
        <v>11</v>
      </c>
      <c r="BE33" s="2328">
        <f>'VISITA DE INSP.'!IL33</f>
        <v>2</v>
      </c>
      <c r="BF33" s="2333">
        <f>'VISITA DE INSP.'!IM33</f>
        <v>4</v>
      </c>
      <c r="BG33" s="2328">
        <f>'VISITA DE INSP.'!IN33</f>
        <v>3</v>
      </c>
      <c r="BH33" s="2333">
        <f>'VISITA DE INSP.'!IO33</f>
        <v>7</v>
      </c>
      <c r="BI33" s="2328">
        <f>'VISITA DE INSP.'!IP33</f>
        <v>7</v>
      </c>
      <c r="BJ33" s="2345">
        <f>'VISITA DE INSP.'!IQ33</f>
        <v>1</v>
      </c>
      <c r="BK33" s="2344">
        <f>'VISITA DE INSP.'!IR33</f>
        <v>0</v>
      </c>
      <c r="BL33" s="2333">
        <f>'VISITA DE INSP.'!IS33</f>
        <v>0</v>
      </c>
      <c r="BM33" s="2328">
        <f>'VISITA DE INSP.'!IT33</f>
        <v>0</v>
      </c>
      <c r="BN33" s="2333">
        <f>'VISITA DE INSP.'!IU33</f>
        <v>0</v>
      </c>
      <c r="BO33" s="2328">
        <f>'VISITA DE INSP.'!IV33</f>
        <v>0</v>
      </c>
      <c r="BP33" s="2333">
        <f>'VISITA DE INSP.'!IW33</f>
        <v>0</v>
      </c>
      <c r="BQ33" s="2328">
        <f>'VISITA DE INSP.'!IX33</f>
        <v>0</v>
      </c>
      <c r="BR33" s="2333">
        <f>'VISITA DE INSP.'!IY33</f>
        <v>0</v>
      </c>
      <c r="BS33" s="2328">
        <f>'VISITA DE INSP.'!IZ33</f>
        <v>0</v>
      </c>
      <c r="BT33" s="2333">
        <f>'VISITA DE INSP.'!JA33</f>
        <v>0</v>
      </c>
      <c r="BU33" s="2328">
        <f>'VISITA DE INSP.'!JB33</f>
        <v>0</v>
      </c>
      <c r="BV33" s="2345">
        <f>'VISITA DE INSP.'!JC33</f>
        <v>0</v>
      </c>
      <c r="BW33" s="2344">
        <f>'VISITA DE INSP.'!JD33</f>
        <v>1</v>
      </c>
      <c r="BX33" s="2333">
        <f>'VISITA DE INSP.'!JE33</f>
        <v>1</v>
      </c>
      <c r="BY33" s="2328">
        <f>'VISITA DE INSP.'!JF33</f>
        <v>0</v>
      </c>
      <c r="BZ33" s="2333">
        <f>'VISITA DE INSP.'!JG33</f>
        <v>2</v>
      </c>
      <c r="CA33" s="2328">
        <f>'VISITA DE INSP.'!JH33</f>
        <v>0</v>
      </c>
      <c r="CB33" s="2333">
        <f>'VISITA DE INSP.'!JI33</f>
        <v>2</v>
      </c>
      <c r="CC33" s="2328">
        <f>'VISITA DE INSP.'!JJ33</f>
        <v>0</v>
      </c>
      <c r="CD33" s="2333">
        <f>'VISITA DE INSP.'!JK33</f>
        <v>2</v>
      </c>
      <c r="CE33" s="2328">
        <f>'VISITA DE INSP.'!JL33</f>
        <v>0</v>
      </c>
      <c r="CF33" s="2333">
        <f>'VISITA DE INSP.'!JM33</f>
        <v>2</v>
      </c>
      <c r="CG33" s="2328">
        <f>'VISITA DE INSP.'!JN33</f>
        <v>2</v>
      </c>
      <c r="CH33" s="2345">
        <f>'VISITA DE INSP.'!JO33</f>
        <v>0</v>
      </c>
      <c r="CI33" s="2344">
        <f>'VISITA DE INSP.'!JP33</f>
        <v>0</v>
      </c>
      <c r="CJ33" s="2333">
        <f>'VISITA DE INSP.'!JQ33</f>
        <v>0</v>
      </c>
      <c r="CK33" s="2328">
        <f>'VISITA DE INSP.'!JR33</f>
        <v>0</v>
      </c>
      <c r="CL33" s="2333">
        <f>'VISITA DE INSP.'!JS33</f>
        <v>0</v>
      </c>
      <c r="CM33" s="2328">
        <f>'VISITA DE INSP.'!JT33</f>
        <v>0</v>
      </c>
      <c r="CN33" s="2333">
        <f>'VISITA DE INSP.'!JU33</f>
        <v>0</v>
      </c>
      <c r="CO33" s="2328">
        <f>'VISITA DE INSP.'!JV33</f>
        <v>0</v>
      </c>
      <c r="CP33" s="2333">
        <f>'VISITA DE INSP.'!JW33</f>
        <v>0</v>
      </c>
      <c r="CQ33" s="2328">
        <f>'VISITA DE INSP.'!JX33</f>
        <v>0</v>
      </c>
      <c r="CR33" s="2333">
        <f>'VISITA DE INSP.'!JY33</f>
        <v>0</v>
      </c>
      <c r="CS33" s="2328">
        <f>'VISITA DE INSP.'!JZ33</f>
        <v>0</v>
      </c>
      <c r="CT33" s="2345">
        <f>'VISITA DE INSP.'!KA33</f>
        <v>0</v>
      </c>
      <c r="CU33" s="2344">
        <f>'VISITA DE INSP.'!KB33</f>
        <v>0</v>
      </c>
      <c r="CV33" s="1463">
        <f>'VISITA DE INSP.'!KC33</f>
        <v>0</v>
      </c>
      <c r="CW33" s="1463">
        <f>'VISITA DE INSP.'!KD33</f>
        <v>0</v>
      </c>
      <c r="CX33" s="1463">
        <f>'VISITA DE INSP.'!KE33</f>
        <v>0</v>
      </c>
      <c r="CY33" s="1463">
        <f>'VISITA DE INSP.'!KF33</f>
        <v>0</v>
      </c>
      <c r="CZ33" s="2346">
        <f>'VISITA DE INSP.'!KG33</f>
        <v>0</v>
      </c>
    </row>
    <row r="34" spans="1:104" s="1466" customFormat="1" ht="20.25" customHeight="1">
      <c r="A34" s="5239" t="s">
        <v>1451</v>
      </c>
      <c r="B34" s="5240"/>
      <c r="C34" s="5241"/>
      <c r="D34" s="1482">
        <f>VLOOKUP(K13,Z24:CH55,26)</f>
        <v>0</v>
      </c>
      <c r="E34" s="1483">
        <f>VLOOKUP(K13,Z24:CH55,27)</f>
        <v>0</v>
      </c>
      <c r="F34" s="1484">
        <f t="shared" si="0"/>
        <v>0</v>
      </c>
      <c r="G34" s="1482">
        <f>VLOOKUP(K13,Z24:CH55,28)</f>
        <v>0</v>
      </c>
      <c r="H34" s="1483">
        <f>VLOOKUP(K13,Z24:CH55,29)</f>
        <v>0</v>
      </c>
      <c r="I34" s="1484">
        <f t="shared" si="1"/>
        <v>0</v>
      </c>
      <c r="J34" s="1482">
        <f>VLOOKUP(K13,Z24:CH55,30)</f>
        <v>2</v>
      </c>
      <c r="K34" s="1483">
        <f>VLOOKUP(K13,Z24:BV55,31)</f>
        <v>0</v>
      </c>
      <c r="L34" s="1484">
        <f t="shared" si="2"/>
        <v>2</v>
      </c>
      <c r="M34" s="1482">
        <f>VLOOKUP(K13,Z24:CH55,32)</f>
        <v>2</v>
      </c>
      <c r="N34" s="1483">
        <f>VLOOKUP(K13,Z24:CH55,33)</f>
        <v>0</v>
      </c>
      <c r="O34" s="1484">
        <f t="shared" si="3"/>
        <v>2</v>
      </c>
      <c r="P34" s="1482">
        <f>VLOOKUP(K13,Z24:CH55,34)</f>
        <v>1</v>
      </c>
      <c r="Q34" s="1483">
        <f>VLOOKUP(K13,Z24:CH55,35)</f>
        <v>3</v>
      </c>
      <c r="R34" s="1484">
        <f t="shared" si="4"/>
        <v>4</v>
      </c>
      <c r="S34" s="1482">
        <f>VLOOKUP(K13,Z24:CH55,36)</f>
        <v>1</v>
      </c>
      <c r="T34" s="1483">
        <f>VLOOKUP(K13,Z24:CH55,37)</f>
        <v>1</v>
      </c>
      <c r="U34" s="1484">
        <f>S34+T34</f>
        <v>2</v>
      </c>
      <c r="V34" s="1485">
        <f>D34+G34+J34+M34+P34+S34</f>
        <v>6</v>
      </c>
      <c r="W34" s="1483">
        <f t="shared" si="6"/>
        <v>4</v>
      </c>
      <c r="X34" s="1486">
        <f>V34+W34</f>
        <v>10</v>
      </c>
      <c r="Y34" s="2331"/>
      <c r="Z34" s="2356">
        <f>'VISITA DE INSP.'!HG34</f>
        <v>10</v>
      </c>
      <c r="AA34" s="2344">
        <f>'VISITA DE INSP.'!HH34</f>
        <v>19</v>
      </c>
      <c r="AB34" s="2333">
        <f>'VISITA DE INSP.'!HI34</f>
        <v>15</v>
      </c>
      <c r="AC34" s="2328">
        <f>'VISITA DE INSP.'!HJ34</f>
        <v>23</v>
      </c>
      <c r="AD34" s="2333">
        <f>'VISITA DE INSP.'!HK34</f>
        <v>12</v>
      </c>
      <c r="AE34" s="2328">
        <f>'VISITA DE INSP.'!HL34</f>
        <v>20</v>
      </c>
      <c r="AF34" s="2333">
        <f>'VISITA DE INSP.'!HM34</f>
        <v>14</v>
      </c>
      <c r="AG34" s="2328">
        <f>'VISITA DE INSP.'!HN34</f>
        <v>20</v>
      </c>
      <c r="AH34" s="2333">
        <f>'VISITA DE INSP.'!HO34</f>
        <v>14</v>
      </c>
      <c r="AI34" s="2328">
        <f>'VISITA DE INSP.'!HP34</f>
        <v>34</v>
      </c>
      <c r="AJ34" s="2333">
        <f>'VISITA DE INSP.'!HQ34</f>
        <v>24</v>
      </c>
      <c r="AK34" s="2328">
        <f>'VISITA DE INSP.'!HR34</f>
        <v>21</v>
      </c>
      <c r="AL34" s="2345">
        <f>'VISITA DE INSP.'!HS34</f>
        <v>13</v>
      </c>
      <c r="AM34" s="2344">
        <f>'VISITA DE INSP.'!HT34</f>
        <v>0</v>
      </c>
      <c r="AN34" s="2333">
        <f>'VISITA DE INSP.'!HU34</f>
        <v>1</v>
      </c>
      <c r="AO34" s="2328">
        <f>'VISITA DE INSP.'!HV34</f>
        <v>0</v>
      </c>
      <c r="AP34" s="2333">
        <f>'VISITA DE INSP.'!HW34</f>
        <v>1</v>
      </c>
      <c r="AQ34" s="2328">
        <f>'VISITA DE INSP.'!HX34</f>
        <v>2</v>
      </c>
      <c r="AR34" s="2333">
        <f>'VISITA DE INSP.'!HY34</f>
        <v>1</v>
      </c>
      <c r="AS34" s="2328">
        <f>'VISITA DE INSP.'!HZ34</f>
        <v>1</v>
      </c>
      <c r="AT34" s="2333">
        <f>'VISITA DE INSP.'!IA34</f>
        <v>2</v>
      </c>
      <c r="AU34" s="2328">
        <f>'VISITA DE INSP.'!IB34</f>
        <v>3</v>
      </c>
      <c r="AV34" s="2333">
        <f>'VISITA DE INSP.'!IC34</f>
        <v>3</v>
      </c>
      <c r="AW34" s="2328">
        <f>'VISITA DE INSP.'!ID34</f>
        <v>1</v>
      </c>
      <c r="AX34" s="2345">
        <f>'VISITA DE INSP.'!IE34</f>
        <v>1</v>
      </c>
      <c r="AY34" s="2344">
        <f>'VISITA DE INSP.'!IF34</f>
        <v>0</v>
      </c>
      <c r="AZ34" s="2333">
        <f>'VISITA DE INSP.'!IG34</f>
        <v>0</v>
      </c>
      <c r="BA34" s="2328">
        <f>'VISITA DE INSP.'!IH34</f>
        <v>0</v>
      </c>
      <c r="BB34" s="2333">
        <f>'VISITA DE INSP.'!II34</f>
        <v>3</v>
      </c>
      <c r="BC34" s="2328">
        <f>'VISITA DE INSP.'!IJ34</f>
        <v>1</v>
      </c>
      <c r="BD34" s="2333">
        <f>'VISITA DE INSP.'!IK34</f>
        <v>1</v>
      </c>
      <c r="BE34" s="2328">
        <f>'VISITA DE INSP.'!IL34</f>
        <v>1</v>
      </c>
      <c r="BF34" s="2333">
        <f>'VISITA DE INSP.'!IM34</f>
        <v>1</v>
      </c>
      <c r="BG34" s="2328">
        <f>'VISITA DE INSP.'!IN34</f>
        <v>4</v>
      </c>
      <c r="BH34" s="2333">
        <f>'VISITA DE INSP.'!IO34</f>
        <v>3</v>
      </c>
      <c r="BI34" s="2328">
        <f>'VISITA DE INSP.'!IP34</f>
        <v>2</v>
      </c>
      <c r="BJ34" s="2345">
        <f>'VISITA DE INSP.'!IQ34</f>
        <v>0</v>
      </c>
      <c r="BK34" s="2344">
        <f>'VISITA DE INSP.'!IR34</f>
        <v>0</v>
      </c>
      <c r="BL34" s="2333">
        <f>'VISITA DE INSP.'!IS34</f>
        <v>0</v>
      </c>
      <c r="BM34" s="2328">
        <f>'VISITA DE INSP.'!IT34</f>
        <v>0</v>
      </c>
      <c r="BN34" s="2333">
        <f>'VISITA DE INSP.'!IU34</f>
        <v>0</v>
      </c>
      <c r="BO34" s="2328">
        <f>'VISITA DE INSP.'!IV34</f>
        <v>0</v>
      </c>
      <c r="BP34" s="2333">
        <f>'VISITA DE INSP.'!IW34</f>
        <v>0</v>
      </c>
      <c r="BQ34" s="2328">
        <f>'VISITA DE INSP.'!IX34</f>
        <v>0</v>
      </c>
      <c r="BR34" s="2333">
        <f>'VISITA DE INSP.'!IY34</f>
        <v>0</v>
      </c>
      <c r="BS34" s="2328">
        <f>'VISITA DE INSP.'!IZ34</f>
        <v>0</v>
      </c>
      <c r="BT34" s="2333">
        <f>'VISITA DE INSP.'!JA34</f>
        <v>0</v>
      </c>
      <c r="BU34" s="2328">
        <f>'VISITA DE INSP.'!JB34</f>
        <v>0</v>
      </c>
      <c r="BV34" s="2345">
        <f>'VISITA DE INSP.'!JC34</f>
        <v>0</v>
      </c>
      <c r="BW34" s="2344">
        <f>'VISITA DE INSP.'!JD34</f>
        <v>1</v>
      </c>
      <c r="BX34" s="2333">
        <f>'VISITA DE INSP.'!JE34</f>
        <v>0</v>
      </c>
      <c r="BY34" s="2328">
        <f>'VISITA DE INSP.'!JF34</f>
        <v>0</v>
      </c>
      <c r="BZ34" s="2333">
        <f>'VISITA DE INSP.'!JG34</f>
        <v>1</v>
      </c>
      <c r="CA34" s="2328">
        <f>'VISITA DE INSP.'!JH34</f>
        <v>0</v>
      </c>
      <c r="CB34" s="2333">
        <f>'VISITA DE INSP.'!JI34</f>
        <v>1</v>
      </c>
      <c r="CC34" s="2328">
        <f>'VISITA DE INSP.'!JJ34</f>
        <v>0</v>
      </c>
      <c r="CD34" s="2333">
        <f>'VISITA DE INSP.'!JK34</f>
        <v>1</v>
      </c>
      <c r="CE34" s="2328">
        <f>'VISITA DE INSP.'!JL34</f>
        <v>2</v>
      </c>
      <c r="CF34" s="2333">
        <f>'VISITA DE INSP.'!JM34</f>
        <v>0</v>
      </c>
      <c r="CG34" s="2328">
        <f>'VISITA DE INSP.'!JN34</f>
        <v>0</v>
      </c>
      <c r="CH34" s="2345">
        <f>'VISITA DE INSP.'!JO34</f>
        <v>1</v>
      </c>
      <c r="CI34" s="2344">
        <f>'VISITA DE INSP.'!JP34</f>
        <v>0</v>
      </c>
      <c r="CJ34" s="2333">
        <f>'VISITA DE INSP.'!JQ34</f>
        <v>0</v>
      </c>
      <c r="CK34" s="2328">
        <f>'VISITA DE INSP.'!JR34</f>
        <v>0</v>
      </c>
      <c r="CL34" s="2333">
        <f>'VISITA DE INSP.'!JS34</f>
        <v>0</v>
      </c>
      <c r="CM34" s="2328">
        <f>'VISITA DE INSP.'!JT34</f>
        <v>0</v>
      </c>
      <c r="CN34" s="2333">
        <f>'VISITA DE INSP.'!JU34</f>
        <v>0</v>
      </c>
      <c r="CO34" s="2328">
        <f>'VISITA DE INSP.'!JV34</f>
        <v>0</v>
      </c>
      <c r="CP34" s="2333">
        <f>'VISITA DE INSP.'!JW34</f>
        <v>0</v>
      </c>
      <c r="CQ34" s="2328">
        <f>'VISITA DE INSP.'!JX34</f>
        <v>0</v>
      </c>
      <c r="CR34" s="2333">
        <f>'VISITA DE INSP.'!JY34</f>
        <v>0</v>
      </c>
      <c r="CS34" s="2328">
        <f>'VISITA DE INSP.'!JZ34</f>
        <v>0</v>
      </c>
      <c r="CT34" s="2345">
        <f>'VISITA DE INSP.'!KA34</f>
        <v>0</v>
      </c>
      <c r="CU34" s="2344">
        <f>'VISITA DE INSP.'!KB34</f>
        <v>0</v>
      </c>
      <c r="CV34" s="1463">
        <f>'VISITA DE INSP.'!KC34</f>
        <v>0</v>
      </c>
      <c r="CW34" s="1463">
        <f>'VISITA DE INSP.'!KD34</f>
        <v>0</v>
      </c>
      <c r="CX34" s="1463">
        <f>'VISITA DE INSP.'!KE34</f>
        <v>0</v>
      </c>
      <c r="CY34" s="1463">
        <f>'VISITA DE INSP.'!KF34</f>
        <v>0</v>
      </c>
      <c r="CZ34" s="2346">
        <f>'VISITA DE INSP.'!KG34</f>
        <v>0</v>
      </c>
    </row>
    <row r="35" spans="1:104" s="1466" customFormat="1" ht="20.25" customHeight="1">
      <c r="A35" s="5239" t="s">
        <v>848</v>
      </c>
      <c r="B35" s="5240"/>
      <c r="C35" s="5241"/>
      <c r="D35" s="3722">
        <f>D33-D34</f>
        <v>0</v>
      </c>
      <c r="E35" s="3723">
        <f>E33-E34</f>
        <v>0</v>
      </c>
      <c r="F35" s="3724">
        <f>D35+E35</f>
        <v>0</v>
      </c>
      <c r="G35" s="3722">
        <f>G33-G34</f>
        <v>0</v>
      </c>
      <c r="H35" s="3723">
        <f>H33-H34</f>
        <v>0</v>
      </c>
      <c r="I35" s="3724">
        <f t="shared" si="1"/>
        <v>0</v>
      </c>
      <c r="J35" s="3722">
        <f>J33-J34</f>
        <v>12</v>
      </c>
      <c r="K35" s="3723">
        <f>K33-K34</f>
        <v>10</v>
      </c>
      <c r="L35" s="3724">
        <f t="shared" si="2"/>
        <v>22</v>
      </c>
      <c r="M35" s="3722">
        <f>M33-M34</f>
        <v>11</v>
      </c>
      <c r="N35" s="3723">
        <f>N33-N34</f>
        <v>10</v>
      </c>
      <c r="O35" s="3724">
        <f t="shared" si="3"/>
        <v>21</v>
      </c>
      <c r="P35" s="3722">
        <f>P33-P34</f>
        <v>16</v>
      </c>
      <c r="Q35" s="3723">
        <f>Q33-Q34</f>
        <v>8</v>
      </c>
      <c r="R35" s="3724">
        <f t="shared" si="4"/>
        <v>24</v>
      </c>
      <c r="S35" s="3722">
        <f>S33-S34</f>
        <v>22</v>
      </c>
      <c r="T35" s="3723">
        <f>T33-T34</f>
        <v>21</v>
      </c>
      <c r="U35" s="3724">
        <f t="shared" si="5"/>
        <v>43</v>
      </c>
      <c r="V35" s="3725">
        <f>D35+G35+J35+M35+P35+S35</f>
        <v>61</v>
      </c>
      <c r="W35" s="3723">
        <f>E35+H35+K35+N35+Q35+T35</f>
        <v>49</v>
      </c>
      <c r="X35" s="3726">
        <f t="shared" si="7"/>
        <v>110</v>
      </c>
      <c r="Y35" s="2331"/>
      <c r="Z35" s="2356">
        <f>'VISITA DE INSP.'!HG35</f>
        <v>11</v>
      </c>
      <c r="AA35" s="2344">
        <f>'VISITA DE INSP.'!HH35</f>
        <v>0</v>
      </c>
      <c r="AB35" s="2333">
        <f>'VISITA DE INSP.'!HI35</f>
        <v>0</v>
      </c>
      <c r="AC35" s="2328">
        <f>'VISITA DE INSP.'!HJ35</f>
        <v>0</v>
      </c>
      <c r="AD35" s="2333">
        <f>'VISITA DE INSP.'!HK35</f>
        <v>0</v>
      </c>
      <c r="AE35" s="2328">
        <f>'VISITA DE INSP.'!HL35</f>
        <v>0</v>
      </c>
      <c r="AF35" s="2333">
        <f>'VISITA DE INSP.'!HM35</f>
        <v>0</v>
      </c>
      <c r="AG35" s="2328">
        <f>'VISITA DE INSP.'!HN35</f>
        <v>0</v>
      </c>
      <c r="AH35" s="2333">
        <f>'VISITA DE INSP.'!HO35</f>
        <v>0</v>
      </c>
      <c r="AI35" s="2328">
        <f>'VISITA DE INSP.'!HP35</f>
        <v>0</v>
      </c>
      <c r="AJ35" s="2333">
        <f>'VISITA DE INSP.'!HQ35</f>
        <v>0</v>
      </c>
      <c r="AK35" s="2328">
        <f>'VISITA DE INSP.'!HR35</f>
        <v>0</v>
      </c>
      <c r="AL35" s="2345">
        <f>'VISITA DE INSP.'!HS35</f>
        <v>0</v>
      </c>
      <c r="AM35" s="2344">
        <f>'VISITA DE INSP.'!HT35</f>
        <v>0</v>
      </c>
      <c r="AN35" s="2333">
        <f>'VISITA DE INSP.'!HU35</f>
        <v>0</v>
      </c>
      <c r="AO35" s="2328">
        <f>'VISITA DE INSP.'!HV35</f>
        <v>0</v>
      </c>
      <c r="AP35" s="2333">
        <f>'VISITA DE INSP.'!HW35</f>
        <v>0</v>
      </c>
      <c r="AQ35" s="2328">
        <f>'VISITA DE INSP.'!HX35</f>
        <v>0</v>
      </c>
      <c r="AR35" s="2333">
        <f>'VISITA DE INSP.'!HY35</f>
        <v>0</v>
      </c>
      <c r="AS35" s="2328">
        <f>'VISITA DE INSP.'!HZ35</f>
        <v>0</v>
      </c>
      <c r="AT35" s="2333">
        <f>'VISITA DE INSP.'!IA35</f>
        <v>0</v>
      </c>
      <c r="AU35" s="2328">
        <f>'VISITA DE INSP.'!IB35</f>
        <v>0</v>
      </c>
      <c r="AV35" s="2333">
        <f>'VISITA DE INSP.'!IC35</f>
        <v>0</v>
      </c>
      <c r="AW35" s="2328">
        <f>'VISITA DE INSP.'!ID35</f>
        <v>0</v>
      </c>
      <c r="AX35" s="2345">
        <f>'VISITA DE INSP.'!IE35</f>
        <v>0</v>
      </c>
      <c r="AY35" s="2344">
        <f>'VISITA DE INSP.'!IF35</f>
        <v>0</v>
      </c>
      <c r="AZ35" s="2333">
        <f>'VISITA DE INSP.'!IG35</f>
        <v>0</v>
      </c>
      <c r="BA35" s="2328">
        <f>'VISITA DE INSP.'!IH35</f>
        <v>0</v>
      </c>
      <c r="BB35" s="2333">
        <f>'VISITA DE INSP.'!II35</f>
        <v>0</v>
      </c>
      <c r="BC35" s="2328">
        <f>'VISITA DE INSP.'!IJ35</f>
        <v>0</v>
      </c>
      <c r="BD35" s="2333">
        <f>'VISITA DE INSP.'!IK35</f>
        <v>0</v>
      </c>
      <c r="BE35" s="2328">
        <f>'VISITA DE INSP.'!IL35</f>
        <v>0</v>
      </c>
      <c r="BF35" s="2333">
        <f>'VISITA DE INSP.'!IM35</f>
        <v>0</v>
      </c>
      <c r="BG35" s="2328">
        <f>'VISITA DE INSP.'!IN35</f>
        <v>0</v>
      </c>
      <c r="BH35" s="2333">
        <f>'VISITA DE INSP.'!IO35</f>
        <v>0</v>
      </c>
      <c r="BI35" s="2328">
        <f>'VISITA DE INSP.'!IP35</f>
        <v>0</v>
      </c>
      <c r="BJ35" s="2345">
        <f>'VISITA DE INSP.'!IQ35</f>
        <v>0</v>
      </c>
      <c r="BK35" s="2344">
        <f>'VISITA DE INSP.'!IR35</f>
        <v>0</v>
      </c>
      <c r="BL35" s="2333">
        <f>'VISITA DE INSP.'!IS35</f>
        <v>0</v>
      </c>
      <c r="BM35" s="2328">
        <f>'VISITA DE INSP.'!IT35</f>
        <v>0</v>
      </c>
      <c r="BN35" s="2333">
        <f>'VISITA DE INSP.'!IU35</f>
        <v>0</v>
      </c>
      <c r="BO35" s="2328">
        <f>'VISITA DE INSP.'!IV35</f>
        <v>0</v>
      </c>
      <c r="BP35" s="2333">
        <f>'VISITA DE INSP.'!IW35</f>
        <v>0</v>
      </c>
      <c r="BQ35" s="2328">
        <f>'VISITA DE INSP.'!IX35</f>
        <v>0</v>
      </c>
      <c r="BR35" s="2333">
        <f>'VISITA DE INSP.'!IY35</f>
        <v>0</v>
      </c>
      <c r="BS35" s="2328">
        <f>'VISITA DE INSP.'!IZ35</f>
        <v>0</v>
      </c>
      <c r="BT35" s="2333">
        <f>'VISITA DE INSP.'!JA35</f>
        <v>0</v>
      </c>
      <c r="BU35" s="2328">
        <f>'VISITA DE INSP.'!JB35</f>
        <v>0</v>
      </c>
      <c r="BV35" s="2345">
        <f>'VISITA DE INSP.'!JC35</f>
        <v>0</v>
      </c>
      <c r="BW35" s="2344">
        <f>'VISITA DE INSP.'!JD35</f>
        <v>0</v>
      </c>
      <c r="BX35" s="2333">
        <f>'VISITA DE INSP.'!JE35</f>
        <v>0</v>
      </c>
      <c r="BY35" s="2328">
        <f>'VISITA DE INSP.'!JF35</f>
        <v>0</v>
      </c>
      <c r="BZ35" s="2333">
        <f>'VISITA DE INSP.'!JG35</f>
        <v>0</v>
      </c>
      <c r="CA35" s="2328">
        <f>'VISITA DE INSP.'!JH35</f>
        <v>0</v>
      </c>
      <c r="CB35" s="2333">
        <f>'VISITA DE INSP.'!JI35</f>
        <v>0</v>
      </c>
      <c r="CC35" s="2328">
        <f>'VISITA DE INSP.'!JJ35</f>
        <v>0</v>
      </c>
      <c r="CD35" s="2333">
        <f>'VISITA DE INSP.'!JK35</f>
        <v>0</v>
      </c>
      <c r="CE35" s="2328">
        <f>'VISITA DE INSP.'!JL35</f>
        <v>0</v>
      </c>
      <c r="CF35" s="2333">
        <f>'VISITA DE INSP.'!JM35</f>
        <v>0</v>
      </c>
      <c r="CG35" s="2328">
        <f>'VISITA DE INSP.'!JN35</f>
        <v>0</v>
      </c>
      <c r="CH35" s="2345">
        <f>'VISITA DE INSP.'!JO35</f>
        <v>0</v>
      </c>
      <c r="CI35" s="2344">
        <f>'VISITA DE INSP.'!JP35</f>
        <v>0</v>
      </c>
      <c r="CJ35" s="2333">
        <f>'VISITA DE INSP.'!JQ35</f>
        <v>0</v>
      </c>
      <c r="CK35" s="2328">
        <f>'VISITA DE INSP.'!JR35</f>
        <v>0</v>
      </c>
      <c r="CL35" s="2333">
        <f>'VISITA DE INSP.'!JS35</f>
        <v>0</v>
      </c>
      <c r="CM35" s="2328">
        <f>'VISITA DE INSP.'!JT35</f>
        <v>0</v>
      </c>
      <c r="CN35" s="2333">
        <f>'VISITA DE INSP.'!JU35</f>
        <v>0</v>
      </c>
      <c r="CO35" s="2328">
        <f>'VISITA DE INSP.'!JV35</f>
        <v>0</v>
      </c>
      <c r="CP35" s="2333">
        <f>'VISITA DE INSP.'!JW35</f>
        <v>0</v>
      </c>
      <c r="CQ35" s="2328">
        <f>'VISITA DE INSP.'!JX35</f>
        <v>0</v>
      </c>
      <c r="CR35" s="2333">
        <f>'VISITA DE INSP.'!JY35</f>
        <v>0</v>
      </c>
      <c r="CS35" s="2328">
        <f>'VISITA DE INSP.'!JZ35</f>
        <v>0</v>
      </c>
      <c r="CT35" s="2345">
        <f>'VISITA DE INSP.'!KA35</f>
        <v>0</v>
      </c>
      <c r="CU35" s="2344">
        <f>'VISITA DE INSP.'!KB35</f>
        <v>0</v>
      </c>
      <c r="CV35" s="1463">
        <f>'VISITA DE INSP.'!KC35</f>
        <v>0</v>
      </c>
      <c r="CW35" s="1463">
        <f>'VISITA DE INSP.'!KD35</f>
        <v>0</v>
      </c>
      <c r="CX35" s="1463">
        <f>'VISITA DE INSP.'!KE35</f>
        <v>0</v>
      </c>
      <c r="CY35" s="1463">
        <f>'VISITA DE INSP.'!KF35</f>
        <v>0</v>
      </c>
      <c r="CZ35" s="2346">
        <f>'VISITA DE INSP.'!KG35</f>
        <v>0</v>
      </c>
    </row>
    <row r="36" spans="1:104" s="1466" customFormat="1" ht="20.25" customHeight="1">
      <c r="A36" s="5239" t="s">
        <v>1452</v>
      </c>
      <c r="B36" s="5240"/>
      <c r="C36" s="5241"/>
      <c r="D36" s="1487">
        <f>D35-D37</f>
        <v>0</v>
      </c>
      <c r="E36" s="1488">
        <f>E35-E37</f>
        <v>0</v>
      </c>
      <c r="F36" s="1489">
        <f t="shared" si="0"/>
        <v>0</v>
      </c>
      <c r="G36" s="1487">
        <f>G35-G37</f>
        <v>0</v>
      </c>
      <c r="H36" s="1488">
        <f>H35-H37</f>
        <v>0</v>
      </c>
      <c r="I36" s="1489">
        <f t="shared" si="1"/>
        <v>0</v>
      </c>
      <c r="J36" s="1487">
        <f>J35-J37</f>
        <v>12</v>
      </c>
      <c r="K36" s="1488">
        <f>K35-K37</f>
        <v>10</v>
      </c>
      <c r="L36" s="1489">
        <f t="shared" si="2"/>
        <v>22</v>
      </c>
      <c r="M36" s="1487">
        <f>M35-M37</f>
        <v>11</v>
      </c>
      <c r="N36" s="1488">
        <f>N35-N37</f>
        <v>10</v>
      </c>
      <c r="O36" s="1489">
        <f t="shared" si="3"/>
        <v>21</v>
      </c>
      <c r="P36" s="1487">
        <f>P35-P37</f>
        <v>16</v>
      </c>
      <c r="Q36" s="1488">
        <f>Q35-Q37</f>
        <v>8</v>
      </c>
      <c r="R36" s="1489">
        <f t="shared" si="4"/>
        <v>24</v>
      </c>
      <c r="S36" s="1487">
        <f>S35-S37</f>
        <v>22</v>
      </c>
      <c r="T36" s="1488">
        <f>T35-T37</f>
        <v>21</v>
      </c>
      <c r="U36" s="1489">
        <f t="shared" si="5"/>
        <v>43</v>
      </c>
      <c r="V36" s="1490">
        <f t="shared" si="8"/>
        <v>61</v>
      </c>
      <c r="W36" s="1488">
        <f t="shared" si="6"/>
        <v>49</v>
      </c>
      <c r="X36" s="1491">
        <f t="shared" si="7"/>
        <v>110</v>
      </c>
      <c r="Y36" s="2331"/>
      <c r="Z36" s="2356">
        <f>'VISITA DE INSP.'!HG36</f>
        <v>12</v>
      </c>
      <c r="AA36" s="2344">
        <f>'VISITA DE INSP.'!HH36</f>
        <v>6</v>
      </c>
      <c r="AB36" s="2333">
        <f>'VISITA DE INSP.'!HI36</f>
        <v>3</v>
      </c>
      <c r="AC36" s="2328">
        <f>'VISITA DE INSP.'!HJ36</f>
        <v>7</v>
      </c>
      <c r="AD36" s="2333">
        <f>'VISITA DE INSP.'!HK36</f>
        <v>6</v>
      </c>
      <c r="AE36" s="2328">
        <f>'VISITA DE INSP.'!HL36</f>
        <v>4</v>
      </c>
      <c r="AF36" s="2333">
        <f>'VISITA DE INSP.'!HM36</f>
        <v>4</v>
      </c>
      <c r="AG36" s="2328">
        <f>'VISITA DE INSP.'!HN36</f>
        <v>10</v>
      </c>
      <c r="AH36" s="2333">
        <f>'VISITA DE INSP.'!HO36</f>
        <v>3</v>
      </c>
      <c r="AI36" s="2328">
        <f>'VISITA DE INSP.'!HP36</f>
        <v>10</v>
      </c>
      <c r="AJ36" s="2333">
        <f>'VISITA DE INSP.'!HQ36</f>
        <v>7</v>
      </c>
      <c r="AK36" s="2328">
        <f>'VISITA DE INSP.'!HR36</f>
        <v>5</v>
      </c>
      <c r="AL36" s="2345">
        <f>'VISITA DE INSP.'!HS36</f>
        <v>8</v>
      </c>
      <c r="AM36" s="2344">
        <f>'VISITA DE INSP.'!HT36</f>
        <v>0</v>
      </c>
      <c r="AN36" s="2333">
        <f>'VISITA DE INSP.'!HU36</f>
        <v>1</v>
      </c>
      <c r="AO36" s="2328">
        <f>'VISITA DE INSP.'!HV36</f>
        <v>1</v>
      </c>
      <c r="AP36" s="2333">
        <f>'VISITA DE INSP.'!HW36</f>
        <v>3</v>
      </c>
      <c r="AQ36" s="2328">
        <f>'VISITA DE INSP.'!HX36</f>
        <v>0</v>
      </c>
      <c r="AR36" s="2333">
        <f>'VISITA DE INSP.'!HY36</f>
        <v>3</v>
      </c>
      <c r="AS36" s="2328">
        <f>'VISITA DE INSP.'!HZ36</f>
        <v>1</v>
      </c>
      <c r="AT36" s="2333">
        <f>'VISITA DE INSP.'!IA36</f>
        <v>0</v>
      </c>
      <c r="AU36" s="2328">
        <f>'VISITA DE INSP.'!IB36</f>
        <v>0</v>
      </c>
      <c r="AV36" s="2333">
        <f>'VISITA DE INSP.'!IC36</f>
        <v>3</v>
      </c>
      <c r="AW36" s="2328">
        <f>'VISITA DE INSP.'!ID36</f>
        <v>2</v>
      </c>
      <c r="AX36" s="2345">
        <f>'VISITA DE INSP.'!IE36</f>
        <v>1</v>
      </c>
      <c r="AY36" s="2344">
        <f>'VISITA DE INSP.'!IF36</f>
        <v>0</v>
      </c>
      <c r="AZ36" s="2333">
        <f>'VISITA DE INSP.'!IG36</f>
        <v>1</v>
      </c>
      <c r="BA36" s="2328">
        <f>'VISITA DE INSP.'!IH36</f>
        <v>1</v>
      </c>
      <c r="BB36" s="2333">
        <f>'VISITA DE INSP.'!II36</f>
        <v>1</v>
      </c>
      <c r="BC36" s="2328">
        <f>'VISITA DE INSP.'!IJ36</f>
        <v>0</v>
      </c>
      <c r="BD36" s="2333">
        <f>'VISITA DE INSP.'!IK36</f>
        <v>0</v>
      </c>
      <c r="BE36" s="2328">
        <f>'VISITA DE INSP.'!IL36</f>
        <v>1</v>
      </c>
      <c r="BF36" s="2333">
        <f>'VISITA DE INSP.'!IM36</f>
        <v>0</v>
      </c>
      <c r="BG36" s="2328">
        <f>'VISITA DE INSP.'!IN36</f>
        <v>0</v>
      </c>
      <c r="BH36" s="2333">
        <f>'VISITA DE INSP.'!IO36</f>
        <v>1</v>
      </c>
      <c r="BI36" s="2328">
        <f>'VISITA DE INSP.'!IP36</f>
        <v>0</v>
      </c>
      <c r="BJ36" s="2345">
        <f>'VISITA DE INSP.'!IQ36</f>
        <v>0</v>
      </c>
      <c r="BK36" s="2344">
        <f>'VISITA DE INSP.'!IR36</f>
        <v>0</v>
      </c>
      <c r="BL36" s="2333">
        <f>'VISITA DE INSP.'!IS36</f>
        <v>0</v>
      </c>
      <c r="BM36" s="2328">
        <f>'VISITA DE INSP.'!IT36</f>
        <v>0</v>
      </c>
      <c r="BN36" s="2333">
        <f>'VISITA DE INSP.'!IU36</f>
        <v>0</v>
      </c>
      <c r="BO36" s="2328">
        <f>'VISITA DE INSP.'!IV36</f>
        <v>0</v>
      </c>
      <c r="BP36" s="2333">
        <f>'VISITA DE INSP.'!IW36</f>
        <v>0</v>
      </c>
      <c r="BQ36" s="2328">
        <f>'VISITA DE INSP.'!IX36</f>
        <v>0</v>
      </c>
      <c r="BR36" s="2333">
        <f>'VISITA DE INSP.'!IY36</f>
        <v>0</v>
      </c>
      <c r="BS36" s="2328">
        <f>'VISITA DE INSP.'!IZ36</f>
        <v>0</v>
      </c>
      <c r="BT36" s="2333">
        <f>'VISITA DE INSP.'!JA36</f>
        <v>0</v>
      </c>
      <c r="BU36" s="2328">
        <f>'VISITA DE INSP.'!JB36</f>
        <v>0</v>
      </c>
      <c r="BV36" s="2345">
        <f>'VISITA DE INSP.'!JC36</f>
        <v>0</v>
      </c>
      <c r="BW36" s="2344">
        <f>'VISITA DE INSP.'!JD36</f>
        <v>0</v>
      </c>
      <c r="BX36" s="2333">
        <f>'VISITA DE INSP.'!JE36</f>
        <v>1</v>
      </c>
      <c r="BY36" s="2328">
        <f>'VISITA DE INSP.'!JF36</f>
        <v>0</v>
      </c>
      <c r="BZ36" s="2333">
        <f>'VISITA DE INSP.'!JG36</f>
        <v>0</v>
      </c>
      <c r="CA36" s="2328">
        <f>'VISITA DE INSP.'!JH36</f>
        <v>1</v>
      </c>
      <c r="CB36" s="2333">
        <f>'VISITA DE INSP.'!JI36</f>
        <v>0</v>
      </c>
      <c r="CC36" s="2328">
        <f>'VISITA DE INSP.'!JJ36</f>
        <v>0</v>
      </c>
      <c r="CD36" s="2333">
        <f>'VISITA DE INSP.'!JK36</f>
        <v>0</v>
      </c>
      <c r="CE36" s="2328">
        <f>'VISITA DE INSP.'!JL36</f>
        <v>1</v>
      </c>
      <c r="CF36" s="2333">
        <f>'VISITA DE INSP.'!JM36</f>
        <v>0</v>
      </c>
      <c r="CG36" s="2328">
        <f>'VISITA DE INSP.'!JN36</f>
        <v>0</v>
      </c>
      <c r="CH36" s="2345">
        <f>'VISITA DE INSP.'!JO36</f>
        <v>1</v>
      </c>
      <c r="CI36" s="2344">
        <f>'VISITA DE INSP.'!JP36</f>
        <v>0</v>
      </c>
      <c r="CJ36" s="2333">
        <f>'VISITA DE INSP.'!JQ36</f>
        <v>0</v>
      </c>
      <c r="CK36" s="2328">
        <f>'VISITA DE INSP.'!JR36</f>
        <v>0</v>
      </c>
      <c r="CL36" s="2333">
        <f>'VISITA DE INSP.'!JS36</f>
        <v>0</v>
      </c>
      <c r="CM36" s="2328">
        <f>'VISITA DE INSP.'!JT36</f>
        <v>0</v>
      </c>
      <c r="CN36" s="2333">
        <f>'VISITA DE INSP.'!JU36</f>
        <v>0</v>
      </c>
      <c r="CO36" s="2328">
        <f>'VISITA DE INSP.'!JV36</f>
        <v>0</v>
      </c>
      <c r="CP36" s="2333">
        <f>'VISITA DE INSP.'!JW36</f>
        <v>0</v>
      </c>
      <c r="CQ36" s="2328">
        <f>'VISITA DE INSP.'!JX36</f>
        <v>0</v>
      </c>
      <c r="CR36" s="2333">
        <f>'VISITA DE INSP.'!JY36</f>
        <v>0</v>
      </c>
      <c r="CS36" s="2328">
        <f>'VISITA DE INSP.'!JZ36</f>
        <v>0</v>
      </c>
      <c r="CT36" s="2345">
        <f>'VISITA DE INSP.'!KA36</f>
        <v>0</v>
      </c>
      <c r="CU36" s="2344">
        <f>'VISITA DE INSP.'!KB36</f>
        <v>0</v>
      </c>
      <c r="CV36" s="1463">
        <f>'VISITA DE INSP.'!KC36</f>
        <v>0</v>
      </c>
      <c r="CW36" s="1463">
        <f>'VISITA DE INSP.'!KD36</f>
        <v>0</v>
      </c>
      <c r="CX36" s="1463">
        <f>'VISITA DE INSP.'!KE36</f>
        <v>0</v>
      </c>
      <c r="CY36" s="1463">
        <f>'VISITA DE INSP.'!KF36</f>
        <v>0</v>
      </c>
      <c r="CZ36" s="2346">
        <f>'VISITA DE INSP.'!KG36</f>
        <v>0</v>
      </c>
    </row>
    <row r="37" spans="1:104" s="1466" customFormat="1" ht="20.25" customHeight="1">
      <c r="A37" s="5239" t="s">
        <v>1142</v>
      </c>
      <c r="B37" s="5240"/>
      <c r="C37" s="5241"/>
      <c r="D37" s="1487">
        <f>VLOOKUP(K13,Z24:CH55,38)</f>
        <v>0</v>
      </c>
      <c r="E37" s="1488">
        <f>VLOOKUP(K13,Z24:CH55,39)</f>
        <v>0</v>
      </c>
      <c r="F37" s="1489">
        <f t="shared" si="0"/>
        <v>0</v>
      </c>
      <c r="G37" s="1487">
        <f>VLOOKUP(K13,Z24:CH55,40)</f>
        <v>0</v>
      </c>
      <c r="H37" s="1488">
        <f>VLOOKUP(K13,Z24:BV55,41)</f>
        <v>0</v>
      </c>
      <c r="I37" s="1489">
        <f t="shared" si="1"/>
        <v>0</v>
      </c>
      <c r="J37" s="1487">
        <f>VLOOKUP(K13,Z24:CH55,42)</f>
        <v>0</v>
      </c>
      <c r="K37" s="1488">
        <f>VLOOKUP(K13,Z24:BV55,43)</f>
        <v>0</v>
      </c>
      <c r="L37" s="1489">
        <f t="shared" si="2"/>
        <v>0</v>
      </c>
      <c r="M37" s="1487">
        <f>VLOOKUP(K13,Z24:CH55,44)</f>
        <v>0</v>
      </c>
      <c r="N37" s="1488">
        <f>VLOOKUP(K13,Z24:CH55,45)</f>
        <v>0</v>
      </c>
      <c r="O37" s="1489">
        <f t="shared" si="3"/>
        <v>0</v>
      </c>
      <c r="P37" s="1487">
        <f>VLOOKUP(K13,Z24:CH55,46)</f>
        <v>0</v>
      </c>
      <c r="Q37" s="1488">
        <f>VLOOKUP(K13,Z24:CH55,47)</f>
        <v>0</v>
      </c>
      <c r="R37" s="1489">
        <f t="shared" si="4"/>
        <v>0</v>
      </c>
      <c r="S37" s="1487">
        <f>VLOOKUP(K13,Z24:CH55,48)</f>
        <v>0</v>
      </c>
      <c r="T37" s="1488">
        <f>VLOOKUP(K13,Z24:CH55,49)</f>
        <v>0</v>
      </c>
      <c r="U37" s="1489">
        <f t="shared" si="5"/>
        <v>0</v>
      </c>
      <c r="V37" s="1490">
        <f t="shared" si="8"/>
        <v>0</v>
      </c>
      <c r="W37" s="1488">
        <f t="shared" si="6"/>
        <v>0</v>
      </c>
      <c r="X37" s="1491">
        <f t="shared" si="7"/>
        <v>0</v>
      </c>
      <c r="Y37" s="2331"/>
      <c r="Z37" s="2356">
        <f>'VISITA DE INSP.'!HG37</f>
        <v>13</v>
      </c>
      <c r="AA37" s="2344">
        <f>'VISITA DE INSP.'!HH37</f>
        <v>11</v>
      </c>
      <c r="AB37" s="2333">
        <f>'VISITA DE INSP.'!HI37</f>
        <v>4</v>
      </c>
      <c r="AC37" s="2328">
        <f>'VISITA DE INSP.'!HJ37</f>
        <v>9</v>
      </c>
      <c r="AD37" s="2333">
        <f>'VISITA DE INSP.'!HK37</f>
        <v>8</v>
      </c>
      <c r="AE37" s="2328">
        <f>'VISITA DE INSP.'!HL37</f>
        <v>9</v>
      </c>
      <c r="AF37" s="2333">
        <f>'VISITA DE INSP.'!HM37</f>
        <v>15</v>
      </c>
      <c r="AG37" s="2328">
        <f>'VISITA DE INSP.'!HN37</f>
        <v>7</v>
      </c>
      <c r="AH37" s="2333">
        <f>'VISITA DE INSP.'!HO37</f>
        <v>5</v>
      </c>
      <c r="AI37" s="2328">
        <f>'VISITA DE INSP.'!HP37</f>
        <v>9</v>
      </c>
      <c r="AJ37" s="2333">
        <f>'VISITA DE INSP.'!HQ37</f>
        <v>10</v>
      </c>
      <c r="AK37" s="2328">
        <f>'VISITA DE INSP.'!HR37</f>
        <v>12</v>
      </c>
      <c r="AL37" s="2345">
        <f>'VISITA DE INSP.'!HS37</f>
        <v>8</v>
      </c>
      <c r="AM37" s="2344">
        <f>'VISITA DE INSP.'!HT37</f>
        <v>0</v>
      </c>
      <c r="AN37" s="2333">
        <f>'VISITA DE INSP.'!HU37</f>
        <v>3</v>
      </c>
      <c r="AO37" s="2328">
        <f>'VISITA DE INSP.'!HV37</f>
        <v>2</v>
      </c>
      <c r="AP37" s="2333">
        <f>'VISITA DE INSP.'!HW37</f>
        <v>3</v>
      </c>
      <c r="AQ37" s="2328">
        <f>'VISITA DE INSP.'!HX37</f>
        <v>0</v>
      </c>
      <c r="AR37" s="2333">
        <f>'VISITA DE INSP.'!HY37</f>
        <v>3</v>
      </c>
      <c r="AS37" s="2328">
        <f>'VISITA DE INSP.'!HZ37</f>
        <v>2</v>
      </c>
      <c r="AT37" s="2333">
        <f>'VISITA DE INSP.'!IA37</f>
        <v>1</v>
      </c>
      <c r="AU37" s="2328">
        <f>'VISITA DE INSP.'!IB37</f>
        <v>3</v>
      </c>
      <c r="AV37" s="2333">
        <f>'VISITA DE INSP.'!IC37</f>
        <v>3</v>
      </c>
      <c r="AW37" s="2328">
        <f>'VISITA DE INSP.'!ID37</f>
        <v>5</v>
      </c>
      <c r="AX37" s="2345">
        <f>'VISITA DE INSP.'!IE37</f>
        <v>1</v>
      </c>
      <c r="AY37" s="2344">
        <f>'VISITA DE INSP.'!IF37</f>
        <v>1</v>
      </c>
      <c r="AZ37" s="2333">
        <f>'VISITA DE INSP.'!IG37</f>
        <v>0</v>
      </c>
      <c r="BA37" s="2328">
        <f>'VISITA DE INSP.'!IH37</f>
        <v>0</v>
      </c>
      <c r="BB37" s="2333">
        <f>'VISITA DE INSP.'!II37</f>
        <v>1</v>
      </c>
      <c r="BC37" s="2328">
        <f>'VISITA DE INSP.'!IJ37</f>
        <v>0</v>
      </c>
      <c r="BD37" s="2333">
        <f>'VISITA DE INSP.'!IK37</f>
        <v>1</v>
      </c>
      <c r="BE37" s="2328">
        <f>'VISITA DE INSP.'!IL37</f>
        <v>0</v>
      </c>
      <c r="BF37" s="2333">
        <f>'VISITA DE INSP.'!IM37</f>
        <v>0</v>
      </c>
      <c r="BG37" s="2328">
        <f>'VISITA DE INSP.'!IN37</f>
        <v>1</v>
      </c>
      <c r="BH37" s="2333">
        <f>'VISITA DE INSP.'!IO37</f>
        <v>0</v>
      </c>
      <c r="BI37" s="2328">
        <f>'VISITA DE INSP.'!IP37</f>
        <v>0</v>
      </c>
      <c r="BJ37" s="2345">
        <f>'VISITA DE INSP.'!IQ37</f>
        <v>0</v>
      </c>
      <c r="BK37" s="2344">
        <f>'VISITA DE INSP.'!IR37</f>
        <v>0</v>
      </c>
      <c r="BL37" s="2333">
        <f>'VISITA DE INSP.'!IS37</f>
        <v>0</v>
      </c>
      <c r="BM37" s="2328">
        <f>'VISITA DE INSP.'!IT37</f>
        <v>0</v>
      </c>
      <c r="BN37" s="2333">
        <f>'VISITA DE INSP.'!IU37</f>
        <v>0</v>
      </c>
      <c r="BO37" s="2328">
        <f>'VISITA DE INSP.'!IV37</f>
        <v>0</v>
      </c>
      <c r="BP37" s="2333">
        <f>'VISITA DE INSP.'!IW37</f>
        <v>0</v>
      </c>
      <c r="BQ37" s="2328">
        <f>'VISITA DE INSP.'!IX37</f>
        <v>0</v>
      </c>
      <c r="BR37" s="2333">
        <f>'VISITA DE INSP.'!IY37</f>
        <v>0</v>
      </c>
      <c r="BS37" s="2328">
        <f>'VISITA DE INSP.'!IZ37</f>
        <v>0</v>
      </c>
      <c r="BT37" s="2333">
        <f>'VISITA DE INSP.'!JA37</f>
        <v>0</v>
      </c>
      <c r="BU37" s="2328">
        <f>'VISITA DE INSP.'!JB37</f>
        <v>0</v>
      </c>
      <c r="BV37" s="2345">
        <f>'VISITA DE INSP.'!JC37</f>
        <v>0</v>
      </c>
      <c r="BW37" s="2344">
        <f>'VISITA DE INSP.'!JD37</f>
        <v>0</v>
      </c>
      <c r="BX37" s="2333">
        <f>'VISITA DE INSP.'!JE37</f>
        <v>1</v>
      </c>
      <c r="BY37" s="2328">
        <f>'VISITA DE INSP.'!JF37</f>
        <v>0</v>
      </c>
      <c r="BZ37" s="2333">
        <f>'VISITA DE INSP.'!JG37</f>
        <v>1</v>
      </c>
      <c r="CA37" s="2328">
        <f>'VISITA DE INSP.'!JH37</f>
        <v>0</v>
      </c>
      <c r="CB37" s="2333">
        <f>'VISITA DE INSP.'!JI37</f>
        <v>1</v>
      </c>
      <c r="CC37" s="2328">
        <f>'VISITA DE INSP.'!JJ37</f>
        <v>0</v>
      </c>
      <c r="CD37" s="2333">
        <f>'VISITA DE INSP.'!JK37</f>
        <v>1</v>
      </c>
      <c r="CE37" s="2328">
        <f>'VISITA DE INSP.'!JL37</f>
        <v>0</v>
      </c>
      <c r="CF37" s="2333">
        <f>'VISITA DE INSP.'!JM37</f>
        <v>1</v>
      </c>
      <c r="CG37" s="2328">
        <f>'VISITA DE INSP.'!JN37</f>
        <v>0</v>
      </c>
      <c r="CH37" s="2345">
        <f>'VISITA DE INSP.'!JO37</f>
        <v>1</v>
      </c>
      <c r="CI37" s="2344">
        <f>'VISITA DE INSP.'!JP37</f>
        <v>0</v>
      </c>
      <c r="CJ37" s="2333">
        <f>'VISITA DE INSP.'!JQ37</f>
        <v>0</v>
      </c>
      <c r="CK37" s="2328">
        <f>'VISITA DE INSP.'!JR37</f>
        <v>0</v>
      </c>
      <c r="CL37" s="2333">
        <f>'VISITA DE INSP.'!JS37</f>
        <v>0</v>
      </c>
      <c r="CM37" s="2328">
        <f>'VISITA DE INSP.'!JT37</f>
        <v>0</v>
      </c>
      <c r="CN37" s="2333">
        <f>'VISITA DE INSP.'!JU37</f>
        <v>0</v>
      </c>
      <c r="CO37" s="2328">
        <f>'VISITA DE INSP.'!JV37</f>
        <v>0</v>
      </c>
      <c r="CP37" s="2333">
        <f>'VISITA DE INSP.'!JW37</f>
        <v>0</v>
      </c>
      <c r="CQ37" s="2328">
        <f>'VISITA DE INSP.'!JX37</f>
        <v>0</v>
      </c>
      <c r="CR37" s="2333">
        <f>'VISITA DE INSP.'!JY37</f>
        <v>0</v>
      </c>
      <c r="CS37" s="2328">
        <f>'VISITA DE INSP.'!JZ37</f>
        <v>0</v>
      </c>
      <c r="CT37" s="2345">
        <f>'VISITA DE INSP.'!KA37</f>
        <v>0</v>
      </c>
      <c r="CU37" s="2344">
        <f>'VISITA DE INSP.'!KB37</f>
        <v>0</v>
      </c>
      <c r="CV37" s="1463">
        <f>'VISITA DE INSP.'!KC37</f>
        <v>0</v>
      </c>
      <c r="CW37" s="1463">
        <f>'VISITA DE INSP.'!KD37</f>
        <v>0</v>
      </c>
      <c r="CX37" s="1463">
        <f>'VISITA DE INSP.'!KE37</f>
        <v>0</v>
      </c>
      <c r="CY37" s="1463">
        <f>'VISITA DE INSP.'!KF37</f>
        <v>0</v>
      </c>
      <c r="CZ37" s="2346">
        <f>'VISITA DE INSP.'!KG37</f>
        <v>0</v>
      </c>
    </row>
    <row r="38" spans="1:104" s="1466" customFormat="1" ht="20.25" customHeight="1">
      <c r="A38" s="5239" t="s">
        <v>1453</v>
      </c>
      <c r="B38" s="5240"/>
      <c r="C38" s="5241"/>
      <c r="D38" s="4858">
        <f>VLOOKUP(K13,Z2:CH22,42)</f>
        <v>0</v>
      </c>
      <c r="E38" s="4859"/>
      <c r="F38" s="4870"/>
      <c r="G38" s="4858">
        <f>VLOOKUP(K13,Z2:CH22,43)</f>
        <v>0</v>
      </c>
      <c r="H38" s="4859"/>
      <c r="I38" s="4870"/>
      <c r="J38" s="4858">
        <f>VLOOKUP(K13,Z2:CH22,44)</f>
        <v>1</v>
      </c>
      <c r="K38" s="4859"/>
      <c r="L38" s="4870"/>
      <c r="M38" s="4858">
        <f>VLOOKUP(K13,Z2:CH22,45)</f>
        <v>1</v>
      </c>
      <c r="N38" s="4859"/>
      <c r="O38" s="4870"/>
      <c r="P38" s="4858">
        <f>VLOOKUP(K13,Z2:CH22,46)</f>
        <v>1</v>
      </c>
      <c r="Q38" s="4859"/>
      <c r="R38" s="4870"/>
      <c r="S38" s="4858">
        <f>VLOOKUP(K13,Z2:CH22,47)</f>
        <v>2</v>
      </c>
      <c r="T38" s="4859"/>
      <c r="U38" s="4870"/>
      <c r="V38" s="4858">
        <f>D38+G38+J38+M38+P38+S38</f>
        <v>5</v>
      </c>
      <c r="W38" s="4859"/>
      <c r="X38" s="4860"/>
      <c r="Y38" s="2331"/>
      <c r="Z38" s="2356">
        <f>'VISITA DE INSP.'!HG38</f>
        <v>14</v>
      </c>
      <c r="AA38" s="2344">
        <f>'VISITA DE INSP.'!HH38</f>
        <v>5</v>
      </c>
      <c r="AB38" s="2333">
        <f>'VISITA DE INSP.'!HI38</f>
        <v>2</v>
      </c>
      <c r="AC38" s="2328">
        <f>'VISITA DE INSP.'!HJ38</f>
        <v>7</v>
      </c>
      <c r="AD38" s="2333">
        <f>'VISITA DE INSP.'!HK38</f>
        <v>2</v>
      </c>
      <c r="AE38" s="2328">
        <f>'VISITA DE INSP.'!HL38</f>
        <v>9</v>
      </c>
      <c r="AF38" s="2333">
        <f>'VISITA DE INSP.'!HM38</f>
        <v>3</v>
      </c>
      <c r="AG38" s="2328">
        <f>'VISITA DE INSP.'!HN38</f>
        <v>5</v>
      </c>
      <c r="AH38" s="2333">
        <f>'VISITA DE INSP.'!HO38</f>
        <v>6</v>
      </c>
      <c r="AI38" s="2328">
        <f>'VISITA DE INSP.'!HP38</f>
        <v>10</v>
      </c>
      <c r="AJ38" s="2333">
        <f>'VISITA DE INSP.'!HQ38</f>
        <v>2</v>
      </c>
      <c r="AK38" s="2328">
        <f>'VISITA DE INSP.'!HR38</f>
        <v>5</v>
      </c>
      <c r="AL38" s="2345">
        <f>'VISITA DE INSP.'!HS38</f>
        <v>2</v>
      </c>
      <c r="AM38" s="2344">
        <f>'VISITA DE INSP.'!HT38</f>
        <v>0</v>
      </c>
      <c r="AN38" s="2333">
        <f>'VISITA DE INSP.'!HU38</f>
        <v>1</v>
      </c>
      <c r="AO38" s="2328">
        <f>'VISITA DE INSP.'!HV38</f>
        <v>1</v>
      </c>
      <c r="AP38" s="2333">
        <f>'VISITA DE INSP.'!HW38</f>
        <v>0</v>
      </c>
      <c r="AQ38" s="2328">
        <f>'VISITA DE INSP.'!HX38</f>
        <v>0</v>
      </c>
      <c r="AR38" s="2333">
        <f>'VISITA DE INSP.'!HY38</f>
        <v>1</v>
      </c>
      <c r="AS38" s="2328">
        <f>'VISITA DE INSP.'!HZ38</f>
        <v>2</v>
      </c>
      <c r="AT38" s="2333">
        <f>'VISITA DE INSP.'!IA38</f>
        <v>0</v>
      </c>
      <c r="AU38" s="2328">
        <f>'VISITA DE INSP.'!IB38</f>
        <v>1</v>
      </c>
      <c r="AV38" s="2333">
        <f>'VISITA DE INSP.'!IC38</f>
        <v>0</v>
      </c>
      <c r="AW38" s="2328">
        <f>'VISITA DE INSP.'!ID38</f>
        <v>1</v>
      </c>
      <c r="AX38" s="2345">
        <f>'VISITA DE INSP.'!IE38</f>
        <v>1</v>
      </c>
      <c r="AY38" s="2344">
        <f>'VISITA DE INSP.'!IF38</f>
        <v>0</v>
      </c>
      <c r="AZ38" s="2333">
        <f>'VISITA DE INSP.'!IG38</f>
        <v>0</v>
      </c>
      <c r="BA38" s="2328">
        <f>'VISITA DE INSP.'!IH38</f>
        <v>0</v>
      </c>
      <c r="BB38" s="2333">
        <f>'VISITA DE INSP.'!II38</f>
        <v>0</v>
      </c>
      <c r="BC38" s="2328">
        <f>'VISITA DE INSP.'!IJ38</f>
        <v>0</v>
      </c>
      <c r="BD38" s="2333">
        <f>'VISITA DE INSP.'!IK38</f>
        <v>0</v>
      </c>
      <c r="BE38" s="2328">
        <f>'VISITA DE INSP.'!IL38</f>
        <v>1</v>
      </c>
      <c r="BF38" s="2333">
        <f>'VISITA DE INSP.'!IM38</f>
        <v>1</v>
      </c>
      <c r="BG38" s="2328">
        <f>'VISITA DE INSP.'!IN38</f>
        <v>2</v>
      </c>
      <c r="BH38" s="2333">
        <f>'VISITA DE INSP.'!IO38</f>
        <v>0</v>
      </c>
      <c r="BI38" s="2328">
        <f>'VISITA DE INSP.'!IP38</f>
        <v>1</v>
      </c>
      <c r="BJ38" s="2345">
        <f>'VISITA DE INSP.'!IQ38</f>
        <v>0</v>
      </c>
      <c r="BK38" s="2344">
        <f>'VISITA DE INSP.'!IR38</f>
        <v>0</v>
      </c>
      <c r="BL38" s="2333">
        <f>'VISITA DE INSP.'!IS38</f>
        <v>0</v>
      </c>
      <c r="BM38" s="2328">
        <f>'VISITA DE INSP.'!IT38</f>
        <v>0</v>
      </c>
      <c r="BN38" s="2333">
        <f>'VISITA DE INSP.'!IU38</f>
        <v>0</v>
      </c>
      <c r="BO38" s="2328">
        <f>'VISITA DE INSP.'!IV38</f>
        <v>0</v>
      </c>
      <c r="BP38" s="2333">
        <f>'VISITA DE INSP.'!IW38</f>
        <v>0</v>
      </c>
      <c r="BQ38" s="2328">
        <f>'VISITA DE INSP.'!IX38</f>
        <v>0</v>
      </c>
      <c r="BR38" s="2333">
        <f>'VISITA DE INSP.'!IY38</f>
        <v>0</v>
      </c>
      <c r="BS38" s="2328">
        <f>'VISITA DE INSP.'!IZ38</f>
        <v>0</v>
      </c>
      <c r="BT38" s="2333">
        <f>'VISITA DE INSP.'!JA38</f>
        <v>0</v>
      </c>
      <c r="BU38" s="2328">
        <f>'VISITA DE INSP.'!JB38</f>
        <v>0</v>
      </c>
      <c r="BV38" s="2345">
        <f>'VISITA DE INSP.'!JC38</f>
        <v>0</v>
      </c>
      <c r="BW38" s="2344">
        <f>'VISITA DE INSP.'!JD38</f>
        <v>0</v>
      </c>
      <c r="BX38" s="2333">
        <f>'VISITA DE INSP.'!JE38</f>
        <v>1</v>
      </c>
      <c r="BY38" s="2328">
        <f>'VISITA DE INSP.'!JF38</f>
        <v>0</v>
      </c>
      <c r="BZ38" s="2333">
        <f>'VISITA DE INSP.'!JG38</f>
        <v>0</v>
      </c>
      <c r="CA38" s="2328">
        <f>'VISITA DE INSP.'!JH38</f>
        <v>0</v>
      </c>
      <c r="CB38" s="2333">
        <f>'VISITA DE INSP.'!JI38</f>
        <v>1</v>
      </c>
      <c r="CC38" s="2328">
        <f>'VISITA DE INSP.'!JJ38</f>
        <v>0</v>
      </c>
      <c r="CD38" s="2333">
        <f>'VISITA DE INSP.'!JK38</f>
        <v>1</v>
      </c>
      <c r="CE38" s="2328">
        <f>'VISITA DE INSP.'!JL38</f>
        <v>0</v>
      </c>
      <c r="CF38" s="2333">
        <f>'VISITA DE INSP.'!JM38</f>
        <v>1</v>
      </c>
      <c r="CG38" s="2328">
        <f>'VISITA DE INSP.'!JN38</f>
        <v>0</v>
      </c>
      <c r="CH38" s="2345">
        <f>'VISITA DE INSP.'!JO38</f>
        <v>0</v>
      </c>
      <c r="CI38" s="2344">
        <f>'VISITA DE INSP.'!JP38</f>
        <v>0</v>
      </c>
      <c r="CJ38" s="2333">
        <f>'VISITA DE INSP.'!JQ38</f>
        <v>0</v>
      </c>
      <c r="CK38" s="2328">
        <f>'VISITA DE INSP.'!JR38</f>
        <v>0</v>
      </c>
      <c r="CL38" s="2333">
        <f>'VISITA DE INSP.'!JS38</f>
        <v>0</v>
      </c>
      <c r="CM38" s="2328">
        <f>'VISITA DE INSP.'!JT38</f>
        <v>0</v>
      </c>
      <c r="CN38" s="2333">
        <f>'VISITA DE INSP.'!JU38</f>
        <v>0</v>
      </c>
      <c r="CO38" s="2328">
        <f>'VISITA DE INSP.'!JV38</f>
        <v>0</v>
      </c>
      <c r="CP38" s="2333">
        <f>'VISITA DE INSP.'!JW38</f>
        <v>0</v>
      </c>
      <c r="CQ38" s="2328">
        <f>'VISITA DE INSP.'!JX38</f>
        <v>0</v>
      </c>
      <c r="CR38" s="2333">
        <f>'VISITA DE INSP.'!JY38</f>
        <v>0</v>
      </c>
      <c r="CS38" s="2328">
        <f>'VISITA DE INSP.'!JZ38</f>
        <v>0</v>
      </c>
      <c r="CT38" s="2345">
        <f>'VISITA DE INSP.'!KA38</f>
        <v>0</v>
      </c>
      <c r="CU38" s="2344">
        <f>'VISITA DE INSP.'!KB38</f>
        <v>0</v>
      </c>
      <c r="CV38" s="1463">
        <f>'VISITA DE INSP.'!KC38</f>
        <v>0</v>
      </c>
      <c r="CW38" s="1463">
        <f>'VISITA DE INSP.'!KD38</f>
        <v>0</v>
      </c>
      <c r="CX38" s="1463">
        <f>'VISITA DE INSP.'!KE38</f>
        <v>0</v>
      </c>
      <c r="CY38" s="1463">
        <f>'VISITA DE INSP.'!KF38</f>
        <v>0</v>
      </c>
      <c r="CZ38" s="2346">
        <f>'VISITA DE INSP.'!KG38</f>
        <v>0</v>
      </c>
    </row>
    <row r="39" spans="1:104" s="1466" customFormat="1" ht="20.25" customHeight="1">
      <c r="A39" s="5239" t="s">
        <v>1454</v>
      </c>
      <c r="B39" s="5240"/>
      <c r="C39" s="5241"/>
      <c r="D39" s="1482">
        <f>VLOOKUP(K13,Z24:CH55,50)</f>
        <v>0</v>
      </c>
      <c r="E39" s="1483">
        <f>VLOOKUP(K13,Z24:CH55,51)</f>
        <v>0</v>
      </c>
      <c r="F39" s="1484">
        <f>D39+E39</f>
        <v>0</v>
      </c>
      <c r="G39" s="1482">
        <f>VLOOKUP(K13,Z24:CH55,52)</f>
        <v>0</v>
      </c>
      <c r="H39" s="1483">
        <f>VLOOKUP(K13,Z24:CH55,53)</f>
        <v>0</v>
      </c>
      <c r="I39" s="1484">
        <f>G39+H39</f>
        <v>0</v>
      </c>
      <c r="J39" s="2222">
        <f>VLOOKUP(K13,Z24:CH55,54)</f>
        <v>0</v>
      </c>
      <c r="K39" s="3721">
        <f>VLOOKUP(K13,Z24:CH55,55)</f>
        <v>1</v>
      </c>
      <c r="L39" s="1484">
        <f>J39+K39</f>
        <v>1</v>
      </c>
      <c r="M39" s="1482">
        <f>VLOOKUP(K13,Z24:CH55,56)</f>
        <v>0</v>
      </c>
      <c r="N39" s="1483">
        <f>VLOOKUP(K13,Z24:CH55,57)</f>
        <v>1</v>
      </c>
      <c r="O39" s="1484">
        <f>M39+N39</f>
        <v>1</v>
      </c>
      <c r="P39" s="1482">
        <f>VLOOKUP(K13,Z24:CH55,58)</f>
        <v>1</v>
      </c>
      <c r="Q39" s="1483">
        <f>VLOOKUP(K13,Z24:CH55,59)</f>
        <v>0</v>
      </c>
      <c r="R39" s="1484">
        <f>P39+Q39</f>
        <v>1</v>
      </c>
      <c r="S39" s="1482">
        <f>VLOOKUP(K13,Z24:CH55,60)</f>
        <v>2</v>
      </c>
      <c r="T39" s="1483">
        <f>VLOOKUP(K13,Z24:CH55,61)</f>
        <v>0</v>
      </c>
      <c r="U39" s="1484">
        <f>S39+T39</f>
        <v>2</v>
      </c>
      <c r="V39" s="1485">
        <f>D39+G39+J39+M39+P39+S39</f>
        <v>3</v>
      </c>
      <c r="W39" s="1483">
        <f>E39+H39+K39+N39+Q39+T39</f>
        <v>2</v>
      </c>
      <c r="X39" s="1486">
        <f>V39+W39</f>
        <v>5</v>
      </c>
      <c r="Y39" s="2331"/>
      <c r="Z39" s="2356">
        <f>'VISITA DE INSP.'!HG39</f>
        <v>15</v>
      </c>
      <c r="AA39" s="2344">
        <f>'VISITA DE INSP.'!HH39</f>
        <v>10</v>
      </c>
      <c r="AB39" s="2333">
        <f>'VISITA DE INSP.'!HI39</f>
        <v>6</v>
      </c>
      <c r="AC39" s="2328">
        <f>'VISITA DE INSP.'!HJ39</f>
        <v>10</v>
      </c>
      <c r="AD39" s="2333">
        <f>'VISITA DE INSP.'!HK39</f>
        <v>4</v>
      </c>
      <c r="AE39" s="2328">
        <f>'VISITA DE INSP.'!HL39</f>
        <v>6</v>
      </c>
      <c r="AF39" s="2333">
        <f>'VISITA DE INSP.'!HM39</f>
        <v>3</v>
      </c>
      <c r="AG39" s="2328">
        <f>'VISITA DE INSP.'!HN39</f>
        <v>7</v>
      </c>
      <c r="AH39" s="2333">
        <f>'VISITA DE INSP.'!HO39</f>
        <v>4</v>
      </c>
      <c r="AI39" s="2328">
        <f>'VISITA DE INSP.'!HP39</f>
        <v>0</v>
      </c>
      <c r="AJ39" s="2333">
        <f>'VISITA DE INSP.'!HQ39</f>
        <v>0</v>
      </c>
      <c r="AK39" s="2328">
        <f>'VISITA DE INSP.'!HR39</f>
        <v>0</v>
      </c>
      <c r="AL39" s="2345">
        <f>'VISITA DE INSP.'!HS39</f>
        <v>0</v>
      </c>
      <c r="AM39" s="2344">
        <f>'VISITA DE INSP.'!HT39</f>
        <v>0</v>
      </c>
      <c r="AN39" s="2333">
        <f>'VISITA DE INSP.'!HU39</f>
        <v>0</v>
      </c>
      <c r="AO39" s="2328">
        <f>'VISITA DE INSP.'!HV39</f>
        <v>0</v>
      </c>
      <c r="AP39" s="2333">
        <f>'VISITA DE INSP.'!HW39</f>
        <v>1</v>
      </c>
      <c r="AQ39" s="2328">
        <f>'VISITA DE INSP.'!HX39</f>
        <v>1</v>
      </c>
      <c r="AR39" s="2333">
        <f>'VISITA DE INSP.'!HY39</f>
        <v>0</v>
      </c>
      <c r="AS39" s="2328">
        <f>'VISITA DE INSP.'!HZ39</f>
        <v>1</v>
      </c>
      <c r="AT39" s="2333">
        <f>'VISITA DE INSP.'!IA39</f>
        <v>0</v>
      </c>
      <c r="AU39" s="2328">
        <f>'VISITA DE INSP.'!IB39</f>
        <v>0</v>
      </c>
      <c r="AV39" s="2333">
        <f>'VISITA DE INSP.'!IC39</f>
        <v>0</v>
      </c>
      <c r="AW39" s="2328">
        <f>'VISITA DE INSP.'!ID39</f>
        <v>0</v>
      </c>
      <c r="AX39" s="2345">
        <f>'VISITA DE INSP.'!IE39</f>
        <v>0</v>
      </c>
      <c r="AY39" s="2344">
        <f>'VISITA DE INSP.'!IF39</f>
        <v>1</v>
      </c>
      <c r="AZ39" s="2333">
        <f>'VISITA DE INSP.'!IG39</f>
        <v>0</v>
      </c>
      <c r="BA39" s="2328">
        <f>'VISITA DE INSP.'!IH39</f>
        <v>2</v>
      </c>
      <c r="BB39" s="2333">
        <f>'VISITA DE INSP.'!II39</f>
        <v>0</v>
      </c>
      <c r="BC39" s="2328">
        <f>'VISITA DE INSP.'!IJ39</f>
        <v>0</v>
      </c>
      <c r="BD39" s="2333">
        <f>'VISITA DE INSP.'!IK39</f>
        <v>0</v>
      </c>
      <c r="BE39" s="2328">
        <f>'VISITA DE INSP.'!IL39</f>
        <v>1</v>
      </c>
      <c r="BF39" s="2333">
        <f>'VISITA DE INSP.'!IM39</f>
        <v>0</v>
      </c>
      <c r="BG39" s="2328">
        <f>'VISITA DE INSP.'!IN39</f>
        <v>0</v>
      </c>
      <c r="BH39" s="2333">
        <f>'VISITA DE INSP.'!IO39</f>
        <v>0</v>
      </c>
      <c r="BI39" s="2328">
        <f>'VISITA DE INSP.'!IP39</f>
        <v>0</v>
      </c>
      <c r="BJ39" s="2345">
        <f>'VISITA DE INSP.'!IQ39</f>
        <v>0</v>
      </c>
      <c r="BK39" s="2344">
        <f>'VISITA DE INSP.'!IR39</f>
        <v>0</v>
      </c>
      <c r="BL39" s="2333">
        <f>'VISITA DE INSP.'!IS39</f>
        <v>0</v>
      </c>
      <c r="BM39" s="2328">
        <f>'VISITA DE INSP.'!IT39</f>
        <v>0</v>
      </c>
      <c r="BN39" s="2333">
        <f>'VISITA DE INSP.'!IU39</f>
        <v>0</v>
      </c>
      <c r="BO39" s="2328">
        <f>'VISITA DE INSP.'!IV39</f>
        <v>0</v>
      </c>
      <c r="BP39" s="2333">
        <f>'VISITA DE INSP.'!IW39</f>
        <v>0</v>
      </c>
      <c r="BQ39" s="2328">
        <f>'VISITA DE INSP.'!IX39</f>
        <v>0</v>
      </c>
      <c r="BR39" s="2333">
        <f>'VISITA DE INSP.'!IY39</f>
        <v>0</v>
      </c>
      <c r="BS39" s="2328">
        <f>'VISITA DE INSP.'!IZ39</f>
        <v>0</v>
      </c>
      <c r="BT39" s="2333">
        <f>'VISITA DE INSP.'!JA39</f>
        <v>0</v>
      </c>
      <c r="BU39" s="2328">
        <f>'VISITA DE INSP.'!JB39</f>
        <v>0</v>
      </c>
      <c r="BV39" s="2345">
        <f>'VISITA DE INSP.'!JC39</f>
        <v>0</v>
      </c>
      <c r="BW39" s="2344">
        <f>'VISITA DE INSP.'!JD39</f>
        <v>0</v>
      </c>
      <c r="BX39" s="2333">
        <f>'VISITA DE INSP.'!JE39</f>
        <v>1</v>
      </c>
      <c r="BY39" s="2328">
        <f>'VISITA DE INSP.'!JF39</f>
        <v>0</v>
      </c>
      <c r="BZ39" s="2333">
        <f>'VISITA DE INSP.'!JG39</f>
        <v>0</v>
      </c>
      <c r="CA39" s="2328">
        <f>'VISITA DE INSP.'!JH39</f>
        <v>0</v>
      </c>
      <c r="CB39" s="2333">
        <f>'VISITA DE INSP.'!JI39</f>
        <v>1</v>
      </c>
      <c r="CC39" s="2328">
        <f>'VISITA DE INSP.'!JJ39</f>
        <v>0</v>
      </c>
      <c r="CD39" s="2333">
        <f>'VISITA DE INSP.'!JK39</f>
        <v>0</v>
      </c>
      <c r="CE39" s="2328">
        <f>'VISITA DE INSP.'!JL39</f>
        <v>0</v>
      </c>
      <c r="CF39" s="2333">
        <f>'VISITA DE INSP.'!JM39</f>
        <v>0</v>
      </c>
      <c r="CG39" s="2328">
        <f>'VISITA DE INSP.'!JN39</f>
        <v>0</v>
      </c>
      <c r="CH39" s="2345">
        <f>'VISITA DE INSP.'!JO39</f>
        <v>0</v>
      </c>
      <c r="CI39" s="2344">
        <f>'VISITA DE INSP.'!JP39</f>
        <v>0</v>
      </c>
      <c r="CJ39" s="2333">
        <f>'VISITA DE INSP.'!JQ39</f>
        <v>0</v>
      </c>
      <c r="CK39" s="2328">
        <f>'VISITA DE INSP.'!JR39</f>
        <v>0</v>
      </c>
      <c r="CL39" s="2333">
        <f>'VISITA DE INSP.'!JS39</f>
        <v>0</v>
      </c>
      <c r="CM39" s="2328">
        <f>'VISITA DE INSP.'!JT39</f>
        <v>0</v>
      </c>
      <c r="CN39" s="2333">
        <f>'VISITA DE INSP.'!JU39</f>
        <v>0</v>
      </c>
      <c r="CO39" s="2328">
        <f>'VISITA DE INSP.'!JV39</f>
        <v>0</v>
      </c>
      <c r="CP39" s="2333">
        <f>'VISITA DE INSP.'!JW39</f>
        <v>0</v>
      </c>
      <c r="CQ39" s="2328">
        <f>'VISITA DE INSP.'!JX39</f>
        <v>0</v>
      </c>
      <c r="CR39" s="2333">
        <f>'VISITA DE INSP.'!JY39</f>
        <v>0</v>
      </c>
      <c r="CS39" s="2328">
        <f>'VISITA DE INSP.'!JZ39</f>
        <v>0</v>
      </c>
      <c r="CT39" s="2345">
        <f>'VISITA DE INSP.'!KA39</f>
        <v>0</v>
      </c>
      <c r="CU39" s="2344">
        <f>'VISITA DE INSP.'!KB39</f>
        <v>0</v>
      </c>
      <c r="CV39" s="1463">
        <f>'VISITA DE INSP.'!KC39</f>
        <v>0</v>
      </c>
      <c r="CW39" s="1463">
        <f>'VISITA DE INSP.'!KD39</f>
        <v>0</v>
      </c>
      <c r="CX39" s="1463">
        <f>'VISITA DE INSP.'!KE39</f>
        <v>0</v>
      </c>
      <c r="CY39" s="1463">
        <f>'VISITA DE INSP.'!KF39</f>
        <v>0</v>
      </c>
      <c r="CZ39" s="2346">
        <f>'VISITA DE INSP.'!KG39</f>
        <v>0</v>
      </c>
    </row>
    <row r="40" spans="1:104" s="1466" customFormat="1" ht="20.100000000000001" customHeight="1" thickBot="1">
      <c r="A40" s="5256" t="s">
        <v>1455</v>
      </c>
      <c r="B40" s="5257"/>
      <c r="C40" s="5258"/>
      <c r="D40" s="3728">
        <f>K26+D37</f>
        <v>0</v>
      </c>
      <c r="E40" s="3729">
        <f>M26+E37</f>
        <v>0</v>
      </c>
      <c r="F40" s="3730">
        <f>D40+E40</f>
        <v>0</v>
      </c>
      <c r="G40" s="3728">
        <f>D36+G37</f>
        <v>0</v>
      </c>
      <c r="H40" s="3729">
        <f>E36+H37</f>
        <v>0</v>
      </c>
      <c r="I40" s="3730">
        <f>G40+H40</f>
        <v>0</v>
      </c>
      <c r="J40" s="3728">
        <f>G36+J37</f>
        <v>0</v>
      </c>
      <c r="K40" s="3729">
        <f>H36+K37</f>
        <v>0</v>
      </c>
      <c r="L40" s="3730">
        <f>J40+K40</f>
        <v>0</v>
      </c>
      <c r="M40" s="3728">
        <f>J36+M37</f>
        <v>12</v>
      </c>
      <c r="N40" s="3729">
        <f>K36+N37</f>
        <v>10</v>
      </c>
      <c r="O40" s="3730">
        <f>M40+N40</f>
        <v>22</v>
      </c>
      <c r="P40" s="3728">
        <f>M36+P37</f>
        <v>11</v>
      </c>
      <c r="Q40" s="3729">
        <f>N36+Q37</f>
        <v>10</v>
      </c>
      <c r="R40" s="3730">
        <f>P40+Q40</f>
        <v>21</v>
      </c>
      <c r="S40" s="3728">
        <f>P36+S37</f>
        <v>16</v>
      </c>
      <c r="T40" s="3729">
        <f>Q36+T37</f>
        <v>8</v>
      </c>
      <c r="U40" s="3730">
        <f>S40+T40</f>
        <v>24</v>
      </c>
      <c r="V40" s="3731">
        <f>D40+G40+J40+M40+P40+S40</f>
        <v>39</v>
      </c>
      <c r="W40" s="3729">
        <f>E40+H40+K40+N40+Q40+T40</f>
        <v>28</v>
      </c>
      <c r="X40" s="3732">
        <f>V40+W40</f>
        <v>67</v>
      </c>
      <c r="Y40" s="2331"/>
      <c r="Z40" s="2356">
        <f>'VISITA DE INSP.'!HG40</f>
        <v>16</v>
      </c>
      <c r="AA40" s="2344">
        <f>'VISITA DE INSP.'!HH40</f>
        <v>18</v>
      </c>
      <c r="AB40" s="2333">
        <f>'VISITA DE INSP.'!HI40</f>
        <v>23</v>
      </c>
      <c r="AC40" s="2328">
        <f>'VISITA DE INSP.'!HJ40</f>
        <v>14</v>
      </c>
      <c r="AD40" s="2333">
        <f>'VISITA DE INSP.'!HK40</f>
        <v>13</v>
      </c>
      <c r="AE40" s="2328">
        <f>'VISITA DE INSP.'!HL40</f>
        <v>11</v>
      </c>
      <c r="AF40" s="2333">
        <f>'VISITA DE INSP.'!HM40</f>
        <v>14</v>
      </c>
      <c r="AG40" s="2328">
        <f>'VISITA DE INSP.'!HN40</f>
        <v>11</v>
      </c>
      <c r="AH40" s="2333">
        <f>'VISITA DE INSP.'!HO40</f>
        <v>12</v>
      </c>
      <c r="AI40" s="2328">
        <f>'VISITA DE INSP.'!HP40</f>
        <v>16</v>
      </c>
      <c r="AJ40" s="2333">
        <f>'VISITA DE INSP.'!HQ40</f>
        <v>17</v>
      </c>
      <c r="AK40" s="2328">
        <f>'VISITA DE INSP.'!HR40</f>
        <v>5</v>
      </c>
      <c r="AL40" s="2345">
        <f>'VISITA DE INSP.'!HS40</f>
        <v>4</v>
      </c>
      <c r="AM40" s="2344">
        <f>'VISITA DE INSP.'!HT40</f>
        <v>3</v>
      </c>
      <c r="AN40" s="2333">
        <f>'VISITA DE INSP.'!HU40</f>
        <v>0</v>
      </c>
      <c r="AO40" s="2328">
        <f>'VISITA DE INSP.'!HV40</f>
        <v>2</v>
      </c>
      <c r="AP40" s="2333">
        <f>'VISITA DE INSP.'!HW40</f>
        <v>1</v>
      </c>
      <c r="AQ40" s="2328">
        <f>'VISITA DE INSP.'!HX40</f>
        <v>1</v>
      </c>
      <c r="AR40" s="2333">
        <f>'VISITA DE INSP.'!HY40</f>
        <v>1</v>
      </c>
      <c r="AS40" s="2328">
        <f>'VISITA DE INSP.'!HZ40</f>
        <v>1</v>
      </c>
      <c r="AT40" s="2333">
        <f>'VISITA DE INSP.'!IA40</f>
        <v>0</v>
      </c>
      <c r="AU40" s="2328">
        <f>'VISITA DE INSP.'!IB40</f>
        <v>0</v>
      </c>
      <c r="AV40" s="2333">
        <f>'VISITA DE INSP.'!IC40</f>
        <v>0</v>
      </c>
      <c r="AW40" s="2328">
        <f>'VISITA DE INSP.'!ID40</f>
        <v>0</v>
      </c>
      <c r="AX40" s="2345">
        <f>'VISITA DE INSP.'!IE40</f>
        <v>1</v>
      </c>
      <c r="AY40" s="2344">
        <f>'VISITA DE INSP.'!IF40</f>
        <v>2</v>
      </c>
      <c r="AZ40" s="2333">
        <f>'VISITA DE INSP.'!IG40</f>
        <v>0</v>
      </c>
      <c r="BA40" s="2328">
        <f>'VISITA DE INSP.'!IH40</f>
        <v>0</v>
      </c>
      <c r="BB40" s="2333">
        <f>'VISITA DE INSP.'!II40</f>
        <v>1</v>
      </c>
      <c r="BC40" s="2328">
        <f>'VISITA DE INSP.'!IJ40</f>
        <v>0</v>
      </c>
      <c r="BD40" s="2333">
        <f>'VISITA DE INSP.'!IK40</f>
        <v>1</v>
      </c>
      <c r="BE40" s="2328">
        <f>'VISITA DE INSP.'!IL40</f>
        <v>1</v>
      </c>
      <c r="BF40" s="2333">
        <f>'VISITA DE INSP.'!IM40</f>
        <v>0</v>
      </c>
      <c r="BG40" s="2328">
        <f>'VISITA DE INSP.'!IN40</f>
        <v>0</v>
      </c>
      <c r="BH40" s="2333">
        <f>'VISITA DE INSP.'!IO40</f>
        <v>1</v>
      </c>
      <c r="BI40" s="2328">
        <f>'VISITA DE INSP.'!IP40</f>
        <v>0</v>
      </c>
      <c r="BJ40" s="2345">
        <f>'VISITA DE INSP.'!IQ40</f>
        <v>0</v>
      </c>
      <c r="BK40" s="2344">
        <f>'VISITA DE INSP.'!IR40</f>
        <v>0</v>
      </c>
      <c r="BL40" s="2333">
        <f>'VISITA DE INSP.'!IS40</f>
        <v>0</v>
      </c>
      <c r="BM40" s="2328">
        <f>'VISITA DE INSP.'!IT40</f>
        <v>0</v>
      </c>
      <c r="BN40" s="2333">
        <f>'VISITA DE INSP.'!IU40</f>
        <v>0</v>
      </c>
      <c r="BO40" s="2328">
        <f>'VISITA DE INSP.'!IV40</f>
        <v>0</v>
      </c>
      <c r="BP40" s="2333">
        <f>'VISITA DE INSP.'!IW40</f>
        <v>0</v>
      </c>
      <c r="BQ40" s="2328">
        <f>'VISITA DE INSP.'!IX40</f>
        <v>0</v>
      </c>
      <c r="BR40" s="2333">
        <f>'VISITA DE INSP.'!IY40</f>
        <v>0</v>
      </c>
      <c r="BS40" s="2328">
        <f>'VISITA DE INSP.'!IZ40</f>
        <v>0</v>
      </c>
      <c r="BT40" s="2333">
        <f>'VISITA DE INSP.'!JA40</f>
        <v>0</v>
      </c>
      <c r="BU40" s="2328">
        <f>'VISITA DE INSP.'!JB40</f>
        <v>0</v>
      </c>
      <c r="BV40" s="2345">
        <f>'VISITA DE INSP.'!JC40</f>
        <v>0</v>
      </c>
      <c r="BW40" s="2344">
        <f>'VISITA DE INSP.'!JD40</f>
        <v>0</v>
      </c>
      <c r="BX40" s="2333">
        <f>'VISITA DE INSP.'!JE40</f>
        <v>2</v>
      </c>
      <c r="BY40" s="2328">
        <f>'VISITA DE INSP.'!JF40</f>
        <v>0</v>
      </c>
      <c r="BZ40" s="2333">
        <f>'VISITA DE INSP.'!JG40</f>
        <v>2</v>
      </c>
      <c r="CA40" s="2328">
        <f>'VISITA DE INSP.'!JH40</f>
        <v>0</v>
      </c>
      <c r="CB40" s="2333">
        <f>'VISITA DE INSP.'!JI40</f>
        <v>2</v>
      </c>
      <c r="CC40" s="2328">
        <f>'VISITA DE INSP.'!JJ40</f>
        <v>0</v>
      </c>
      <c r="CD40" s="2333">
        <f>'VISITA DE INSP.'!JK40</f>
        <v>1</v>
      </c>
      <c r="CE40" s="2328">
        <f>'VISITA DE INSP.'!JL40</f>
        <v>1</v>
      </c>
      <c r="CF40" s="2333">
        <f>'VISITA DE INSP.'!JM40</f>
        <v>1</v>
      </c>
      <c r="CG40" s="2328">
        <f>'VISITA DE INSP.'!JN40</f>
        <v>0</v>
      </c>
      <c r="CH40" s="2345">
        <f>'VISITA DE INSP.'!JO40</f>
        <v>0</v>
      </c>
      <c r="CI40" s="2344">
        <f>'VISITA DE INSP.'!JP40</f>
        <v>0</v>
      </c>
      <c r="CJ40" s="2333">
        <f>'VISITA DE INSP.'!JQ40</f>
        <v>0</v>
      </c>
      <c r="CK40" s="2328">
        <f>'VISITA DE INSP.'!JR40</f>
        <v>0</v>
      </c>
      <c r="CL40" s="2333">
        <f>'VISITA DE INSP.'!JS40</f>
        <v>0</v>
      </c>
      <c r="CM40" s="2328">
        <f>'VISITA DE INSP.'!JT40</f>
        <v>0</v>
      </c>
      <c r="CN40" s="2333">
        <f>'VISITA DE INSP.'!JU40</f>
        <v>0</v>
      </c>
      <c r="CO40" s="2328">
        <f>'VISITA DE INSP.'!JV40</f>
        <v>0</v>
      </c>
      <c r="CP40" s="2333">
        <f>'VISITA DE INSP.'!JW40</f>
        <v>0</v>
      </c>
      <c r="CQ40" s="2328">
        <f>'VISITA DE INSP.'!JX40</f>
        <v>0</v>
      </c>
      <c r="CR40" s="2333">
        <f>'VISITA DE INSP.'!JY40</f>
        <v>0</v>
      </c>
      <c r="CS40" s="2328">
        <f>'VISITA DE INSP.'!JZ40</f>
        <v>0</v>
      </c>
      <c r="CT40" s="2345">
        <f>'VISITA DE INSP.'!KA40</f>
        <v>0</v>
      </c>
      <c r="CU40" s="2344">
        <f>'VISITA DE INSP.'!KB40</f>
        <v>0</v>
      </c>
      <c r="CV40" s="1463">
        <f>'VISITA DE INSP.'!KC40</f>
        <v>0</v>
      </c>
      <c r="CW40" s="1463">
        <f>'VISITA DE INSP.'!KD40</f>
        <v>0</v>
      </c>
      <c r="CX40" s="1463">
        <f>'VISITA DE INSP.'!KE40</f>
        <v>0</v>
      </c>
      <c r="CY40" s="1463">
        <f>'VISITA DE INSP.'!KF40</f>
        <v>0</v>
      </c>
      <c r="CZ40" s="2346">
        <f>'VISITA DE INSP.'!KG40</f>
        <v>0</v>
      </c>
    </row>
    <row r="41" spans="1:104" ht="15.75" customHeight="1" thickTop="1">
      <c r="A41" s="1465"/>
      <c r="B41" s="1465"/>
      <c r="C41" s="1465"/>
      <c r="D41" s="1465"/>
      <c r="E41" s="1465"/>
      <c r="F41" s="1465"/>
      <c r="G41" s="1465"/>
      <c r="H41" s="1465"/>
      <c r="I41" s="1465"/>
      <c r="J41" s="1465"/>
      <c r="K41" s="1465"/>
      <c r="L41" s="1465"/>
      <c r="M41" s="1465"/>
      <c r="N41" s="1465"/>
      <c r="O41" s="1465"/>
      <c r="P41" s="1465"/>
      <c r="Q41" s="1465"/>
      <c r="R41" s="1465"/>
      <c r="S41" s="1465"/>
      <c r="T41" s="1465"/>
      <c r="U41" s="1465"/>
      <c r="V41" s="1465"/>
      <c r="W41" s="1465"/>
      <c r="X41" s="1465"/>
      <c r="Y41" s="801"/>
      <c r="Z41" s="2356">
        <f>'VISITA DE INSP.'!HG41</f>
        <v>17</v>
      </c>
      <c r="AA41" s="2344">
        <f>'VISITA DE INSP.'!HH41</f>
        <v>0</v>
      </c>
      <c r="AB41" s="2333">
        <f>'VISITA DE INSP.'!HI41</f>
        <v>0</v>
      </c>
      <c r="AC41" s="2328">
        <f>'VISITA DE INSP.'!HJ41</f>
        <v>0</v>
      </c>
      <c r="AD41" s="2333">
        <f>'VISITA DE INSP.'!HK41</f>
        <v>0</v>
      </c>
      <c r="AE41" s="2328">
        <f>'VISITA DE INSP.'!HL41</f>
        <v>0</v>
      </c>
      <c r="AF41" s="2333">
        <f>'VISITA DE INSP.'!HM41</f>
        <v>0</v>
      </c>
      <c r="AG41" s="2328">
        <f>'VISITA DE INSP.'!HN41</f>
        <v>0</v>
      </c>
      <c r="AH41" s="2333">
        <f>'VISITA DE INSP.'!HO41</f>
        <v>0</v>
      </c>
      <c r="AI41" s="2328">
        <f>'VISITA DE INSP.'!HP41</f>
        <v>0</v>
      </c>
      <c r="AJ41" s="2333">
        <f>'VISITA DE INSP.'!HQ41</f>
        <v>0</v>
      </c>
      <c r="AK41" s="2328">
        <f>'VISITA DE INSP.'!HR41</f>
        <v>0</v>
      </c>
      <c r="AL41" s="2345">
        <f>'VISITA DE INSP.'!HS41</f>
        <v>0</v>
      </c>
      <c r="AM41" s="2344">
        <f>'VISITA DE INSP.'!HT41</f>
        <v>0</v>
      </c>
      <c r="AN41" s="2333">
        <f>'VISITA DE INSP.'!HU41</f>
        <v>0</v>
      </c>
      <c r="AO41" s="2328">
        <f>'VISITA DE INSP.'!HV41</f>
        <v>0</v>
      </c>
      <c r="AP41" s="2333">
        <f>'VISITA DE INSP.'!HW41</f>
        <v>0</v>
      </c>
      <c r="AQ41" s="2328">
        <f>'VISITA DE INSP.'!HX41</f>
        <v>0</v>
      </c>
      <c r="AR41" s="2333">
        <f>'VISITA DE INSP.'!HY41</f>
        <v>0</v>
      </c>
      <c r="AS41" s="2328">
        <f>'VISITA DE INSP.'!HZ41</f>
        <v>0</v>
      </c>
      <c r="AT41" s="2333">
        <f>'VISITA DE INSP.'!IA41</f>
        <v>0</v>
      </c>
      <c r="AU41" s="2328">
        <f>'VISITA DE INSP.'!IB41</f>
        <v>0</v>
      </c>
      <c r="AV41" s="2333">
        <f>'VISITA DE INSP.'!IC41</f>
        <v>0</v>
      </c>
      <c r="AW41" s="2328">
        <f>'VISITA DE INSP.'!ID41</f>
        <v>0</v>
      </c>
      <c r="AX41" s="2345">
        <f>'VISITA DE INSP.'!IE41</f>
        <v>0</v>
      </c>
      <c r="AY41" s="2344">
        <f>'VISITA DE INSP.'!IF41</f>
        <v>0</v>
      </c>
      <c r="AZ41" s="2333">
        <f>'VISITA DE INSP.'!IG41</f>
        <v>0</v>
      </c>
      <c r="BA41" s="2328">
        <f>'VISITA DE INSP.'!IH41</f>
        <v>0</v>
      </c>
      <c r="BB41" s="2333">
        <f>'VISITA DE INSP.'!II41</f>
        <v>0</v>
      </c>
      <c r="BC41" s="2328">
        <f>'VISITA DE INSP.'!IJ41</f>
        <v>0</v>
      </c>
      <c r="BD41" s="2333">
        <f>'VISITA DE INSP.'!IK41</f>
        <v>0</v>
      </c>
      <c r="BE41" s="2328">
        <f>'VISITA DE INSP.'!IL41</f>
        <v>0</v>
      </c>
      <c r="BF41" s="2333">
        <f>'VISITA DE INSP.'!IM41</f>
        <v>0</v>
      </c>
      <c r="BG41" s="2328">
        <f>'VISITA DE INSP.'!IN41</f>
        <v>0</v>
      </c>
      <c r="BH41" s="2333">
        <f>'VISITA DE INSP.'!IO41</f>
        <v>0</v>
      </c>
      <c r="BI41" s="2328">
        <f>'VISITA DE INSP.'!IP41</f>
        <v>0</v>
      </c>
      <c r="BJ41" s="2345">
        <f>'VISITA DE INSP.'!IQ41</f>
        <v>0</v>
      </c>
      <c r="BK41" s="2344">
        <f>'VISITA DE INSP.'!IR41</f>
        <v>0</v>
      </c>
      <c r="BL41" s="2333">
        <f>'VISITA DE INSP.'!IS41</f>
        <v>0</v>
      </c>
      <c r="BM41" s="2328">
        <f>'VISITA DE INSP.'!IT41</f>
        <v>0</v>
      </c>
      <c r="BN41" s="2333">
        <f>'VISITA DE INSP.'!IU41</f>
        <v>0</v>
      </c>
      <c r="BO41" s="2328">
        <f>'VISITA DE INSP.'!IV41</f>
        <v>0</v>
      </c>
      <c r="BP41" s="2333">
        <f>'VISITA DE INSP.'!IW41</f>
        <v>0</v>
      </c>
      <c r="BQ41" s="2328">
        <f>'VISITA DE INSP.'!IX41</f>
        <v>0</v>
      </c>
      <c r="BR41" s="2333">
        <f>'VISITA DE INSP.'!IY41</f>
        <v>0</v>
      </c>
      <c r="BS41" s="2328">
        <f>'VISITA DE INSP.'!IZ41</f>
        <v>0</v>
      </c>
      <c r="BT41" s="2333">
        <f>'VISITA DE INSP.'!JA41</f>
        <v>0</v>
      </c>
      <c r="BU41" s="2328">
        <f>'VISITA DE INSP.'!JB41</f>
        <v>0</v>
      </c>
      <c r="BV41" s="2345">
        <f>'VISITA DE INSP.'!JC41</f>
        <v>0</v>
      </c>
      <c r="BW41" s="2344">
        <f>'VISITA DE INSP.'!JD41</f>
        <v>0</v>
      </c>
      <c r="BX41" s="2333">
        <f>'VISITA DE INSP.'!JE41</f>
        <v>0</v>
      </c>
      <c r="BY41" s="2328">
        <f>'VISITA DE INSP.'!JF41</f>
        <v>0</v>
      </c>
      <c r="BZ41" s="2333">
        <f>'VISITA DE INSP.'!JG41</f>
        <v>0</v>
      </c>
      <c r="CA41" s="2328">
        <f>'VISITA DE INSP.'!JH41</f>
        <v>0</v>
      </c>
      <c r="CB41" s="2333">
        <f>'VISITA DE INSP.'!JI41</f>
        <v>0</v>
      </c>
      <c r="CC41" s="2328">
        <f>'VISITA DE INSP.'!JJ41</f>
        <v>0</v>
      </c>
      <c r="CD41" s="2333">
        <f>'VISITA DE INSP.'!JK41</f>
        <v>0</v>
      </c>
      <c r="CE41" s="2328">
        <f>'VISITA DE INSP.'!JL41</f>
        <v>0</v>
      </c>
      <c r="CF41" s="2333">
        <f>'VISITA DE INSP.'!JM41</f>
        <v>0</v>
      </c>
      <c r="CG41" s="2328">
        <f>'VISITA DE INSP.'!JN41</f>
        <v>0</v>
      </c>
      <c r="CH41" s="2345">
        <f>'VISITA DE INSP.'!JO41</f>
        <v>0</v>
      </c>
      <c r="CI41" s="2344">
        <f>'VISITA DE INSP.'!JP41</f>
        <v>0</v>
      </c>
      <c r="CJ41" s="2333">
        <f>'VISITA DE INSP.'!JQ41</f>
        <v>0</v>
      </c>
      <c r="CK41" s="2328">
        <f>'VISITA DE INSP.'!JR41</f>
        <v>0</v>
      </c>
      <c r="CL41" s="2333">
        <f>'VISITA DE INSP.'!JS41</f>
        <v>0</v>
      </c>
      <c r="CM41" s="2328">
        <f>'VISITA DE INSP.'!JT41</f>
        <v>0</v>
      </c>
      <c r="CN41" s="2333">
        <f>'VISITA DE INSP.'!JU41</f>
        <v>0</v>
      </c>
      <c r="CO41" s="2328">
        <f>'VISITA DE INSP.'!JV41</f>
        <v>0</v>
      </c>
      <c r="CP41" s="2333">
        <f>'VISITA DE INSP.'!JW41</f>
        <v>0</v>
      </c>
      <c r="CQ41" s="2328">
        <f>'VISITA DE INSP.'!JX41</f>
        <v>0</v>
      </c>
      <c r="CR41" s="2333">
        <f>'VISITA DE INSP.'!JY41</f>
        <v>0</v>
      </c>
      <c r="CS41" s="2328">
        <f>'VISITA DE INSP.'!JZ41</f>
        <v>0</v>
      </c>
      <c r="CT41" s="2345">
        <f>'VISITA DE INSP.'!KA41</f>
        <v>0</v>
      </c>
      <c r="CU41" s="2344">
        <f>'VISITA DE INSP.'!KB41</f>
        <v>0</v>
      </c>
      <c r="CV41" s="1463">
        <f>'VISITA DE INSP.'!KC41</f>
        <v>0</v>
      </c>
      <c r="CW41" s="1463">
        <f>'VISITA DE INSP.'!KD41</f>
        <v>0</v>
      </c>
      <c r="CX41" s="1463">
        <f>'VISITA DE INSP.'!KE41</f>
        <v>0</v>
      </c>
      <c r="CY41" s="1463">
        <f>'VISITA DE INSP.'!KF41</f>
        <v>0</v>
      </c>
      <c r="CZ41" s="2346">
        <f>'VISITA DE INSP.'!KG41</f>
        <v>0</v>
      </c>
    </row>
    <row r="42" spans="1:104" ht="15.75" customHeight="1">
      <c r="A42" s="1465"/>
      <c r="B42" s="1465"/>
      <c r="C42" s="1465"/>
      <c r="D42" s="1465"/>
      <c r="E42" s="1465"/>
      <c r="F42" s="1465"/>
      <c r="G42" s="1465"/>
      <c r="H42" s="1465"/>
      <c r="I42" s="1465"/>
      <c r="J42" s="1465"/>
      <c r="K42" s="1465"/>
      <c r="L42" s="1465"/>
      <c r="M42" s="1465"/>
      <c r="N42" s="1465"/>
      <c r="O42" s="1465"/>
      <c r="P42" s="1465"/>
      <c r="Q42" s="1465"/>
      <c r="R42" s="1465"/>
      <c r="S42" s="1465"/>
      <c r="T42" s="1465"/>
      <c r="U42" s="1465"/>
      <c r="V42" s="5228">
        <f ca="1">TODAY()</f>
        <v>41787</v>
      </c>
      <c r="W42" s="5228"/>
      <c r="X42" s="5228"/>
      <c r="Y42" s="801"/>
      <c r="Z42" s="2356">
        <f>'VISITA DE INSP.'!HG42</f>
        <v>18</v>
      </c>
      <c r="AA42" s="2344">
        <f>'VISITA DE INSP.'!HH42</f>
        <v>0</v>
      </c>
      <c r="AB42" s="2333">
        <f>'VISITA DE INSP.'!HI42</f>
        <v>0</v>
      </c>
      <c r="AC42" s="2328">
        <f>'VISITA DE INSP.'!HJ42</f>
        <v>0</v>
      </c>
      <c r="AD42" s="2333">
        <f>'VISITA DE INSP.'!HK42</f>
        <v>0</v>
      </c>
      <c r="AE42" s="2328">
        <f>'VISITA DE INSP.'!HL42</f>
        <v>0</v>
      </c>
      <c r="AF42" s="2333">
        <f>'VISITA DE INSP.'!HM42</f>
        <v>0</v>
      </c>
      <c r="AG42" s="2328">
        <f>'VISITA DE INSP.'!HN42</f>
        <v>0</v>
      </c>
      <c r="AH42" s="2333">
        <f>'VISITA DE INSP.'!HO42</f>
        <v>0</v>
      </c>
      <c r="AI42" s="2328">
        <f>'VISITA DE INSP.'!HP42</f>
        <v>0</v>
      </c>
      <c r="AJ42" s="2333">
        <f>'VISITA DE INSP.'!HQ42</f>
        <v>0</v>
      </c>
      <c r="AK42" s="2328">
        <f>'VISITA DE INSP.'!HR42</f>
        <v>0</v>
      </c>
      <c r="AL42" s="2345">
        <f>'VISITA DE INSP.'!HS42</f>
        <v>0</v>
      </c>
      <c r="AM42" s="2344">
        <f>'VISITA DE INSP.'!HT42</f>
        <v>0</v>
      </c>
      <c r="AN42" s="2333">
        <f>'VISITA DE INSP.'!HU42</f>
        <v>0</v>
      </c>
      <c r="AO42" s="2328">
        <f>'VISITA DE INSP.'!HV42</f>
        <v>0</v>
      </c>
      <c r="AP42" s="2333">
        <f>'VISITA DE INSP.'!HW42</f>
        <v>0</v>
      </c>
      <c r="AQ42" s="2328">
        <f>'VISITA DE INSP.'!HX42</f>
        <v>0</v>
      </c>
      <c r="AR42" s="2333">
        <f>'VISITA DE INSP.'!HY42</f>
        <v>0</v>
      </c>
      <c r="AS42" s="2328">
        <f>'VISITA DE INSP.'!HZ42</f>
        <v>0</v>
      </c>
      <c r="AT42" s="2333">
        <f>'VISITA DE INSP.'!IA42</f>
        <v>0</v>
      </c>
      <c r="AU42" s="2328">
        <f>'VISITA DE INSP.'!IB42</f>
        <v>0</v>
      </c>
      <c r="AV42" s="2333">
        <f>'VISITA DE INSP.'!IC42</f>
        <v>0</v>
      </c>
      <c r="AW42" s="2328">
        <f>'VISITA DE INSP.'!ID42</f>
        <v>0</v>
      </c>
      <c r="AX42" s="2345">
        <f>'VISITA DE INSP.'!IE42</f>
        <v>0</v>
      </c>
      <c r="AY42" s="2344">
        <f>'VISITA DE INSP.'!IF42</f>
        <v>0</v>
      </c>
      <c r="AZ42" s="2333">
        <f>'VISITA DE INSP.'!IG42</f>
        <v>0</v>
      </c>
      <c r="BA42" s="2328">
        <f>'VISITA DE INSP.'!IH42</f>
        <v>0</v>
      </c>
      <c r="BB42" s="2333">
        <f>'VISITA DE INSP.'!II42</f>
        <v>0</v>
      </c>
      <c r="BC42" s="2328">
        <f>'VISITA DE INSP.'!IJ42</f>
        <v>0</v>
      </c>
      <c r="BD42" s="2333">
        <f>'VISITA DE INSP.'!IK42</f>
        <v>0</v>
      </c>
      <c r="BE42" s="2328">
        <f>'VISITA DE INSP.'!IL42</f>
        <v>0</v>
      </c>
      <c r="BF42" s="2333">
        <f>'VISITA DE INSP.'!IM42</f>
        <v>0</v>
      </c>
      <c r="BG42" s="2328">
        <f>'VISITA DE INSP.'!IN42</f>
        <v>0</v>
      </c>
      <c r="BH42" s="2333">
        <f>'VISITA DE INSP.'!IO42</f>
        <v>0</v>
      </c>
      <c r="BI42" s="2328">
        <f>'VISITA DE INSP.'!IP42</f>
        <v>0</v>
      </c>
      <c r="BJ42" s="2345">
        <f>'VISITA DE INSP.'!IQ42</f>
        <v>0</v>
      </c>
      <c r="BK42" s="2344">
        <f>'VISITA DE INSP.'!IR42</f>
        <v>0</v>
      </c>
      <c r="BL42" s="2333">
        <f>'VISITA DE INSP.'!IS42</f>
        <v>0</v>
      </c>
      <c r="BM42" s="2328">
        <f>'VISITA DE INSP.'!IT42</f>
        <v>0</v>
      </c>
      <c r="BN42" s="2333">
        <f>'VISITA DE INSP.'!IU42</f>
        <v>0</v>
      </c>
      <c r="BO42" s="2328">
        <f>'VISITA DE INSP.'!IV42</f>
        <v>0</v>
      </c>
      <c r="BP42" s="2333">
        <f>'VISITA DE INSP.'!IW42</f>
        <v>0</v>
      </c>
      <c r="BQ42" s="2328">
        <f>'VISITA DE INSP.'!IX42</f>
        <v>0</v>
      </c>
      <c r="BR42" s="2333">
        <f>'VISITA DE INSP.'!IY42</f>
        <v>0</v>
      </c>
      <c r="BS42" s="2328">
        <f>'VISITA DE INSP.'!IZ42</f>
        <v>0</v>
      </c>
      <c r="BT42" s="2333">
        <f>'VISITA DE INSP.'!JA42</f>
        <v>0</v>
      </c>
      <c r="BU42" s="2328">
        <f>'VISITA DE INSP.'!JB42</f>
        <v>0</v>
      </c>
      <c r="BV42" s="2345">
        <f>'VISITA DE INSP.'!JC42</f>
        <v>0</v>
      </c>
      <c r="BW42" s="2344">
        <f>'VISITA DE INSP.'!JD42</f>
        <v>0</v>
      </c>
      <c r="BX42" s="2333">
        <f>'VISITA DE INSP.'!JE42</f>
        <v>0</v>
      </c>
      <c r="BY42" s="2328">
        <f>'VISITA DE INSP.'!JF42</f>
        <v>0</v>
      </c>
      <c r="BZ42" s="2333">
        <f>'VISITA DE INSP.'!JG42</f>
        <v>0</v>
      </c>
      <c r="CA42" s="2328">
        <f>'VISITA DE INSP.'!JH42</f>
        <v>0</v>
      </c>
      <c r="CB42" s="2333">
        <f>'VISITA DE INSP.'!JI42</f>
        <v>0</v>
      </c>
      <c r="CC42" s="2328">
        <f>'VISITA DE INSP.'!JJ42</f>
        <v>0</v>
      </c>
      <c r="CD42" s="2333">
        <f>'VISITA DE INSP.'!JK42</f>
        <v>0</v>
      </c>
      <c r="CE42" s="2328">
        <f>'VISITA DE INSP.'!JL42</f>
        <v>0</v>
      </c>
      <c r="CF42" s="2333">
        <f>'VISITA DE INSP.'!JM42</f>
        <v>0</v>
      </c>
      <c r="CG42" s="2328">
        <f>'VISITA DE INSP.'!JN42</f>
        <v>0</v>
      </c>
      <c r="CH42" s="2345">
        <f>'VISITA DE INSP.'!JO42</f>
        <v>0</v>
      </c>
      <c r="CI42" s="2344">
        <f>'VISITA DE INSP.'!JP42</f>
        <v>0</v>
      </c>
      <c r="CJ42" s="2333">
        <f>'VISITA DE INSP.'!JQ42</f>
        <v>0</v>
      </c>
      <c r="CK42" s="2328">
        <f>'VISITA DE INSP.'!JR42</f>
        <v>0</v>
      </c>
      <c r="CL42" s="2333">
        <f>'VISITA DE INSP.'!JS42</f>
        <v>0</v>
      </c>
      <c r="CM42" s="2328">
        <f>'VISITA DE INSP.'!JT42</f>
        <v>0</v>
      </c>
      <c r="CN42" s="2333">
        <f>'VISITA DE INSP.'!JU42</f>
        <v>0</v>
      </c>
      <c r="CO42" s="2328">
        <f>'VISITA DE INSP.'!JV42</f>
        <v>0</v>
      </c>
      <c r="CP42" s="2333">
        <f>'VISITA DE INSP.'!JW42</f>
        <v>0</v>
      </c>
      <c r="CQ42" s="2328">
        <f>'VISITA DE INSP.'!JX42</f>
        <v>0</v>
      </c>
      <c r="CR42" s="2333">
        <f>'VISITA DE INSP.'!JY42</f>
        <v>0</v>
      </c>
      <c r="CS42" s="2328">
        <f>'VISITA DE INSP.'!JZ42</f>
        <v>0</v>
      </c>
      <c r="CT42" s="2345">
        <f>'VISITA DE INSP.'!KA42</f>
        <v>0</v>
      </c>
      <c r="CU42" s="2344">
        <f>'VISITA DE INSP.'!KB42</f>
        <v>0</v>
      </c>
      <c r="CV42" s="1463">
        <f>'VISITA DE INSP.'!KC42</f>
        <v>0</v>
      </c>
      <c r="CW42" s="1463">
        <f>'VISITA DE INSP.'!KD42</f>
        <v>0</v>
      </c>
      <c r="CX42" s="1463">
        <f>'VISITA DE INSP.'!KE42</f>
        <v>0</v>
      </c>
      <c r="CY42" s="1463">
        <f>'VISITA DE INSP.'!KF42</f>
        <v>0</v>
      </c>
      <c r="CZ42" s="2346">
        <f>'VISITA DE INSP.'!KG42</f>
        <v>0</v>
      </c>
    </row>
    <row r="43" spans="1:104" ht="14.1" customHeight="1">
      <c r="A43" s="1465"/>
      <c r="B43" s="1465"/>
      <c r="C43" s="1465"/>
      <c r="D43" s="1465"/>
      <c r="E43" s="1465"/>
      <c r="F43" s="1465"/>
      <c r="G43" s="1465"/>
      <c r="H43" s="1465"/>
      <c r="I43" s="1471"/>
      <c r="J43" s="1471"/>
      <c r="K43" s="1471"/>
      <c r="L43" s="1471"/>
      <c r="M43" s="1471"/>
      <c r="N43" s="1471"/>
      <c r="O43" s="1465"/>
      <c r="P43" s="1465"/>
      <c r="Q43" s="1465"/>
      <c r="R43" s="1465"/>
      <c r="S43" s="1465"/>
      <c r="T43" s="1465"/>
      <c r="U43" s="1465"/>
      <c r="V43" s="2233" t="s">
        <v>1456</v>
      </c>
      <c r="W43" s="2233" t="s">
        <v>1145</v>
      </c>
      <c r="X43" s="2233" t="s">
        <v>1146</v>
      </c>
      <c r="Y43" s="801"/>
      <c r="Z43" s="2356">
        <f>'VISITA DE INSP.'!HG43</f>
        <v>19</v>
      </c>
      <c r="AA43" s="2344">
        <f>'VISITA DE INSP.'!HH43</f>
        <v>0</v>
      </c>
      <c r="AB43" s="2333">
        <f>'VISITA DE INSP.'!HI43</f>
        <v>0</v>
      </c>
      <c r="AC43" s="2328">
        <f>'VISITA DE INSP.'!HJ43</f>
        <v>0</v>
      </c>
      <c r="AD43" s="2333">
        <f>'VISITA DE INSP.'!HK43</f>
        <v>0</v>
      </c>
      <c r="AE43" s="2328">
        <f>'VISITA DE INSP.'!HL43</f>
        <v>0</v>
      </c>
      <c r="AF43" s="2333">
        <f>'VISITA DE INSP.'!HM43</f>
        <v>0</v>
      </c>
      <c r="AG43" s="2328">
        <f>'VISITA DE INSP.'!HN43</f>
        <v>0</v>
      </c>
      <c r="AH43" s="2333">
        <f>'VISITA DE INSP.'!HO43</f>
        <v>0</v>
      </c>
      <c r="AI43" s="2328">
        <f>'VISITA DE INSP.'!HP43</f>
        <v>0</v>
      </c>
      <c r="AJ43" s="2333">
        <f>'VISITA DE INSP.'!HQ43</f>
        <v>0</v>
      </c>
      <c r="AK43" s="2328">
        <f>'VISITA DE INSP.'!HR43</f>
        <v>0</v>
      </c>
      <c r="AL43" s="2345">
        <f>'VISITA DE INSP.'!HS43</f>
        <v>0</v>
      </c>
      <c r="AM43" s="2344">
        <f>'VISITA DE INSP.'!HT43</f>
        <v>0</v>
      </c>
      <c r="AN43" s="2333">
        <f>'VISITA DE INSP.'!HU43</f>
        <v>0</v>
      </c>
      <c r="AO43" s="2328">
        <f>'VISITA DE INSP.'!HV43</f>
        <v>0</v>
      </c>
      <c r="AP43" s="2333">
        <f>'VISITA DE INSP.'!HW43</f>
        <v>0</v>
      </c>
      <c r="AQ43" s="2328">
        <f>'VISITA DE INSP.'!HX43</f>
        <v>0</v>
      </c>
      <c r="AR43" s="2333">
        <f>'VISITA DE INSP.'!HY43</f>
        <v>0</v>
      </c>
      <c r="AS43" s="2328">
        <f>'VISITA DE INSP.'!HZ43</f>
        <v>0</v>
      </c>
      <c r="AT43" s="2333">
        <f>'VISITA DE INSP.'!IA43</f>
        <v>0</v>
      </c>
      <c r="AU43" s="2328">
        <f>'VISITA DE INSP.'!IB43</f>
        <v>0</v>
      </c>
      <c r="AV43" s="2333">
        <f>'VISITA DE INSP.'!IC43</f>
        <v>0</v>
      </c>
      <c r="AW43" s="2328">
        <f>'VISITA DE INSP.'!ID43</f>
        <v>0</v>
      </c>
      <c r="AX43" s="2345">
        <f>'VISITA DE INSP.'!IE43</f>
        <v>0</v>
      </c>
      <c r="AY43" s="2344">
        <f>'VISITA DE INSP.'!IF43</f>
        <v>0</v>
      </c>
      <c r="AZ43" s="2333">
        <f>'VISITA DE INSP.'!IG43</f>
        <v>0</v>
      </c>
      <c r="BA43" s="2328">
        <f>'VISITA DE INSP.'!IH43</f>
        <v>0</v>
      </c>
      <c r="BB43" s="2333">
        <f>'VISITA DE INSP.'!II43</f>
        <v>0</v>
      </c>
      <c r="BC43" s="2328">
        <f>'VISITA DE INSP.'!IJ43</f>
        <v>0</v>
      </c>
      <c r="BD43" s="2333">
        <f>'VISITA DE INSP.'!IK43</f>
        <v>0</v>
      </c>
      <c r="BE43" s="2328">
        <f>'VISITA DE INSP.'!IL43</f>
        <v>0</v>
      </c>
      <c r="BF43" s="2333">
        <f>'VISITA DE INSP.'!IM43</f>
        <v>0</v>
      </c>
      <c r="BG43" s="2328">
        <f>'VISITA DE INSP.'!IN43</f>
        <v>0</v>
      </c>
      <c r="BH43" s="2333">
        <f>'VISITA DE INSP.'!IO43</f>
        <v>0</v>
      </c>
      <c r="BI43" s="2328">
        <f>'VISITA DE INSP.'!IP43</f>
        <v>0</v>
      </c>
      <c r="BJ43" s="2345">
        <f>'VISITA DE INSP.'!IQ43</f>
        <v>0</v>
      </c>
      <c r="BK43" s="2344">
        <f>'VISITA DE INSP.'!IR43</f>
        <v>0</v>
      </c>
      <c r="BL43" s="2333">
        <f>'VISITA DE INSP.'!IS43</f>
        <v>0</v>
      </c>
      <c r="BM43" s="2328">
        <f>'VISITA DE INSP.'!IT43</f>
        <v>0</v>
      </c>
      <c r="BN43" s="2333">
        <f>'VISITA DE INSP.'!IU43</f>
        <v>0</v>
      </c>
      <c r="BO43" s="2328">
        <f>'VISITA DE INSP.'!IV43</f>
        <v>0</v>
      </c>
      <c r="BP43" s="2333">
        <f>'VISITA DE INSP.'!IW43</f>
        <v>0</v>
      </c>
      <c r="BQ43" s="2328">
        <f>'VISITA DE INSP.'!IX43</f>
        <v>0</v>
      </c>
      <c r="BR43" s="2333">
        <f>'VISITA DE INSP.'!IY43</f>
        <v>0</v>
      </c>
      <c r="BS43" s="2328">
        <f>'VISITA DE INSP.'!IZ43</f>
        <v>0</v>
      </c>
      <c r="BT43" s="2333">
        <f>'VISITA DE INSP.'!JA43</f>
        <v>0</v>
      </c>
      <c r="BU43" s="2328">
        <f>'VISITA DE INSP.'!JB43</f>
        <v>0</v>
      </c>
      <c r="BV43" s="2345">
        <f>'VISITA DE INSP.'!JC43</f>
        <v>0</v>
      </c>
      <c r="BW43" s="2344">
        <f>'VISITA DE INSP.'!JD43</f>
        <v>0</v>
      </c>
      <c r="BX43" s="2333">
        <f>'VISITA DE INSP.'!JE43</f>
        <v>0</v>
      </c>
      <c r="BY43" s="2328">
        <f>'VISITA DE INSP.'!JF43</f>
        <v>0</v>
      </c>
      <c r="BZ43" s="2333">
        <f>'VISITA DE INSP.'!JG43</f>
        <v>0</v>
      </c>
      <c r="CA43" s="2328">
        <f>'VISITA DE INSP.'!JH43</f>
        <v>0</v>
      </c>
      <c r="CB43" s="2333">
        <f>'VISITA DE INSP.'!JI43</f>
        <v>0</v>
      </c>
      <c r="CC43" s="2328">
        <f>'VISITA DE INSP.'!JJ43</f>
        <v>0</v>
      </c>
      <c r="CD43" s="2333">
        <f>'VISITA DE INSP.'!JK43</f>
        <v>0</v>
      </c>
      <c r="CE43" s="2328">
        <f>'VISITA DE INSP.'!JL43</f>
        <v>0</v>
      </c>
      <c r="CF43" s="2333">
        <f>'VISITA DE INSP.'!JM43</f>
        <v>0</v>
      </c>
      <c r="CG43" s="2328">
        <f>'VISITA DE INSP.'!JN43</f>
        <v>0</v>
      </c>
      <c r="CH43" s="2345">
        <f>'VISITA DE INSP.'!JO43</f>
        <v>0</v>
      </c>
      <c r="CI43" s="2344">
        <f>'VISITA DE INSP.'!JP43</f>
        <v>0</v>
      </c>
      <c r="CJ43" s="2333">
        <f>'VISITA DE INSP.'!JQ43</f>
        <v>0</v>
      </c>
      <c r="CK43" s="2328">
        <f>'VISITA DE INSP.'!JR43</f>
        <v>0</v>
      </c>
      <c r="CL43" s="2333">
        <f>'VISITA DE INSP.'!JS43</f>
        <v>0</v>
      </c>
      <c r="CM43" s="2328">
        <f>'VISITA DE INSP.'!JT43</f>
        <v>0</v>
      </c>
      <c r="CN43" s="2333">
        <f>'VISITA DE INSP.'!JU43</f>
        <v>0</v>
      </c>
      <c r="CO43" s="2328">
        <f>'VISITA DE INSP.'!JV43</f>
        <v>0</v>
      </c>
      <c r="CP43" s="2333">
        <f>'VISITA DE INSP.'!JW43</f>
        <v>0</v>
      </c>
      <c r="CQ43" s="2328">
        <f>'VISITA DE INSP.'!JX43</f>
        <v>0</v>
      </c>
      <c r="CR43" s="2333">
        <f>'VISITA DE INSP.'!JY43</f>
        <v>0</v>
      </c>
      <c r="CS43" s="2328">
        <f>'VISITA DE INSP.'!JZ43</f>
        <v>0</v>
      </c>
      <c r="CT43" s="2345">
        <f>'VISITA DE INSP.'!KA43</f>
        <v>0</v>
      </c>
      <c r="CU43" s="2344">
        <f>'VISITA DE INSP.'!KB43</f>
        <v>0</v>
      </c>
      <c r="CV43" s="1463">
        <f>'VISITA DE INSP.'!KC43</f>
        <v>0</v>
      </c>
      <c r="CW43" s="1463">
        <f>'VISITA DE INSP.'!KD43</f>
        <v>0</v>
      </c>
      <c r="CX43" s="1463">
        <f>'VISITA DE INSP.'!KE43</f>
        <v>0</v>
      </c>
      <c r="CY43" s="1463">
        <f>'VISITA DE INSP.'!KF43</f>
        <v>0</v>
      </c>
      <c r="CZ43" s="2346">
        <f>'VISITA DE INSP.'!KG43</f>
        <v>0</v>
      </c>
    </row>
    <row r="44" spans="1:104" s="1440" customFormat="1" ht="21.95" customHeight="1" thickBot="1">
      <c r="A44" s="1493"/>
      <c r="B44" s="1493" t="s">
        <v>241</v>
      </c>
      <c r="C44" s="1493"/>
      <c r="D44" s="5259" t="s">
        <v>1457</v>
      </c>
      <c r="E44" s="5259"/>
      <c r="F44" s="5260" t="str">
        <f>VLOOKUP(K13,Z2:BV22,48)</f>
        <v>PUCH GOMEZ MADAI ROXANA</v>
      </c>
      <c r="G44" s="5260"/>
      <c r="H44" s="5260"/>
      <c r="I44" s="5260"/>
      <c r="J44" s="5260"/>
      <c r="K44" s="5260"/>
      <c r="L44" s="5261" t="s">
        <v>1194</v>
      </c>
      <c r="M44" s="5261"/>
      <c r="N44" s="5261"/>
      <c r="O44" s="5260" t="str">
        <f>VLOOKUP(K13,Z2:BV22,49)</f>
        <v>JESUS MARTIN RICALDE CASTRO</v>
      </c>
      <c r="P44" s="5260"/>
      <c r="Q44" s="5260"/>
      <c r="R44" s="5260"/>
      <c r="S44" s="5260"/>
      <c r="T44" s="5260"/>
      <c r="U44" s="2260" t="s">
        <v>1458</v>
      </c>
      <c r="V44" s="2209" t="s">
        <v>2704</v>
      </c>
      <c r="W44" s="2210">
        <v>3</v>
      </c>
      <c r="X44" s="2209" t="s">
        <v>2705</v>
      </c>
      <c r="Y44" s="2332"/>
      <c r="Z44" s="2356">
        <f>'VISITA DE INSP.'!HG44</f>
        <v>20</v>
      </c>
      <c r="AA44" s="2498">
        <f>'VISITA DE INSP.'!HH44</f>
        <v>278</v>
      </c>
      <c r="AB44" s="2455">
        <f>'VISITA DE INSP.'!HI44</f>
        <v>263</v>
      </c>
      <c r="AC44" s="2454">
        <f>'VISITA DE INSP.'!HJ44</f>
        <v>302</v>
      </c>
      <c r="AD44" s="2455">
        <f>'VISITA DE INSP.'!HK44</f>
        <v>240</v>
      </c>
      <c r="AE44" s="2454">
        <f>'VISITA DE INSP.'!HL44</f>
        <v>273</v>
      </c>
      <c r="AF44" s="2455">
        <f>'VISITA DE INSP.'!HM44</f>
        <v>253</v>
      </c>
      <c r="AG44" s="2454">
        <f>'VISITA DE INSP.'!HN44</f>
        <v>284</v>
      </c>
      <c r="AH44" s="2455">
        <f>'VISITA DE INSP.'!HO44</f>
        <v>241</v>
      </c>
      <c r="AI44" s="2454">
        <f>'VISITA DE INSP.'!HP44</f>
        <v>313</v>
      </c>
      <c r="AJ44" s="2495">
        <f>'VISITA DE INSP.'!HQ44</f>
        <v>274</v>
      </c>
      <c r="AK44" s="2454">
        <f>'VISITA DE INSP.'!HR44</f>
        <v>323</v>
      </c>
      <c r="AL44" s="2455">
        <f>'VISITA DE INSP.'!HS44</f>
        <v>276</v>
      </c>
      <c r="AM44" s="2454">
        <f>'VISITA DE INSP.'!HT44</f>
        <v>23</v>
      </c>
      <c r="AN44" s="2455">
        <f>'VISITA DE INSP.'!HU44</f>
        <v>24</v>
      </c>
      <c r="AO44" s="2454">
        <f>'VISITA DE INSP.'!HV44</f>
        <v>22</v>
      </c>
      <c r="AP44" s="2455">
        <f>'VISITA DE INSP.'!HW44</f>
        <v>24</v>
      </c>
      <c r="AQ44" s="2454">
        <f>'VISITA DE INSP.'!HX44</f>
        <v>22</v>
      </c>
      <c r="AR44" s="2455">
        <f>'VISITA DE INSP.'!HY44</f>
        <v>24</v>
      </c>
      <c r="AS44" s="2454">
        <f>'VISITA DE INSP.'!HZ44</f>
        <v>22</v>
      </c>
      <c r="AT44" s="2455">
        <f>'VISITA DE INSP.'!IA44</f>
        <v>15</v>
      </c>
      <c r="AU44" s="2454">
        <f>'VISITA DE INSP.'!IB44</f>
        <v>17</v>
      </c>
      <c r="AV44" s="2455">
        <f>'VISITA DE INSP.'!IC44</f>
        <v>18</v>
      </c>
      <c r="AW44" s="2454">
        <f>'VISITA DE INSP.'!ID44</f>
        <v>15</v>
      </c>
      <c r="AX44" s="2455">
        <f>'VISITA DE INSP.'!IE44</f>
        <v>17</v>
      </c>
      <c r="AY44" s="2454">
        <f>'VISITA DE INSP.'!IF44</f>
        <v>25</v>
      </c>
      <c r="AZ44" s="2455">
        <f>'VISITA DE INSP.'!IG44</f>
        <v>26</v>
      </c>
      <c r="BA44" s="2454">
        <f>'VISITA DE INSP.'!IH44</f>
        <v>37</v>
      </c>
      <c r="BB44" s="2455">
        <f>'VISITA DE INSP.'!II44</f>
        <v>31</v>
      </c>
      <c r="BC44" s="2454">
        <f>'VISITA DE INSP.'!IJ44</f>
        <v>38</v>
      </c>
      <c r="BD44" s="2455">
        <f>'VISITA DE INSP.'!IK44</f>
        <v>30</v>
      </c>
      <c r="BE44" s="2454">
        <f>'VISITA DE INSP.'!IL44</f>
        <v>27</v>
      </c>
      <c r="BF44" s="2455">
        <f>'VISITA DE INSP.'!IM44</f>
        <v>15</v>
      </c>
      <c r="BG44" s="2454">
        <f>'VISITA DE INSP.'!IN44</f>
        <v>33</v>
      </c>
      <c r="BH44" s="2455">
        <f>'VISITA DE INSP.'!IO44</f>
        <v>26</v>
      </c>
      <c r="BI44" s="2481">
        <f>'VISITA DE INSP.'!IP44</f>
        <v>32</v>
      </c>
      <c r="BJ44" s="2482">
        <f>'VISITA DE INSP.'!IQ44</f>
        <v>10</v>
      </c>
      <c r="BK44" s="2454">
        <f>'VISITA DE INSP.'!IR44</f>
        <v>0</v>
      </c>
      <c r="BL44" s="2455">
        <f>'VISITA DE INSP.'!IS44</f>
        <v>0</v>
      </c>
      <c r="BM44" s="2454">
        <f>'VISITA DE INSP.'!IT44</f>
        <v>0</v>
      </c>
      <c r="BN44" s="2455">
        <f>'VISITA DE INSP.'!IU44</f>
        <v>0</v>
      </c>
      <c r="BO44" s="2454">
        <f>'VISITA DE INSP.'!IV44</f>
        <v>0</v>
      </c>
      <c r="BP44" s="2455">
        <f>'VISITA DE INSP.'!IW44</f>
        <v>0</v>
      </c>
      <c r="BQ44" s="2454">
        <f>'VISITA DE INSP.'!IX44</f>
        <v>0</v>
      </c>
      <c r="BR44" s="2455">
        <f>'VISITA DE INSP.'!IY44</f>
        <v>0</v>
      </c>
      <c r="BS44" s="2454">
        <f>'VISITA DE INSP.'!IZ44</f>
        <v>0</v>
      </c>
      <c r="BT44" s="2455">
        <f>'VISITA DE INSP.'!JA44</f>
        <v>0</v>
      </c>
      <c r="BU44" s="2454">
        <f>'VISITA DE INSP.'!JB44</f>
        <v>0</v>
      </c>
      <c r="BV44" s="2455">
        <f>'VISITA DE INSP.'!JC44</f>
        <v>0</v>
      </c>
      <c r="BW44" s="2454">
        <f>'VISITA DE INSP.'!JD44</f>
        <v>3</v>
      </c>
      <c r="BX44" s="2455">
        <f>'VISITA DE INSP.'!JE44</f>
        <v>18</v>
      </c>
      <c r="BY44" s="2454">
        <f>'VISITA DE INSP.'!JF44</f>
        <v>0</v>
      </c>
      <c r="BZ44" s="2455">
        <f>'VISITA DE INSP.'!JG44</f>
        <v>17</v>
      </c>
      <c r="CA44" s="2454">
        <f>'VISITA DE INSP.'!JH44</f>
        <v>5</v>
      </c>
      <c r="CB44" s="2455">
        <f>'VISITA DE INSP.'!JI44</f>
        <v>16</v>
      </c>
      <c r="CC44" s="2454">
        <f>'VISITA DE INSP.'!JJ44</f>
        <v>4</v>
      </c>
      <c r="CD44" s="2455">
        <f>'VISITA DE INSP.'!JK44</f>
        <v>14</v>
      </c>
      <c r="CE44" s="2454">
        <f>'VISITA DE INSP.'!JL44</f>
        <v>13</v>
      </c>
      <c r="CF44" s="2455">
        <f>'VISITA DE INSP.'!JM44</f>
        <v>9</v>
      </c>
      <c r="CG44" s="2454">
        <f>'VISITA DE INSP.'!JN44</f>
        <v>13</v>
      </c>
      <c r="CH44" s="2455">
        <f>'VISITA DE INSP.'!JO44</f>
        <v>6</v>
      </c>
      <c r="CI44" s="2454">
        <f>'VISITA DE INSP.'!JP44</f>
        <v>0</v>
      </c>
      <c r="CJ44" s="2455">
        <f>'VISITA DE INSP.'!JQ44</f>
        <v>0</v>
      </c>
      <c r="CK44" s="2454">
        <f>'VISITA DE INSP.'!JR44</f>
        <v>0</v>
      </c>
      <c r="CL44" s="2455">
        <f>'VISITA DE INSP.'!JS44</f>
        <v>0</v>
      </c>
      <c r="CM44" s="2454">
        <f>'VISITA DE INSP.'!JT44</f>
        <v>0</v>
      </c>
      <c r="CN44" s="2455">
        <f>'VISITA DE INSP.'!JU44</f>
        <v>0</v>
      </c>
      <c r="CO44" s="2454">
        <f>'VISITA DE INSP.'!JV44</f>
        <v>0</v>
      </c>
      <c r="CP44" s="2455">
        <f>'VISITA DE INSP.'!JW44</f>
        <v>0</v>
      </c>
      <c r="CQ44" s="2454">
        <f>'VISITA DE INSP.'!JX44</f>
        <v>0</v>
      </c>
      <c r="CR44" s="2455">
        <f>'VISITA DE INSP.'!JY44</f>
        <v>0</v>
      </c>
      <c r="CS44" s="2454">
        <f>'VISITA DE INSP.'!JZ44</f>
        <v>0</v>
      </c>
      <c r="CT44" s="2455">
        <f>'VISITA DE INSP.'!KA44</f>
        <v>0</v>
      </c>
      <c r="CU44" s="2454">
        <f>'VISITA DE INSP.'!KB44</f>
        <v>0</v>
      </c>
      <c r="CV44" s="2503">
        <f>'VISITA DE INSP.'!KC44</f>
        <v>0</v>
      </c>
      <c r="CW44" s="2503">
        <f>'VISITA DE INSP.'!KD44</f>
        <v>0</v>
      </c>
      <c r="CX44" s="2503">
        <f>'VISITA DE INSP.'!KE44</f>
        <v>0</v>
      </c>
      <c r="CY44" s="2503">
        <f>'VISITA DE INSP.'!KF44</f>
        <v>0</v>
      </c>
      <c r="CZ44" s="2503">
        <f>'VISITA DE INSP.'!KG44</f>
        <v>0</v>
      </c>
    </row>
    <row r="45" spans="1:104" s="2296" customFormat="1" ht="16.5" customHeight="1" thickBot="1">
      <c r="A45" s="3727"/>
      <c r="B45" s="3727"/>
      <c r="C45" s="3727"/>
      <c r="D45" s="3727"/>
      <c r="E45" s="3727"/>
      <c r="F45" s="3727"/>
      <c r="G45" s="3727"/>
      <c r="H45" s="3727"/>
      <c r="I45" s="3727"/>
      <c r="J45" s="3727"/>
      <c r="K45" s="3727"/>
      <c r="L45" s="3727"/>
      <c r="M45" s="3727"/>
      <c r="N45" s="3727"/>
      <c r="O45" s="3727"/>
      <c r="P45" s="3727"/>
      <c r="Q45" s="3727"/>
      <c r="R45" s="3727"/>
      <c r="S45" s="3727"/>
      <c r="T45" s="3727"/>
      <c r="U45" s="3727"/>
      <c r="V45" s="3727"/>
      <c r="W45" s="3727"/>
      <c r="X45" s="3727"/>
      <c r="Z45" s="2536">
        <f>'VISITA DE INSP.'!HG45</f>
        <v>21</v>
      </c>
      <c r="AA45" s="2499">
        <f>'VISITA DE INSP.'!HH45</f>
        <v>541</v>
      </c>
      <c r="AB45" s="2457">
        <f>'VISITA DE INSP.'!HI45</f>
        <v>0</v>
      </c>
      <c r="AC45" s="2458">
        <f>'VISITA DE INSP.'!HJ45</f>
        <v>542</v>
      </c>
      <c r="AD45" s="2457">
        <f>'VISITA DE INSP.'!HK45</f>
        <v>0</v>
      </c>
      <c r="AE45" s="2458">
        <f>'VISITA DE INSP.'!HL45</f>
        <v>526</v>
      </c>
      <c r="AF45" s="2457">
        <f>'VISITA DE INSP.'!HM45</f>
        <v>0</v>
      </c>
      <c r="AG45" s="2458">
        <f>'VISITA DE INSP.'!HN45</f>
        <v>525</v>
      </c>
      <c r="AH45" s="2457">
        <f>'VISITA DE INSP.'!HO45</f>
        <v>0</v>
      </c>
      <c r="AI45" s="2492">
        <f>'VISITA DE INSP.'!HP45</f>
        <v>587</v>
      </c>
      <c r="AJ45" s="2487">
        <f>'VISITA DE INSP.'!HQ45</f>
        <v>0</v>
      </c>
      <c r="AK45" s="2458">
        <f>'VISITA DE INSP.'!HR45</f>
        <v>599</v>
      </c>
      <c r="AL45" s="2457">
        <f>'VISITA DE INSP.'!HS45</f>
        <v>0</v>
      </c>
      <c r="AM45" s="2458">
        <f>'VISITA DE INSP.'!HT45</f>
        <v>47</v>
      </c>
      <c r="AN45" s="2457">
        <f>'VISITA DE INSP.'!HU45</f>
        <v>0</v>
      </c>
      <c r="AO45" s="2458">
        <f>'VISITA DE INSP.'!HV45</f>
        <v>46</v>
      </c>
      <c r="AP45" s="2457">
        <f>'VISITA DE INSP.'!HW45</f>
        <v>0</v>
      </c>
      <c r="AQ45" s="2458">
        <f>'VISITA DE INSP.'!HX45</f>
        <v>46</v>
      </c>
      <c r="AR45" s="2457">
        <f>'VISITA DE INSP.'!HY45</f>
        <v>0</v>
      </c>
      <c r="AS45" s="2458">
        <f>'VISITA DE INSP.'!HZ45</f>
        <v>37</v>
      </c>
      <c r="AT45" s="2457">
        <f>'VISITA DE INSP.'!IA45</f>
        <v>0</v>
      </c>
      <c r="AU45" s="2458">
        <f>'VISITA DE INSP.'!IB45</f>
        <v>35</v>
      </c>
      <c r="AV45" s="2457">
        <f>'VISITA DE INSP.'!IC45</f>
        <v>0</v>
      </c>
      <c r="AW45" s="2458">
        <f>'VISITA DE INSP.'!ID45</f>
        <v>32</v>
      </c>
      <c r="AX45" s="2457">
        <f>'VISITA DE INSP.'!IE45</f>
        <v>0</v>
      </c>
      <c r="AY45" s="2492">
        <f>'VISITA DE INSP.'!IF45</f>
        <v>51</v>
      </c>
      <c r="AZ45" s="2487">
        <f>'VISITA DE INSP.'!IG45</f>
        <v>0</v>
      </c>
      <c r="BA45" s="2458">
        <f>'VISITA DE INSP.'!IH45</f>
        <v>68</v>
      </c>
      <c r="BB45" s="2457">
        <f>'VISITA DE INSP.'!II45</f>
        <v>0</v>
      </c>
      <c r="BC45" s="2492">
        <f>'VISITA DE INSP.'!IJ45</f>
        <v>68</v>
      </c>
      <c r="BD45" s="2487">
        <f>'VISITA DE INSP.'!IK45</f>
        <v>0</v>
      </c>
      <c r="BE45" s="2458">
        <f>'VISITA DE INSP.'!IL45</f>
        <v>42</v>
      </c>
      <c r="BF45" s="2457">
        <f>'VISITA DE INSP.'!IM45</f>
        <v>0</v>
      </c>
      <c r="BG45" s="2458">
        <f>'VISITA DE INSP.'!IN45</f>
        <v>59</v>
      </c>
      <c r="BH45" s="2459">
        <f>'VISITA DE INSP.'!IO45</f>
        <v>0</v>
      </c>
      <c r="BI45" s="2456">
        <f>'VISITA DE INSP.'!IP45</f>
        <v>42</v>
      </c>
      <c r="BJ45" s="2459">
        <f>'VISITA DE INSP.'!IQ45</f>
        <v>0</v>
      </c>
      <c r="BK45" s="2456">
        <f>'VISITA DE INSP.'!IR45</f>
        <v>0</v>
      </c>
      <c r="BL45" s="2457">
        <f>'VISITA DE INSP.'!IS45</f>
        <v>0</v>
      </c>
      <c r="BM45" s="2458">
        <f>'VISITA DE INSP.'!IT45</f>
        <v>0</v>
      </c>
      <c r="BN45" s="2459">
        <f>'VISITA DE INSP.'!IU45</f>
        <v>0</v>
      </c>
      <c r="BO45" s="2456">
        <f>'VISITA DE INSP.'!IV45</f>
        <v>0</v>
      </c>
      <c r="BP45" s="2457">
        <f>'VISITA DE INSP.'!IW45</f>
        <v>0</v>
      </c>
      <c r="BQ45" s="2458">
        <f>'VISITA DE INSP.'!IX45</f>
        <v>0</v>
      </c>
      <c r="BR45" s="2457">
        <f>'VISITA DE INSP.'!IY45</f>
        <v>0</v>
      </c>
      <c r="BS45" s="2458">
        <f>'VISITA DE INSP.'!IZ45</f>
        <v>0</v>
      </c>
      <c r="BT45" s="2459">
        <f>'VISITA DE INSP.'!JA45</f>
        <v>0</v>
      </c>
      <c r="BU45" s="2456">
        <f>'VISITA DE INSP.'!JB45</f>
        <v>0</v>
      </c>
      <c r="BV45" s="2459">
        <f>'VISITA DE INSP.'!JC45</f>
        <v>0</v>
      </c>
      <c r="BW45" s="2456">
        <f>'VISITA DE INSP.'!JD45</f>
        <v>21</v>
      </c>
      <c r="BX45" s="2457">
        <f>'VISITA DE INSP.'!JE45</f>
        <v>0</v>
      </c>
      <c r="BY45" s="2458">
        <f>'VISITA DE INSP.'!JF45</f>
        <v>17</v>
      </c>
      <c r="BZ45" s="2457">
        <f>'VISITA DE INSP.'!JG45</f>
        <v>0</v>
      </c>
      <c r="CA45" s="2458">
        <f>'VISITA DE INSP.'!JH45</f>
        <v>21</v>
      </c>
      <c r="CB45" s="2459">
        <f>'VISITA DE INSP.'!JI45</f>
        <v>0</v>
      </c>
      <c r="CC45" s="2456">
        <f>'VISITA DE INSP.'!JJ45</f>
        <v>18</v>
      </c>
      <c r="CD45" s="2457">
        <f>'VISITA DE INSP.'!JK45</f>
        <v>0</v>
      </c>
      <c r="CE45" s="2458">
        <f>'VISITA DE INSP.'!JL45</f>
        <v>22</v>
      </c>
      <c r="CF45" s="2457">
        <f>'VISITA DE INSP.'!JM45</f>
        <v>0</v>
      </c>
      <c r="CG45" s="2458">
        <f>'VISITA DE INSP.'!JN45</f>
        <v>19</v>
      </c>
      <c r="CH45" s="2459">
        <f>'VISITA DE INSP.'!JO45</f>
        <v>0</v>
      </c>
      <c r="CI45" s="2456">
        <f>'VISITA DE INSP.'!JP45</f>
        <v>0</v>
      </c>
      <c r="CJ45" s="2457">
        <f>'VISITA DE INSP.'!JQ45</f>
        <v>0</v>
      </c>
      <c r="CK45" s="2458">
        <f>'VISITA DE INSP.'!JR45</f>
        <v>0</v>
      </c>
      <c r="CL45" s="2457">
        <f>'VISITA DE INSP.'!JS45</f>
        <v>0</v>
      </c>
      <c r="CM45" s="2458">
        <f>'VISITA DE INSP.'!JT45</f>
        <v>0</v>
      </c>
      <c r="CN45" s="2459">
        <f>'VISITA DE INSP.'!JU45</f>
        <v>0</v>
      </c>
      <c r="CO45" s="2456">
        <f>'VISITA DE INSP.'!JV45</f>
        <v>0</v>
      </c>
      <c r="CP45" s="2457">
        <f>'VISITA DE INSP.'!JW45</f>
        <v>0</v>
      </c>
      <c r="CQ45" s="2458">
        <f>'VISITA DE INSP.'!JX45</f>
        <v>0</v>
      </c>
      <c r="CR45" s="2457">
        <f>'VISITA DE INSP.'!JY45</f>
        <v>0</v>
      </c>
      <c r="CS45" s="2458">
        <f>'VISITA DE INSP.'!JZ45</f>
        <v>0</v>
      </c>
      <c r="CT45" s="2459">
        <f>'VISITA DE INSP.'!KA45</f>
        <v>0</v>
      </c>
      <c r="CU45" s="2456">
        <f>'VISITA DE INSP.'!KB45</f>
        <v>0</v>
      </c>
      <c r="CV45" s="2504">
        <f>'VISITA DE INSP.'!KC45</f>
        <v>0</v>
      </c>
      <c r="CW45" s="2504">
        <f>'VISITA DE INSP.'!KD45</f>
        <v>0</v>
      </c>
      <c r="CX45" s="2504">
        <f>'VISITA DE INSP.'!KE45</f>
        <v>0</v>
      </c>
      <c r="CY45" s="2504">
        <f>'VISITA DE INSP.'!KF45</f>
        <v>0</v>
      </c>
      <c r="CZ45" s="2505">
        <f>'VISITA DE INSP.'!KG45</f>
        <v>0</v>
      </c>
    </row>
    <row r="46" spans="1:104" s="2296" customFormat="1" ht="13.5" customHeight="1">
      <c r="Z46" s="2537">
        <f>'VISITA DE INSP.'!HG46</f>
        <v>22</v>
      </c>
      <c r="AA46" s="2500">
        <f>'VISITA DE INSP.'!HH46</f>
        <v>11</v>
      </c>
      <c r="AB46" s="2334">
        <f>'VISITA DE INSP.'!HI46</f>
        <v>11</v>
      </c>
      <c r="AC46" s="2329">
        <f>'VISITA DE INSP.'!HJ46</f>
        <v>11</v>
      </c>
      <c r="AD46" s="2334">
        <f>'VISITA DE INSP.'!HK46</f>
        <v>11</v>
      </c>
      <c r="AE46" s="2329">
        <f>'VISITA DE INSP.'!HL46</f>
        <v>11</v>
      </c>
      <c r="AF46" s="2334">
        <f>'VISITA DE INSP.'!HM46</f>
        <v>11</v>
      </c>
      <c r="AG46" s="2329">
        <f>'VISITA DE INSP.'!HN46</f>
        <v>11</v>
      </c>
      <c r="AH46" s="2361">
        <f>'VISITA DE INSP.'!HO46</f>
        <v>10</v>
      </c>
      <c r="AI46" s="2474">
        <f>'VISITA DE INSP.'!HP46</f>
        <v>0</v>
      </c>
      <c r="AJ46" s="2496">
        <f>'VISITA DE INSP.'!HQ46</f>
        <v>6</v>
      </c>
      <c r="AK46" s="2335">
        <f>'VISITA DE INSP.'!HR46</f>
        <v>4</v>
      </c>
      <c r="AL46" s="2336">
        <f>'VISITA DE INSP.'!HS46</f>
        <v>10</v>
      </c>
      <c r="AM46" s="2329">
        <f>'VISITA DE INSP.'!HT46</f>
        <v>0</v>
      </c>
      <c r="AN46" s="2336">
        <f>'VISITA DE INSP.'!HU46</f>
        <v>8</v>
      </c>
      <c r="AO46" s="2335">
        <f>'VISITA DE INSP.'!HV46</f>
        <v>2</v>
      </c>
      <c r="AP46" s="2334">
        <f>'VISITA DE INSP.'!HW46</f>
        <v>0</v>
      </c>
      <c r="AQ46" s="2329">
        <f>'VISITA DE INSP.'!HX46</f>
        <v>0</v>
      </c>
      <c r="AR46" s="2334">
        <f>'VISITA DE INSP.'!HY46</f>
        <v>10</v>
      </c>
      <c r="AS46" s="2329">
        <f>'VISITA DE INSP.'!HZ46</f>
        <v>9</v>
      </c>
      <c r="AT46" s="2336">
        <f>'VISITA DE INSP.'!IA46</f>
        <v>11</v>
      </c>
      <c r="AU46" s="2335">
        <f>'VISITA DE INSP.'!IB46</f>
        <v>70</v>
      </c>
      <c r="AV46" s="2336">
        <f>'VISITA DE INSP.'!IC46</f>
        <v>3</v>
      </c>
      <c r="AW46" s="2335">
        <f>'VISITA DE INSP.'!ID46</f>
        <v>2</v>
      </c>
      <c r="AX46" s="2336">
        <f>'VISITA DE INSP.'!IE46</f>
        <v>1</v>
      </c>
      <c r="AY46" s="2490">
        <f>'VISITA DE INSP.'!IF46</f>
        <v>0</v>
      </c>
      <c r="AZ46" s="2488">
        <f>'VISITA DE INSP.'!IG46</f>
        <v>1</v>
      </c>
      <c r="BA46" s="2363">
        <f>'VISITA DE INSP.'!IH46</f>
        <v>7</v>
      </c>
      <c r="BB46" s="2364">
        <f>'VISITA DE INSP.'!II46</f>
        <v>1</v>
      </c>
      <c r="BC46" s="2493">
        <f>'VISITA DE INSP.'!IJ46</f>
        <v>1</v>
      </c>
      <c r="BD46" s="2488">
        <f>'VISITA DE INSP.'!IK46</f>
        <v>96</v>
      </c>
      <c r="BE46" s="2363">
        <f>'VISITA DE INSP.'!IL46</f>
        <v>9</v>
      </c>
      <c r="BF46" s="2364">
        <f>'VISITA DE INSP.'!IM46</f>
        <v>3</v>
      </c>
      <c r="BG46" s="2363">
        <f>'VISITA DE INSP.'!IN46</f>
        <v>13</v>
      </c>
      <c r="BH46" s="2477">
        <f>'VISITA DE INSP.'!IO46</f>
        <v>0</v>
      </c>
      <c r="BI46" s="2476">
        <f>'VISITA DE INSP.'!IP46</f>
        <v>116</v>
      </c>
      <c r="BJ46" s="2477">
        <f>'VISITA DE INSP.'!IQ46</f>
        <v>96</v>
      </c>
      <c r="BK46" s="2476">
        <f>'VISITA DE INSP.'!IR46</f>
        <v>7</v>
      </c>
      <c r="BL46" s="2364">
        <f>'VISITA DE INSP.'!IS46</f>
        <v>53</v>
      </c>
      <c r="BM46" s="2363">
        <f>'VISITA DE INSP.'!IT46</f>
        <v>1</v>
      </c>
      <c r="BN46" s="2477">
        <f>'VISITA DE INSP.'!IU46</f>
        <v>1</v>
      </c>
      <c r="BO46" s="2460">
        <f>'VISITA DE INSP.'!IV46</f>
        <v>15</v>
      </c>
      <c r="BP46" s="2359">
        <f>'VISITA DE INSP.'!IW46</f>
        <v>14</v>
      </c>
      <c r="BQ46" s="2360">
        <f>'VISITA DE INSP.'!IX46</f>
        <v>15</v>
      </c>
      <c r="BR46" s="2359">
        <f>'VISITA DE INSP.'!IY46</f>
        <v>15</v>
      </c>
      <c r="BS46" s="2360">
        <f>'VISITA DE INSP.'!IZ46</f>
        <v>17</v>
      </c>
      <c r="BT46" s="2461">
        <f>'VISITA DE INSP.'!JA46</f>
        <v>18</v>
      </c>
      <c r="BU46" s="2462">
        <f>'VISITA DE INSP.'!JB46</f>
        <v>0</v>
      </c>
      <c r="BV46" s="2463">
        <f>'VISITA DE INSP.'!JC46</f>
        <v>0</v>
      </c>
      <c r="BW46" s="2462">
        <f>'VISITA DE INSP.'!JD46</f>
        <v>453</v>
      </c>
      <c r="BX46" s="2334">
        <f>'VISITA DE INSP.'!JE46</f>
        <v>462</v>
      </c>
      <c r="BY46" s="2329">
        <f>'VISITA DE INSP.'!JF46</f>
        <v>448</v>
      </c>
      <c r="BZ46" s="2334">
        <f>'VISITA DE INSP.'!JG46</f>
        <v>455</v>
      </c>
      <c r="CA46" s="2329">
        <f>'VISITA DE INSP.'!JH46</f>
        <v>506</v>
      </c>
      <c r="CB46" s="2463">
        <f>'VISITA DE INSP.'!JI46</f>
        <v>550</v>
      </c>
      <c r="CC46" s="2462">
        <f>'VISITA DE INSP.'!JJ46</f>
        <v>39</v>
      </c>
      <c r="CD46" s="2334">
        <f>'VISITA DE INSP.'!JK46</f>
        <v>32</v>
      </c>
      <c r="CE46" s="2329">
        <f>'VISITA DE INSP.'!JL46</f>
        <v>36</v>
      </c>
      <c r="CF46" s="2334">
        <f>'VISITA DE INSP.'!JM46</f>
        <v>29</v>
      </c>
      <c r="CG46" s="2329">
        <f>'VISITA DE INSP.'!JN46</f>
        <v>25</v>
      </c>
      <c r="CH46" s="2463">
        <f>'VISITA DE INSP.'!JO46</f>
        <v>20</v>
      </c>
      <c r="CI46" s="2460">
        <f>'VISITA DE INSP.'!JP46</f>
        <v>46</v>
      </c>
      <c r="CJ46" s="2359">
        <f>'VISITA DE INSP.'!JQ46</f>
        <v>62</v>
      </c>
      <c r="CK46" s="2360">
        <f>'VISITA DE INSP.'!JR46</f>
        <v>66</v>
      </c>
      <c r="CL46" s="2359">
        <f>'VISITA DE INSP.'!JS46</f>
        <v>37</v>
      </c>
      <c r="CM46" s="2360">
        <f>'VISITA DE INSP.'!JT46</f>
        <v>54</v>
      </c>
      <c r="CN46" s="2461">
        <f>'VISITA DE INSP.'!JU46</f>
        <v>41</v>
      </c>
      <c r="CO46" s="2460">
        <f>'VISITA DE INSP.'!JV46</f>
        <v>446</v>
      </c>
      <c r="CP46" s="2359">
        <f>'VISITA DE INSP.'!JW46</f>
        <v>432</v>
      </c>
      <c r="CQ46" s="2360">
        <f>'VISITA DE INSP.'!JX46</f>
        <v>418</v>
      </c>
      <c r="CR46" s="2359">
        <f>'VISITA DE INSP.'!JY46</f>
        <v>447</v>
      </c>
      <c r="CS46" s="2360">
        <f>'VISITA DE INSP.'!JZ46</f>
        <v>477</v>
      </c>
      <c r="CT46" s="2461">
        <f>'VISITA DE INSP.'!KA46</f>
        <v>529</v>
      </c>
      <c r="CU46" s="2460">
        <f>'VISITA DE INSP.'!KB46</f>
        <v>0</v>
      </c>
      <c r="CV46" s="2429">
        <f>'VISITA DE INSP.'!KC46</f>
        <v>0</v>
      </c>
      <c r="CW46" s="2429">
        <f>'VISITA DE INSP.'!KD46</f>
        <v>0</v>
      </c>
      <c r="CX46" s="2429">
        <f>'VISITA DE INSP.'!KE46</f>
        <v>0</v>
      </c>
      <c r="CY46" s="2429">
        <f>'VISITA DE INSP.'!KF46</f>
        <v>0</v>
      </c>
      <c r="CZ46" s="2506">
        <f>'VISITA DE INSP.'!KG46</f>
        <v>0</v>
      </c>
    </row>
    <row r="47" spans="1:104" s="2296" customFormat="1" ht="13.5" customHeight="1">
      <c r="Z47" s="2538">
        <f>'VISITA DE INSP.'!HG47</f>
        <v>23</v>
      </c>
      <c r="AA47" s="2500">
        <f>'VISITA DE INSP.'!HH47</f>
        <v>5</v>
      </c>
      <c r="AB47" s="2334">
        <f>'VISITA DE INSP.'!HI47</f>
        <v>5</v>
      </c>
      <c r="AC47" s="2329">
        <f>'VISITA DE INSP.'!HJ47</f>
        <v>5</v>
      </c>
      <c r="AD47" s="2334">
        <f>'VISITA DE INSP.'!HK47</f>
        <v>5</v>
      </c>
      <c r="AE47" s="2329">
        <f>'VISITA DE INSP.'!HL47</f>
        <v>5</v>
      </c>
      <c r="AF47" s="2334">
        <f>'VISITA DE INSP.'!HM47</f>
        <v>5</v>
      </c>
      <c r="AG47" s="2329">
        <f>'VISITA DE INSP.'!HN47</f>
        <v>5</v>
      </c>
      <c r="AH47" s="2334">
        <f>'VISITA DE INSP.'!HO47</f>
        <v>0</v>
      </c>
      <c r="AI47" s="2501">
        <f>'VISITA DE INSP.'!HP47</f>
        <v>5</v>
      </c>
      <c r="AJ47" s="2496">
        <f>'VISITA DE INSP.'!HQ47</f>
        <v>5</v>
      </c>
      <c r="AK47" s="2335">
        <f>'VISITA DE INSP.'!HR47</f>
        <v>0</v>
      </c>
      <c r="AL47" s="2336">
        <f>'VISITA DE INSP.'!HS47</f>
        <v>5</v>
      </c>
      <c r="AM47" s="2329">
        <f>'VISITA DE INSP.'!HT47</f>
        <v>0</v>
      </c>
      <c r="AN47" s="2336">
        <f>'VISITA DE INSP.'!HU47</f>
        <v>1</v>
      </c>
      <c r="AO47" s="2335">
        <f>'VISITA DE INSP.'!HV47</f>
        <v>4</v>
      </c>
      <c r="AP47" s="2334">
        <f>'VISITA DE INSP.'!HW47</f>
        <v>0</v>
      </c>
      <c r="AQ47" s="2329">
        <f>'VISITA DE INSP.'!HX47</f>
        <v>0</v>
      </c>
      <c r="AR47" s="2334">
        <f>'VISITA DE INSP.'!HY47</f>
        <v>5</v>
      </c>
      <c r="AS47" s="2329">
        <f>'VISITA DE INSP.'!HZ47</f>
        <v>0</v>
      </c>
      <c r="AT47" s="2336">
        <f>'VISITA DE INSP.'!IA47</f>
        <v>5</v>
      </c>
      <c r="AU47" s="2335">
        <f>'VISITA DE INSP.'!IB47</f>
        <v>24</v>
      </c>
      <c r="AV47" s="2336">
        <f>'VISITA DE INSP.'!IC47</f>
        <v>0</v>
      </c>
      <c r="AW47" s="2335">
        <f>'VISITA DE INSP.'!ID47</f>
        <v>4</v>
      </c>
      <c r="AX47" s="2336">
        <f>'VISITA DE INSP.'!IE47</f>
        <v>5</v>
      </c>
      <c r="AY47" s="2490">
        <f>'VISITA DE INSP.'!IF47</f>
        <v>2</v>
      </c>
      <c r="AZ47" s="2489">
        <f>'VISITA DE INSP.'!IG47</f>
        <v>3</v>
      </c>
      <c r="BA47" s="2365">
        <f>'VISITA DE INSP.'!IH47</f>
        <v>2</v>
      </c>
      <c r="BB47" s="2366">
        <f>'VISITA DE INSP.'!II47</f>
        <v>0</v>
      </c>
      <c r="BC47" s="2494">
        <f>'VISITA DE INSP.'!IJ47</f>
        <v>0</v>
      </c>
      <c r="BD47" s="2489">
        <f>'VISITA DE INSP.'!IK47</f>
        <v>22</v>
      </c>
      <c r="BE47" s="2365">
        <f>'VISITA DE INSP.'!IL47</f>
        <v>4</v>
      </c>
      <c r="BF47" s="2366">
        <f>'VISITA DE INSP.'!IM47</f>
        <v>0</v>
      </c>
      <c r="BG47" s="2365">
        <f>'VISITA DE INSP.'!IN47</f>
        <v>5</v>
      </c>
      <c r="BH47" s="2479">
        <f>'VISITA DE INSP.'!IO47</f>
        <v>20</v>
      </c>
      <c r="BI47" s="2478">
        <f>'VISITA DE INSP.'!IP47</f>
        <v>47</v>
      </c>
      <c r="BJ47" s="2479">
        <f>'VISITA DE INSP.'!IQ47</f>
        <v>50</v>
      </c>
      <c r="BK47" s="2478">
        <f>'VISITA DE INSP.'!IR47</f>
        <v>0</v>
      </c>
      <c r="BL47" s="2367">
        <f>'VISITA DE INSP.'!IS47</f>
        <v>0</v>
      </c>
      <c r="BM47" s="2365">
        <f>'VISITA DE INSP.'!IT47</f>
        <v>0</v>
      </c>
      <c r="BN47" s="2479">
        <f>'VISITA DE INSP.'!IU47</f>
        <v>0</v>
      </c>
      <c r="BO47" s="2472">
        <f>'VISITA DE INSP.'!IV47</f>
        <v>6</v>
      </c>
      <c r="BP47" s="2357">
        <f>'VISITA DE INSP.'!IW47</f>
        <v>6</v>
      </c>
      <c r="BQ47" s="2358">
        <f>'VISITA DE INSP.'!IX47</f>
        <v>6</v>
      </c>
      <c r="BR47" s="2357">
        <f>'VISITA DE INSP.'!IY47</f>
        <v>5</v>
      </c>
      <c r="BS47" s="2358">
        <f>'VISITA DE INSP.'!IZ47</f>
        <v>5</v>
      </c>
      <c r="BT47" s="2473">
        <f>'VISITA DE INSP.'!JA47</f>
        <v>4</v>
      </c>
      <c r="BU47" s="2462">
        <f>'VISITA DE INSP.'!JB47</f>
        <v>0</v>
      </c>
      <c r="BV47" s="2463">
        <f>'VISITA DE INSP.'!JC47</f>
        <v>0</v>
      </c>
      <c r="BW47" s="2462">
        <f>'VISITA DE INSP.'!JD47</f>
        <v>88</v>
      </c>
      <c r="BX47" s="2334">
        <f>'VISITA DE INSP.'!JE47</f>
        <v>80</v>
      </c>
      <c r="BY47" s="2329">
        <f>'VISITA DE INSP.'!JF47</f>
        <v>78</v>
      </c>
      <c r="BZ47" s="2334">
        <f>'VISITA DE INSP.'!JG47</f>
        <v>70</v>
      </c>
      <c r="CA47" s="2329">
        <f>'VISITA DE INSP.'!JH47</f>
        <v>81</v>
      </c>
      <c r="CB47" s="2463">
        <f>'VISITA DE INSP.'!JI47</f>
        <v>49</v>
      </c>
      <c r="CC47" s="2462">
        <f>'VISITA DE INSP.'!JJ47</f>
        <v>8</v>
      </c>
      <c r="CD47" s="2334">
        <f>'VISITA DE INSP.'!JK47</f>
        <v>14</v>
      </c>
      <c r="CE47" s="2329">
        <f>'VISITA DE INSP.'!JL47</f>
        <v>10</v>
      </c>
      <c r="CF47" s="2334">
        <f>'VISITA DE INSP.'!JM47</f>
        <v>8</v>
      </c>
      <c r="CG47" s="2329">
        <f>'VISITA DE INSP.'!JN47</f>
        <v>10</v>
      </c>
      <c r="CH47" s="2463">
        <f>'VISITA DE INSP.'!JO47</f>
        <v>12</v>
      </c>
      <c r="CI47" s="2462">
        <f>'VISITA DE INSP.'!JP47</f>
        <v>5</v>
      </c>
      <c r="CJ47" s="2334">
        <f>'VISITA DE INSP.'!JQ47</f>
        <v>6</v>
      </c>
      <c r="CK47" s="2329">
        <f>'VISITA DE INSP.'!JR47</f>
        <v>2</v>
      </c>
      <c r="CL47" s="2334">
        <f>'VISITA DE INSP.'!JS47</f>
        <v>5</v>
      </c>
      <c r="CM47" s="2329">
        <f>'VISITA DE INSP.'!JT47</f>
        <v>5</v>
      </c>
      <c r="CN47" s="2463">
        <f>'VISITA DE INSP.'!JU47</f>
        <v>1</v>
      </c>
      <c r="CO47" s="2462">
        <f>'VISITA DE INSP.'!JV47</f>
        <v>91</v>
      </c>
      <c r="CP47" s="2334">
        <f>'VISITA DE INSP.'!JW47</f>
        <v>88</v>
      </c>
      <c r="CQ47" s="2329">
        <f>'VISITA DE INSP.'!JX47</f>
        <v>86</v>
      </c>
      <c r="CR47" s="2334">
        <f>'VISITA DE INSP.'!JY47</f>
        <v>73</v>
      </c>
      <c r="CS47" s="2329">
        <f>'VISITA DE INSP.'!JZ47</f>
        <v>86</v>
      </c>
      <c r="CT47" s="2463">
        <f>'VISITA DE INSP.'!KA47</f>
        <v>60</v>
      </c>
      <c r="CU47" s="2462">
        <f>'VISITA DE INSP.'!KB47</f>
        <v>0</v>
      </c>
      <c r="CV47" s="844">
        <f>'VISITA DE INSP.'!KC47</f>
        <v>0</v>
      </c>
      <c r="CW47" s="844">
        <f>'VISITA DE INSP.'!KD47</f>
        <v>0</v>
      </c>
      <c r="CX47" s="844">
        <f>'VISITA DE INSP.'!KE47</f>
        <v>0</v>
      </c>
      <c r="CY47" s="844">
        <f>'VISITA DE INSP.'!KF47</f>
        <v>0</v>
      </c>
      <c r="CZ47" s="2465">
        <f>'VISITA DE INSP.'!KG47</f>
        <v>0</v>
      </c>
    </row>
    <row r="48" spans="1:104" s="2296" customFormat="1" ht="13.5" customHeight="1">
      <c r="Z48" s="2539">
        <f>'VISITA DE INSP.'!HG48</f>
        <v>24</v>
      </c>
      <c r="AA48" s="2500">
        <f>'VISITA DE INSP.'!HH48</f>
        <v>16</v>
      </c>
      <c r="AB48" s="2334">
        <f>'VISITA DE INSP.'!HI48</f>
        <v>0</v>
      </c>
      <c r="AC48" s="2329">
        <f>'VISITA DE INSP.'!HJ48</f>
        <v>0</v>
      </c>
      <c r="AD48" s="2334">
        <f>'VISITA DE INSP.'!HK48</f>
        <v>0</v>
      </c>
      <c r="AE48" s="2329">
        <f>'VISITA DE INSP.'!HL48</f>
        <v>0</v>
      </c>
      <c r="AF48" s="2334">
        <f>'VISITA DE INSP.'!HM48</f>
        <v>0</v>
      </c>
      <c r="AG48" s="2329">
        <f>'VISITA DE INSP.'!HN48</f>
        <v>0</v>
      </c>
      <c r="AH48" s="2334">
        <f>'VISITA DE INSP.'!HO48</f>
        <v>0</v>
      </c>
      <c r="AI48" s="2474">
        <f>'VISITA DE INSP.'!HP48</f>
        <v>0</v>
      </c>
      <c r="AJ48" s="2470">
        <f>'VISITA DE INSP.'!HQ48</f>
        <v>48</v>
      </c>
      <c r="AK48" s="2329">
        <f>'VISITA DE INSP.'!HR48</f>
        <v>59</v>
      </c>
      <c r="AL48" s="2334">
        <f>'VISITA DE INSP.'!HS48</f>
        <v>107</v>
      </c>
      <c r="AM48" s="2329">
        <f>'VISITA DE INSP.'!HT48</f>
        <v>0</v>
      </c>
      <c r="AN48" s="844">
        <f>'VISITA DE INSP.'!HU48</f>
        <v>0</v>
      </c>
      <c r="AO48" s="2329">
        <f>'VISITA DE INSP.'!HV48</f>
        <v>0</v>
      </c>
      <c r="AP48" s="2334">
        <f>'VISITA DE INSP.'!HW48</f>
        <v>0</v>
      </c>
      <c r="AQ48" s="2329">
        <f>'VISITA DE INSP.'!HX48</f>
        <v>0</v>
      </c>
      <c r="AR48" s="2334">
        <f>'VISITA DE INSP.'!HY48</f>
        <v>0</v>
      </c>
      <c r="AS48" s="2329">
        <f>'VISITA DE INSP.'!HZ48</f>
        <v>0</v>
      </c>
      <c r="AT48" s="2334">
        <f>'VISITA DE INSP.'!IA48</f>
        <v>0</v>
      </c>
      <c r="AU48" s="2329">
        <f>'VISITA DE INSP.'!IB48</f>
        <v>0</v>
      </c>
      <c r="AV48" s="844">
        <f>'VISITA DE INSP.'!IC48</f>
        <v>83</v>
      </c>
      <c r="AW48" s="2329">
        <f>'VISITA DE INSP.'!ID48</f>
        <v>33</v>
      </c>
      <c r="AX48" s="2334">
        <f>'VISITA DE INSP.'!IE48</f>
        <v>116</v>
      </c>
      <c r="AY48" s="2474">
        <f>'VISITA DE INSP.'!IF48</f>
        <v>0</v>
      </c>
      <c r="AZ48" s="2464">
        <f>'VISITA DE INSP.'!IG48</f>
        <v>0</v>
      </c>
      <c r="BA48" s="844">
        <f>'VISITA DE INSP.'!IH48</f>
        <v>0</v>
      </c>
      <c r="BB48" s="2334">
        <f>'VISITA DE INSP.'!II48</f>
        <v>0</v>
      </c>
      <c r="BC48" s="2465">
        <f>'VISITA DE INSP.'!IJ48</f>
        <v>0</v>
      </c>
      <c r="BD48" s="2464">
        <f>'VISITA DE INSP.'!IK48</f>
        <v>0</v>
      </c>
      <c r="BE48" s="844">
        <f>'VISITA DE INSP.'!IL48</f>
        <v>0</v>
      </c>
      <c r="BF48" s="844">
        <f>'VISITA DE INSP.'!IM48</f>
        <v>0</v>
      </c>
      <c r="BG48" s="844">
        <f>'VISITA DE INSP.'!IN48</f>
        <v>0</v>
      </c>
      <c r="BH48" s="2490">
        <f>'VISITA DE INSP.'!IO48</f>
        <v>146</v>
      </c>
      <c r="BI48" s="2483">
        <f>'VISITA DE INSP.'!IP48</f>
        <v>197</v>
      </c>
      <c r="BJ48" s="2484">
        <f>'VISITA DE INSP.'!IQ48</f>
        <v>343</v>
      </c>
      <c r="BK48" s="2462">
        <f>'VISITA DE INSP.'!IR48</f>
        <v>0</v>
      </c>
      <c r="BL48" s="844">
        <f>'VISITA DE INSP.'!IS48</f>
        <v>0</v>
      </c>
      <c r="BM48" s="844">
        <f>'VISITA DE INSP.'!IT48</f>
        <v>0</v>
      </c>
      <c r="BN48" s="2465">
        <f>'VISITA DE INSP.'!IU48</f>
        <v>0</v>
      </c>
      <c r="BO48" s="2464">
        <f>'VISITA DE INSP.'!IV48</f>
        <v>0</v>
      </c>
      <c r="BP48" s="844">
        <f>'VISITA DE INSP.'!IW48</f>
        <v>0</v>
      </c>
      <c r="BQ48" s="844">
        <f>'VISITA DE INSP.'!IX48</f>
        <v>0</v>
      </c>
      <c r="BR48" s="844">
        <f>'VISITA DE INSP.'!IY48</f>
        <v>0</v>
      </c>
      <c r="BS48" s="2329">
        <f>'VISITA DE INSP.'!IZ48</f>
        <v>0</v>
      </c>
      <c r="BT48" s="2474">
        <f>'VISITA DE INSP.'!JA48</f>
        <v>55</v>
      </c>
      <c r="BU48" s="2470">
        <f>'VISITA DE INSP.'!JB48</f>
        <v>101</v>
      </c>
      <c r="BV48" s="2465">
        <f>'VISITA DE INSP.'!JC48</f>
        <v>156</v>
      </c>
      <c r="BW48" s="2464">
        <f>'VISITA DE INSP.'!JD48</f>
        <v>0</v>
      </c>
      <c r="BX48" s="844">
        <f>'VISITA DE INSP.'!JE48</f>
        <v>0</v>
      </c>
      <c r="BY48" s="844">
        <f>'VISITA DE INSP.'!JF48</f>
        <v>0</v>
      </c>
      <c r="BZ48" s="844">
        <f>'VISITA DE INSP.'!JG48</f>
        <v>0</v>
      </c>
      <c r="CA48" s="844">
        <f>'VISITA DE INSP.'!JH48</f>
        <v>0</v>
      </c>
      <c r="CB48" s="2465">
        <f>'VISITA DE INSP.'!JI48</f>
        <v>0</v>
      </c>
      <c r="CC48" s="2464">
        <f>'VISITA DE INSP.'!JJ48</f>
        <v>0</v>
      </c>
      <c r="CD48" s="844">
        <f>'VISITA DE INSP.'!JK48</f>
        <v>0</v>
      </c>
      <c r="CE48" s="844">
        <f>'VISITA DE INSP.'!JL48</f>
        <v>0</v>
      </c>
      <c r="CF48" s="844">
        <f>'VISITA DE INSP.'!JM48</f>
        <v>1507</v>
      </c>
      <c r="CG48" s="2329">
        <f>'VISITA DE INSP.'!JN48</f>
        <v>1548</v>
      </c>
      <c r="CH48" s="2465">
        <f>'VISITA DE INSP.'!JO48</f>
        <v>3055</v>
      </c>
      <c r="CI48" s="2464">
        <f>'VISITA DE INSP.'!JP48</f>
        <v>0</v>
      </c>
      <c r="CJ48" s="844">
        <f>'VISITA DE INSP.'!JQ48</f>
        <v>0</v>
      </c>
      <c r="CK48" s="844">
        <f>'VISITA DE INSP.'!JR48</f>
        <v>0</v>
      </c>
      <c r="CL48" s="844">
        <f>'VISITA DE INSP.'!JS48</f>
        <v>0</v>
      </c>
      <c r="CM48" s="2329">
        <f>'VISITA DE INSP.'!JT48</f>
        <v>0</v>
      </c>
      <c r="CN48" s="2465">
        <f>'VISITA DE INSP.'!JU48</f>
        <v>0</v>
      </c>
      <c r="CO48" s="2464">
        <f>'VISITA DE INSP.'!JV48</f>
        <v>0</v>
      </c>
      <c r="CP48" s="844">
        <f>'VISITA DE INSP.'!JW48</f>
        <v>0</v>
      </c>
      <c r="CQ48" s="844">
        <f>'VISITA DE INSP.'!JX48</f>
        <v>0</v>
      </c>
      <c r="CR48" s="2329">
        <f>'VISITA DE INSP.'!JY48</f>
        <v>1507</v>
      </c>
      <c r="CS48" s="844">
        <f>'VISITA DE INSP.'!JZ48</f>
        <v>1548</v>
      </c>
      <c r="CT48" s="2465">
        <f>'VISITA DE INSP.'!KA48</f>
        <v>3055</v>
      </c>
      <c r="CU48" s="2464">
        <f>'VISITA DE INSP.'!KB48</f>
        <v>0</v>
      </c>
      <c r="CV48" s="844">
        <f>'VISITA DE INSP.'!KC48</f>
        <v>0</v>
      </c>
      <c r="CW48" s="844">
        <f>'VISITA DE INSP.'!KD48</f>
        <v>0</v>
      </c>
      <c r="CX48" s="844">
        <f>'VISITA DE INSP.'!KE48</f>
        <v>0</v>
      </c>
      <c r="CY48" s="844">
        <f>'VISITA DE INSP.'!KF48</f>
        <v>0</v>
      </c>
      <c r="CZ48" s="2465">
        <f>'VISITA DE INSP.'!KG48</f>
        <v>0</v>
      </c>
    </row>
    <row r="49" spans="24:104" s="2296" customFormat="1" ht="13.5" customHeight="1" thickBot="1">
      <c r="Z49" s="2540">
        <f>'VISITA DE INSP.'!HG49</f>
        <v>25</v>
      </c>
      <c r="AA49" s="2502" t="str">
        <f>'VISITA DE INSP.'!HH49</f>
        <v>TOTAL DE ALUMNOS AL INICIO DEL CURSO</v>
      </c>
      <c r="AB49" s="2497">
        <f>'VISITA DE INSP.'!HI49</f>
        <v>0</v>
      </c>
      <c r="AC49" s="2468">
        <f>'VISITA DE INSP.'!HJ49</f>
        <v>0</v>
      </c>
      <c r="AD49" s="2467">
        <f>'VISITA DE INSP.'!HK49</f>
        <v>0</v>
      </c>
      <c r="AE49" s="2468">
        <f>'VISITA DE INSP.'!HL49</f>
        <v>0</v>
      </c>
      <c r="AF49" s="2467">
        <f>'VISITA DE INSP.'!HM49</f>
        <v>0</v>
      </c>
      <c r="AG49" s="2468">
        <f>'VISITA DE INSP.'!HN49</f>
        <v>0</v>
      </c>
      <c r="AH49" s="2467">
        <f>'VISITA DE INSP.'!HO49</f>
        <v>0</v>
      </c>
      <c r="AI49" s="2475">
        <f>'VISITA DE INSP.'!HP49</f>
        <v>0</v>
      </c>
      <c r="AJ49" s="2471">
        <f>'VISITA DE INSP.'!HQ49</f>
        <v>25</v>
      </c>
      <c r="AK49" s="2468">
        <f>'VISITA DE INSP.'!HR49</f>
        <v>25</v>
      </c>
      <c r="AL49" s="2497">
        <f>'VISITA DE INSP.'!HS49</f>
        <v>50</v>
      </c>
      <c r="AM49" s="2468" t="str">
        <f>'VISITA DE INSP.'!HT49</f>
        <v>TOTAL DE ALUMNOS DE ALTAS DURANTE EL CURSO</v>
      </c>
      <c r="AN49" s="2467">
        <f>'VISITA DE INSP.'!HU49</f>
        <v>0</v>
      </c>
      <c r="AO49" s="2468">
        <f>'VISITA DE INSP.'!HV49</f>
        <v>0</v>
      </c>
      <c r="AP49" s="2467">
        <f>'VISITA DE INSP.'!HW49</f>
        <v>0</v>
      </c>
      <c r="AQ49" s="2468">
        <f>'VISITA DE INSP.'!HX49</f>
        <v>0</v>
      </c>
      <c r="AR49" s="2497">
        <f>'VISITA DE INSP.'!HY49</f>
        <v>0</v>
      </c>
      <c r="AS49" s="2468">
        <f>'VISITA DE INSP.'!HZ49</f>
        <v>0</v>
      </c>
      <c r="AT49" s="2467">
        <f>'VISITA DE INSP.'!IA49</f>
        <v>0</v>
      </c>
      <c r="AU49" s="2468">
        <f>'VISITA DE INSP.'!IB49</f>
        <v>0</v>
      </c>
      <c r="AV49" s="2467">
        <f>'VISITA DE INSP.'!IC49</f>
        <v>32</v>
      </c>
      <c r="AW49" s="2467">
        <f>'VISITA DE INSP.'!ID49</f>
        <v>16</v>
      </c>
      <c r="AX49" s="2497">
        <f>'VISITA DE INSP.'!IE49</f>
        <v>48</v>
      </c>
      <c r="AY49" s="2475" t="str">
        <f>'VISITA DE INSP.'!IF49</f>
        <v>TOTAL DE ALUMNOS DE BAJAS DURANTE EL CURSO</v>
      </c>
      <c r="AZ49" s="2466">
        <f>'VISITA DE INSP.'!IG49</f>
        <v>0</v>
      </c>
      <c r="BA49" s="2467">
        <f>'VISITA DE INSP.'!IH49</f>
        <v>0</v>
      </c>
      <c r="BB49" s="2467">
        <f>'VISITA DE INSP.'!II49</f>
        <v>0</v>
      </c>
      <c r="BC49" s="2469">
        <f>'VISITA DE INSP.'!IJ49</f>
        <v>0</v>
      </c>
      <c r="BD49" s="2466">
        <f>'VISITA DE INSP.'!IK49</f>
        <v>0</v>
      </c>
      <c r="BE49" s="2467">
        <f>'VISITA DE INSP.'!IL49</f>
        <v>0</v>
      </c>
      <c r="BF49" s="2467">
        <f>'VISITA DE INSP.'!IM49</f>
        <v>0</v>
      </c>
      <c r="BG49" s="2467">
        <f>'VISITA DE INSP.'!IN49</f>
        <v>0</v>
      </c>
      <c r="BH49" s="2491">
        <f>'VISITA DE INSP.'!IO49</f>
        <v>60</v>
      </c>
      <c r="BI49" s="2485">
        <f>'VISITA DE INSP.'!IP49</f>
        <v>95</v>
      </c>
      <c r="BJ49" s="2486">
        <f>'VISITA DE INSP.'!IQ49</f>
        <v>155</v>
      </c>
      <c r="BK49" s="2480">
        <f>'VISITA DE INSP.'!IR49</f>
        <v>0</v>
      </c>
      <c r="BL49" s="2467">
        <f>'VISITA DE INSP.'!IS49</f>
        <v>0</v>
      </c>
      <c r="BM49" s="2467">
        <f>'VISITA DE INSP.'!IT49</f>
        <v>0</v>
      </c>
      <c r="BN49" s="2469">
        <f>'VISITA DE INSP.'!IU49</f>
        <v>0</v>
      </c>
      <c r="BO49" s="2466">
        <f>'VISITA DE INSP.'!IV49</f>
        <v>0</v>
      </c>
      <c r="BP49" s="2467">
        <f>'VISITA DE INSP.'!IW49</f>
        <v>0</v>
      </c>
      <c r="BQ49" s="2467">
        <f>'VISITA DE INSP.'!IX49</f>
        <v>0</v>
      </c>
      <c r="BR49" s="2467">
        <f>'VISITA DE INSP.'!IY49</f>
        <v>0</v>
      </c>
      <c r="BS49" s="2467">
        <f>'VISITA DE INSP.'!IZ49</f>
        <v>0</v>
      </c>
      <c r="BT49" s="2475">
        <f>'VISITA DE INSP.'!JA49</f>
        <v>17</v>
      </c>
      <c r="BU49" s="2471">
        <f>'VISITA DE INSP.'!JB49</f>
        <v>15</v>
      </c>
      <c r="BV49" s="2469">
        <f>'VISITA DE INSP.'!JC49</f>
        <v>32</v>
      </c>
      <c r="BW49" s="2466">
        <f>'VISITA DE INSP.'!JD49</f>
        <v>0</v>
      </c>
      <c r="BX49" s="2467">
        <f>'VISITA DE INSP.'!JE49</f>
        <v>0</v>
      </c>
      <c r="BY49" s="2467">
        <f>'VISITA DE INSP.'!JF49</f>
        <v>0</v>
      </c>
      <c r="BZ49" s="2467">
        <f>'VISITA DE INSP.'!JG49</f>
        <v>0</v>
      </c>
      <c r="CA49" s="2467">
        <f>'VISITA DE INSP.'!JH49</f>
        <v>0</v>
      </c>
      <c r="CB49" s="2469">
        <f>'VISITA DE INSP.'!JI49</f>
        <v>0</v>
      </c>
      <c r="CC49" s="2466">
        <f>'VISITA DE INSP.'!JJ49</f>
        <v>0</v>
      </c>
      <c r="CD49" s="2467">
        <f>'VISITA DE INSP.'!JK49</f>
        <v>0</v>
      </c>
      <c r="CE49" s="2467">
        <f>'VISITA DE INSP.'!JL49</f>
        <v>0</v>
      </c>
      <c r="CF49" s="2467">
        <f>'VISITA DE INSP.'!JM49</f>
        <v>275</v>
      </c>
      <c r="CG49" s="2467">
        <f>'VISITA DE INSP.'!JN49</f>
        <v>233</v>
      </c>
      <c r="CH49" s="2469">
        <f>'VISITA DE INSP.'!JO49</f>
        <v>508</v>
      </c>
      <c r="CI49" s="2466">
        <f>'VISITA DE INSP.'!JP49</f>
        <v>0</v>
      </c>
      <c r="CJ49" s="2467">
        <f>'VISITA DE INSP.'!JQ49</f>
        <v>0</v>
      </c>
      <c r="CK49" s="2467">
        <f>'VISITA DE INSP.'!JR49</f>
        <v>0</v>
      </c>
      <c r="CL49" s="2467">
        <f>'VISITA DE INSP.'!JS49</f>
        <v>0</v>
      </c>
      <c r="CM49" s="2467">
        <f>'VISITA DE INSP.'!JT49</f>
        <v>0</v>
      </c>
      <c r="CN49" s="2469">
        <f>'VISITA DE INSP.'!JU49</f>
        <v>0</v>
      </c>
      <c r="CO49" s="2466">
        <f>'VISITA DE INSP.'!JV49</f>
        <v>0</v>
      </c>
      <c r="CP49" s="2467">
        <f>'VISITA DE INSP.'!JW49</f>
        <v>0</v>
      </c>
      <c r="CQ49" s="2467">
        <f>'VISITA DE INSP.'!JX49</f>
        <v>0</v>
      </c>
      <c r="CR49" s="2468">
        <f>'VISITA DE INSP.'!JY49</f>
        <v>275</v>
      </c>
      <c r="CS49" s="2467">
        <f>'VISITA DE INSP.'!JZ49</f>
        <v>233</v>
      </c>
      <c r="CT49" s="2469">
        <f>'VISITA DE INSP.'!KA49</f>
        <v>508</v>
      </c>
      <c r="CU49" s="2466">
        <f>'VISITA DE INSP.'!KB49</f>
        <v>0</v>
      </c>
      <c r="CV49" s="2467">
        <f>'VISITA DE INSP.'!KC49</f>
        <v>0</v>
      </c>
      <c r="CW49" s="2467">
        <f>'VISITA DE INSP.'!KD49</f>
        <v>0</v>
      </c>
      <c r="CX49" s="2467">
        <f>'VISITA DE INSP.'!KE49</f>
        <v>0</v>
      </c>
      <c r="CY49" s="2467">
        <f>'VISITA DE INSP.'!KF49</f>
        <v>0</v>
      </c>
      <c r="CZ49" s="2469">
        <f>'VISITA DE INSP.'!KG49</f>
        <v>0</v>
      </c>
    </row>
    <row r="50" spans="24:104" s="2312" customFormat="1" ht="13.5" customHeight="1">
      <c r="X50" s="2546"/>
      <c r="Z50" s="2541">
        <f>'VISITA DE INSP.'!HG50</f>
        <v>26</v>
      </c>
      <c r="AA50" s="2507">
        <f>'VISITA DE INSP.'!HH50</f>
        <v>228</v>
      </c>
      <c r="AB50" s="2508">
        <f>'VISITA DE INSP.'!HI50</f>
        <v>225</v>
      </c>
      <c r="AC50" s="2509">
        <f>'VISITA DE INSP.'!HJ50</f>
        <v>255</v>
      </c>
      <c r="AD50" s="2508">
        <f>'VISITA DE INSP.'!HK50</f>
        <v>207</v>
      </c>
      <c r="AE50" s="2509">
        <f>'VISITA DE INSP.'!HL50</f>
        <v>234</v>
      </c>
      <c r="AF50" s="2508">
        <f>'VISITA DE INSP.'!HM50</f>
        <v>214</v>
      </c>
      <c r="AG50" s="2509">
        <f>'VISITA DE INSP.'!HN50</f>
        <v>244</v>
      </c>
      <c r="AH50" s="2508">
        <f>'VISITA DE INSP.'!HO50</f>
        <v>211</v>
      </c>
      <c r="AI50" s="2509">
        <f>'VISITA DE INSP.'!HP50</f>
        <v>268</v>
      </c>
      <c r="AJ50" s="2508">
        <f>'VISITA DE INSP.'!HQ50</f>
        <v>238</v>
      </c>
      <c r="AK50" s="2509">
        <f>'VISITA DE INSP.'!HR50</f>
        <v>296</v>
      </c>
      <c r="AL50" s="2510">
        <f>'VISITA DE INSP.'!HS50</f>
        <v>254</v>
      </c>
      <c r="AM50" s="2517">
        <f>'VISITA DE INSP.'!HT50</f>
        <v>20</v>
      </c>
      <c r="AN50" s="2508">
        <f>'VISITA DE INSP.'!HU50</f>
        <v>19</v>
      </c>
      <c r="AO50" s="2509">
        <f>'VISITA DE INSP.'!HV50</f>
        <v>16</v>
      </c>
      <c r="AP50" s="2508">
        <f>'VISITA DE INSP.'!HW50</f>
        <v>16</v>
      </c>
      <c r="AQ50" s="2509">
        <f>'VISITA DE INSP.'!HX50</f>
        <v>20</v>
      </c>
      <c r="AR50" s="2508">
        <f>'VISITA DE INSP.'!HY50</f>
        <v>16</v>
      </c>
      <c r="AS50" s="2509">
        <f>'VISITA DE INSP.'!HZ50</f>
        <v>15</v>
      </c>
      <c r="AT50" s="2508">
        <f>'VISITA DE INSP.'!IA50</f>
        <v>14</v>
      </c>
      <c r="AU50" s="2509">
        <f>'VISITA DE INSP.'!IB50</f>
        <v>13</v>
      </c>
      <c r="AV50" s="2508">
        <f>'VISITA DE INSP.'!IC50</f>
        <v>12</v>
      </c>
      <c r="AW50" s="2509">
        <f>'VISITA DE INSP.'!ID50</f>
        <v>7</v>
      </c>
      <c r="AX50" s="2510">
        <f>'VISITA DE INSP.'!IE50</f>
        <v>13</v>
      </c>
      <c r="AY50" s="2517">
        <f>'VISITA DE INSP.'!IF50</f>
        <v>21</v>
      </c>
      <c r="AZ50" s="2508">
        <f>'VISITA DE INSP.'!IG50</f>
        <v>25</v>
      </c>
      <c r="BA50" s="2509">
        <f>'VISITA DE INSP.'!IH50</f>
        <v>34</v>
      </c>
      <c r="BB50" s="2508">
        <f>'VISITA DE INSP.'!II50</f>
        <v>28</v>
      </c>
      <c r="BC50" s="2509">
        <f>'VISITA DE INSP.'!IJ50</f>
        <v>38</v>
      </c>
      <c r="BD50" s="2508">
        <f>'VISITA DE INSP.'!IK50</f>
        <v>28</v>
      </c>
      <c r="BE50" s="2509">
        <f>'VISITA DE INSP.'!IL50</f>
        <v>23</v>
      </c>
      <c r="BF50" s="2508">
        <f>'VISITA DE INSP.'!IM50</f>
        <v>14</v>
      </c>
      <c r="BG50" s="2509">
        <f>'VISITA DE INSP.'!IN50</f>
        <v>30</v>
      </c>
      <c r="BH50" s="2508">
        <f>'VISITA DE INSP.'!IO50</f>
        <v>24</v>
      </c>
      <c r="BI50" s="2509">
        <f>'VISITA DE INSP.'!IP50</f>
        <v>31</v>
      </c>
      <c r="BJ50" s="2510">
        <f>'VISITA DE INSP.'!IQ50</f>
        <v>10</v>
      </c>
      <c r="BK50" s="2517">
        <f>'VISITA DE INSP.'!IR50</f>
        <v>0</v>
      </c>
      <c r="BL50" s="2520">
        <f>'VISITA DE INSP.'!IS50</f>
        <v>0</v>
      </c>
      <c r="BM50" s="2509">
        <f>'VISITA DE INSP.'!IT50</f>
        <v>0</v>
      </c>
      <c r="BN50" s="2520">
        <f>'VISITA DE INSP.'!IU50</f>
        <v>0</v>
      </c>
      <c r="BO50" s="2509">
        <f>'VISITA DE INSP.'!IV50</f>
        <v>0</v>
      </c>
      <c r="BP50" s="2520">
        <f>'VISITA DE INSP.'!IW50</f>
        <v>0</v>
      </c>
      <c r="BQ50" s="2509">
        <f>'VISITA DE INSP.'!IX50</f>
        <v>0</v>
      </c>
      <c r="BR50" s="2520">
        <f>'VISITA DE INSP.'!IY50</f>
        <v>0</v>
      </c>
      <c r="BS50" s="2509">
        <f>'VISITA DE INSP.'!IZ50</f>
        <v>0</v>
      </c>
      <c r="BT50" s="2520">
        <f>'VISITA DE INSP.'!JA50</f>
        <v>0</v>
      </c>
      <c r="BU50" s="2509">
        <f>'VISITA DE INSP.'!JB50</f>
        <v>0</v>
      </c>
      <c r="BV50" s="2521">
        <f>'VISITA DE INSP.'!JC50</f>
        <v>0</v>
      </c>
      <c r="BW50" s="2517">
        <f>'VISITA DE INSP.'!JD50</f>
        <v>3</v>
      </c>
      <c r="BX50" s="2508">
        <f>'VISITA DE INSP.'!JE50</f>
        <v>12</v>
      </c>
      <c r="BY50" s="2526">
        <f>'VISITA DE INSP.'!JF50</f>
        <v>0</v>
      </c>
      <c r="BZ50" s="2527">
        <f>'VISITA DE INSP.'!JG50</f>
        <v>14</v>
      </c>
      <c r="CA50" s="2509">
        <f>'VISITA DE INSP.'!JH50</f>
        <v>4</v>
      </c>
      <c r="CB50" s="2508">
        <f>'VISITA DE INSP.'!JI50</f>
        <v>11</v>
      </c>
      <c r="CC50" s="2526">
        <f>'VISITA DE INSP.'!JJ50</f>
        <v>4</v>
      </c>
      <c r="CD50" s="2527">
        <f>'VISITA DE INSP.'!JK50</f>
        <v>11</v>
      </c>
      <c r="CE50" s="2526">
        <f>'VISITA DE INSP.'!JL50</f>
        <v>11</v>
      </c>
      <c r="CF50" s="2527">
        <f>'VISITA DE INSP.'!JM50</f>
        <v>6</v>
      </c>
      <c r="CG50" s="2509">
        <f>'VISITA DE INSP.'!JN50</f>
        <v>13</v>
      </c>
      <c r="CH50" s="2510">
        <f>'VISITA DE INSP.'!JO50</f>
        <v>4</v>
      </c>
      <c r="CI50" s="2517">
        <f>'VISITA DE INSP.'!JP50</f>
        <v>0</v>
      </c>
      <c r="CJ50" s="2508">
        <f>'VISITA DE INSP.'!JQ50</f>
        <v>0</v>
      </c>
      <c r="CK50" s="2509">
        <f>'VISITA DE INSP.'!JR50</f>
        <v>0</v>
      </c>
      <c r="CL50" s="2508">
        <f>'VISITA DE INSP.'!JS50</f>
        <v>0</v>
      </c>
      <c r="CM50" s="2509">
        <f>'VISITA DE INSP.'!JT50</f>
        <v>0</v>
      </c>
      <c r="CN50" s="2508">
        <f>'VISITA DE INSP.'!JU50</f>
        <v>0</v>
      </c>
      <c r="CO50" s="2509">
        <f>'VISITA DE INSP.'!JV50</f>
        <v>0</v>
      </c>
      <c r="CP50" s="2508">
        <f>'VISITA DE INSP.'!JW50</f>
        <v>0</v>
      </c>
      <c r="CQ50" s="2509">
        <f>'VISITA DE INSP.'!JX50</f>
        <v>0</v>
      </c>
      <c r="CR50" s="2508">
        <f>'VISITA DE INSP.'!JY50</f>
        <v>0</v>
      </c>
      <c r="CS50" s="2509">
        <f>'VISITA DE INSP.'!JZ50</f>
        <v>0</v>
      </c>
      <c r="CT50" s="2510">
        <f>'VISITA DE INSP.'!KA50</f>
        <v>0</v>
      </c>
      <c r="CU50" s="2529">
        <f>'VISITA DE INSP.'!KB50</f>
        <v>0</v>
      </c>
      <c r="CV50" s="2520">
        <f>'VISITA DE INSP.'!KC50</f>
        <v>0</v>
      </c>
      <c r="CW50" s="2520">
        <f>'VISITA DE INSP.'!KD50</f>
        <v>0</v>
      </c>
      <c r="CX50" s="2520">
        <f>'VISITA DE INSP.'!KE50</f>
        <v>0</v>
      </c>
      <c r="CY50" s="2520">
        <f>'VISITA DE INSP.'!KF50</f>
        <v>0</v>
      </c>
      <c r="CZ50" s="2521">
        <f>'VISITA DE INSP.'!KG50</f>
        <v>0</v>
      </c>
    </row>
    <row r="51" spans="24:104" s="2312" customFormat="1" ht="13.5" customHeight="1">
      <c r="X51" s="2547"/>
      <c r="Z51" s="2542">
        <f>'VISITA DE INSP.'!HG51</f>
        <v>27</v>
      </c>
      <c r="AA51" s="2511">
        <f>'VISITA DE INSP.'!HH51</f>
        <v>50</v>
      </c>
      <c r="AB51" s="2337">
        <f>'VISITA DE INSP.'!HI51</f>
        <v>38</v>
      </c>
      <c r="AC51" s="2338">
        <f>'VISITA DE INSP.'!HJ51</f>
        <v>47</v>
      </c>
      <c r="AD51" s="2337">
        <f>'VISITA DE INSP.'!HK51</f>
        <v>33</v>
      </c>
      <c r="AE51" s="2338">
        <f>'VISITA DE INSP.'!HL51</f>
        <v>39</v>
      </c>
      <c r="AF51" s="2337">
        <f>'VISITA DE INSP.'!HM51</f>
        <v>39</v>
      </c>
      <c r="AG51" s="2338">
        <f>'VISITA DE INSP.'!HN51</f>
        <v>40</v>
      </c>
      <c r="AH51" s="2337">
        <f>'VISITA DE INSP.'!HO51</f>
        <v>30</v>
      </c>
      <c r="AI51" s="2338">
        <f>'VISITA DE INSP.'!HP51</f>
        <v>45</v>
      </c>
      <c r="AJ51" s="2337">
        <f>'VISITA DE INSP.'!HQ51</f>
        <v>36</v>
      </c>
      <c r="AK51" s="2338">
        <f>'VISITA DE INSP.'!HR51</f>
        <v>27</v>
      </c>
      <c r="AL51" s="2512">
        <f>'VISITA DE INSP.'!HS51</f>
        <v>22</v>
      </c>
      <c r="AM51" s="2518">
        <f>'VISITA DE INSP.'!HT51</f>
        <v>3</v>
      </c>
      <c r="AN51" s="2337">
        <f>'VISITA DE INSP.'!HU51</f>
        <v>5</v>
      </c>
      <c r="AO51" s="2338">
        <f>'VISITA DE INSP.'!HV51</f>
        <v>6</v>
      </c>
      <c r="AP51" s="2337">
        <f>'VISITA DE INSP.'!HW51</f>
        <v>8</v>
      </c>
      <c r="AQ51" s="2338">
        <f>'VISITA DE INSP.'!HX51</f>
        <v>2</v>
      </c>
      <c r="AR51" s="2337">
        <f>'VISITA DE INSP.'!HY51</f>
        <v>8</v>
      </c>
      <c r="AS51" s="2338">
        <f>'VISITA DE INSP.'!HZ51</f>
        <v>7</v>
      </c>
      <c r="AT51" s="2337">
        <f>'VISITA DE INSP.'!IA51</f>
        <v>1</v>
      </c>
      <c r="AU51" s="2338">
        <f>'VISITA DE INSP.'!IB51</f>
        <v>4</v>
      </c>
      <c r="AV51" s="2337">
        <f>'VISITA DE INSP.'!IC51</f>
        <v>6</v>
      </c>
      <c r="AW51" s="2338">
        <f>'VISITA DE INSP.'!ID51</f>
        <v>8</v>
      </c>
      <c r="AX51" s="2512">
        <f>'VISITA DE INSP.'!IE51</f>
        <v>4</v>
      </c>
      <c r="AY51" s="2518">
        <f>'VISITA DE INSP.'!IF51</f>
        <v>4</v>
      </c>
      <c r="AZ51" s="2337">
        <f>'VISITA DE INSP.'!IG51</f>
        <v>1</v>
      </c>
      <c r="BA51" s="2338">
        <f>'VISITA DE INSP.'!IH51</f>
        <v>3</v>
      </c>
      <c r="BB51" s="2337">
        <f>'VISITA DE INSP.'!II51</f>
        <v>3</v>
      </c>
      <c r="BC51" s="2338">
        <f>'VISITA DE INSP.'!IJ51</f>
        <v>0</v>
      </c>
      <c r="BD51" s="2337">
        <f>'VISITA DE INSP.'!IK51</f>
        <v>2</v>
      </c>
      <c r="BE51" s="2338">
        <f>'VISITA DE INSP.'!IL51</f>
        <v>4</v>
      </c>
      <c r="BF51" s="2337">
        <f>'VISITA DE INSP.'!IM51</f>
        <v>1</v>
      </c>
      <c r="BG51" s="2338">
        <f>'VISITA DE INSP.'!IN51</f>
        <v>3</v>
      </c>
      <c r="BH51" s="2337">
        <f>'VISITA DE INSP.'!IO51</f>
        <v>2</v>
      </c>
      <c r="BI51" s="2338">
        <f>'VISITA DE INSP.'!IP51</f>
        <v>1</v>
      </c>
      <c r="BJ51" s="2512">
        <f>'VISITA DE INSP.'!IQ51</f>
        <v>0</v>
      </c>
      <c r="BK51" s="2518">
        <f>'VISITA DE INSP.'!IR51</f>
        <v>0</v>
      </c>
      <c r="BL51" s="2339">
        <f>'VISITA DE INSP.'!IS51</f>
        <v>0</v>
      </c>
      <c r="BM51" s="2338">
        <f>'VISITA DE INSP.'!IT51</f>
        <v>0</v>
      </c>
      <c r="BN51" s="2339">
        <f>'VISITA DE INSP.'!IU51</f>
        <v>0</v>
      </c>
      <c r="BO51" s="2338">
        <f>'VISITA DE INSP.'!IV51</f>
        <v>0</v>
      </c>
      <c r="BP51" s="2339">
        <f>'VISITA DE INSP.'!IW51</f>
        <v>0</v>
      </c>
      <c r="BQ51" s="2338">
        <f>'VISITA DE INSP.'!IX51</f>
        <v>0</v>
      </c>
      <c r="BR51" s="2339">
        <f>'VISITA DE INSP.'!IY51</f>
        <v>0</v>
      </c>
      <c r="BS51" s="2338">
        <f>'VISITA DE INSP.'!IZ51</f>
        <v>0</v>
      </c>
      <c r="BT51" s="2339">
        <f>'VISITA DE INSP.'!JA51</f>
        <v>0</v>
      </c>
      <c r="BU51" s="2338">
        <f>'VISITA DE INSP.'!JB51</f>
        <v>0</v>
      </c>
      <c r="BV51" s="2522">
        <f>'VISITA DE INSP.'!JC51</f>
        <v>0</v>
      </c>
      <c r="BW51" s="2518">
        <f>'VISITA DE INSP.'!JD51</f>
        <v>0</v>
      </c>
      <c r="BX51" s="2337">
        <f>'VISITA DE INSP.'!JE51</f>
        <v>6</v>
      </c>
      <c r="BY51" s="2452">
        <f>'VISITA DE INSP.'!JF51</f>
        <v>0</v>
      </c>
      <c r="BZ51" s="2453">
        <f>'VISITA DE INSP.'!JG51</f>
        <v>3</v>
      </c>
      <c r="CA51" s="2338">
        <f>'VISITA DE INSP.'!JH51</f>
        <v>1</v>
      </c>
      <c r="CB51" s="2337">
        <f>'VISITA DE INSP.'!JI51</f>
        <v>5</v>
      </c>
      <c r="CC51" s="2452">
        <f>'VISITA DE INSP.'!JJ51</f>
        <v>0</v>
      </c>
      <c r="CD51" s="2453">
        <f>'VISITA DE INSP.'!JK51</f>
        <v>3</v>
      </c>
      <c r="CE51" s="2452">
        <f>'VISITA DE INSP.'!JL51</f>
        <v>2</v>
      </c>
      <c r="CF51" s="2453">
        <f>'VISITA DE INSP.'!JM51</f>
        <v>3</v>
      </c>
      <c r="CG51" s="2338">
        <f>'VISITA DE INSP.'!JN51</f>
        <v>0</v>
      </c>
      <c r="CH51" s="2512">
        <f>'VISITA DE INSP.'!JO51</f>
        <v>2</v>
      </c>
      <c r="CI51" s="2528">
        <f>'VISITA DE INSP.'!JP51</f>
        <v>0</v>
      </c>
      <c r="CJ51" s="2337">
        <f>'VISITA DE INSP.'!JQ51</f>
        <v>0</v>
      </c>
      <c r="CK51" s="2338">
        <f>'VISITA DE INSP.'!JR51</f>
        <v>0</v>
      </c>
      <c r="CL51" s="2337">
        <f>'VISITA DE INSP.'!JS51</f>
        <v>0</v>
      </c>
      <c r="CM51" s="2338">
        <f>'VISITA DE INSP.'!JT51</f>
        <v>0</v>
      </c>
      <c r="CN51" s="2337">
        <f>'VISITA DE INSP.'!JU51</f>
        <v>0</v>
      </c>
      <c r="CO51" s="2338">
        <f>'VISITA DE INSP.'!JV51</f>
        <v>0</v>
      </c>
      <c r="CP51" s="2337">
        <f>'VISITA DE INSP.'!JW51</f>
        <v>0</v>
      </c>
      <c r="CQ51" s="2338">
        <f>'VISITA DE INSP.'!JX51</f>
        <v>0</v>
      </c>
      <c r="CR51" s="2337">
        <f>'VISITA DE INSP.'!JY51</f>
        <v>0</v>
      </c>
      <c r="CS51" s="2338">
        <f>'VISITA DE INSP.'!JZ51</f>
        <v>0</v>
      </c>
      <c r="CT51" s="2512">
        <f>'VISITA DE INSP.'!KA51</f>
        <v>0</v>
      </c>
      <c r="CU51" s="2528">
        <f>'VISITA DE INSP.'!KB51</f>
        <v>0</v>
      </c>
      <c r="CV51" s="2339">
        <f>'VISITA DE INSP.'!KC51</f>
        <v>0</v>
      </c>
      <c r="CW51" s="2339">
        <f>'VISITA DE INSP.'!KD51</f>
        <v>0</v>
      </c>
      <c r="CX51" s="2339">
        <f>'VISITA DE INSP.'!KE51</f>
        <v>0</v>
      </c>
      <c r="CY51" s="2339">
        <f>'VISITA DE INSP.'!KF51</f>
        <v>0</v>
      </c>
      <c r="CZ51" s="2522">
        <f>'VISITA DE INSP.'!KG51</f>
        <v>0</v>
      </c>
    </row>
    <row r="52" spans="24:104" s="2312" customFormat="1" ht="13.5" customHeight="1" thickBot="1">
      <c r="X52" s="2545"/>
      <c r="Z52" s="2543">
        <f>'VISITA DE INSP.'!HG52</f>
        <v>28</v>
      </c>
      <c r="AA52" s="2513">
        <f>'VISITA DE INSP.'!HH52</f>
        <v>278</v>
      </c>
      <c r="AB52" s="2514">
        <f>'VISITA DE INSP.'!HI52</f>
        <v>263</v>
      </c>
      <c r="AC52" s="2515">
        <f>'VISITA DE INSP.'!HJ52</f>
        <v>302</v>
      </c>
      <c r="AD52" s="2514">
        <f>'VISITA DE INSP.'!HK52</f>
        <v>240</v>
      </c>
      <c r="AE52" s="2515">
        <f>'VISITA DE INSP.'!HL52</f>
        <v>273</v>
      </c>
      <c r="AF52" s="2514">
        <f>'VISITA DE INSP.'!HM52</f>
        <v>253</v>
      </c>
      <c r="AG52" s="2515">
        <f>'VISITA DE INSP.'!HN52</f>
        <v>284</v>
      </c>
      <c r="AH52" s="2514">
        <f>'VISITA DE INSP.'!HO52</f>
        <v>241</v>
      </c>
      <c r="AI52" s="2515">
        <f>'VISITA DE INSP.'!HP52</f>
        <v>313</v>
      </c>
      <c r="AJ52" s="2514">
        <f>'VISITA DE INSP.'!HQ52</f>
        <v>274</v>
      </c>
      <c r="AK52" s="2515">
        <f>'VISITA DE INSP.'!HR52</f>
        <v>323</v>
      </c>
      <c r="AL52" s="2516">
        <f>'VISITA DE INSP.'!HS52</f>
        <v>276</v>
      </c>
      <c r="AM52" s="2519">
        <f>'VISITA DE INSP.'!HT52</f>
        <v>23</v>
      </c>
      <c r="AN52" s="2514">
        <f>'VISITA DE INSP.'!HU52</f>
        <v>24</v>
      </c>
      <c r="AO52" s="2515">
        <f>'VISITA DE INSP.'!HV52</f>
        <v>22</v>
      </c>
      <c r="AP52" s="2514">
        <f>'VISITA DE INSP.'!HW52</f>
        <v>24</v>
      </c>
      <c r="AQ52" s="2515">
        <f>'VISITA DE INSP.'!HX52</f>
        <v>22</v>
      </c>
      <c r="AR52" s="2514">
        <f>'VISITA DE INSP.'!HY52</f>
        <v>24</v>
      </c>
      <c r="AS52" s="2515">
        <f>'VISITA DE INSP.'!HZ52</f>
        <v>22</v>
      </c>
      <c r="AT52" s="2514">
        <f>'VISITA DE INSP.'!IA52</f>
        <v>15</v>
      </c>
      <c r="AU52" s="2515">
        <f>'VISITA DE INSP.'!IB52</f>
        <v>17</v>
      </c>
      <c r="AV52" s="2514">
        <f>'VISITA DE INSP.'!IC52</f>
        <v>18</v>
      </c>
      <c r="AW52" s="2515">
        <f>'VISITA DE INSP.'!ID52</f>
        <v>15</v>
      </c>
      <c r="AX52" s="2516">
        <f>'VISITA DE INSP.'!IE53</f>
        <v>181</v>
      </c>
      <c r="AY52" s="2519">
        <f>'VISITA DE INSP.'!IF52</f>
        <v>25</v>
      </c>
      <c r="AZ52" s="2514">
        <f>'VISITA DE INSP.'!IG52</f>
        <v>26</v>
      </c>
      <c r="BA52" s="2515">
        <f>'VISITA DE INSP.'!IH52</f>
        <v>37</v>
      </c>
      <c r="BB52" s="2514">
        <f>'VISITA DE INSP.'!II52</f>
        <v>31</v>
      </c>
      <c r="BC52" s="2515">
        <f>'VISITA DE INSP.'!IJ52</f>
        <v>38</v>
      </c>
      <c r="BD52" s="2514">
        <f>'VISITA DE INSP.'!IK52</f>
        <v>30</v>
      </c>
      <c r="BE52" s="2515">
        <f>'VISITA DE INSP.'!IL52</f>
        <v>27</v>
      </c>
      <c r="BF52" s="2514">
        <f>'VISITA DE INSP.'!IM52</f>
        <v>15</v>
      </c>
      <c r="BG52" s="2515">
        <f>'VISITA DE INSP.'!IN52</f>
        <v>33</v>
      </c>
      <c r="BH52" s="2514">
        <f>'VISITA DE INSP.'!IO52</f>
        <v>26</v>
      </c>
      <c r="BI52" s="2515">
        <f>'VISITA DE INSP.'!IP52</f>
        <v>32</v>
      </c>
      <c r="BJ52" s="2516">
        <f>'VISITA DE INSP.'!IQ52</f>
        <v>10</v>
      </c>
      <c r="BK52" s="2523">
        <f>'VISITA DE INSP.'!IR52</f>
        <v>0</v>
      </c>
      <c r="BL52" s="2524">
        <f>'VISITA DE INSP.'!IS52</f>
        <v>0</v>
      </c>
      <c r="BM52" s="2524">
        <f>'VISITA DE INSP.'!IT52</f>
        <v>0</v>
      </c>
      <c r="BN52" s="2524">
        <f>'VISITA DE INSP.'!IU52</f>
        <v>0</v>
      </c>
      <c r="BO52" s="2524">
        <f>'VISITA DE INSP.'!IV52</f>
        <v>0</v>
      </c>
      <c r="BP52" s="2524">
        <f>'VISITA DE INSP.'!IW52</f>
        <v>0</v>
      </c>
      <c r="BQ52" s="2524">
        <f>'VISITA DE INSP.'!IX52</f>
        <v>0</v>
      </c>
      <c r="BR52" s="2524">
        <f>'VISITA DE INSP.'!IY52</f>
        <v>0</v>
      </c>
      <c r="BS52" s="2524">
        <f>'VISITA DE INSP.'!IZ52</f>
        <v>0</v>
      </c>
      <c r="BT52" s="2524">
        <f>'VISITA DE INSP.'!JA52</f>
        <v>0</v>
      </c>
      <c r="BU52" s="2524">
        <f>'VISITA DE INSP.'!JB52</f>
        <v>0</v>
      </c>
      <c r="BV52" s="2525">
        <f>'VISITA DE INSP.'!JC52</f>
        <v>0</v>
      </c>
      <c r="BW52" s="2519">
        <f>'VISITA DE INSP.'!JD52</f>
        <v>3</v>
      </c>
      <c r="BX52" s="2514">
        <f>'VISITA DE INSP.'!JE52</f>
        <v>18</v>
      </c>
      <c r="BY52" s="2515">
        <f>'VISITA DE INSP.'!JF52</f>
        <v>0</v>
      </c>
      <c r="BZ52" s="2514">
        <f>'VISITA DE INSP.'!JG52</f>
        <v>17</v>
      </c>
      <c r="CA52" s="2515">
        <f>'VISITA DE INSP.'!JH52</f>
        <v>5</v>
      </c>
      <c r="CB52" s="2514">
        <f>'VISITA DE INSP.'!JI52</f>
        <v>16</v>
      </c>
      <c r="CC52" s="2515">
        <f>'VISITA DE INSP.'!JJ52</f>
        <v>4</v>
      </c>
      <c r="CD52" s="2514">
        <f>'VISITA DE INSP.'!JK52</f>
        <v>14</v>
      </c>
      <c r="CE52" s="2515">
        <f>'VISITA DE INSP.'!JL52</f>
        <v>13</v>
      </c>
      <c r="CF52" s="2514">
        <f>'VISITA DE INSP.'!JM52</f>
        <v>9</v>
      </c>
      <c r="CG52" s="2515">
        <f>'VISITA DE INSP.'!JN52</f>
        <v>13</v>
      </c>
      <c r="CH52" s="2516">
        <f>'VISITA DE INSP.'!JO52</f>
        <v>6</v>
      </c>
      <c r="CI52" s="2519">
        <f>'VISITA DE INSP.'!JP52</f>
        <v>0</v>
      </c>
      <c r="CJ52" s="2514">
        <f>'VISITA DE INSP.'!JQ52</f>
        <v>0</v>
      </c>
      <c r="CK52" s="2515">
        <f>'VISITA DE INSP.'!JR52</f>
        <v>0</v>
      </c>
      <c r="CL52" s="2514">
        <f>'VISITA DE INSP.'!JS52</f>
        <v>0</v>
      </c>
      <c r="CM52" s="2515">
        <f>'VISITA DE INSP.'!JT52</f>
        <v>0</v>
      </c>
      <c r="CN52" s="2514">
        <f>'VISITA DE INSP.'!JU52</f>
        <v>0</v>
      </c>
      <c r="CO52" s="2515">
        <f>'VISITA DE INSP.'!JV52</f>
        <v>0</v>
      </c>
      <c r="CP52" s="2514">
        <f>'VISITA DE INSP.'!JW52</f>
        <v>0</v>
      </c>
      <c r="CQ52" s="2515">
        <f>'VISITA DE INSP.'!JX52</f>
        <v>0</v>
      </c>
      <c r="CR52" s="2514">
        <f>'VISITA DE INSP.'!JY52</f>
        <v>0</v>
      </c>
      <c r="CS52" s="2515">
        <f>'VISITA DE INSP.'!JZ52</f>
        <v>0</v>
      </c>
      <c r="CT52" s="2516">
        <f>'VISITA DE INSP.'!KA52</f>
        <v>0</v>
      </c>
      <c r="CU52" s="2519">
        <f>'VISITA DE INSP.'!KB52</f>
        <v>0</v>
      </c>
      <c r="CV52" s="2524">
        <f>'VISITA DE INSP.'!KC52</f>
        <v>0</v>
      </c>
      <c r="CW52" s="2515">
        <f>'VISITA DE INSP.'!KD52</f>
        <v>0</v>
      </c>
      <c r="CX52" s="2524">
        <f>'VISITA DE INSP.'!KE52</f>
        <v>0</v>
      </c>
      <c r="CY52" s="2515">
        <f>'VISITA DE INSP.'!KF52</f>
        <v>0</v>
      </c>
      <c r="CZ52" s="2525">
        <f>'VISITA DE INSP.'!KG52</f>
        <v>0</v>
      </c>
    </row>
    <row r="53" spans="24:104" s="2312" customFormat="1" ht="13.5" customHeight="1">
      <c r="X53" s="2546"/>
      <c r="Z53" s="2541">
        <f>'VISITA DE INSP.'!HG53</f>
        <v>29</v>
      </c>
      <c r="AA53" s="2533">
        <f>'VISITA DE INSP.'!HH53</f>
        <v>0</v>
      </c>
      <c r="AB53" s="2520">
        <f>'VISITA DE INSP.'!HI53</f>
        <v>0</v>
      </c>
      <c r="AC53" s="2520">
        <f>'VISITA DE INSP.'!HJ53</f>
        <v>0</v>
      </c>
      <c r="AD53" s="2520">
        <f>'VISITA DE INSP.'!HK53</f>
        <v>0</v>
      </c>
      <c r="AE53" s="2520">
        <f>'VISITA DE INSP.'!HL53</f>
        <v>0</v>
      </c>
      <c r="AF53" s="2520">
        <f>'VISITA DE INSP.'!HM53</f>
        <v>0</v>
      </c>
      <c r="AG53" s="2520">
        <f>'VISITA DE INSP.'!HN53</f>
        <v>0</v>
      </c>
      <c r="AH53" s="2520">
        <f>'VISITA DE INSP.'!HO53</f>
        <v>0</v>
      </c>
      <c r="AI53" s="2520">
        <f>'VISITA DE INSP.'!HP53</f>
        <v>0</v>
      </c>
      <c r="AJ53" s="2509">
        <f>'VISITA DE INSP.'!HQ53</f>
        <v>1525</v>
      </c>
      <c r="AK53" s="2508">
        <f>'VISITA DE INSP.'!HR53</f>
        <v>1349</v>
      </c>
      <c r="AL53" s="2521">
        <f>'VISITA DE INSP.'!HS53</f>
        <v>2874</v>
      </c>
      <c r="AM53" s="2529">
        <f>'VISITA DE INSP.'!HT53</f>
        <v>0</v>
      </c>
      <c r="AN53" s="2520">
        <f>'VISITA DE INSP.'!HU53</f>
        <v>0</v>
      </c>
      <c r="AO53" s="2520">
        <f>'VISITA DE INSP.'!HV53</f>
        <v>0</v>
      </c>
      <c r="AP53" s="2520">
        <f>'VISITA DE INSP.'!HW53</f>
        <v>0</v>
      </c>
      <c r="AQ53" s="2520">
        <f>'VISITA DE INSP.'!HX53</f>
        <v>0</v>
      </c>
      <c r="AR53" s="2520">
        <f>'VISITA DE INSP.'!HY53</f>
        <v>0</v>
      </c>
      <c r="AS53" s="2520">
        <f>'VISITA DE INSP.'!HZ53</f>
        <v>0</v>
      </c>
      <c r="AT53" s="2520">
        <f>'VISITA DE INSP.'!IA53</f>
        <v>0</v>
      </c>
      <c r="AU53" s="2520">
        <f>'VISITA DE INSP.'!IB53</f>
        <v>0</v>
      </c>
      <c r="AV53" s="2509">
        <f>'VISITA DE INSP.'!IC53</f>
        <v>91</v>
      </c>
      <c r="AW53" s="2508">
        <f>'VISITA DE INSP.'!ID53</f>
        <v>90</v>
      </c>
      <c r="AX53" s="2521">
        <f>'VISITA DE INSP.'!IE53</f>
        <v>181</v>
      </c>
      <c r="AY53" s="2529">
        <f>'VISITA DE INSP.'!IF53</f>
        <v>0</v>
      </c>
      <c r="AZ53" s="2520">
        <f>'VISITA DE INSP.'!IG53</f>
        <v>0</v>
      </c>
      <c r="BA53" s="2520">
        <f>'VISITA DE INSP.'!IH53</f>
        <v>0</v>
      </c>
      <c r="BB53" s="2520">
        <f>'VISITA DE INSP.'!II53</f>
        <v>0</v>
      </c>
      <c r="BC53" s="2520">
        <f>'VISITA DE INSP.'!IJ53</f>
        <v>0</v>
      </c>
      <c r="BD53" s="2520">
        <f>'VISITA DE INSP.'!IK53</f>
        <v>0</v>
      </c>
      <c r="BE53" s="2520">
        <f>'VISITA DE INSP.'!IL53</f>
        <v>0</v>
      </c>
      <c r="BF53" s="2520">
        <f>'VISITA DE INSP.'!IM53</f>
        <v>0</v>
      </c>
      <c r="BG53" s="2520">
        <f>'VISITA DE INSP.'!IN53</f>
        <v>0</v>
      </c>
      <c r="BH53" s="2509">
        <f>'VISITA DE INSP.'!IO53</f>
        <v>177</v>
      </c>
      <c r="BI53" s="2508">
        <f>'VISITA DE INSP.'!IP53</f>
        <v>129</v>
      </c>
      <c r="BJ53" s="2521">
        <f>'VISITA DE INSP.'!IQ53</f>
        <v>306</v>
      </c>
      <c r="BK53" s="2529">
        <f>'VISITA DE INSP.'!IR53</f>
        <v>0</v>
      </c>
      <c r="BL53" s="2520">
        <f>'VISITA DE INSP.'!IS53</f>
        <v>0</v>
      </c>
      <c r="BM53" s="2520">
        <f>'VISITA DE INSP.'!IT53</f>
        <v>0</v>
      </c>
      <c r="BN53" s="2520">
        <f>'VISITA DE INSP.'!IU53</f>
        <v>0</v>
      </c>
      <c r="BO53" s="2520">
        <f>'VISITA DE INSP.'!IV53</f>
        <v>0</v>
      </c>
      <c r="BP53" s="2520">
        <f>'VISITA DE INSP.'!IW53</f>
        <v>0</v>
      </c>
      <c r="BQ53" s="2520">
        <f>'VISITA DE INSP.'!IX53</f>
        <v>0</v>
      </c>
      <c r="BR53" s="2520">
        <f>'VISITA DE INSP.'!IY53</f>
        <v>0</v>
      </c>
      <c r="BS53" s="2520">
        <f>'VISITA DE INSP.'!IZ53</f>
        <v>0</v>
      </c>
      <c r="BT53" s="2520">
        <f>'VISITA DE INSP.'!JA53</f>
        <v>0</v>
      </c>
      <c r="BU53" s="2520">
        <f>'VISITA DE INSP.'!JB53</f>
        <v>0</v>
      </c>
      <c r="BV53" s="2521">
        <f>'VISITA DE INSP.'!JC53</f>
        <v>0</v>
      </c>
      <c r="BW53" s="2529">
        <f>'VISITA DE INSP.'!JD53</f>
        <v>0</v>
      </c>
      <c r="BX53" s="2520">
        <f>'VISITA DE INSP.'!JE53</f>
        <v>0</v>
      </c>
      <c r="BY53" s="2520">
        <f>'VISITA DE INSP.'!JF53</f>
        <v>0</v>
      </c>
      <c r="BZ53" s="2520">
        <f>'VISITA DE INSP.'!JG53</f>
        <v>0</v>
      </c>
      <c r="CA53" s="2520">
        <f>'VISITA DE INSP.'!JH53</f>
        <v>0</v>
      </c>
      <c r="CB53" s="2520">
        <f>'VISITA DE INSP.'!JI53</f>
        <v>0</v>
      </c>
      <c r="CC53" s="2520">
        <f>'VISITA DE INSP.'!JJ53</f>
        <v>0</v>
      </c>
      <c r="CD53" s="2520">
        <f>'VISITA DE INSP.'!JK53</f>
        <v>0</v>
      </c>
      <c r="CE53" s="2520">
        <f>'VISITA DE INSP.'!JL53</f>
        <v>0</v>
      </c>
      <c r="CF53" s="2509">
        <f>'VISITA DE INSP.'!JM53</f>
        <v>35</v>
      </c>
      <c r="CG53" s="2508">
        <f>'VISITA DE INSP.'!JN53</f>
        <v>58</v>
      </c>
      <c r="CH53" s="2521">
        <f>'VISITA DE INSP.'!JO53</f>
        <v>93</v>
      </c>
      <c r="CI53" s="2529">
        <f>'VISITA DE INSP.'!JP53</f>
        <v>0</v>
      </c>
      <c r="CJ53" s="2520">
        <f>'VISITA DE INSP.'!JQ53</f>
        <v>0</v>
      </c>
      <c r="CK53" s="2520">
        <f>'VISITA DE INSP.'!JR53</f>
        <v>0</v>
      </c>
      <c r="CL53" s="2520">
        <f>'VISITA DE INSP.'!JS53</f>
        <v>0</v>
      </c>
      <c r="CM53" s="2520">
        <f>'VISITA DE INSP.'!JT53</f>
        <v>0</v>
      </c>
      <c r="CN53" s="2520">
        <f>'VISITA DE INSP.'!JU53</f>
        <v>0</v>
      </c>
      <c r="CO53" s="2520">
        <f>'VISITA DE INSP.'!JV53</f>
        <v>0</v>
      </c>
      <c r="CP53" s="2520">
        <f>'VISITA DE INSP.'!JW53</f>
        <v>0</v>
      </c>
      <c r="CQ53" s="2520">
        <f>'VISITA DE INSP.'!JX53</f>
        <v>0</v>
      </c>
      <c r="CR53" s="2520">
        <f>'VISITA DE INSP.'!JY53</f>
        <v>0</v>
      </c>
      <c r="CS53" s="2520">
        <f>'VISITA DE INSP.'!JZ53</f>
        <v>0</v>
      </c>
      <c r="CT53" s="2521">
        <f>'VISITA DE INSP.'!KA53</f>
        <v>0</v>
      </c>
      <c r="CU53" s="2529">
        <f>'VISITA DE INSP.'!KB53</f>
        <v>0</v>
      </c>
      <c r="CV53" s="2520">
        <f>'VISITA DE INSP.'!KC53</f>
        <v>0</v>
      </c>
      <c r="CW53" s="2520">
        <f>'VISITA DE INSP.'!KD53</f>
        <v>0</v>
      </c>
      <c r="CX53" s="2520">
        <f>'VISITA DE INSP.'!KE53</f>
        <v>0</v>
      </c>
      <c r="CY53" s="2520">
        <f>'VISITA DE INSP.'!KF53</f>
        <v>0</v>
      </c>
      <c r="CZ53" s="2521">
        <f>'VISITA DE INSP.'!KG53</f>
        <v>0</v>
      </c>
    </row>
    <row r="54" spans="24:104" s="2312" customFormat="1" ht="13.5" customHeight="1">
      <c r="X54" s="2547"/>
      <c r="Z54" s="2542">
        <f>'VISITA DE INSP.'!HG54</f>
        <v>30</v>
      </c>
      <c r="AA54" s="2534">
        <f>'VISITA DE INSP.'!HH54</f>
        <v>0</v>
      </c>
      <c r="AB54" s="2339">
        <f>'VISITA DE INSP.'!HI54</f>
        <v>0</v>
      </c>
      <c r="AC54" s="2339">
        <f>'VISITA DE INSP.'!HJ54</f>
        <v>0</v>
      </c>
      <c r="AD54" s="2339">
        <f>'VISITA DE INSP.'!HK54</f>
        <v>0</v>
      </c>
      <c r="AE54" s="2339">
        <f>'VISITA DE INSP.'!HL54</f>
        <v>0</v>
      </c>
      <c r="AF54" s="2339">
        <f>'VISITA DE INSP.'!HM54</f>
        <v>0</v>
      </c>
      <c r="AG54" s="2339">
        <f>'VISITA DE INSP.'!HN54</f>
        <v>0</v>
      </c>
      <c r="AH54" s="2339">
        <f>'VISITA DE INSP.'!HO54</f>
        <v>0</v>
      </c>
      <c r="AI54" s="2339">
        <f>'VISITA DE INSP.'!HP54</f>
        <v>0</v>
      </c>
      <c r="AJ54" s="2338">
        <f>'VISITA DE INSP.'!HQ54</f>
        <v>248</v>
      </c>
      <c r="AK54" s="2337">
        <f>'VISITA DE INSP.'!HR54</f>
        <v>198</v>
      </c>
      <c r="AL54" s="2522">
        <f>'VISITA DE INSP.'!HS54</f>
        <v>446</v>
      </c>
      <c r="AM54" s="2528">
        <f>'VISITA DE INSP.'!HT54</f>
        <v>0</v>
      </c>
      <c r="AN54" s="2339">
        <f>'VISITA DE INSP.'!HU54</f>
        <v>0</v>
      </c>
      <c r="AO54" s="2339">
        <f>'VISITA DE INSP.'!HV54</f>
        <v>0</v>
      </c>
      <c r="AP54" s="2339">
        <f>'VISITA DE INSP.'!HW54</f>
        <v>0</v>
      </c>
      <c r="AQ54" s="2339">
        <f>'VISITA DE INSP.'!HX54</f>
        <v>0</v>
      </c>
      <c r="AR54" s="2339">
        <f>'VISITA DE INSP.'!HY54</f>
        <v>0</v>
      </c>
      <c r="AS54" s="2339">
        <f>'VISITA DE INSP.'!HZ54</f>
        <v>0</v>
      </c>
      <c r="AT54" s="2339">
        <f>'VISITA DE INSP.'!IA54</f>
        <v>0</v>
      </c>
      <c r="AU54" s="2339">
        <f>'VISITA DE INSP.'!IB54</f>
        <v>0</v>
      </c>
      <c r="AV54" s="2338">
        <f>'VISITA DE INSP.'!IC54</f>
        <v>30</v>
      </c>
      <c r="AW54" s="2337">
        <f>'VISITA DE INSP.'!ID54</f>
        <v>32</v>
      </c>
      <c r="AX54" s="2522">
        <f>'VISITA DE INSP.'!IE54</f>
        <v>62</v>
      </c>
      <c r="AY54" s="2528">
        <f>'VISITA DE INSP.'!IF54</f>
        <v>0</v>
      </c>
      <c r="AZ54" s="2339">
        <f>'VISITA DE INSP.'!IG54</f>
        <v>0</v>
      </c>
      <c r="BA54" s="2339">
        <f>'VISITA DE INSP.'!IH54</f>
        <v>0</v>
      </c>
      <c r="BB54" s="2339">
        <f>'VISITA DE INSP.'!II54</f>
        <v>0</v>
      </c>
      <c r="BC54" s="2339">
        <f>'VISITA DE INSP.'!IJ54</f>
        <v>0</v>
      </c>
      <c r="BD54" s="2339">
        <f>'VISITA DE INSP.'!IK54</f>
        <v>0</v>
      </c>
      <c r="BE54" s="2339">
        <f>'VISITA DE INSP.'!IL54</f>
        <v>0</v>
      </c>
      <c r="BF54" s="2339">
        <f>'VISITA DE INSP.'!IM54</f>
        <v>0</v>
      </c>
      <c r="BG54" s="2339">
        <f>'VISITA DE INSP.'!IN54</f>
        <v>0</v>
      </c>
      <c r="BH54" s="2338">
        <f>'VISITA DE INSP.'!IO54</f>
        <v>15</v>
      </c>
      <c r="BI54" s="2337">
        <f>'VISITA DE INSP.'!IP54</f>
        <v>9</v>
      </c>
      <c r="BJ54" s="2522">
        <f>'VISITA DE INSP.'!IQ54</f>
        <v>24</v>
      </c>
      <c r="BK54" s="2528">
        <f>'VISITA DE INSP.'!IR54</f>
        <v>0</v>
      </c>
      <c r="BL54" s="2339">
        <f>'VISITA DE INSP.'!IS54</f>
        <v>0</v>
      </c>
      <c r="BM54" s="2339">
        <f>'VISITA DE INSP.'!IT54</f>
        <v>0</v>
      </c>
      <c r="BN54" s="2339">
        <f>'VISITA DE INSP.'!IU54</f>
        <v>0</v>
      </c>
      <c r="BO54" s="2339">
        <f>'VISITA DE INSP.'!IV54</f>
        <v>0</v>
      </c>
      <c r="BP54" s="2339">
        <f>'VISITA DE INSP.'!IW54</f>
        <v>0</v>
      </c>
      <c r="BQ54" s="2339">
        <f>'VISITA DE INSP.'!IX54</f>
        <v>0</v>
      </c>
      <c r="BR54" s="2339">
        <f>'VISITA DE INSP.'!IY54</f>
        <v>0</v>
      </c>
      <c r="BS54" s="2339">
        <f>'VISITA DE INSP.'!IZ54</f>
        <v>0</v>
      </c>
      <c r="BT54" s="2339">
        <f>'VISITA DE INSP.'!JA54</f>
        <v>0</v>
      </c>
      <c r="BU54" s="2339">
        <f>'VISITA DE INSP.'!JB54</f>
        <v>0</v>
      </c>
      <c r="BV54" s="2522">
        <f>'VISITA DE INSP.'!JC54</f>
        <v>0</v>
      </c>
      <c r="BW54" s="2528">
        <f>'VISITA DE INSP.'!JD54</f>
        <v>0</v>
      </c>
      <c r="BX54" s="2339">
        <f>'VISITA DE INSP.'!JE54</f>
        <v>0</v>
      </c>
      <c r="BY54" s="2339">
        <f>'VISITA DE INSP.'!JF54</f>
        <v>0</v>
      </c>
      <c r="BZ54" s="2339">
        <f>'VISITA DE INSP.'!JG54</f>
        <v>0</v>
      </c>
      <c r="CA54" s="2339">
        <f>'VISITA DE INSP.'!JH54</f>
        <v>0</v>
      </c>
      <c r="CB54" s="2339">
        <f>'VISITA DE INSP.'!JI54</f>
        <v>0</v>
      </c>
      <c r="CC54" s="2339">
        <f>'VISITA DE INSP.'!JJ54</f>
        <v>0</v>
      </c>
      <c r="CD54" s="2339">
        <f>'VISITA DE INSP.'!JK54</f>
        <v>0</v>
      </c>
      <c r="CE54" s="2339">
        <f>'VISITA DE INSP.'!JL54</f>
        <v>0</v>
      </c>
      <c r="CF54" s="2338">
        <f>'VISITA DE INSP.'!JM54</f>
        <v>3</v>
      </c>
      <c r="CG54" s="2337">
        <f>'VISITA DE INSP.'!JN54</f>
        <v>22</v>
      </c>
      <c r="CH54" s="2522">
        <f>'VISITA DE INSP.'!JO54</f>
        <v>25</v>
      </c>
      <c r="CI54" s="2528">
        <f>'VISITA DE INSP.'!JP54</f>
        <v>0</v>
      </c>
      <c r="CJ54" s="2339">
        <f>'VISITA DE INSP.'!JQ54</f>
        <v>0</v>
      </c>
      <c r="CK54" s="2339">
        <f>'VISITA DE INSP.'!JR54</f>
        <v>0</v>
      </c>
      <c r="CL54" s="2339">
        <f>'VISITA DE INSP.'!JS54</f>
        <v>0</v>
      </c>
      <c r="CM54" s="2339">
        <f>'VISITA DE INSP.'!JT54</f>
        <v>0</v>
      </c>
      <c r="CN54" s="2339">
        <f>'VISITA DE INSP.'!JU54</f>
        <v>0</v>
      </c>
      <c r="CO54" s="2339">
        <f>'VISITA DE INSP.'!JV54</f>
        <v>0</v>
      </c>
      <c r="CP54" s="2339">
        <f>'VISITA DE INSP.'!JW54</f>
        <v>0</v>
      </c>
      <c r="CQ54" s="2339">
        <f>'VISITA DE INSP.'!JX54</f>
        <v>0</v>
      </c>
      <c r="CR54" s="2339">
        <f>'VISITA DE INSP.'!JY54</f>
        <v>0</v>
      </c>
      <c r="CS54" s="2339">
        <f>'VISITA DE INSP.'!JZ54</f>
        <v>0</v>
      </c>
      <c r="CT54" s="2522">
        <f>'VISITA DE INSP.'!KA54</f>
        <v>0</v>
      </c>
      <c r="CU54" s="2528">
        <f>'VISITA DE INSP.'!KB54</f>
        <v>0</v>
      </c>
      <c r="CV54" s="2339">
        <f>'VISITA DE INSP.'!KC54</f>
        <v>0</v>
      </c>
      <c r="CW54" s="2339">
        <f>'VISITA DE INSP.'!KD54</f>
        <v>0</v>
      </c>
      <c r="CX54" s="2339">
        <f>'VISITA DE INSP.'!KE54</f>
        <v>0</v>
      </c>
      <c r="CY54" s="2339">
        <f>'VISITA DE INSP.'!KF54</f>
        <v>0</v>
      </c>
      <c r="CZ54" s="2522">
        <f>'VISITA DE INSP.'!KG54</f>
        <v>0</v>
      </c>
    </row>
    <row r="55" spans="24:104" s="778" customFormat="1" ht="13.5" customHeight="1" thickBot="1">
      <c r="X55" s="2545"/>
      <c r="Z55" s="2544">
        <f>'VISITA DE INSP.'!HG55</f>
        <v>31</v>
      </c>
      <c r="AA55" s="2535">
        <f>'VISITA DE INSP.'!HH55</f>
        <v>0</v>
      </c>
      <c r="AB55" s="2531">
        <f>'VISITA DE INSP.'!HI55</f>
        <v>0</v>
      </c>
      <c r="AC55" s="2531">
        <f>'VISITA DE INSP.'!HJ55</f>
        <v>0</v>
      </c>
      <c r="AD55" s="2531">
        <f>'VISITA DE INSP.'!HK55</f>
        <v>0</v>
      </c>
      <c r="AE55" s="2531">
        <f>'VISITA DE INSP.'!HL55</f>
        <v>0</v>
      </c>
      <c r="AF55" s="2531">
        <f>'VISITA DE INSP.'!HM55</f>
        <v>0</v>
      </c>
      <c r="AG55" s="2531">
        <f>'VISITA DE INSP.'!HN55</f>
        <v>0</v>
      </c>
      <c r="AH55" s="2531">
        <f>'VISITA DE INSP.'!HO55</f>
        <v>0</v>
      </c>
      <c r="AI55" s="2531">
        <f>'VISITA DE INSP.'!HP55</f>
        <v>0</v>
      </c>
      <c r="AJ55" s="2515">
        <f>'VISITA DE INSP.'!HQ55</f>
        <v>1773</v>
      </c>
      <c r="AK55" s="2514">
        <f>'VISITA DE INSP.'!HR55</f>
        <v>1547</v>
      </c>
      <c r="AL55" s="2525">
        <f>'VISITA DE INSP.'!HS55</f>
        <v>3320</v>
      </c>
      <c r="AM55" s="2530">
        <f>'VISITA DE INSP.'!HT55</f>
        <v>0</v>
      </c>
      <c r="AN55" s="2531">
        <f>'VISITA DE INSP.'!HU55</f>
        <v>0</v>
      </c>
      <c r="AO55" s="2531">
        <f>'VISITA DE INSP.'!HV55</f>
        <v>0</v>
      </c>
      <c r="AP55" s="2531">
        <f>'VISITA DE INSP.'!HW55</f>
        <v>0</v>
      </c>
      <c r="AQ55" s="2531">
        <f>'VISITA DE INSP.'!HX55</f>
        <v>0</v>
      </c>
      <c r="AR55" s="2531">
        <f>'VISITA DE INSP.'!HY55</f>
        <v>0</v>
      </c>
      <c r="AS55" s="2531">
        <f>'VISITA DE INSP.'!HZ55</f>
        <v>0</v>
      </c>
      <c r="AT55" s="2531">
        <f>'VISITA DE INSP.'!IA55</f>
        <v>0</v>
      </c>
      <c r="AU55" s="2531">
        <f>'VISITA DE INSP.'!IB55</f>
        <v>0</v>
      </c>
      <c r="AV55" s="2515">
        <f>'VISITA DE INSP.'!IC55</f>
        <v>121</v>
      </c>
      <c r="AW55" s="2514">
        <f>'VISITA DE INSP.'!ID55</f>
        <v>122</v>
      </c>
      <c r="AX55" s="2525">
        <f>'VISITA DE INSP.'!IE55</f>
        <v>243</v>
      </c>
      <c r="AY55" s="2530">
        <f>'VISITA DE INSP.'!IF55</f>
        <v>0</v>
      </c>
      <c r="AZ55" s="2531">
        <f>'VISITA DE INSP.'!IG55</f>
        <v>0</v>
      </c>
      <c r="BA55" s="2531">
        <f>'VISITA DE INSP.'!IH55</f>
        <v>0</v>
      </c>
      <c r="BB55" s="2531">
        <f>'VISITA DE INSP.'!II55</f>
        <v>0</v>
      </c>
      <c r="BC55" s="2531">
        <f>'VISITA DE INSP.'!IJ55</f>
        <v>0</v>
      </c>
      <c r="BD55" s="2531">
        <f>'VISITA DE INSP.'!IK55</f>
        <v>0</v>
      </c>
      <c r="BE55" s="2531">
        <f>'VISITA DE INSP.'!IL55</f>
        <v>0</v>
      </c>
      <c r="BF55" s="2531">
        <f>'VISITA DE INSP.'!IM55</f>
        <v>0</v>
      </c>
      <c r="BG55" s="2531">
        <f>'VISITA DE INSP.'!IN55</f>
        <v>0</v>
      </c>
      <c r="BH55" s="2515">
        <f>'VISITA DE INSP.'!IO55</f>
        <v>192</v>
      </c>
      <c r="BI55" s="2514">
        <f>'VISITA DE INSP.'!IP55</f>
        <v>138</v>
      </c>
      <c r="BJ55" s="2525">
        <f>'VISITA DE INSP.'!IQ55</f>
        <v>330</v>
      </c>
      <c r="BK55" s="2530">
        <f>'VISITA DE INSP.'!IR55</f>
        <v>0</v>
      </c>
      <c r="BL55" s="2531">
        <f>'VISITA DE INSP.'!IS55</f>
        <v>0</v>
      </c>
      <c r="BM55" s="2531">
        <f>'VISITA DE INSP.'!IT55</f>
        <v>0</v>
      </c>
      <c r="BN55" s="2531">
        <f>'VISITA DE INSP.'!IU55</f>
        <v>0</v>
      </c>
      <c r="BO55" s="2531">
        <f>'VISITA DE INSP.'!IV55</f>
        <v>0</v>
      </c>
      <c r="BP55" s="2531">
        <f>'VISITA DE INSP.'!IW55</f>
        <v>0</v>
      </c>
      <c r="BQ55" s="2531">
        <f>'VISITA DE INSP.'!IX55</f>
        <v>0</v>
      </c>
      <c r="BR55" s="2531">
        <f>'VISITA DE INSP.'!IY55</f>
        <v>0</v>
      </c>
      <c r="BS55" s="2531">
        <f>'VISITA DE INSP.'!IZ55</f>
        <v>0</v>
      </c>
      <c r="BT55" s="2531">
        <f>'VISITA DE INSP.'!JA55</f>
        <v>0</v>
      </c>
      <c r="BU55" s="2531">
        <f>'VISITA DE INSP.'!JB55</f>
        <v>0</v>
      </c>
      <c r="BV55" s="2532">
        <f>'VISITA DE INSP.'!JC55</f>
        <v>0</v>
      </c>
      <c r="BW55" s="2530">
        <f>'VISITA DE INSP.'!JD55</f>
        <v>0</v>
      </c>
      <c r="BX55" s="2531">
        <f>'VISITA DE INSP.'!JE55</f>
        <v>0</v>
      </c>
      <c r="BY55" s="2531">
        <f>'VISITA DE INSP.'!JF55</f>
        <v>0</v>
      </c>
      <c r="BZ55" s="2531">
        <f>'VISITA DE INSP.'!JG55</f>
        <v>0</v>
      </c>
      <c r="CA55" s="2531">
        <f>'VISITA DE INSP.'!JH55</f>
        <v>0</v>
      </c>
      <c r="CB55" s="2531">
        <f>'VISITA DE INSP.'!JI55</f>
        <v>0</v>
      </c>
      <c r="CC55" s="2531">
        <f>'VISITA DE INSP.'!JJ55</f>
        <v>0</v>
      </c>
      <c r="CD55" s="2531">
        <f>'VISITA DE INSP.'!JK55</f>
        <v>0</v>
      </c>
      <c r="CE55" s="2531">
        <f>'VISITA DE INSP.'!JL55</f>
        <v>0</v>
      </c>
      <c r="CF55" s="2515">
        <f>'VISITA DE INSP.'!JM55</f>
        <v>38</v>
      </c>
      <c r="CG55" s="2514">
        <f>'VISITA DE INSP.'!JN55</f>
        <v>80</v>
      </c>
      <c r="CH55" s="2525">
        <f>'VISITA DE INSP.'!JO55</f>
        <v>118</v>
      </c>
      <c r="CI55" s="2530">
        <f>'VISITA DE INSP.'!JP55</f>
        <v>0</v>
      </c>
      <c r="CJ55" s="2531">
        <f>'VISITA DE INSP.'!JQ55</f>
        <v>0</v>
      </c>
      <c r="CK55" s="2531">
        <f>'VISITA DE INSP.'!JR55</f>
        <v>0</v>
      </c>
      <c r="CL55" s="2531">
        <f>'VISITA DE INSP.'!JS55</f>
        <v>0</v>
      </c>
      <c r="CM55" s="2531">
        <f>'VISITA DE INSP.'!JT55</f>
        <v>0</v>
      </c>
      <c r="CN55" s="2531">
        <f>'VISITA DE INSP.'!JU55</f>
        <v>0</v>
      </c>
      <c r="CO55" s="2531">
        <f>'VISITA DE INSP.'!JV55</f>
        <v>0</v>
      </c>
      <c r="CP55" s="2531">
        <f>'VISITA DE INSP.'!JW55</f>
        <v>0</v>
      </c>
      <c r="CQ55" s="2531">
        <f>'VISITA DE INSP.'!JX55</f>
        <v>0</v>
      </c>
      <c r="CR55" s="2524">
        <f>'VISITA DE INSP.'!JY55</f>
        <v>0</v>
      </c>
      <c r="CS55" s="2524">
        <f>'VISITA DE INSP.'!JZ55</f>
        <v>0</v>
      </c>
      <c r="CT55" s="2525">
        <f>'VISITA DE INSP.'!KA55</f>
        <v>0</v>
      </c>
      <c r="CU55" s="2530">
        <f>'VISITA DE INSP.'!KB55</f>
        <v>0</v>
      </c>
      <c r="CV55" s="2531">
        <f>'VISITA DE INSP.'!KC55</f>
        <v>0</v>
      </c>
      <c r="CW55" s="2531">
        <f>'VISITA DE INSP.'!KD55</f>
        <v>0</v>
      </c>
      <c r="CX55" s="2531">
        <f>'VISITA DE INSP.'!KE55</f>
        <v>0</v>
      </c>
      <c r="CY55" s="2531">
        <f>'VISITA DE INSP.'!KF55</f>
        <v>0</v>
      </c>
      <c r="CZ55" s="2532">
        <f>'VISITA DE INSP.'!KG55</f>
        <v>0</v>
      </c>
    </row>
    <row r="56" spans="24:104" s="1466" customFormat="1"/>
    <row r="57" spans="24:104" s="1466" customFormat="1"/>
  </sheetData>
  <sheetProtection selectLockedCells="1"/>
  <mergeCells count="83">
    <mergeCell ref="D44:E44"/>
    <mergeCell ref="F44:K44"/>
    <mergeCell ref="L44:N44"/>
    <mergeCell ref="O44:T44"/>
    <mergeCell ref="M38:O38"/>
    <mergeCell ref="P38:R38"/>
    <mergeCell ref="S38:U38"/>
    <mergeCell ref="D38:F38"/>
    <mergeCell ref="G38:I38"/>
    <mergeCell ref="J38:L38"/>
    <mergeCell ref="A34:C34"/>
    <mergeCell ref="A39:C39"/>
    <mergeCell ref="A40:C40"/>
    <mergeCell ref="A36:C36"/>
    <mergeCell ref="A37:C37"/>
    <mergeCell ref="A38:C38"/>
    <mergeCell ref="A35:C35"/>
    <mergeCell ref="Q11:Q12"/>
    <mergeCell ref="A31:C31"/>
    <mergeCell ref="A32:C32"/>
    <mergeCell ref="A33:C33"/>
    <mergeCell ref="R17:U17"/>
    <mergeCell ref="A18:B19"/>
    <mergeCell ref="K22:O22"/>
    <mergeCell ref="A26:B26"/>
    <mergeCell ref="A29:C30"/>
    <mergeCell ref="D29:F29"/>
    <mergeCell ref="G29:I29"/>
    <mergeCell ref="J29:L29"/>
    <mergeCell ref="M29:O29"/>
    <mergeCell ref="P29:R29"/>
    <mergeCell ref="S29:U29"/>
    <mergeCell ref="B3:D4"/>
    <mergeCell ref="I3:P3"/>
    <mergeCell ref="C8:F8"/>
    <mergeCell ref="I8:K8"/>
    <mergeCell ref="C10:F10"/>
    <mergeCell ref="I10:K10"/>
    <mergeCell ref="BO1:BT1"/>
    <mergeCell ref="AB1:AI1"/>
    <mergeCell ref="AJ1:AY1"/>
    <mergeCell ref="S3:X3"/>
    <mergeCell ref="R11:R12"/>
    <mergeCell ref="S11:S12"/>
    <mergeCell ref="T11:V12"/>
    <mergeCell ref="W11:W12"/>
    <mergeCell ref="V42:X42"/>
    <mergeCell ref="V38:X38"/>
    <mergeCell ref="V8:W8"/>
    <mergeCell ref="BK23:BV23"/>
    <mergeCell ref="V29:X29"/>
    <mergeCell ref="CM1:CN1"/>
    <mergeCell ref="CI1:CL1"/>
    <mergeCell ref="CU1:CZ1"/>
    <mergeCell ref="CU23:CZ23"/>
    <mergeCell ref="A28:C28"/>
    <mergeCell ref="G1:R1"/>
    <mergeCell ref="S1:U1"/>
    <mergeCell ref="V1:X1"/>
    <mergeCell ref="G2:R2"/>
    <mergeCell ref="S2:U2"/>
    <mergeCell ref="V2:X2"/>
    <mergeCell ref="AZ1:BN1"/>
    <mergeCell ref="C13:D13"/>
    <mergeCell ref="G13:H13"/>
    <mergeCell ref="C6:F6"/>
    <mergeCell ref="H6:K6"/>
    <mergeCell ref="CO1:CR1"/>
    <mergeCell ref="CS1:CT1"/>
    <mergeCell ref="AK23:AL23"/>
    <mergeCell ref="AA23:AJ23"/>
    <mergeCell ref="AM23:AV23"/>
    <mergeCell ref="AW23:AX23"/>
    <mergeCell ref="AY23:BH23"/>
    <mergeCell ref="BI23:BJ23"/>
    <mergeCell ref="BW23:CF23"/>
    <mergeCell ref="CG23:CH23"/>
    <mergeCell ref="CI23:CR23"/>
    <mergeCell ref="CS23:CT23"/>
    <mergeCell ref="CG1:CH1"/>
    <mergeCell ref="CA1:CB1"/>
    <mergeCell ref="CC1:CF1"/>
    <mergeCell ref="BW1:BZ1"/>
  </mergeCells>
  <conditionalFormatting sqref="P13:W13 K26:O26 D31:X31 W39:X39 H19:H25 D38:V39">
    <cfRule type="cellIs" dxfId="691" priority="40" stopIfTrue="1" operator="equal">
      <formula>0</formula>
    </cfRule>
  </conditionalFormatting>
  <conditionalFormatting sqref="D32:X35">
    <cfRule type="cellIs" dxfId="690" priority="37" stopIfTrue="1" operator="equal">
      <formula>0</formula>
    </cfRule>
    <cfRule type="expression" dxfId="689" priority="38" stopIfTrue="1">
      <formula>$W$44=9</formula>
    </cfRule>
    <cfRule type="expression" dxfId="688" priority="39" stopIfTrue="1">
      <formula>$W$44=10</formula>
    </cfRule>
  </conditionalFormatting>
  <conditionalFormatting sqref="D40:X40 D36:X37">
    <cfRule type="cellIs" dxfId="687" priority="34" stopIfTrue="1" operator="equal">
      <formula>0</formula>
    </cfRule>
    <cfRule type="expression" dxfId="686" priority="35" stopIfTrue="1">
      <formula>$W$44=6</formula>
    </cfRule>
    <cfRule type="expression" dxfId="685" priority="36" stopIfTrue="1">
      <formula>$W$44=7</formula>
    </cfRule>
  </conditionalFormatting>
  <conditionalFormatting sqref="C6:F6 C8:F8 C10:F10 E13 H6:K6 I8:K8 I10:K10 O44:T44 F44:K44 V1:W2 S3:X3">
    <cfRule type="cellIs" dxfId="684" priority="33" operator="equal">
      <formula>0</formula>
    </cfRule>
  </conditionalFormatting>
  <conditionalFormatting sqref="Q9">
    <cfRule type="cellIs" dxfId="683" priority="32" stopIfTrue="1" operator="equal">
      <formula>$U$9</formula>
    </cfRule>
  </conditionalFormatting>
  <conditionalFormatting sqref="U9">
    <cfRule type="cellIs" dxfId="682" priority="31" stopIfTrue="1" operator="equal">
      <formula>$Q$9</formula>
    </cfRule>
  </conditionalFormatting>
  <conditionalFormatting sqref="Q10">
    <cfRule type="cellIs" dxfId="681" priority="30" stopIfTrue="1" operator="equal">
      <formula>$U$10</formula>
    </cfRule>
  </conditionalFormatting>
  <conditionalFormatting sqref="U10">
    <cfRule type="cellIs" dxfId="680" priority="29" stopIfTrue="1" operator="equal">
      <formula>$Q$10</formula>
    </cfRule>
  </conditionalFormatting>
  <conditionalFormatting sqref="Q6">
    <cfRule type="cellIs" dxfId="679" priority="28" stopIfTrue="1" operator="equal">
      <formula>$U$6</formula>
    </cfRule>
  </conditionalFormatting>
  <conditionalFormatting sqref="Q7">
    <cfRule type="cellIs" dxfId="678" priority="27" stopIfTrue="1" operator="equal">
      <formula>$U$7</formula>
    </cfRule>
  </conditionalFormatting>
  <conditionalFormatting sqref="U6">
    <cfRule type="cellIs" dxfId="677" priority="26" stopIfTrue="1" operator="equal">
      <formula>$Q$6</formula>
    </cfRule>
  </conditionalFormatting>
  <conditionalFormatting sqref="U7">
    <cfRule type="cellIs" dxfId="676" priority="25" stopIfTrue="1" operator="equal">
      <formula>$Q$7</formula>
    </cfRule>
  </conditionalFormatting>
  <conditionalFormatting sqref="H18 H26">
    <cfRule type="cellIs" dxfId="675" priority="24" stopIfTrue="1" operator="equal">
      <formula>0</formula>
    </cfRule>
  </conditionalFormatting>
  <conditionalFormatting sqref="W44">
    <cfRule type="cellIs" dxfId="674" priority="23" stopIfTrue="1" operator="equal">
      <formula>0</formula>
    </cfRule>
  </conditionalFormatting>
  <conditionalFormatting sqref="X8 E13 I13 F17:F20 Q6:Q10 U6:U10 P13:S13 U13 V19:V22 K26 M26 S3:X3 H21:H25">
    <cfRule type="cellIs" dxfId="673" priority="22" operator="equal">
      <formula>0</formula>
    </cfRule>
  </conditionalFormatting>
  <conditionalFormatting sqref="D28:X28">
    <cfRule type="cellIs" dxfId="672" priority="17" operator="equal">
      <formula>0</formula>
    </cfRule>
  </conditionalFormatting>
  <conditionalFormatting sqref="Z1:AB1 AA2:CZ22 AJ1 AZ1 BO1 BU1:BW1 CI1 CC1 CG1 CA1 CO1 CM1 CS1 CU1 AA23 AM23 AK23 AW23 AY23 BI23 BK23 BW23 CG23 CI23 CS23 CU23 Z2:Z55 AA24:CZ55">
    <cfRule type="cellIs" dxfId="671" priority="16" operator="equal">
      <formula>0</formula>
    </cfRule>
  </conditionalFormatting>
  <conditionalFormatting sqref="Z1:AB1 AA2:CZ22 AJ1 AZ1 BO1 BU1:BW1 CI1 CC1 CG1 CA1 CO1 CM1 CS1 CU1 AA23 AM23 AK23 AW23 AY23 BI23 BK23 BW23 CG23 CI23 CS23 CU23 AA24:CZ55 Z2:Z56">
    <cfRule type="cellIs" dxfId="670" priority="15" operator="equal">
      <formula>0</formula>
    </cfRule>
  </conditionalFormatting>
  <conditionalFormatting sqref="Z1:CZ22 Z23:BW23 CG23 CI23 CS23 CU23 Z24:CZ1048576">
    <cfRule type="cellIs" dxfId="669" priority="5" operator="equal">
      <formula>0</formula>
    </cfRule>
  </conditionalFormatting>
  <conditionalFormatting sqref="Z45:DA56">
    <cfRule type="cellIs" dxfId="668" priority="4" operator="equal">
      <formula>0</formula>
    </cfRule>
  </conditionalFormatting>
  <conditionalFormatting sqref="C6:F10 H6:K6 I8:K10">
    <cfRule type="cellIs" dxfId="667" priority="3" operator="equal">
      <formula>0</formula>
    </cfRule>
  </conditionalFormatting>
  <conditionalFormatting sqref="F44:K44 O44:T44">
    <cfRule type="cellIs" dxfId="666" priority="2" operator="equal">
      <formula>0</formula>
    </cfRule>
  </conditionalFormatting>
  <conditionalFormatting sqref="Z1:CZ1048576">
    <cfRule type="cellIs" dxfId="665" priority="1" operator="equal">
      <formula>0</formula>
    </cfRule>
  </conditionalFormatting>
  <printOptions horizontalCentered="1"/>
  <pageMargins left="0.23622047244094491" right="0.11811023622047245" top="0.39370078740157483" bottom="0.15748031496062992" header="0" footer="0"/>
  <pageSetup scale="73" orientation="landscape" r:id="rId1"/>
  <ignoredErrors>
    <ignoredError sqref="F33:R33 I40:R40 F35:R36 F34 H34:R34" formula="1"/>
  </ignoredErrors>
  <drawing r:id="rId2"/>
  <legacy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39"/>
  <sheetViews>
    <sheetView view="pageBreakPreview" topLeftCell="A4" zoomScale="75" zoomScaleSheetLayoutView="75" workbookViewId="0">
      <selection activeCell="F102" sqref="F102:I103"/>
    </sheetView>
  </sheetViews>
  <sheetFormatPr baseColWidth="10" defaultRowHeight="18" customHeight="1"/>
  <cols>
    <col min="1" max="16" width="5" style="1443" customWidth="1"/>
    <col min="17" max="17" width="1.7109375" style="1443" customWidth="1"/>
    <col min="18" max="19" width="5" style="1443" customWidth="1"/>
    <col min="20" max="20" width="1" style="1443" customWidth="1"/>
    <col min="21" max="21" width="4.85546875" style="1443" customWidth="1"/>
    <col min="22" max="16384" width="11.42578125" style="1443"/>
  </cols>
  <sheetData>
    <row r="1" spans="1:20" ht="18" customHeight="1">
      <c r="A1" s="2265"/>
      <c r="B1" s="2265"/>
      <c r="C1" s="2265"/>
      <c r="D1" s="2265"/>
      <c r="E1" s="2265"/>
      <c r="F1" s="2265"/>
      <c r="G1" s="2265"/>
      <c r="H1" s="2265"/>
      <c r="I1" s="2265"/>
      <c r="J1" s="2265"/>
      <c r="K1" s="2265"/>
      <c r="L1" s="2265"/>
      <c r="M1" s="2265"/>
      <c r="N1" s="2265"/>
      <c r="O1" s="2265"/>
      <c r="P1" s="2265"/>
      <c r="Q1" s="2265"/>
      <c r="R1" s="2265"/>
      <c r="S1" s="2265"/>
      <c r="T1" s="2265"/>
    </row>
    <row r="2" spans="1:20" ht="18" customHeight="1">
      <c r="A2" s="2265"/>
      <c r="B2" s="2265"/>
      <c r="C2" s="2265"/>
      <c r="D2" s="2265"/>
      <c r="E2" s="2265"/>
      <c r="F2" s="2265"/>
      <c r="G2" s="2265"/>
      <c r="H2" s="2265"/>
      <c r="I2" s="2265"/>
      <c r="J2" s="2265"/>
      <c r="K2" s="2265"/>
      <c r="L2" s="2265"/>
      <c r="M2" s="2265"/>
      <c r="N2" s="2265"/>
      <c r="O2" s="2265"/>
      <c r="P2" s="2265"/>
      <c r="Q2" s="2265"/>
      <c r="R2" s="2265"/>
      <c r="S2" s="2265"/>
      <c r="T2" s="2265"/>
    </row>
    <row r="3" spans="1:20" ht="18" customHeight="1">
      <c r="A3" s="5262"/>
      <c r="B3" s="5262"/>
      <c r="C3" s="5262"/>
      <c r="D3" s="5262"/>
      <c r="E3" s="5262"/>
      <c r="F3" s="5262"/>
      <c r="G3" s="5262"/>
      <c r="H3" s="5262"/>
      <c r="I3" s="5262"/>
      <c r="J3" s="5262"/>
      <c r="K3" s="5262"/>
      <c r="L3" s="5262"/>
      <c r="M3" s="5262"/>
      <c r="N3" s="5262"/>
      <c r="O3" s="5262"/>
      <c r="P3" s="5262"/>
      <c r="Q3" s="5262"/>
      <c r="R3" s="5262"/>
      <c r="S3" s="5262"/>
      <c r="T3" s="2265"/>
    </row>
    <row r="4" spans="1:20" ht="18" customHeight="1">
      <c r="A4" s="5262" t="s">
        <v>261</v>
      </c>
      <c r="B4" s="5262"/>
      <c r="C4" s="5262"/>
      <c r="D4" s="5262"/>
      <c r="E4" s="5262"/>
      <c r="F4" s="5262"/>
      <c r="G4" s="5262"/>
      <c r="H4" s="5262"/>
      <c r="I4" s="5262"/>
      <c r="J4" s="5262"/>
      <c r="K4" s="5262"/>
      <c r="L4" s="5262"/>
      <c r="M4" s="5262"/>
      <c r="N4" s="5262"/>
      <c r="O4" s="5262"/>
      <c r="P4" s="5262"/>
      <c r="Q4" s="5262"/>
      <c r="R4" s="5262"/>
      <c r="S4" s="5262"/>
      <c r="T4" s="2265"/>
    </row>
    <row r="5" spans="1:20" ht="18" customHeight="1">
      <c r="A5" s="5262" t="s">
        <v>1410</v>
      </c>
      <c r="B5" s="5262"/>
      <c r="C5" s="5262"/>
      <c r="D5" s="5262"/>
      <c r="E5" s="5262"/>
      <c r="F5" s="5262"/>
      <c r="G5" s="5262"/>
      <c r="H5" s="5262"/>
      <c r="I5" s="5262"/>
      <c r="J5" s="5262"/>
      <c r="K5" s="5262"/>
      <c r="L5" s="5262"/>
      <c r="M5" s="5262"/>
      <c r="N5" s="5262"/>
      <c r="O5" s="5262"/>
      <c r="P5" s="5262"/>
      <c r="Q5" s="5262"/>
      <c r="R5" s="5262"/>
      <c r="S5" s="5262"/>
      <c r="T5" s="2265"/>
    </row>
    <row r="6" spans="1:20" ht="18.95" customHeight="1">
      <c r="A6" s="2266"/>
      <c r="B6" s="2267"/>
      <c r="C6" s="2267"/>
      <c r="D6" s="2267"/>
      <c r="E6" s="2267"/>
      <c r="F6" s="2267"/>
      <c r="G6" s="2267"/>
      <c r="H6" s="2267"/>
      <c r="I6" s="2267"/>
      <c r="J6" s="2266"/>
      <c r="K6" s="2266"/>
      <c r="L6" s="2266"/>
      <c r="M6" s="2266"/>
      <c r="N6" s="2266"/>
      <c r="O6" s="2266"/>
      <c r="P6" s="2266"/>
      <c r="Q6" s="2266"/>
      <c r="R6" s="2266"/>
      <c r="S6" s="2266"/>
      <c r="T6" s="2265"/>
    </row>
    <row r="7" spans="1:20" ht="20.100000000000001" customHeight="1">
      <c r="A7" s="5268" t="s">
        <v>42</v>
      </c>
      <c r="B7" s="5268"/>
      <c r="C7" s="5268"/>
      <c r="D7" s="5268"/>
      <c r="E7" s="5275" t="str">
        <f>'Tienda '!V7</f>
        <v>042</v>
      </c>
      <c r="F7" s="5275"/>
      <c r="G7" s="5275"/>
      <c r="H7" s="2268"/>
      <c r="I7" s="2268"/>
      <c r="J7" s="2268"/>
      <c r="K7" s="2268"/>
      <c r="L7" s="2268"/>
      <c r="M7" s="2268"/>
      <c r="N7" s="2268"/>
      <c r="O7" s="2268"/>
      <c r="P7" s="2268"/>
      <c r="Q7" s="2268"/>
      <c r="R7" s="2268"/>
      <c r="S7" s="2268"/>
      <c r="T7" s="2265"/>
    </row>
    <row r="8" spans="1:20" ht="18" customHeight="1">
      <c r="A8" s="2269"/>
      <c r="B8" s="2269"/>
      <c r="C8" s="2270"/>
      <c r="D8" s="2270"/>
      <c r="E8" s="2268"/>
      <c r="F8" s="2268"/>
      <c r="G8" s="2268"/>
      <c r="H8" s="2268"/>
      <c r="I8" s="2268"/>
      <c r="J8" s="2268"/>
      <c r="K8" s="2268"/>
      <c r="L8" s="2268"/>
      <c r="M8" s="2268"/>
      <c r="N8" s="2268"/>
      <c r="O8" s="2268"/>
      <c r="P8" s="2268"/>
      <c r="Q8" s="2268"/>
      <c r="R8" s="2268"/>
      <c r="S8" s="2268"/>
      <c r="T8" s="2265"/>
    </row>
    <row r="9" spans="1:20" ht="20.100000000000001" customHeight="1">
      <c r="A9" s="5276" t="s">
        <v>1691</v>
      </c>
      <c r="B9" s="5276"/>
      <c r="C9" s="5276"/>
      <c r="D9" s="5276"/>
      <c r="E9" s="5276"/>
      <c r="F9" s="5276"/>
      <c r="G9" s="5276"/>
      <c r="H9" s="5276"/>
      <c r="I9" s="5276"/>
      <c r="J9" s="5276"/>
      <c r="K9" s="5276"/>
      <c r="L9" s="5276"/>
      <c r="M9" s="5276"/>
      <c r="N9" s="5276"/>
      <c r="O9" s="5269" t="str">
        <f>'VISITA DE INSP.'!AS9</f>
        <v>2012</v>
      </c>
      <c r="P9" s="5269"/>
      <c r="Q9" s="2271" t="s">
        <v>418</v>
      </c>
      <c r="R9" s="5270">
        <f>O9+1</f>
        <v>2013</v>
      </c>
      <c r="S9" s="5270"/>
      <c r="T9" s="2265"/>
    </row>
    <row r="10" spans="1:20" ht="18" customHeight="1">
      <c r="A10" s="2272"/>
      <c r="B10" s="2272"/>
      <c r="C10" s="2272"/>
      <c r="D10" s="2272"/>
      <c r="E10" s="2272"/>
      <c r="F10" s="2272"/>
      <c r="G10" s="2272"/>
      <c r="H10" s="2272"/>
      <c r="I10" s="2272"/>
      <c r="J10" s="2272"/>
      <c r="K10" s="2272"/>
      <c r="L10" s="2272"/>
      <c r="M10" s="2272"/>
      <c r="N10" s="2272"/>
      <c r="O10" s="2273"/>
      <c r="P10" s="2273"/>
      <c r="Q10" s="2273"/>
      <c r="R10" s="2273"/>
      <c r="S10" s="2274"/>
      <c r="T10" s="2265"/>
    </row>
    <row r="11" spans="1:20" ht="20.100000000000001" customHeight="1">
      <c r="A11" s="5268" t="s">
        <v>1692</v>
      </c>
      <c r="B11" s="5268"/>
      <c r="C11" s="5268"/>
      <c r="D11" s="5268"/>
      <c r="E11" s="5268"/>
      <c r="F11" s="5268"/>
      <c r="G11" s="5268"/>
      <c r="H11" s="5268"/>
      <c r="I11" s="5273" t="str">
        <f>'Tienda '!AL26</f>
        <v>RICALDE CASTRO * JESUS MARTIN</v>
      </c>
      <c r="J11" s="5271"/>
      <c r="K11" s="5271"/>
      <c r="L11" s="5271"/>
      <c r="M11" s="5271"/>
      <c r="N11" s="5271"/>
      <c r="O11" s="5271"/>
      <c r="P11" s="5271"/>
      <c r="Q11" s="5271"/>
      <c r="R11" s="5271"/>
      <c r="S11" s="5271"/>
      <c r="T11" s="2265"/>
    </row>
    <row r="12" spans="1:20" ht="20.100000000000001" customHeight="1">
      <c r="A12" s="2268"/>
      <c r="B12" s="2268"/>
      <c r="C12" s="2268"/>
      <c r="D12" s="2268"/>
      <c r="E12" s="2268"/>
      <c r="F12" s="2268"/>
      <c r="G12" s="2268"/>
      <c r="H12" s="2268"/>
      <c r="I12" s="2268"/>
      <c r="J12" s="2268"/>
      <c r="K12" s="2268"/>
      <c r="L12" s="2268"/>
      <c r="M12" s="2268"/>
      <c r="N12" s="2268"/>
      <c r="O12" s="2268"/>
      <c r="P12" s="2268"/>
      <c r="Q12" s="2268"/>
      <c r="R12" s="2268"/>
      <c r="S12" s="2268"/>
      <c r="T12" s="2265"/>
    </row>
    <row r="13" spans="1:20" ht="20.100000000000001" customHeight="1">
      <c r="A13" s="5274" t="s">
        <v>1693</v>
      </c>
      <c r="B13" s="5274"/>
      <c r="C13" s="5274"/>
      <c r="D13" s="5274"/>
      <c r="E13" s="5274"/>
      <c r="F13" s="5274"/>
      <c r="G13" s="5274"/>
      <c r="H13" s="5274"/>
      <c r="I13" s="5274"/>
      <c r="J13" s="5274"/>
      <c r="K13" s="2268"/>
      <c r="L13" s="2268"/>
      <c r="M13" s="2268"/>
      <c r="N13" s="2268"/>
      <c r="O13" s="2268"/>
      <c r="P13" s="2268"/>
      <c r="Q13" s="2268"/>
      <c r="R13" s="2268"/>
      <c r="S13" s="2268"/>
      <c r="T13" s="2265"/>
    </row>
    <row r="14" spans="1:20" ht="18" customHeight="1">
      <c r="A14" s="5274"/>
      <c r="B14" s="5274"/>
      <c r="C14" s="5274"/>
      <c r="D14" s="5274"/>
      <c r="E14" s="5274"/>
      <c r="F14" s="5274"/>
      <c r="G14" s="5274"/>
      <c r="H14" s="5274"/>
      <c r="I14" s="5274"/>
      <c r="J14" s="5274"/>
      <c r="K14" s="2268"/>
      <c r="L14" s="2268"/>
      <c r="M14" s="2268"/>
      <c r="N14" s="2268"/>
      <c r="O14" s="5275">
        <f>'Tienda '!AM27</f>
        <v>9</v>
      </c>
      <c r="P14" s="5275"/>
      <c r="Q14" s="5275"/>
      <c r="R14" s="5275"/>
      <c r="S14" s="5275"/>
      <c r="T14" s="2265"/>
    </row>
    <row r="15" spans="1:20" ht="20.100000000000001" customHeight="1">
      <c r="A15" s="2268"/>
      <c r="B15" s="2268"/>
      <c r="C15" s="2268"/>
      <c r="D15" s="2268"/>
      <c r="E15" s="2268"/>
      <c r="F15" s="2268"/>
      <c r="G15" s="2268"/>
      <c r="H15" s="2268"/>
      <c r="I15" s="2268"/>
      <c r="J15" s="2268"/>
      <c r="K15" s="2268"/>
      <c r="L15" s="2268"/>
      <c r="M15" s="2268"/>
      <c r="N15" s="2268"/>
      <c r="O15" s="2268"/>
      <c r="P15" s="2268"/>
      <c r="Q15" s="2268"/>
      <c r="R15" s="2268"/>
      <c r="S15" s="2268"/>
      <c r="T15" s="2265"/>
    </row>
    <row r="16" spans="1:20" ht="18" customHeight="1">
      <c r="A16" s="5268" t="s">
        <v>1694</v>
      </c>
      <c r="B16" s="5268"/>
      <c r="C16" s="5268"/>
      <c r="D16" s="5268"/>
      <c r="E16" s="5268"/>
      <c r="F16" s="5268"/>
      <c r="G16" s="5269">
        <f>O9-1</f>
        <v>2011</v>
      </c>
      <c r="H16" s="5269"/>
      <c r="I16" s="2271" t="s">
        <v>418</v>
      </c>
      <c r="J16" s="5270">
        <f>R9-1</f>
        <v>2012</v>
      </c>
      <c r="K16" s="5270"/>
      <c r="L16" s="2268"/>
      <c r="M16" s="2268"/>
      <c r="N16" s="2268"/>
      <c r="O16" s="5267">
        <f>'Tienda '!AB27</f>
        <v>78867.11</v>
      </c>
      <c r="P16" s="5267"/>
      <c r="Q16" s="5267"/>
      <c r="R16" s="5267"/>
      <c r="S16" s="5267"/>
      <c r="T16" s="2265"/>
    </row>
    <row r="17" spans="1:20" ht="18" customHeight="1">
      <c r="A17" s="2268"/>
      <c r="B17" s="2268"/>
      <c r="C17" s="2268"/>
      <c r="D17" s="2268"/>
      <c r="E17" s="2268"/>
      <c r="F17" s="2268"/>
      <c r="G17" s="2268"/>
      <c r="H17" s="2268"/>
      <c r="I17" s="2268"/>
      <c r="J17" s="2268"/>
      <c r="K17" s="2268"/>
      <c r="L17" s="2268"/>
      <c r="M17" s="2268"/>
      <c r="N17" s="2268"/>
      <c r="O17" s="2268"/>
      <c r="P17" s="2268"/>
      <c r="Q17" s="2268"/>
      <c r="R17" s="2268"/>
      <c r="S17" s="2268"/>
      <c r="T17" s="2265"/>
    </row>
    <row r="18" spans="1:20" ht="20.100000000000001" customHeight="1">
      <c r="A18" s="5268" t="s">
        <v>1695</v>
      </c>
      <c r="B18" s="5268"/>
      <c r="C18" s="5268"/>
      <c r="D18" s="5269" t="str">
        <f>O9</f>
        <v>2012</v>
      </c>
      <c r="E18" s="5269"/>
      <c r="F18" s="2271" t="s">
        <v>418</v>
      </c>
      <c r="G18" s="5270">
        <f>R9</f>
        <v>2013</v>
      </c>
      <c r="H18" s="5270"/>
      <c r="I18" s="2268"/>
      <c r="J18" s="2268"/>
      <c r="K18" s="2268"/>
      <c r="L18" s="2268"/>
      <c r="M18" s="2268"/>
      <c r="N18" s="2268"/>
      <c r="O18" s="2268"/>
      <c r="P18" s="2268"/>
      <c r="Q18" s="2268"/>
      <c r="R18" s="2268"/>
      <c r="S18" s="2268"/>
      <c r="T18" s="2265"/>
    </row>
    <row r="19" spans="1:20" ht="18" customHeight="1">
      <c r="A19" s="2268"/>
      <c r="B19" s="2268"/>
      <c r="C19" s="2268"/>
      <c r="D19" s="2268"/>
      <c r="E19" s="2268"/>
      <c r="F19" s="2268"/>
      <c r="G19" s="2268"/>
      <c r="H19" s="2268"/>
      <c r="I19" s="2268"/>
      <c r="J19" s="2268"/>
      <c r="K19" s="2268"/>
      <c r="L19" s="2268"/>
      <c r="M19" s="2268"/>
      <c r="N19" s="2268"/>
      <c r="O19" s="2268"/>
      <c r="P19" s="2268"/>
      <c r="Q19" s="2268"/>
      <c r="R19" s="2268"/>
      <c r="S19" s="2268"/>
      <c r="T19" s="2265"/>
    </row>
    <row r="20" spans="1:20" ht="20.100000000000001" customHeight="1">
      <c r="A20" s="2268"/>
      <c r="B20" s="5266" t="s">
        <v>1696</v>
      </c>
      <c r="C20" s="5266"/>
      <c r="D20" s="5266"/>
      <c r="E20" s="5266"/>
      <c r="F20" s="5266"/>
      <c r="G20" s="5266"/>
      <c r="H20" s="5272">
        <f>'Tienda '!AC27</f>
        <v>331843.57</v>
      </c>
      <c r="I20" s="5272"/>
      <c r="J20" s="5272"/>
      <c r="K20" s="5272"/>
      <c r="L20" s="5272"/>
      <c r="M20" s="2275"/>
      <c r="N20" s="2268"/>
      <c r="O20" s="2268"/>
      <c r="P20" s="2268"/>
      <c r="Q20" s="2268"/>
      <c r="R20" s="2268"/>
      <c r="S20" s="2268"/>
      <c r="T20" s="2265"/>
    </row>
    <row r="21" spans="1:20" ht="20.100000000000001" customHeight="1">
      <c r="A21" s="2268"/>
      <c r="B21" s="5266" t="s">
        <v>1697</v>
      </c>
      <c r="C21" s="5266"/>
      <c r="D21" s="5266"/>
      <c r="E21" s="5266"/>
      <c r="F21" s="5266"/>
      <c r="G21" s="5266"/>
      <c r="H21" s="5272">
        <f>'Tienda '!AD27</f>
        <v>0</v>
      </c>
      <c r="I21" s="5272"/>
      <c r="J21" s="5272"/>
      <c r="K21" s="5272"/>
      <c r="L21" s="5272"/>
      <c r="M21" s="2275"/>
      <c r="N21" s="2268"/>
      <c r="O21" s="2268"/>
      <c r="P21" s="2268"/>
      <c r="Q21" s="2268"/>
      <c r="R21" s="2268"/>
      <c r="S21" s="2268"/>
      <c r="T21" s="2265"/>
    </row>
    <row r="22" spans="1:20" ht="20.100000000000001" customHeight="1">
      <c r="A22" s="2268"/>
      <c r="B22" s="5266" t="s">
        <v>1698</v>
      </c>
      <c r="C22" s="5266"/>
      <c r="D22" s="5266"/>
      <c r="E22" s="5266"/>
      <c r="F22" s="5266"/>
      <c r="G22" s="5266"/>
      <c r="H22" s="5272">
        <f>'Tienda '!AE27</f>
        <v>0</v>
      </c>
      <c r="I22" s="5272"/>
      <c r="J22" s="5272"/>
      <c r="K22" s="5272"/>
      <c r="L22" s="5272"/>
      <c r="M22" s="2275"/>
      <c r="N22" s="2268"/>
      <c r="O22" s="2268"/>
      <c r="P22" s="2268"/>
      <c r="Q22" s="2268"/>
      <c r="R22" s="2268"/>
      <c r="S22" s="2268"/>
      <c r="T22" s="2265"/>
    </row>
    <row r="23" spans="1:20" ht="20.100000000000001" customHeight="1">
      <c r="A23" s="2268"/>
      <c r="B23" s="5266" t="s">
        <v>1699</v>
      </c>
      <c r="C23" s="5266"/>
      <c r="D23" s="5266"/>
      <c r="E23" s="5266"/>
      <c r="F23" s="5266"/>
      <c r="G23" s="5266"/>
      <c r="H23" s="2268"/>
      <c r="I23" s="2268"/>
      <c r="J23" s="2275"/>
      <c r="K23" s="2276"/>
      <c r="L23" s="2277"/>
      <c r="M23" s="2277"/>
      <c r="N23" s="2278"/>
      <c r="O23" s="5267">
        <f>O16+H20+H21+H22</f>
        <v>410710.68</v>
      </c>
      <c r="P23" s="5267"/>
      <c r="Q23" s="5267"/>
      <c r="R23" s="5267"/>
      <c r="S23" s="5267"/>
      <c r="T23" s="2265"/>
    </row>
    <row r="24" spans="1:20" ht="18" customHeight="1">
      <c r="A24" s="2268"/>
      <c r="B24" s="2268"/>
      <c r="C24" s="2268"/>
      <c r="D24" s="2268"/>
      <c r="E24" s="2268"/>
      <c r="F24" s="2275"/>
      <c r="G24" s="2275"/>
      <c r="H24" s="2275"/>
      <c r="I24" s="2275"/>
      <c r="J24" s="2268"/>
      <c r="K24" s="2268"/>
      <c r="L24" s="2268"/>
      <c r="M24" s="2268"/>
      <c r="N24" s="2279"/>
      <c r="O24" s="2268"/>
      <c r="P24" s="2268"/>
      <c r="Q24" s="2268"/>
      <c r="R24" s="2268"/>
      <c r="S24" s="2268"/>
      <c r="T24" s="2265"/>
    </row>
    <row r="25" spans="1:20" ht="20.100000000000001" customHeight="1">
      <c r="A25" s="5268" t="s">
        <v>1700</v>
      </c>
      <c r="B25" s="5268"/>
      <c r="C25" s="5268"/>
      <c r="D25" s="5269" t="str">
        <f>O9</f>
        <v>2012</v>
      </c>
      <c r="E25" s="5269"/>
      <c r="F25" s="2271" t="s">
        <v>418</v>
      </c>
      <c r="G25" s="5270">
        <f>R9</f>
        <v>2013</v>
      </c>
      <c r="H25" s="5270"/>
      <c r="I25" s="2275"/>
      <c r="J25" s="2268"/>
      <c r="K25" s="2268"/>
      <c r="L25" s="2268"/>
      <c r="M25" s="2268"/>
      <c r="N25" s="2268"/>
      <c r="O25" s="2268"/>
      <c r="P25" s="2268"/>
      <c r="Q25" s="2268"/>
      <c r="R25" s="2268"/>
      <c r="S25" s="2268"/>
      <c r="T25" s="2265"/>
    </row>
    <row r="26" spans="1:20" ht="18" customHeight="1">
      <c r="A26" s="2268"/>
      <c r="B26" s="2268"/>
      <c r="C26" s="2268"/>
      <c r="D26" s="2268"/>
      <c r="E26" s="2268"/>
      <c r="F26" s="2268"/>
      <c r="G26" s="2268"/>
      <c r="H26" s="2275"/>
      <c r="I26" s="2275"/>
      <c r="J26" s="2268"/>
      <c r="K26" s="2268"/>
      <c r="L26" s="2268"/>
      <c r="M26" s="2268"/>
      <c r="N26" s="2268"/>
      <c r="O26" s="2268"/>
      <c r="P26" s="2268"/>
      <c r="Q26" s="2268"/>
      <c r="R26" s="2268"/>
      <c r="S26" s="2268"/>
      <c r="T26" s="2265"/>
    </row>
    <row r="27" spans="1:20" ht="20.100000000000001" customHeight="1">
      <c r="A27" s="2268"/>
      <c r="B27" s="5266" t="s">
        <v>1701</v>
      </c>
      <c r="C27" s="5266"/>
      <c r="D27" s="5266"/>
      <c r="E27" s="5266"/>
      <c r="F27" s="5266"/>
      <c r="G27" s="5266"/>
      <c r="H27" s="5272">
        <f>'Tienda '!AG27</f>
        <v>179474.25999999998</v>
      </c>
      <c r="I27" s="5272"/>
      <c r="J27" s="5272"/>
      <c r="K27" s="5272"/>
      <c r="L27" s="5272"/>
      <c r="M27" s="2275"/>
      <c r="N27" s="2268"/>
      <c r="O27" s="2268"/>
      <c r="P27" s="2268"/>
      <c r="Q27" s="2268"/>
      <c r="R27" s="2268"/>
      <c r="S27" s="2268"/>
      <c r="T27" s="2265"/>
    </row>
    <row r="28" spans="1:20" ht="20.100000000000001" customHeight="1">
      <c r="A28" s="2268"/>
      <c r="B28" s="5266" t="s">
        <v>1702</v>
      </c>
      <c r="C28" s="5266"/>
      <c r="D28" s="5266"/>
      <c r="E28" s="5266"/>
      <c r="F28" s="5266"/>
      <c r="G28" s="5266"/>
      <c r="H28" s="5272">
        <f>'Tienda '!AH27</f>
        <v>104943.04999999999</v>
      </c>
      <c r="I28" s="5272"/>
      <c r="J28" s="5272"/>
      <c r="K28" s="5272"/>
      <c r="L28" s="5272"/>
      <c r="M28" s="2275"/>
      <c r="N28" s="2268"/>
      <c r="O28" s="2268"/>
      <c r="P28" s="2268"/>
      <c r="Q28" s="2268"/>
      <c r="R28" s="2268"/>
      <c r="S28" s="2268"/>
      <c r="T28" s="2265"/>
    </row>
    <row r="29" spans="1:20" ht="20.100000000000001" customHeight="1">
      <c r="A29" s="2268"/>
      <c r="B29" s="5266" t="s">
        <v>1703</v>
      </c>
      <c r="C29" s="5266"/>
      <c r="D29" s="5266"/>
      <c r="E29" s="5266"/>
      <c r="F29" s="5266"/>
      <c r="G29" s="5266"/>
      <c r="H29" s="5272">
        <f>'Tienda '!AI27</f>
        <v>69827.91</v>
      </c>
      <c r="I29" s="5272"/>
      <c r="J29" s="5272"/>
      <c r="K29" s="5272"/>
      <c r="L29" s="5272"/>
      <c r="M29" s="2275"/>
      <c r="N29" s="2268"/>
      <c r="O29" s="2268"/>
      <c r="P29" s="2268"/>
      <c r="Q29" s="2268"/>
      <c r="R29" s="2268"/>
      <c r="S29" s="2268"/>
      <c r="T29" s="2265"/>
    </row>
    <row r="30" spans="1:20" ht="20.100000000000001" customHeight="1">
      <c r="A30" s="2268"/>
      <c r="B30" s="5266" t="s">
        <v>1699</v>
      </c>
      <c r="C30" s="5266"/>
      <c r="D30" s="5266"/>
      <c r="E30" s="5266"/>
      <c r="F30" s="5266"/>
      <c r="G30" s="5266"/>
      <c r="H30" s="2268"/>
      <c r="I30" s="2268"/>
      <c r="J30" s="2275"/>
      <c r="K30" s="2276"/>
      <c r="L30" s="2277"/>
      <c r="M30" s="2277"/>
      <c r="N30" s="2278"/>
      <c r="O30" s="5267">
        <f>H27+H28+H29</f>
        <v>354245.22</v>
      </c>
      <c r="P30" s="5267"/>
      <c r="Q30" s="5267"/>
      <c r="R30" s="5267"/>
      <c r="S30" s="5267"/>
      <c r="T30" s="2265"/>
    </row>
    <row r="31" spans="1:20" ht="19.5" customHeight="1">
      <c r="A31" s="2268"/>
      <c r="B31" s="2268"/>
      <c r="C31" s="2268"/>
      <c r="D31" s="2268"/>
      <c r="E31" s="2268"/>
      <c r="F31" s="2275"/>
      <c r="G31" s="2275"/>
      <c r="H31" s="2275"/>
      <c r="I31" s="2275"/>
      <c r="J31" s="2268"/>
      <c r="K31" s="2268"/>
      <c r="L31" s="2268"/>
      <c r="M31" s="2268"/>
      <c r="N31" s="2268"/>
      <c r="O31" s="2268"/>
      <c r="P31" s="2268"/>
      <c r="Q31" s="2268"/>
      <c r="R31" s="2268"/>
      <c r="S31" s="2268"/>
      <c r="T31" s="2265"/>
    </row>
    <row r="32" spans="1:20" ht="20.100000000000001" customHeight="1">
      <c r="A32" s="5268" t="s">
        <v>1704</v>
      </c>
      <c r="B32" s="5268"/>
      <c r="C32" s="5268"/>
      <c r="D32" s="5268"/>
      <c r="E32" s="5268"/>
      <c r="F32" s="5269">
        <f>O9+1</f>
        <v>2013</v>
      </c>
      <c r="G32" s="5269"/>
      <c r="H32" s="2271" t="s">
        <v>418</v>
      </c>
      <c r="I32" s="5270">
        <f>R9+1</f>
        <v>2014</v>
      </c>
      <c r="J32" s="5270"/>
      <c r="K32" s="2268"/>
      <c r="L32" s="2268"/>
      <c r="M32" s="2268"/>
      <c r="N32" s="2268"/>
      <c r="O32" s="5267">
        <f>O23-O30</f>
        <v>56465.460000000021</v>
      </c>
      <c r="P32" s="5271"/>
      <c r="Q32" s="5271"/>
      <c r="R32" s="5271"/>
      <c r="S32" s="5271"/>
      <c r="T32" s="2265"/>
    </row>
    <row r="33" spans="1:20" ht="18" customHeight="1">
      <c r="A33" s="2268"/>
      <c r="B33" s="2268"/>
      <c r="C33" s="2268"/>
      <c r="D33" s="2268"/>
      <c r="E33" s="2268"/>
      <c r="F33" s="2280"/>
      <c r="G33" s="2280"/>
      <c r="H33" s="2280"/>
      <c r="I33" s="2280"/>
      <c r="J33" s="2275"/>
      <c r="K33" s="2268"/>
      <c r="L33" s="2268"/>
      <c r="M33" s="2268"/>
      <c r="N33" s="2268"/>
      <c r="O33" s="2281"/>
      <c r="P33" s="2273"/>
      <c r="Q33" s="2273"/>
      <c r="R33" s="2273"/>
      <c r="S33" s="2273"/>
      <c r="T33" s="2265"/>
    </row>
    <row r="34" spans="1:20" ht="15.75">
      <c r="A34" s="2267"/>
      <c r="B34" s="2266"/>
      <c r="C34" s="2266"/>
      <c r="D34" s="2266"/>
      <c r="E34" s="2266"/>
      <c r="F34" s="2266"/>
      <c r="G34" s="2265"/>
      <c r="H34" s="2282"/>
      <c r="I34" s="5262" t="s">
        <v>1705</v>
      </c>
      <c r="J34" s="5262"/>
      <c r="K34" s="5262"/>
      <c r="L34" s="2282"/>
      <c r="M34" s="2282"/>
      <c r="N34" s="2266"/>
      <c r="O34" s="2266"/>
      <c r="P34" s="2266"/>
      <c r="Q34" s="2266"/>
      <c r="R34" s="2266"/>
      <c r="S34" s="2266"/>
      <c r="T34" s="2265"/>
    </row>
    <row r="35" spans="1:20" ht="19.5" customHeight="1">
      <c r="A35" s="2267"/>
      <c r="B35" s="2266"/>
      <c r="C35" s="2266"/>
      <c r="D35" s="2266"/>
      <c r="E35" s="2266"/>
      <c r="F35" s="2266"/>
      <c r="G35" s="2282"/>
      <c r="H35" s="2282"/>
      <c r="I35" s="2282"/>
      <c r="J35" s="2282"/>
      <c r="K35" s="2282"/>
      <c r="L35" s="2282"/>
      <c r="M35" s="2282"/>
      <c r="N35" s="2266"/>
      <c r="O35" s="2266"/>
      <c r="P35" s="2266"/>
      <c r="Q35" s="2266"/>
      <c r="R35" s="2266"/>
      <c r="S35" s="2266"/>
      <c r="T35" s="2265"/>
    </row>
    <row r="36" spans="1:20" ht="18" customHeight="1">
      <c r="A36" s="2267"/>
      <c r="B36" s="2266"/>
      <c r="C36" s="2266"/>
      <c r="D36" s="2266"/>
      <c r="E36" s="5263"/>
      <c r="F36" s="5263"/>
      <c r="G36" s="5263"/>
      <c r="H36" s="5263"/>
      <c r="I36" s="5263"/>
      <c r="J36" s="5263"/>
      <c r="K36" s="5263"/>
      <c r="L36" s="5263"/>
      <c r="M36" s="5263"/>
      <c r="N36" s="5263"/>
      <c r="O36" s="5263"/>
      <c r="P36" s="2266"/>
      <c r="Q36" s="2266"/>
      <c r="R36" s="2266"/>
      <c r="S36" s="2266"/>
      <c r="T36" s="2265"/>
    </row>
    <row r="37" spans="1:20" ht="20.100000000000001" customHeight="1">
      <c r="A37" s="2267"/>
      <c r="B37" s="2266"/>
      <c r="C37" s="2266"/>
      <c r="D37" s="2266"/>
      <c r="E37" s="5264" t="s">
        <v>1706</v>
      </c>
      <c r="F37" s="5264"/>
      <c r="G37" s="5264"/>
      <c r="H37" s="5264"/>
      <c r="I37" s="5264"/>
      <c r="J37" s="5264"/>
      <c r="K37" s="5264"/>
      <c r="L37" s="5264"/>
      <c r="M37" s="5264"/>
      <c r="N37" s="5264"/>
      <c r="O37" s="5264"/>
      <c r="P37" s="2266"/>
      <c r="Q37" s="2266"/>
      <c r="R37" s="2266"/>
      <c r="S37" s="2266"/>
      <c r="T37" s="2265"/>
    </row>
    <row r="38" spans="1:20" ht="15">
      <c r="D38" s="2159"/>
      <c r="E38" s="2159"/>
      <c r="F38" s="2159"/>
      <c r="G38" s="2159"/>
      <c r="H38" s="2159"/>
      <c r="I38" s="2159"/>
    </row>
    <row r="39" spans="1:20" ht="15.75">
      <c r="D39" s="5265"/>
      <c r="E39" s="5265"/>
      <c r="F39" s="5265"/>
      <c r="G39" s="5265"/>
    </row>
  </sheetData>
  <sheetProtection selectLockedCells="1"/>
  <mergeCells count="46">
    <mergeCell ref="A9:N9"/>
    <mergeCell ref="O9:P9"/>
    <mergeCell ref="R9:S9"/>
    <mergeCell ref="A3:S3"/>
    <mergeCell ref="A4:S4"/>
    <mergeCell ref="A5:S5"/>
    <mergeCell ref="A7:D7"/>
    <mergeCell ref="E7:G7"/>
    <mergeCell ref="B21:G21"/>
    <mergeCell ref="H21:L21"/>
    <mergeCell ref="A11:H11"/>
    <mergeCell ref="I11:S11"/>
    <mergeCell ref="A13:J14"/>
    <mergeCell ref="O14:S14"/>
    <mergeCell ref="A16:F16"/>
    <mergeCell ref="G16:H16"/>
    <mergeCell ref="J16:K16"/>
    <mergeCell ref="O16:S16"/>
    <mergeCell ref="A18:C18"/>
    <mergeCell ref="D18:E18"/>
    <mergeCell ref="G18:H18"/>
    <mergeCell ref="B20:G20"/>
    <mergeCell ref="H20:L20"/>
    <mergeCell ref="B22:G22"/>
    <mergeCell ref="H22:L22"/>
    <mergeCell ref="B23:G23"/>
    <mergeCell ref="O23:S23"/>
    <mergeCell ref="A25:C25"/>
    <mergeCell ref="D25:E25"/>
    <mergeCell ref="G25:H25"/>
    <mergeCell ref="B27:G27"/>
    <mergeCell ref="H27:L27"/>
    <mergeCell ref="B28:G28"/>
    <mergeCell ref="H28:L28"/>
    <mergeCell ref="B29:G29"/>
    <mergeCell ref="H29:L29"/>
    <mergeCell ref="I34:K34"/>
    <mergeCell ref="E36:O36"/>
    <mergeCell ref="E37:O37"/>
    <mergeCell ref="D39:G39"/>
    <mergeCell ref="B30:G30"/>
    <mergeCell ref="O30:S30"/>
    <mergeCell ref="A32:E32"/>
    <mergeCell ref="F32:G32"/>
    <mergeCell ref="I32:J32"/>
    <mergeCell ref="O32:S32"/>
  </mergeCells>
  <conditionalFormatting sqref="H20:L22 H27:L29 O23:S23 O30:S30 O32:S32 O16:S16">
    <cfRule type="cellIs" dxfId="664" priority="1" operator="equal">
      <formula>0</formula>
    </cfRule>
  </conditionalFormatting>
  <printOptions horizontalCentered="1"/>
  <pageMargins left="0.31496062992125984" right="0.31496062992125984" top="0.47244094488188981" bottom="0.35433070866141736" header="0.31496062992125984" footer="0.31496062992125984"/>
  <pageSetup orientation="portrait" r:id="rId1"/>
  <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33CC33"/>
  </sheetPr>
  <dimension ref="A1:AO39"/>
  <sheetViews>
    <sheetView view="pageBreakPreview" topLeftCell="A9" zoomScale="75" zoomScaleSheetLayoutView="75" workbookViewId="0">
      <selection activeCell="F102" sqref="F102:I103"/>
    </sheetView>
  </sheetViews>
  <sheetFormatPr baseColWidth="10" defaultColWidth="4.85546875" defaultRowHeight="18" customHeight="1"/>
  <cols>
    <col min="1" max="16" width="5" style="1444" customWidth="1"/>
    <col min="17" max="17" width="1.7109375" style="1444" customWidth="1"/>
    <col min="18" max="19" width="5" style="1444" customWidth="1"/>
    <col min="20" max="20" width="1" style="1444" customWidth="1"/>
    <col min="21" max="22" width="4.42578125" style="108" hidden="1" customWidth="1"/>
    <col min="23" max="23" width="6.28515625" style="108" hidden="1" customWidth="1"/>
    <col min="24" max="24" width="28.5703125" style="2160" hidden="1" customWidth="1"/>
    <col min="25" max="25" width="12" style="2160" hidden="1" customWidth="1"/>
    <col min="26" max="26" width="23.7109375" style="108" hidden="1" customWidth="1"/>
    <col min="27" max="27" width="11.42578125" style="108" hidden="1" customWidth="1"/>
    <col min="28" max="37" width="12.5703125" style="2217" hidden="1" customWidth="1"/>
    <col min="38" max="38" width="9.28515625" style="108" hidden="1" customWidth="1"/>
    <col min="39" max="39" width="8.42578125" style="108" hidden="1" customWidth="1"/>
    <col min="40" max="40" width="4.85546875" style="108" hidden="1" customWidth="1"/>
    <col min="41" max="41" width="4.85546875" style="1444" hidden="1" customWidth="1"/>
    <col min="42" max="16384" width="4.85546875" style="1444"/>
  </cols>
  <sheetData>
    <row r="1" spans="1:41" ht="18" customHeight="1">
      <c r="A1" s="2265"/>
      <c r="B1" s="2265"/>
      <c r="C1" s="2265"/>
      <c r="D1" s="2265"/>
      <c r="E1" s="2265"/>
      <c r="F1" s="2265"/>
      <c r="G1" s="2265"/>
      <c r="H1" s="2265"/>
      <c r="I1" s="2265"/>
      <c r="J1" s="2265"/>
      <c r="K1" s="2265"/>
      <c r="L1" s="2265"/>
      <c r="M1" s="2265"/>
      <c r="N1" s="2265"/>
      <c r="O1" s="2265"/>
      <c r="P1" s="2265"/>
      <c r="Q1" s="2265"/>
      <c r="R1" s="2265"/>
      <c r="S1" s="2265"/>
      <c r="T1" s="2266"/>
    </row>
    <row r="2" spans="1:41" ht="18" customHeight="1">
      <c r="A2" s="2265"/>
      <c r="B2" s="2265"/>
      <c r="C2" s="2265"/>
      <c r="D2" s="2265"/>
      <c r="E2" s="2265"/>
      <c r="F2" s="2265"/>
      <c r="G2" s="2265"/>
      <c r="H2" s="2265"/>
      <c r="I2" s="2265"/>
      <c r="J2" s="2265"/>
      <c r="K2" s="2265"/>
      <c r="L2" s="2265"/>
      <c r="M2" s="2265"/>
      <c r="N2" s="2265"/>
      <c r="O2" s="2265"/>
      <c r="P2" s="2265"/>
      <c r="Q2" s="2265"/>
      <c r="R2" s="2265"/>
      <c r="S2" s="2265"/>
      <c r="T2" s="2266"/>
    </row>
    <row r="3" spans="1:41" ht="18" customHeight="1">
      <c r="A3" s="5262"/>
      <c r="B3" s="5262"/>
      <c r="C3" s="5262"/>
      <c r="D3" s="5262"/>
      <c r="E3" s="5262"/>
      <c r="F3" s="5262"/>
      <c r="G3" s="5262"/>
      <c r="H3" s="5262"/>
      <c r="I3" s="5262"/>
      <c r="J3" s="5262"/>
      <c r="K3" s="5262"/>
      <c r="L3" s="5262"/>
      <c r="M3" s="5262"/>
      <c r="N3" s="5262"/>
      <c r="O3" s="5262"/>
      <c r="P3" s="5262"/>
      <c r="Q3" s="5262"/>
      <c r="R3" s="5262"/>
      <c r="S3" s="5262"/>
      <c r="T3" s="2266"/>
    </row>
    <row r="4" spans="1:41" ht="18" customHeight="1">
      <c r="A4" s="5262" t="s">
        <v>261</v>
      </c>
      <c r="B4" s="5262"/>
      <c r="C4" s="5262"/>
      <c r="D4" s="5262"/>
      <c r="E4" s="5262"/>
      <c r="F4" s="5262"/>
      <c r="G4" s="5262"/>
      <c r="H4" s="5262"/>
      <c r="I4" s="5262"/>
      <c r="J4" s="5262"/>
      <c r="K4" s="5262"/>
      <c r="L4" s="5262"/>
      <c r="M4" s="5262"/>
      <c r="N4" s="5262"/>
      <c r="O4" s="5262"/>
      <c r="P4" s="5262"/>
      <c r="Q4" s="5262"/>
      <c r="R4" s="5262"/>
      <c r="S4" s="5262"/>
      <c r="T4" s="2266"/>
      <c r="Z4" s="2216">
        <f>'VISITA DE INSP.'!B9</f>
        <v>2</v>
      </c>
      <c r="AA4" s="108" t="s">
        <v>491</v>
      </c>
    </row>
    <row r="5" spans="1:41" ht="18" customHeight="1">
      <c r="A5" s="5262" t="s">
        <v>1410</v>
      </c>
      <c r="B5" s="5262"/>
      <c r="C5" s="5262"/>
      <c r="D5" s="5262"/>
      <c r="E5" s="5262"/>
      <c r="F5" s="5262"/>
      <c r="G5" s="5262"/>
      <c r="H5" s="5262"/>
      <c r="I5" s="5262"/>
      <c r="J5" s="5262"/>
      <c r="K5" s="5262"/>
      <c r="L5" s="5262"/>
      <c r="M5" s="5262"/>
      <c r="N5" s="5262"/>
      <c r="O5" s="5262"/>
      <c r="P5" s="5262"/>
      <c r="Q5" s="5262"/>
      <c r="R5" s="5262"/>
      <c r="S5" s="5262"/>
      <c r="T5" s="2266"/>
      <c r="Z5" s="108" t="str">
        <f>'VISITA DE INSP.'!E9</f>
        <v>BENITO JUAREZ</v>
      </c>
    </row>
    <row r="6" spans="1:41" ht="18.95" customHeight="1">
      <c r="A6" s="2266"/>
      <c r="B6" s="2267"/>
      <c r="C6" s="2267"/>
      <c r="D6" s="2267"/>
      <c r="E6" s="2267"/>
      <c r="F6" s="2267"/>
      <c r="G6" s="2267"/>
      <c r="H6" s="2267"/>
      <c r="I6" s="2267"/>
      <c r="J6" s="2266"/>
      <c r="K6" s="2266"/>
      <c r="L6" s="2266"/>
      <c r="M6" s="2266"/>
      <c r="N6" s="2266"/>
      <c r="O6" s="2266"/>
      <c r="P6" s="2266"/>
      <c r="Q6" s="2266"/>
      <c r="R6" s="2266"/>
      <c r="S6" s="2266"/>
      <c r="T6" s="2266"/>
      <c r="U6" s="108">
        <v>0</v>
      </c>
      <c r="V6" s="108">
        <v>1</v>
      </c>
      <c r="W6" s="108">
        <v>2</v>
      </c>
      <c r="X6" s="108">
        <v>3</v>
      </c>
      <c r="Y6" s="108">
        <v>4</v>
      </c>
      <c r="Z6" s="108">
        <v>5</v>
      </c>
      <c r="AA6" s="108">
        <v>6</v>
      </c>
      <c r="AB6" s="2217">
        <v>7</v>
      </c>
      <c r="AC6" s="2217">
        <v>8</v>
      </c>
      <c r="AD6" s="2217">
        <v>9</v>
      </c>
      <c r="AE6" s="2217">
        <v>10</v>
      </c>
      <c r="AF6" s="2217">
        <v>11</v>
      </c>
      <c r="AG6" s="2217">
        <v>12</v>
      </c>
      <c r="AH6" s="2217">
        <v>13</v>
      </c>
      <c r="AI6" s="2217">
        <v>14</v>
      </c>
      <c r="AJ6" s="2217">
        <v>15</v>
      </c>
      <c r="AK6" s="2217">
        <v>16</v>
      </c>
      <c r="AL6" s="108">
        <v>17</v>
      </c>
      <c r="AM6" s="108">
        <v>18</v>
      </c>
      <c r="AN6" s="108">
        <v>19</v>
      </c>
      <c r="AO6" s="108">
        <v>20</v>
      </c>
    </row>
    <row r="7" spans="1:41" ht="20.100000000000001" customHeight="1">
      <c r="A7" s="5268" t="s">
        <v>42</v>
      </c>
      <c r="B7" s="5268"/>
      <c r="C7" s="5268"/>
      <c r="D7" s="5268"/>
      <c r="E7" s="5275" t="str">
        <f>VLOOKUP(S7,U6:AO22,2,2)</f>
        <v>042</v>
      </c>
      <c r="F7" s="5275"/>
      <c r="G7" s="5275"/>
      <c r="H7" s="2268"/>
      <c r="I7" s="2268"/>
      <c r="J7" s="2268"/>
      <c r="K7" s="2268"/>
      <c r="L7" s="2268"/>
      <c r="M7" s="2268"/>
      <c r="N7" s="2268"/>
      <c r="O7" s="2268"/>
      <c r="P7" s="2268"/>
      <c r="Q7" s="2268"/>
      <c r="S7" s="2291">
        <v>3</v>
      </c>
      <c r="T7" s="2266"/>
      <c r="U7" s="108">
        <v>1</v>
      </c>
      <c r="V7" s="2161" t="str">
        <f>'VISITA DE INSP.'!K9</f>
        <v>042</v>
      </c>
      <c r="W7" s="108" t="str">
        <f>Z.E.042!O9</f>
        <v>2012</v>
      </c>
      <c r="X7" s="2160" t="str">
        <f>'VISITA DE INSP.'!AY2</f>
        <v>KABAH</v>
      </c>
      <c r="Y7" s="2160" t="str">
        <f>'VISITA DE INSP.'!AZ2</f>
        <v>23DPR0055K</v>
      </c>
      <c r="Z7" s="2160" t="str">
        <f>CONCATENATE(AA4,Z5)</f>
        <v xml:space="preserve">  BENITO JUAREZ</v>
      </c>
      <c r="AA7" s="2160" t="str">
        <f>'VISITA DE INSP.'!BA2</f>
        <v>MATUTINO</v>
      </c>
      <c r="AB7" s="2219">
        <f>'[6]0055K'!$O$15</f>
        <v>23100.93</v>
      </c>
      <c r="AC7" s="2219">
        <f>'[6]0055K'!$H$20</f>
        <v>60800</v>
      </c>
      <c r="AD7" s="2219">
        <f>'[6]0055K'!$H$21</f>
        <v>0</v>
      </c>
      <c r="AE7" s="2219">
        <f>'[6]0055K'!$H$22</f>
        <v>0</v>
      </c>
      <c r="AF7" s="2219">
        <f>'[6]0055K'!$O$23</f>
        <v>83900.93</v>
      </c>
      <c r="AG7" s="2219">
        <f>'[6]0055K'!$H$27</f>
        <v>40208.71</v>
      </c>
      <c r="AH7" s="2219">
        <f>'[6]0055K'!$H$28</f>
        <v>24125.22</v>
      </c>
      <c r="AI7" s="2219">
        <f>'[6]0055K'!$H$29</f>
        <v>16083.48</v>
      </c>
      <c r="AJ7" s="2219">
        <f>'[6]0055K'!$O$30</f>
        <v>80417.41</v>
      </c>
      <c r="AK7" s="2219">
        <f>'[6]0055K'!$O$32</f>
        <v>3483.5199999999895</v>
      </c>
      <c r="AL7" s="2215" t="str">
        <f>'VISITA DE INSP.'!BE2</f>
        <v>CERVANTES BENITEZ * ANTONIA</v>
      </c>
      <c r="AM7" s="108" t="str">
        <f>'VISITA DE INSP.'!HZ3</f>
        <v>X</v>
      </c>
      <c r="AN7" s="2160"/>
    </row>
    <row r="8" spans="1:41" ht="18" customHeight="1">
      <c r="A8" s="2269"/>
      <c r="B8" s="2269"/>
      <c r="C8" s="2270"/>
      <c r="D8" s="2270"/>
      <c r="E8" s="2268"/>
      <c r="F8" s="2268"/>
      <c r="G8" s="2268"/>
      <c r="H8" s="2268"/>
      <c r="I8" s="2268"/>
      <c r="J8" s="2268"/>
      <c r="K8" s="2268"/>
      <c r="L8" s="2268"/>
      <c r="M8" s="2268"/>
      <c r="N8" s="2268"/>
      <c r="O8" s="2268"/>
      <c r="P8" s="2268"/>
      <c r="Q8" s="2268"/>
      <c r="R8" s="2268"/>
      <c r="S8" s="2268"/>
      <c r="T8" s="2266"/>
      <c r="U8" s="108">
        <v>2</v>
      </c>
      <c r="V8" s="2162" t="str">
        <f>V7</f>
        <v>042</v>
      </c>
      <c r="W8" s="108" t="str">
        <f>W7</f>
        <v>2012</v>
      </c>
      <c r="X8" s="2160" t="str">
        <f>'VISITA DE INSP.'!AY3</f>
        <v>8 DE OCTUBRE</v>
      </c>
      <c r="Y8" s="2160" t="str">
        <f>'VISITA DE INSP.'!AZ3</f>
        <v>23DPR0491L</v>
      </c>
      <c r="Z8" s="2160" t="str">
        <f>Z7</f>
        <v xml:space="preserve">  BENITO JUAREZ</v>
      </c>
      <c r="AA8" s="2160" t="str">
        <f>'VISITA DE INSP.'!BA3</f>
        <v>MATUTINO</v>
      </c>
      <c r="AB8" s="2219">
        <f>'[6]0491L'!$O$15</f>
        <v>1761</v>
      </c>
      <c r="AC8" s="2219">
        <f>'[6]0491L'!$H$20</f>
        <v>55550</v>
      </c>
      <c r="AD8" s="2219">
        <f>'[6]0491L'!$H$21</f>
        <v>0</v>
      </c>
      <c r="AE8" s="2219">
        <f>'[6]0491L'!$H$22</f>
        <v>0</v>
      </c>
      <c r="AF8" s="2219">
        <f>'[6]0491L'!$O$23</f>
        <v>57311</v>
      </c>
      <c r="AG8" s="2219">
        <f>'[6]0491L'!$H$27</f>
        <v>28845</v>
      </c>
      <c r="AH8" s="2219">
        <f>'[6]0491L'!$H$28</f>
        <v>15019</v>
      </c>
      <c r="AI8" s="2219">
        <f>'[6]0491L'!$H$29</f>
        <v>10346.5</v>
      </c>
      <c r="AJ8" s="2219">
        <f>'[6]0491L'!$O$30</f>
        <v>54210.5</v>
      </c>
      <c r="AK8" s="2219">
        <f>'[6]0491L'!$O$32</f>
        <v>3100.5</v>
      </c>
      <c r="AL8" s="2215" t="str">
        <f>'VISITA DE INSP.'!BE3</f>
        <v>BALAN XIU * MANUEL JESUS</v>
      </c>
      <c r="AM8" s="108" t="str">
        <f>'VISITA DE INSP.'!HZ4</f>
        <v>X</v>
      </c>
      <c r="AN8" s="2160"/>
    </row>
    <row r="9" spans="1:41" s="2163" customFormat="1" ht="20.100000000000001" customHeight="1">
      <c r="A9" s="5276" t="s">
        <v>1691</v>
      </c>
      <c r="B9" s="5276"/>
      <c r="C9" s="5276"/>
      <c r="D9" s="5276"/>
      <c r="E9" s="5276"/>
      <c r="F9" s="5276"/>
      <c r="G9" s="5276"/>
      <c r="H9" s="5276"/>
      <c r="I9" s="5276"/>
      <c r="J9" s="5276"/>
      <c r="K9" s="5276"/>
      <c r="L9" s="5276"/>
      <c r="M9" s="5276"/>
      <c r="N9" s="5276"/>
      <c r="O9" s="5269" t="str">
        <f>VLOOKUP(S7,U6:AO22,3,3)</f>
        <v>2012</v>
      </c>
      <c r="P9" s="5269"/>
      <c r="Q9" s="2283" t="s">
        <v>418</v>
      </c>
      <c r="R9" s="5270">
        <f>O9+1</f>
        <v>2013</v>
      </c>
      <c r="S9" s="5270"/>
      <c r="T9" s="2268"/>
      <c r="U9" s="1459">
        <v>3</v>
      </c>
      <c r="V9" s="2162" t="str">
        <f t="shared" ref="V9:V26" si="0">V8</f>
        <v>042</v>
      </c>
      <c r="W9" s="108" t="str">
        <f t="shared" ref="W9:W26" si="1">W8</f>
        <v>2012</v>
      </c>
      <c r="X9" s="2160" t="str">
        <f>'VISITA DE INSP.'!AY4</f>
        <v>8 DE OCTUBRE</v>
      </c>
      <c r="Y9" s="2160" t="str">
        <f>'VISITA DE INSP.'!AZ4</f>
        <v>23DPR0492K</v>
      </c>
      <c r="Z9" s="2160" t="str">
        <f t="shared" ref="Z9:Z26" si="2">Z8</f>
        <v xml:space="preserve">  BENITO JUAREZ</v>
      </c>
      <c r="AA9" s="2160" t="str">
        <f>'VISITA DE INSP.'!BA4</f>
        <v>VESPERTINO</v>
      </c>
      <c r="AB9" s="2220">
        <f>'[6]0492K'!$O$15</f>
        <v>1977.46</v>
      </c>
      <c r="AC9" s="2220">
        <f>'[6]0492K'!$H$20</f>
        <v>27559.99</v>
      </c>
      <c r="AD9" s="2220">
        <f>'[6]0492K'!$H$21</f>
        <v>0</v>
      </c>
      <c r="AE9" s="2220">
        <f>'[6]0492K'!$H$22</f>
        <v>0</v>
      </c>
      <c r="AF9" s="2220">
        <f>'[6]0492K'!$O$23</f>
        <v>29537.45</v>
      </c>
      <c r="AG9" s="2220">
        <f>'[6]0492K'!$H$27</f>
        <v>14031.89</v>
      </c>
      <c r="AH9" s="2220">
        <f>'[6]0492K'!$H$28</f>
        <v>8039.49</v>
      </c>
      <c r="AI9" s="2220">
        <f>'[6]0492K'!$H$29</f>
        <v>4923.6000000000004</v>
      </c>
      <c r="AJ9" s="2220">
        <f>'[6]0492K'!$O$30</f>
        <v>26994.979999999996</v>
      </c>
      <c r="AK9" s="2220">
        <f>'[6]0492K'!$O$32</f>
        <v>2542.4700000000048</v>
      </c>
      <c r="AL9" s="2215" t="str">
        <f>'VISITA DE INSP.'!BE4</f>
        <v>CARDEÑA BENITEZ * LIDIA ESMERALDA</v>
      </c>
      <c r="AM9" s="108" t="str">
        <f>'VISITA DE INSP.'!HZ5</f>
        <v>X</v>
      </c>
      <c r="AN9" s="2164"/>
    </row>
    <row r="10" spans="1:41" s="2163" customFormat="1" ht="18" customHeight="1">
      <c r="A10" s="2268"/>
      <c r="B10" s="2268"/>
      <c r="C10" s="2268"/>
      <c r="D10" s="2268"/>
      <c r="E10" s="2268"/>
      <c r="F10" s="2268"/>
      <c r="G10" s="2268"/>
      <c r="H10" s="2268"/>
      <c r="I10" s="2268"/>
      <c r="J10" s="2268"/>
      <c r="K10" s="2268"/>
      <c r="L10" s="2268"/>
      <c r="M10" s="2268"/>
      <c r="N10" s="2268"/>
      <c r="O10" s="2268"/>
      <c r="P10" s="2268"/>
      <c r="Q10" s="2268"/>
      <c r="R10" s="2268"/>
      <c r="S10" s="2268"/>
      <c r="T10" s="2268"/>
      <c r="U10" s="1459">
        <v>4</v>
      </c>
      <c r="V10" s="2162" t="str">
        <f t="shared" si="0"/>
        <v>042</v>
      </c>
      <c r="W10" s="108" t="str">
        <f t="shared" si="1"/>
        <v>2012</v>
      </c>
      <c r="X10" s="2160" t="str">
        <f>'VISITA DE INSP.'!AY5</f>
        <v>DERECHOS DEL NIÑO</v>
      </c>
      <c r="Y10" s="2160" t="str">
        <f>'VISITA DE INSP.'!AZ5</f>
        <v>23DPR0564N</v>
      </c>
      <c r="Z10" s="2160" t="str">
        <f t="shared" si="2"/>
        <v xml:space="preserve">  BENITO JUAREZ</v>
      </c>
      <c r="AA10" s="2160" t="str">
        <f>'VISITA DE INSP.'!BA5</f>
        <v>MATUTINO</v>
      </c>
      <c r="AB10" s="2220">
        <f>'[6]0564N'!$O$15</f>
        <v>0</v>
      </c>
      <c r="AC10" s="2220">
        <f>'[6]0564N'!$H$20</f>
        <v>31580</v>
      </c>
      <c r="AD10" s="2220">
        <f>'[6]0564N'!$H$21</f>
        <v>0</v>
      </c>
      <c r="AE10" s="2220">
        <f>'[6]0564N'!$H$22</f>
        <v>0</v>
      </c>
      <c r="AF10" s="2220">
        <f>'[6]0564N'!$O$23</f>
        <v>31580</v>
      </c>
      <c r="AG10" s="2220">
        <f>'[6]0564N'!$H$27</f>
        <v>15790</v>
      </c>
      <c r="AH10" s="2220">
        <f>'[6]0564N'!$H$28</f>
        <v>9474</v>
      </c>
      <c r="AI10" s="2220">
        <f>'[6]0564N'!$H$29</f>
        <v>6316</v>
      </c>
      <c r="AJ10" s="2220">
        <f>'[6]0564N'!$O$30</f>
        <v>31580</v>
      </c>
      <c r="AK10" s="2220">
        <f>'[6]0564N'!$O$32</f>
        <v>0</v>
      </c>
      <c r="AL10" s="2215" t="str">
        <f>'VISITA DE INSP.'!BE5</f>
        <v>CETINA CHAY * JUAN CARLOS</v>
      </c>
      <c r="AM10" s="108" t="str">
        <f>'VISITA DE INSP.'!HZ6</f>
        <v>X</v>
      </c>
      <c r="AN10" s="2164"/>
    </row>
    <row r="11" spans="1:41" s="2163" customFormat="1" ht="20.100000000000001" customHeight="1">
      <c r="A11" s="5268" t="s">
        <v>9</v>
      </c>
      <c r="B11" s="5268"/>
      <c r="C11" s="5268"/>
      <c r="D11" s="5279" t="str">
        <f>VLOOKUP(S7,U6:AO22,4,4)</f>
        <v>8 DE OCTUBRE</v>
      </c>
      <c r="E11" s="5279"/>
      <c r="F11" s="5279"/>
      <c r="G11" s="5279"/>
      <c r="H11" s="5279"/>
      <c r="I11" s="5279"/>
      <c r="J11" s="5279"/>
      <c r="K11" s="5279"/>
      <c r="L11" s="5279"/>
      <c r="M11" s="5276" t="s">
        <v>453</v>
      </c>
      <c r="N11" s="5276"/>
      <c r="O11" s="5271" t="str">
        <f>VLOOKUP(S7,U6:AO22,5,5)</f>
        <v>23DPR0492K</v>
      </c>
      <c r="P11" s="5271"/>
      <c r="Q11" s="5271"/>
      <c r="R11" s="5271"/>
      <c r="S11" s="5271"/>
      <c r="T11" s="2268"/>
      <c r="U11" s="1459">
        <v>5</v>
      </c>
      <c r="V11" s="2162" t="str">
        <f t="shared" si="0"/>
        <v>042</v>
      </c>
      <c r="W11" s="108" t="str">
        <f t="shared" si="1"/>
        <v>2012</v>
      </c>
      <c r="X11" s="2160" t="str">
        <f>'VISITA DE INSP.'!AY6</f>
        <v>DERECHOS DEL NIÑO</v>
      </c>
      <c r="Y11" s="2160" t="str">
        <f>'VISITA DE INSP.'!AZ6</f>
        <v>23DPR0570Y</v>
      </c>
      <c r="Z11" s="2160" t="str">
        <f t="shared" si="2"/>
        <v xml:space="preserve">  BENITO JUAREZ</v>
      </c>
      <c r="AA11" s="2160" t="str">
        <f>'VISITA DE INSP.'!BA6</f>
        <v>VESPERTINO</v>
      </c>
      <c r="AB11" s="2220">
        <f>'[6]0570Y'!$O$15</f>
        <v>32740.06</v>
      </c>
      <c r="AC11" s="2220">
        <f>'[6]0570Y'!$H$20</f>
        <v>25340</v>
      </c>
      <c r="AD11" s="2220">
        <f>'[6]0570Y'!$H$21</f>
        <v>0</v>
      </c>
      <c r="AE11" s="2220">
        <f>'[6]0570Y'!$H$22</f>
        <v>0</v>
      </c>
      <c r="AF11" s="2220">
        <f>'[6]0570Y'!$O$23</f>
        <v>58080.06</v>
      </c>
      <c r="AG11" s="2220">
        <f>'[6]0570Y'!$H$27</f>
        <v>12373.26</v>
      </c>
      <c r="AH11" s="2220">
        <f>'[6]0570Y'!$H$28</f>
        <v>7423.94</v>
      </c>
      <c r="AI11" s="2220">
        <f>'[6]0570Y'!$H$29</f>
        <v>4949.29</v>
      </c>
      <c r="AJ11" s="2220">
        <f>'[6]0570Y'!$O$30</f>
        <v>24746.49</v>
      </c>
      <c r="AK11" s="2220">
        <f>'[6]0570Y'!$O$32</f>
        <v>33333.569999999992</v>
      </c>
      <c r="AL11" s="2215" t="str">
        <f>'VISITA DE INSP.'!BE6</f>
        <v>COOX YAH * CARLOS  ENRIQUE</v>
      </c>
      <c r="AM11" s="108" t="str">
        <f>'VISITA DE INSP.'!HZ7</f>
        <v>X</v>
      </c>
      <c r="AN11" s="2164"/>
    </row>
    <row r="12" spans="1:41" s="2163" customFormat="1" ht="20.100000000000001" customHeight="1">
      <c r="A12" s="5268" t="s">
        <v>1707</v>
      </c>
      <c r="B12" s="5268"/>
      <c r="C12" s="5268"/>
      <c r="D12" s="5268"/>
      <c r="E12" s="5268"/>
      <c r="F12" s="5268"/>
      <c r="G12" s="5279" t="str">
        <f>VLOOKUP(S7,U6:AO22,6,6)</f>
        <v xml:space="preserve">  BENITO JUAREZ</v>
      </c>
      <c r="H12" s="5279"/>
      <c r="I12" s="5279"/>
      <c r="J12" s="5279"/>
      <c r="K12" s="5279"/>
      <c r="L12" s="5279"/>
      <c r="M12" s="5279"/>
      <c r="N12" s="5279"/>
      <c r="O12" s="5279"/>
      <c r="P12" s="5279"/>
      <c r="Q12" s="5279"/>
      <c r="R12" s="5279"/>
      <c r="S12" s="5279"/>
      <c r="T12" s="2268"/>
      <c r="U12" s="1459">
        <v>6</v>
      </c>
      <c r="V12" s="2162" t="str">
        <f t="shared" si="0"/>
        <v>042</v>
      </c>
      <c r="W12" s="108" t="str">
        <f t="shared" si="1"/>
        <v>2012</v>
      </c>
      <c r="X12" s="2160" t="str">
        <f>'VISITA DE INSP.'!AY7</f>
        <v>CUITLAHUAC</v>
      </c>
      <c r="Y12" s="2160" t="str">
        <f>'VISITA DE INSP.'!AZ7</f>
        <v>23DPR572W</v>
      </c>
      <c r="Z12" s="2160" t="str">
        <f t="shared" si="2"/>
        <v xml:space="preserve">  BENITO JUAREZ</v>
      </c>
      <c r="AA12" s="2160" t="str">
        <f>'VISITA DE INSP.'!BA7</f>
        <v>MATUTINO</v>
      </c>
      <c r="AB12" s="2220">
        <f>'[6]0572W'!$O$15</f>
        <v>0</v>
      </c>
      <c r="AC12" s="2220">
        <f>'[6]0572W'!$H$20</f>
        <v>34200</v>
      </c>
      <c r="AD12" s="2220">
        <f>'[6]0572W'!$H$21</f>
        <v>0</v>
      </c>
      <c r="AE12" s="2220">
        <f>'[6]0572W'!$H$22</f>
        <v>0</v>
      </c>
      <c r="AF12" s="2220">
        <f>'[6]0572W'!$O$23</f>
        <v>34200</v>
      </c>
      <c r="AG12" s="2220">
        <f>'[6]0572W'!$H$27</f>
        <v>17100</v>
      </c>
      <c r="AH12" s="2220">
        <f>'[6]0572W'!$H$28</f>
        <v>10260</v>
      </c>
      <c r="AI12" s="2220">
        <f>'[6]0572W'!$H$29</f>
        <v>6840</v>
      </c>
      <c r="AJ12" s="2220">
        <f>'[6]0572W'!$O$30</f>
        <v>34200</v>
      </c>
      <c r="AK12" s="2220">
        <f>'[6]0572W'!$O$32</f>
        <v>0</v>
      </c>
      <c r="AL12" s="2215" t="str">
        <f>'VISITA DE INSP.'!BE7</f>
        <v>DZIB TUZ * MANUEL JESUS</v>
      </c>
      <c r="AM12" s="108" t="str">
        <f>'VISITA DE INSP.'!HZ8</f>
        <v>X</v>
      </c>
      <c r="AN12" s="2164"/>
    </row>
    <row r="13" spans="1:41" s="2163" customFormat="1" ht="20.100000000000001" customHeight="1">
      <c r="A13" s="5281" t="s">
        <v>13</v>
      </c>
      <c r="B13" s="5281"/>
      <c r="C13" s="5271" t="str">
        <f>VLOOKUP(S7,U6:AO22,7,7)</f>
        <v>VESPERTINO</v>
      </c>
      <c r="D13" s="5271"/>
      <c r="E13" s="5271"/>
      <c r="F13" s="5271"/>
      <c r="G13" s="5271"/>
      <c r="H13" s="2273"/>
      <c r="I13" s="2273"/>
      <c r="J13" s="2273"/>
      <c r="K13" s="2273"/>
      <c r="L13" s="2273"/>
      <c r="M13" s="2273"/>
      <c r="N13" s="2273"/>
      <c r="O13" s="2273"/>
      <c r="P13" s="2273"/>
      <c r="Q13" s="2273"/>
      <c r="R13" s="2273"/>
      <c r="S13" s="2273"/>
      <c r="T13" s="2268"/>
      <c r="U13" s="1459">
        <v>7</v>
      </c>
      <c r="V13" s="2162" t="str">
        <f t="shared" si="0"/>
        <v>042</v>
      </c>
      <c r="W13" s="108" t="str">
        <f t="shared" si="1"/>
        <v>2012</v>
      </c>
      <c r="X13" s="2160" t="str">
        <f>'VISITA DE INSP.'!AY8</f>
        <v>CUITLAHUAC</v>
      </c>
      <c r="Y13" s="2160" t="str">
        <f>'VISITA DE INSP.'!AZ8</f>
        <v>23DPR0581D</v>
      </c>
      <c r="Z13" s="2160" t="str">
        <f t="shared" si="2"/>
        <v xml:space="preserve">  BENITO JUAREZ</v>
      </c>
      <c r="AA13" s="2160" t="str">
        <f>'VISITA DE INSP.'!BA8</f>
        <v>VESPERTINO</v>
      </c>
      <c r="AB13" s="2220">
        <f>'[6]0581D'!$O$15</f>
        <v>0</v>
      </c>
      <c r="AC13" s="2220">
        <f>'[6]0581D'!$H$20</f>
        <v>17400</v>
      </c>
      <c r="AD13" s="2220">
        <f>'[6]0581D'!$H$21</f>
        <v>0</v>
      </c>
      <c r="AE13" s="2220">
        <f>'[6]0581D'!$H$22</f>
        <v>0</v>
      </c>
      <c r="AF13" s="2220">
        <f>'[6]0581D'!$O$23</f>
        <v>17400</v>
      </c>
      <c r="AG13" s="2220">
        <f>'[6]0581D'!$H$27</f>
        <v>8700</v>
      </c>
      <c r="AH13" s="2220">
        <f>'[6]0581D'!$H$28</f>
        <v>5220</v>
      </c>
      <c r="AI13" s="2220">
        <f>'[6]0581D'!$H$29</f>
        <v>3480</v>
      </c>
      <c r="AJ13" s="2220">
        <f>'[6]0581D'!$O$30</f>
        <v>17400</v>
      </c>
      <c r="AK13" s="2220">
        <f>'[6]0581D'!$O$32</f>
        <v>0</v>
      </c>
      <c r="AL13" s="2215" t="str">
        <f>'VISITA DE INSP.'!BE8</f>
        <v>PUCH GOMEZ * MADAI ROXANA</v>
      </c>
      <c r="AM13" s="108" t="str">
        <f>'VISITA DE INSP.'!HZ9</f>
        <v>X</v>
      </c>
      <c r="AN13" s="2164"/>
    </row>
    <row r="14" spans="1:41" s="2163" customFormat="1" ht="18" customHeight="1">
      <c r="A14" s="2284"/>
      <c r="B14" s="2284"/>
      <c r="C14" s="2273"/>
      <c r="D14" s="2273"/>
      <c r="E14" s="2273"/>
      <c r="F14" s="2273"/>
      <c r="G14" s="2273"/>
      <c r="H14" s="2273"/>
      <c r="I14" s="2273"/>
      <c r="J14" s="2273"/>
      <c r="K14" s="2273"/>
      <c r="L14" s="2273"/>
      <c r="M14" s="2273"/>
      <c r="N14" s="2273"/>
      <c r="O14" s="2273"/>
      <c r="P14" s="2273"/>
      <c r="Q14" s="2273"/>
      <c r="R14" s="2273"/>
      <c r="S14" s="2273"/>
      <c r="T14" s="2268"/>
      <c r="U14" s="1459">
        <v>8</v>
      </c>
      <c r="V14" s="2162" t="str">
        <f t="shared" si="0"/>
        <v>042</v>
      </c>
      <c r="W14" s="108" t="str">
        <f t="shared" si="1"/>
        <v>2012</v>
      </c>
      <c r="X14" s="2160" t="str">
        <f>'VISITA DE INSP.'!AY9</f>
        <v>KABAH</v>
      </c>
      <c r="Y14" s="2160" t="str">
        <f>'VISITA DE INSP.'!AZ9</f>
        <v>23DPR0593I</v>
      </c>
      <c r="Z14" s="2160" t="str">
        <f t="shared" si="2"/>
        <v xml:space="preserve">  BENITO JUAREZ</v>
      </c>
      <c r="AA14" s="2160" t="str">
        <f>'VISITA DE INSP.'!BA9</f>
        <v>VESPERTINO</v>
      </c>
      <c r="AB14" s="2220">
        <f>'[6]0593I'!$O$15</f>
        <v>0</v>
      </c>
      <c r="AC14" s="2220">
        <f>'[6]0593I'!$H$20</f>
        <v>0</v>
      </c>
      <c r="AD14" s="2220">
        <f>'[6]0593I'!$H$21</f>
        <v>0</v>
      </c>
      <c r="AE14" s="2220">
        <f>'[6]0593I'!$H$22</f>
        <v>0</v>
      </c>
      <c r="AF14" s="2220">
        <f>'[6]0593I'!$O$23</f>
        <v>0</v>
      </c>
      <c r="AG14" s="2220">
        <f>'[6]0593I'!$H$27</f>
        <v>0</v>
      </c>
      <c r="AH14" s="2220">
        <f>'[6]0593I'!$H$28</f>
        <v>0</v>
      </c>
      <c r="AI14" s="2220">
        <f>'[6]0593I'!$H$29</f>
        <v>0</v>
      </c>
      <c r="AJ14" s="2220">
        <f>'[6]0593I'!$O$30</f>
        <v>0</v>
      </c>
      <c r="AK14" s="2220">
        <f>'[6]0593I'!$O$32</f>
        <v>0</v>
      </c>
      <c r="AL14" s="2215" t="str">
        <f>'VISITA DE INSP.'!BE9</f>
        <v>DZIB TUZ * MANUEL JESUS</v>
      </c>
      <c r="AM14" s="108">
        <f>'VISITA DE INSP.'!HZ10</f>
        <v>0</v>
      </c>
      <c r="AN14" s="2164"/>
    </row>
    <row r="15" spans="1:41" s="2163" customFormat="1" ht="20.100000000000001" customHeight="1">
      <c r="A15" s="5268" t="s">
        <v>1694</v>
      </c>
      <c r="B15" s="5268"/>
      <c r="C15" s="5268"/>
      <c r="D15" s="5268"/>
      <c r="E15" s="5268"/>
      <c r="F15" s="5269">
        <f>O9-1</f>
        <v>2011</v>
      </c>
      <c r="G15" s="5269"/>
      <c r="H15" s="2283" t="s">
        <v>418</v>
      </c>
      <c r="I15" s="5270">
        <f>R9-1</f>
        <v>2012</v>
      </c>
      <c r="J15" s="5270"/>
      <c r="K15" s="2268"/>
      <c r="L15" s="2268"/>
      <c r="M15" s="2268"/>
      <c r="N15" s="2268"/>
      <c r="O15" s="5267">
        <f>VLOOKUP(S7,U6:AO22,8,8)</f>
        <v>1977.46</v>
      </c>
      <c r="P15" s="5267"/>
      <c r="Q15" s="5267"/>
      <c r="R15" s="5267"/>
      <c r="S15" s="5267"/>
      <c r="T15" s="2268"/>
      <c r="U15" s="1459">
        <v>9</v>
      </c>
      <c r="V15" s="2162" t="str">
        <f t="shared" si="0"/>
        <v>042</v>
      </c>
      <c r="W15" s="108" t="str">
        <f t="shared" si="1"/>
        <v>2012</v>
      </c>
      <c r="X15" s="2160" t="str">
        <f>'VISITA DE INSP.'!AY10</f>
        <v>ANTONIO MEDIZ BOLIO</v>
      </c>
      <c r="Y15" s="2160" t="str">
        <f>'VISITA DE INSP.'!AZ10</f>
        <v>23DPR0640C</v>
      </c>
      <c r="Z15" s="2160" t="str">
        <f t="shared" si="2"/>
        <v xml:space="preserve">  BENITO JUAREZ</v>
      </c>
      <c r="AA15" s="2160" t="str">
        <f>'VISITA DE INSP.'!BA10</f>
        <v>MATUTINO</v>
      </c>
      <c r="AB15" s="2220">
        <f>'[6]0640C'!$O$15</f>
        <v>14801.91</v>
      </c>
      <c r="AC15" s="2220">
        <f>'[6]0640C'!$H$20</f>
        <v>47000</v>
      </c>
      <c r="AD15" s="2220">
        <f>'[6]0640C'!$H$21</f>
        <v>0</v>
      </c>
      <c r="AE15" s="2220">
        <f>'[6]0640C'!$H$22</f>
        <v>0</v>
      </c>
      <c r="AF15" s="2220">
        <f>'[6]0640C'!$O$23</f>
        <v>61801.91</v>
      </c>
      <c r="AG15" s="2220">
        <f>'[6]0640C'!$H$27</f>
        <v>23898.25</v>
      </c>
      <c r="AH15" s="2220">
        <f>'[6]0640C'!$H$28</f>
        <v>14338.95</v>
      </c>
      <c r="AI15" s="2220">
        <f>'[6]0640C'!$H$29</f>
        <v>9559.31</v>
      </c>
      <c r="AJ15" s="2220">
        <f>'[6]0640C'!$O$30</f>
        <v>47796.509999999995</v>
      </c>
      <c r="AK15" s="2220">
        <f>'[6]0640C'!$O$32</f>
        <v>14005.400000000009</v>
      </c>
      <c r="AL15" s="2215" t="str">
        <f>'VISITA DE INSP.'!BE10</f>
        <v>ARJONA SANTOYO * MARCO ANTONIO</v>
      </c>
      <c r="AM15" s="108" t="str">
        <f>'VISITA DE INSP.'!HZ11</f>
        <v>X</v>
      </c>
      <c r="AN15" s="2164"/>
    </row>
    <row r="16" spans="1:41" s="2163" customFormat="1" ht="18" customHeight="1">
      <c r="A16" s="2268"/>
      <c r="B16" s="2268"/>
      <c r="C16" s="2268"/>
      <c r="D16" s="2268"/>
      <c r="E16" s="2268"/>
      <c r="F16" s="1412"/>
      <c r="G16" s="1412"/>
      <c r="H16" s="2285"/>
      <c r="I16" s="2286"/>
      <c r="J16" s="2286"/>
      <c r="K16" s="2268"/>
      <c r="L16" s="2268"/>
      <c r="M16" s="2268"/>
      <c r="N16" s="2268"/>
      <c r="O16" s="2281"/>
      <c r="P16" s="2281"/>
      <c r="Q16" s="2281"/>
      <c r="R16" s="2281"/>
      <c r="S16" s="2281"/>
      <c r="T16" s="2268"/>
      <c r="U16" s="1459">
        <v>10</v>
      </c>
      <c r="V16" s="2162" t="str">
        <f t="shared" si="0"/>
        <v>042</v>
      </c>
      <c r="W16" s="108" t="str">
        <f t="shared" si="1"/>
        <v>2012</v>
      </c>
      <c r="X16" s="2160" t="str">
        <f>'VISITA DE INSP.'!AY11</f>
        <v>MANUEL CRESCENCIO REJON</v>
      </c>
      <c r="Y16" s="2160" t="str">
        <f>'VISITA DE INSP.'!AZ11</f>
        <v>23DPR0681C</v>
      </c>
      <c r="Z16" s="2160" t="str">
        <f t="shared" si="2"/>
        <v xml:space="preserve">  BENITO JUAREZ</v>
      </c>
      <c r="AA16" s="2160" t="str">
        <f>'VISITA DE INSP.'!BA11</f>
        <v>MATUTINO</v>
      </c>
      <c r="AB16" s="2220">
        <f>'[6]0681C'!$O$15</f>
        <v>136.55000000000001</v>
      </c>
      <c r="AC16" s="2220">
        <f>'[6]0681C'!$H$20</f>
        <v>19513.580000000002</v>
      </c>
      <c r="AD16" s="2220">
        <f>'[6]0681C'!$H$21</f>
        <v>0</v>
      </c>
      <c r="AE16" s="2220">
        <f>'[6]0681C'!$H$22</f>
        <v>0</v>
      </c>
      <c r="AF16" s="2220">
        <f>'[6]0681C'!$O$23</f>
        <v>19650.13</v>
      </c>
      <c r="AG16" s="2220">
        <f>'[6]0681C'!$H$27</f>
        <v>9902.5499999999993</v>
      </c>
      <c r="AH16" s="2220">
        <f>'[6]0681C'!$H$28</f>
        <v>5867.69</v>
      </c>
      <c r="AI16" s="2220">
        <f>'[6]0681C'!$H$29</f>
        <v>3879.89</v>
      </c>
      <c r="AJ16" s="2220">
        <f>'[6]0681C'!$O$30</f>
        <v>19650.129999999997</v>
      </c>
      <c r="AK16" s="2220">
        <f>'[6]0681C'!$O$32</f>
        <v>0</v>
      </c>
      <c r="AL16" s="2215" t="str">
        <f>'VISITA DE INSP.'!BE11</f>
        <v>CERVERA VIDAL * DULCE RUTH</v>
      </c>
      <c r="AM16" s="108" t="str">
        <f>'VISITA DE INSP.'!HZ12</f>
        <v>X</v>
      </c>
      <c r="AN16" s="2164"/>
    </row>
    <row r="17" spans="1:40" s="2163" customFormat="1" ht="18" customHeight="1">
      <c r="A17" s="2268"/>
      <c r="B17" s="2268"/>
      <c r="C17" s="2268"/>
      <c r="D17" s="2268"/>
      <c r="E17" s="2268"/>
      <c r="F17" s="2287"/>
      <c r="G17" s="2287"/>
      <c r="H17" s="2287"/>
      <c r="I17" s="2287"/>
      <c r="J17" s="2268"/>
      <c r="K17" s="2268"/>
      <c r="L17" s="2268"/>
      <c r="M17" s="2268"/>
      <c r="N17" s="2288"/>
      <c r="O17" s="2288"/>
      <c r="P17" s="2288"/>
      <c r="Q17" s="2288"/>
      <c r="R17" s="2288"/>
      <c r="S17" s="2288"/>
      <c r="T17" s="2268"/>
      <c r="U17" s="1459">
        <v>11</v>
      </c>
      <c r="V17" s="2162" t="str">
        <f t="shared" si="0"/>
        <v>042</v>
      </c>
      <c r="W17" s="108" t="str">
        <f t="shared" si="1"/>
        <v>2012</v>
      </c>
      <c r="X17" s="2160" t="str">
        <f>'VISITA DE INSP.'!AY12</f>
        <v>CENTRO EDUCATIVO EL MANANTIAL</v>
      </c>
      <c r="Y17" s="2160" t="str">
        <f>'VISITA DE INSP.'!AZ12</f>
        <v>23PPR0099M</v>
      </c>
      <c r="Z17" s="2160" t="str">
        <f t="shared" si="2"/>
        <v xml:space="preserve">  BENITO JUAREZ</v>
      </c>
      <c r="AA17" s="2160" t="str">
        <f>'VISITA DE INSP.'!BA12</f>
        <v>MATUTINO</v>
      </c>
      <c r="AB17" s="2220">
        <f>'[6]0688W'!$O$15</f>
        <v>4349.2</v>
      </c>
      <c r="AC17" s="2220">
        <f>'[6]0688W'!$H$20</f>
        <v>12900</v>
      </c>
      <c r="AD17" s="2220">
        <f>'[6]0688W'!$H$21</f>
        <v>0</v>
      </c>
      <c r="AE17" s="2220">
        <f>'[6]0688W'!$H$22</f>
        <v>0</v>
      </c>
      <c r="AF17" s="2220">
        <f>'[6]0688W'!$O$23</f>
        <v>17249.2</v>
      </c>
      <c r="AG17" s="2220">
        <f>'[6]0688W'!$H$27</f>
        <v>8624.6</v>
      </c>
      <c r="AH17" s="2220">
        <f>'[6]0688W'!$H$28</f>
        <v>5174.76</v>
      </c>
      <c r="AI17" s="2220">
        <f>'[6]0688W'!$H$29</f>
        <v>3449.84</v>
      </c>
      <c r="AJ17" s="2220">
        <f>'[6]0688W'!$O$30</f>
        <v>17249.2</v>
      </c>
      <c r="AK17" s="2220">
        <f>'[6]0688W'!$O$32</f>
        <v>0</v>
      </c>
      <c r="AL17" s="2215" t="str">
        <f>'VISITA DE INSP.'!BE12</f>
        <v>TUCUCH SANTOS * AURORA LETICIA</v>
      </c>
      <c r="AM17" s="108">
        <f>'VISITA DE INSP.'!HZ13</f>
        <v>0</v>
      </c>
      <c r="AN17" s="2164"/>
    </row>
    <row r="18" spans="1:40" s="2163" customFormat="1" ht="20.100000000000001" customHeight="1">
      <c r="A18" s="5268" t="s">
        <v>1695</v>
      </c>
      <c r="B18" s="5268"/>
      <c r="C18" s="5268"/>
      <c r="D18" s="5269" t="str">
        <f>O9</f>
        <v>2012</v>
      </c>
      <c r="E18" s="5269"/>
      <c r="F18" s="2283" t="s">
        <v>418</v>
      </c>
      <c r="G18" s="5270">
        <f>R9</f>
        <v>2013</v>
      </c>
      <c r="H18" s="5270"/>
      <c r="I18" s="2268"/>
      <c r="J18" s="2268"/>
      <c r="K18" s="2268"/>
      <c r="L18" s="2268"/>
      <c r="M18" s="2268"/>
      <c r="N18" s="2268"/>
      <c r="O18" s="2268"/>
      <c r="P18" s="2268"/>
      <c r="Q18" s="2268"/>
      <c r="R18" s="2268"/>
      <c r="S18" s="2268"/>
      <c r="T18" s="2268"/>
      <c r="U18" s="1459">
        <v>12</v>
      </c>
      <c r="V18" s="2162" t="str">
        <f t="shared" si="0"/>
        <v>042</v>
      </c>
      <c r="W18" s="108" t="str">
        <f t="shared" si="1"/>
        <v>2012</v>
      </c>
      <c r="X18" s="2160" t="str">
        <f>'VISITA DE INSP.'!AY13</f>
        <v>COLEGIO HISPANOAMERICANO LA LUNA</v>
      </c>
      <c r="Y18" s="2160" t="str">
        <f>'VISITA DE INSP.'!AZ13</f>
        <v>23PPR0100L</v>
      </c>
      <c r="Z18" s="2160" t="str">
        <f t="shared" si="2"/>
        <v xml:space="preserve">  BENITO JUAREZ</v>
      </c>
      <c r="AA18" s="2160" t="str">
        <f>'VISITA DE INSP.'!BA13</f>
        <v>MATUTINO</v>
      </c>
      <c r="AB18" s="2220"/>
      <c r="AC18" s="2220"/>
      <c r="AD18" s="2220"/>
      <c r="AE18" s="2220"/>
      <c r="AF18" s="2220"/>
      <c r="AG18" s="2220"/>
      <c r="AH18" s="2220"/>
      <c r="AI18" s="2220"/>
      <c r="AJ18" s="2220"/>
      <c r="AK18" s="2220"/>
      <c r="AL18" s="2215" t="str">
        <f>'VISITA DE INSP.'!BE13</f>
        <v>CRUZ MARTINEZ * BELEM</v>
      </c>
      <c r="AM18" s="108">
        <f>'VISITA DE INSP.'!HZ14</f>
        <v>0</v>
      </c>
      <c r="AN18" s="2164"/>
    </row>
    <row r="19" spans="1:40" s="2163" customFormat="1" ht="18" customHeight="1">
      <c r="A19" s="2268"/>
      <c r="B19" s="2268"/>
      <c r="C19" s="2268"/>
      <c r="D19" s="2268"/>
      <c r="E19" s="2268"/>
      <c r="F19" s="2268"/>
      <c r="G19" s="2268"/>
      <c r="H19" s="2268"/>
      <c r="I19" s="2268"/>
      <c r="J19" s="2268"/>
      <c r="K19" s="2268"/>
      <c r="L19" s="2268"/>
      <c r="M19" s="2268"/>
      <c r="N19" s="2268"/>
      <c r="O19" s="2268"/>
      <c r="P19" s="2268"/>
      <c r="Q19" s="2268"/>
      <c r="R19" s="2268"/>
      <c r="S19" s="2268"/>
      <c r="T19" s="2268"/>
      <c r="U19" s="1459">
        <v>13</v>
      </c>
      <c r="V19" s="2162" t="str">
        <f t="shared" si="0"/>
        <v>042</v>
      </c>
      <c r="W19" s="108" t="str">
        <f t="shared" si="1"/>
        <v>2012</v>
      </c>
      <c r="X19" s="2160" t="str">
        <f>'VISITA DE INSP.'!AY14</f>
        <v>JOSE VASCONCELOS</v>
      </c>
      <c r="Y19" s="2160" t="str">
        <f>'VISITA DE INSP.'!AZ14</f>
        <v>23PPR0125U</v>
      </c>
      <c r="Z19" s="2160" t="str">
        <f t="shared" si="2"/>
        <v xml:space="preserve">  BENITO JUAREZ</v>
      </c>
      <c r="AA19" s="2160" t="str">
        <f>'VISITA DE INSP.'!BA14</f>
        <v>MATUTINO</v>
      </c>
      <c r="AB19" s="2220"/>
      <c r="AC19" s="2220"/>
      <c r="AD19" s="2220"/>
      <c r="AE19" s="2220"/>
      <c r="AF19" s="2220"/>
      <c r="AG19" s="2220"/>
      <c r="AH19" s="2220"/>
      <c r="AI19" s="2220"/>
      <c r="AJ19" s="2220"/>
      <c r="AK19" s="2220"/>
      <c r="AL19" s="2215" t="str">
        <f>'VISITA DE INSP.'!BE14</f>
        <v>RUIZ VALLE * PATRICIA</v>
      </c>
      <c r="AM19" s="108">
        <f>'VISITA DE INSP.'!HZ15</f>
        <v>0</v>
      </c>
      <c r="AN19" s="2164"/>
    </row>
    <row r="20" spans="1:40" s="2163" customFormat="1" ht="20.100000000000001" customHeight="1">
      <c r="A20" s="2268"/>
      <c r="B20" s="5266" t="s">
        <v>1696</v>
      </c>
      <c r="C20" s="5266"/>
      <c r="D20" s="5266"/>
      <c r="E20" s="5266"/>
      <c r="F20" s="5266"/>
      <c r="G20" s="5266"/>
      <c r="H20" s="5272">
        <f>VLOOKUP(S7,U6:AO22,9,9)</f>
        <v>27559.99</v>
      </c>
      <c r="I20" s="5272"/>
      <c r="J20" s="5272"/>
      <c r="K20" s="5272"/>
      <c r="L20" s="5272"/>
      <c r="M20" s="2275"/>
      <c r="N20" s="2268"/>
      <c r="O20" s="2268"/>
      <c r="P20" s="2268"/>
      <c r="Q20" s="2268"/>
      <c r="R20" s="2268"/>
      <c r="S20" s="2268"/>
      <c r="T20" s="2268"/>
      <c r="U20" s="1459">
        <v>14</v>
      </c>
      <c r="V20" s="2162" t="str">
        <f t="shared" si="0"/>
        <v>042</v>
      </c>
      <c r="W20" s="108" t="str">
        <f t="shared" si="1"/>
        <v>2012</v>
      </c>
      <c r="X20" s="2160" t="str">
        <f>'VISITA DE INSP.'!AY15</f>
        <v>CENTRO INFANTIL LATINOAMERICANO</v>
      </c>
      <c r="Y20" s="2160" t="str">
        <f>'VISITA DE INSP.'!AZ15</f>
        <v>23PPR0156N</v>
      </c>
      <c r="Z20" s="2160" t="str">
        <f t="shared" si="2"/>
        <v xml:space="preserve">  BENITO JUAREZ</v>
      </c>
      <c r="AA20" s="2160" t="str">
        <f>'VISITA DE INSP.'!BA15</f>
        <v>MATUTINO</v>
      </c>
      <c r="AB20" s="2220"/>
      <c r="AC20" s="2220"/>
      <c r="AD20" s="2220"/>
      <c r="AE20" s="2220"/>
      <c r="AF20" s="2220"/>
      <c r="AG20" s="2220"/>
      <c r="AH20" s="2220"/>
      <c r="AI20" s="2220"/>
      <c r="AJ20" s="2220"/>
      <c r="AK20" s="2220"/>
      <c r="AL20" s="2215" t="str">
        <f>'VISITA DE INSP.'!BE15</f>
        <v>G.CANTON PUERTO * REBECA</v>
      </c>
      <c r="AM20" s="108">
        <f>'VISITA DE INSP.'!HZ16</f>
        <v>0</v>
      </c>
      <c r="AN20" s="2164"/>
    </row>
    <row r="21" spans="1:40" s="2163" customFormat="1" ht="20.100000000000001" customHeight="1">
      <c r="A21" s="2268"/>
      <c r="B21" s="5266" t="s">
        <v>1697</v>
      </c>
      <c r="C21" s="5266"/>
      <c r="D21" s="5266"/>
      <c r="E21" s="5266"/>
      <c r="F21" s="5266"/>
      <c r="G21" s="5266"/>
      <c r="H21" s="5280">
        <f>VLOOKUP(S7,U6:AO22,10,10)</f>
        <v>0</v>
      </c>
      <c r="I21" s="5280"/>
      <c r="J21" s="5280"/>
      <c r="K21" s="5280"/>
      <c r="L21" s="5280"/>
      <c r="M21" s="2275"/>
      <c r="N21" s="2268"/>
      <c r="O21" s="2268"/>
      <c r="P21" s="2268"/>
      <c r="Q21" s="2268"/>
      <c r="R21" s="2268"/>
      <c r="S21" s="2268"/>
      <c r="T21" s="2268"/>
      <c r="U21" s="1459">
        <v>15</v>
      </c>
      <c r="V21" s="2162" t="str">
        <f t="shared" si="0"/>
        <v>042</v>
      </c>
      <c r="W21" s="108" t="str">
        <f t="shared" si="1"/>
        <v>2012</v>
      </c>
      <c r="X21" s="2160" t="str">
        <f>'VISITA DE INSP.'!AY16</f>
        <v>COLEGIO KING DAVID</v>
      </c>
      <c r="Y21" s="2160" t="str">
        <f>'VISITA DE INSP.'!AZ16</f>
        <v>23PPR0163X</v>
      </c>
      <c r="Z21" s="2160" t="str">
        <f t="shared" si="2"/>
        <v xml:space="preserve">  BENITO JUAREZ</v>
      </c>
      <c r="AA21" s="2160" t="str">
        <f>'VISITA DE INSP.'!BA16</f>
        <v>MATUTINO</v>
      </c>
      <c r="AB21" s="2220"/>
      <c r="AC21" s="2220"/>
      <c r="AD21" s="2220"/>
      <c r="AE21" s="2220"/>
      <c r="AF21" s="2220"/>
      <c r="AG21" s="2220"/>
      <c r="AH21" s="2220"/>
      <c r="AI21" s="2220"/>
      <c r="AJ21" s="2220"/>
      <c r="AK21" s="2220"/>
      <c r="AL21" s="2215" t="str">
        <f>'VISITA DE INSP.'!BE16</f>
        <v>MARIA ALMA MIRANDA VALDEZ</v>
      </c>
      <c r="AM21" s="108">
        <f>'VISITA DE INSP.'!HZ17</f>
        <v>0</v>
      </c>
      <c r="AN21" s="2164"/>
    </row>
    <row r="22" spans="1:40" s="2163" customFormat="1" ht="20.100000000000001" customHeight="1">
      <c r="A22" s="2268"/>
      <c r="B22" s="5266" t="s">
        <v>1698</v>
      </c>
      <c r="C22" s="5266"/>
      <c r="D22" s="5266"/>
      <c r="E22" s="5266"/>
      <c r="F22" s="5266"/>
      <c r="G22" s="5266"/>
      <c r="H22" s="5280">
        <f>VLOOKUP(S7,U6:AO22,11,11)</f>
        <v>0</v>
      </c>
      <c r="I22" s="5280"/>
      <c r="J22" s="5280"/>
      <c r="K22" s="5280"/>
      <c r="L22" s="5280"/>
      <c r="M22" s="2275"/>
      <c r="N22" s="2268"/>
      <c r="O22" s="2268"/>
      <c r="P22" s="2268"/>
      <c r="Q22" s="2268"/>
      <c r="R22" s="2268"/>
      <c r="S22" s="2268"/>
      <c r="T22" s="2268"/>
      <c r="U22" s="1459">
        <v>16</v>
      </c>
      <c r="V22" s="2162" t="str">
        <f t="shared" si="0"/>
        <v>042</v>
      </c>
      <c r="W22" s="108" t="str">
        <f t="shared" si="1"/>
        <v>2012</v>
      </c>
      <c r="X22" s="2160">
        <f>'VISITA DE INSP.'!AY17</f>
        <v>0</v>
      </c>
      <c r="Y22" s="2160">
        <f>'VISITA DE INSP.'!AZ17</f>
        <v>0</v>
      </c>
      <c r="Z22" s="2160" t="str">
        <f t="shared" si="2"/>
        <v xml:space="preserve">  BENITO JUAREZ</v>
      </c>
      <c r="AA22" s="2160">
        <f>'VISITA DE INSP.'!BA17</f>
        <v>0</v>
      </c>
      <c r="AB22" s="2220"/>
      <c r="AC22" s="2220"/>
      <c r="AD22" s="2220"/>
      <c r="AE22" s="2220"/>
      <c r="AF22" s="2220"/>
      <c r="AG22" s="2220"/>
      <c r="AH22" s="2220"/>
      <c r="AI22" s="2220"/>
      <c r="AJ22" s="2220"/>
      <c r="AK22" s="2220"/>
      <c r="AL22" s="2215">
        <f>'VISITA DE INSP.'!BE17</f>
        <v>0</v>
      </c>
      <c r="AM22" s="108">
        <f>'VISITA DE INSP.'!HZ18</f>
        <v>0</v>
      </c>
      <c r="AN22" s="2164"/>
    </row>
    <row r="23" spans="1:40" s="2163" customFormat="1" ht="20.100000000000001" customHeight="1">
      <c r="A23" s="2268"/>
      <c r="B23" s="5266" t="s">
        <v>1699</v>
      </c>
      <c r="C23" s="5266"/>
      <c r="D23" s="5266"/>
      <c r="E23" s="5266"/>
      <c r="F23" s="5266"/>
      <c r="G23" s="5266"/>
      <c r="H23" s="2268"/>
      <c r="I23" s="2268"/>
      <c r="J23" s="2275"/>
      <c r="K23" s="2276"/>
      <c r="L23" s="2277"/>
      <c r="M23" s="2277"/>
      <c r="N23" s="2278"/>
      <c r="O23" s="5267">
        <f>O15+H20+H21+H22</f>
        <v>29537.45</v>
      </c>
      <c r="P23" s="5267"/>
      <c r="Q23" s="5267"/>
      <c r="R23" s="5267"/>
      <c r="S23" s="5267"/>
      <c r="T23" s="2268"/>
      <c r="U23" s="1459">
        <v>17</v>
      </c>
      <c r="V23" s="2162" t="str">
        <f t="shared" si="0"/>
        <v>042</v>
      </c>
      <c r="W23" s="108" t="str">
        <f t="shared" si="1"/>
        <v>2012</v>
      </c>
      <c r="X23" s="2160">
        <f>'VISITA DE INSP.'!AY18</f>
        <v>0</v>
      </c>
      <c r="Y23" s="2160">
        <f>'VISITA DE INSP.'!AZ18</f>
        <v>0</v>
      </c>
      <c r="Z23" s="2160" t="str">
        <f t="shared" si="2"/>
        <v xml:space="preserve">  BENITO JUAREZ</v>
      </c>
      <c r="AA23" s="2160">
        <f>'VISITA DE INSP.'!BA18</f>
        <v>0</v>
      </c>
      <c r="AB23" s="2220"/>
      <c r="AC23" s="2220"/>
      <c r="AD23" s="2220"/>
      <c r="AE23" s="2220"/>
      <c r="AF23" s="2220"/>
      <c r="AG23" s="2220"/>
      <c r="AH23" s="2220"/>
      <c r="AI23" s="2220"/>
      <c r="AJ23" s="2220"/>
      <c r="AK23" s="2220"/>
      <c r="AL23" s="2215">
        <f>'VISITA DE INSP.'!BE18</f>
        <v>0</v>
      </c>
      <c r="AM23" s="108">
        <f>'VISITA DE INSP.'!HZ19</f>
        <v>0</v>
      </c>
      <c r="AN23" s="1459"/>
    </row>
    <row r="24" spans="1:40" s="2163" customFormat="1" ht="18" customHeight="1">
      <c r="A24" s="2268"/>
      <c r="B24" s="2268"/>
      <c r="C24" s="2268"/>
      <c r="D24" s="2268"/>
      <c r="E24" s="2268"/>
      <c r="F24" s="2275"/>
      <c r="G24" s="2275"/>
      <c r="H24" s="2275"/>
      <c r="I24" s="2275"/>
      <c r="J24" s="2268"/>
      <c r="K24" s="2268"/>
      <c r="L24" s="2268"/>
      <c r="M24" s="2268"/>
      <c r="N24" s="2279"/>
      <c r="O24" s="2268"/>
      <c r="P24" s="2268"/>
      <c r="Q24" s="2268"/>
      <c r="R24" s="2268"/>
      <c r="S24" s="2268"/>
      <c r="T24" s="2268"/>
      <c r="U24" s="1459">
        <v>18</v>
      </c>
      <c r="V24" s="2162" t="str">
        <f t="shared" si="0"/>
        <v>042</v>
      </c>
      <c r="W24" s="108" t="str">
        <f t="shared" si="1"/>
        <v>2012</v>
      </c>
      <c r="X24" s="2160">
        <f>'VISITA DE INSP.'!AY19</f>
        <v>0</v>
      </c>
      <c r="Y24" s="2160">
        <f>'VISITA DE INSP.'!AZ19</f>
        <v>0</v>
      </c>
      <c r="Z24" s="2160" t="str">
        <f t="shared" si="2"/>
        <v xml:space="preserve">  BENITO JUAREZ</v>
      </c>
      <c r="AA24" s="2160">
        <f>'VISITA DE INSP.'!BA19</f>
        <v>0</v>
      </c>
      <c r="AB24" s="2220"/>
      <c r="AC24" s="2220"/>
      <c r="AD24" s="2220"/>
      <c r="AE24" s="2220"/>
      <c r="AF24" s="2220"/>
      <c r="AG24" s="2220"/>
      <c r="AH24" s="2220"/>
      <c r="AI24" s="2220"/>
      <c r="AJ24" s="2220"/>
      <c r="AK24" s="2220"/>
      <c r="AL24" s="2215">
        <f>'VISITA DE INSP.'!BE19</f>
        <v>0</v>
      </c>
      <c r="AM24" s="108">
        <f>'VISITA DE INSP.'!HZ20</f>
        <v>0</v>
      </c>
      <c r="AN24" s="1459"/>
    </row>
    <row r="25" spans="1:40" s="2163" customFormat="1" ht="20.100000000000001" customHeight="1">
      <c r="A25" s="5268" t="s">
        <v>1700</v>
      </c>
      <c r="B25" s="5268"/>
      <c r="C25" s="5268"/>
      <c r="D25" s="5269" t="str">
        <f>O9</f>
        <v>2012</v>
      </c>
      <c r="E25" s="5269"/>
      <c r="F25" s="2283" t="s">
        <v>418</v>
      </c>
      <c r="G25" s="5270">
        <f>R9</f>
        <v>2013</v>
      </c>
      <c r="H25" s="5270"/>
      <c r="I25" s="2275"/>
      <c r="J25" s="2268"/>
      <c r="K25" s="2268"/>
      <c r="L25" s="2268"/>
      <c r="M25" s="2268"/>
      <c r="N25" s="2268"/>
      <c r="O25" s="2268"/>
      <c r="P25" s="2268"/>
      <c r="Q25" s="2268"/>
      <c r="R25" s="2268"/>
      <c r="S25" s="2268"/>
      <c r="T25" s="2268"/>
      <c r="U25" s="1459">
        <v>19</v>
      </c>
      <c r="V25" s="2162" t="str">
        <f t="shared" si="0"/>
        <v>042</v>
      </c>
      <c r="W25" s="108" t="str">
        <f t="shared" si="1"/>
        <v>2012</v>
      </c>
      <c r="X25" s="2160">
        <f>'VISITA DE INSP.'!AY20</f>
        <v>0</v>
      </c>
      <c r="Y25" s="2160">
        <f>'VISITA DE INSP.'!AZ20</f>
        <v>0</v>
      </c>
      <c r="Z25" s="2160" t="str">
        <f t="shared" si="2"/>
        <v xml:space="preserve">  BENITO JUAREZ</v>
      </c>
      <c r="AA25" s="2160">
        <f>'VISITA DE INSP.'!BA20</f>
        <v>0</v>
      </c>
      <c r="AB25" s="2220"/>
      <c r="AC25" s="2220"/>
      <c r="AD25" s="2220"/>
      <c r="AE25" s="2220"/>
      <c r="AF25" s="2220"/>
      <c r="AG25" s="2220"/>
      <c r="AH25" s="2220"/>
      <c r="AI25" s="2220"/>
      <c r="AJ25" s="2220"/>
      <c r="AK25" s="2220"/>
      <c r="AL25" s="2215">
        <f>'VISITA DE INSP.'!BE20</f>
        <v>0</v>
      </c>
      <c r="AM25" s="108">
        <f>'VISITA DE INSP.'!HZ21</f>
        <v>0</v>
      </c>
      <c r="AN25" s="1459"/>
    </row>
    <row r="26" spans="1:40" s="2163" customFormat="1" ht="18" customHeight="1">
      <c r="A26" s="2268"/>
      <c r="B26" s="2268"/>
      <c r="C26" s="2268"/>
      <c r="D26" s="2268"/>
      <c r="E26" s="2268"/>
      <c r="F26" s="2268"/>
      <c r="G26" s="2268"/>
      <c r="H26" s="2275"/>
      <c r="I26" s="2275"/>
      <c r="J26" s="2268"/>
      <c r="K26" s="2268"/>
      <c r="L26" s="2268"/>
      <c r="M26" s="2268"/>
      <c r="N26" s="2268"/>
      <c r="O26" s="2268"/>
      <c r="P26" s="2268"/>
      <c r="Q26" s="2268"/>
      <c r="R26" s="2268"/>
      <c r="S26" s="2268"/>
      <c r="T26" s="2268"/>
      <c r="U26" s="1459">
        <v>20</v>
      </c>
      <c r="V26" s="2162" t="str">
        <f t="shared" si="0"/>
        <v>042</v>
      </c>
      <c r="W26" s="108" t="str">
        <f t="shared" si="1"/>
        <v>2012</v>
      </c>
      <c r="X26" s="2160" t="str">
        <f>'VISITA DE INSP.'!AY21</f>
        <v>INSPECCION ESCOLAR</v>
      </c>
      <c r="Y26" s="2160" t="str">
        <f>'VISITA DE INSP.'!AZ21</f>
        <v>23FIZ0042D</v>
      </c>
      <c r="Z26" s="2160" t="str">
        <f t="shared" si="2"/>
        <v xml:space="preserve">  BENITO JUAREZ</v>
      </c>
      <c r="AA26" s="2160" t="str">
        <f>'VISITA DE INSP.'!BA21</f>
        <v>DISCONTINUO</v>
      </c>
      <c r="AB26" s="2220"/>
      <c r="AC26" s="2220"/>
      <c r="AD26" s="2220"/>
      <c r="AE26" s="2220"/>
      <c r="AF26" s="2220"/>
      <c r="AG26" s="2220"/>
      <c r="AH26" s="2220"/>
      <c r="AI26" s="2220"/>
      <c r="AJ26" s="2220"/>
      <c r="AK26" s="2220"/>
      <c r="AL26" s="2215" t="str">
        <f>'VISITA DE INSP.'!BE21</f>
        <v>RICALDE CASTRO * JESUS MARTIN</v>
      </c>
      <c r="AM26" s="108">
        <f>'VISITA DE INSP.'!HZ22</f>
        <v>9</v>
      </c>
      <c r="AN26" s="1459"/>
    </row>
    <row r="27" spans="1:40" s="2163" customFormat="1" ht="20.100000000000001" customHeight="1">
      <c r="A27" s="2268"/>
      <c r="B27" s="5266" t="s">
        <v>1701</v>
      </c>
      <c r="C27" s="5266"/>
      <c r="D27" s="5266"/>
      <c r="E27" s="5266"/>
      <c r="F27" s="5266"/>
      <c r="G27" s="5266"/>
      <c r="H27" s="5272">
        <f>VLOOKUP(S7,U6:AO22,13,13)</f>
        <v>14031.89</v>
      </c>
      <c r="I27" s="5272"/>
      <c r="J27" s="5272"/>
      <c r="K27" s="5272"/>
      <c r="L27" s="5272"/>
      <c r="M27" s="2275"/>
      <c r="N27" s="2268"/>
      <c r="O27" s="2268"/>
      <c r="P27" s="2268"/>
      <c r="Q27" s="2268"/>
      <c r="R27" s="2268"/>
      <c r="S27" s="2268"/>
      <c r="T27" s="2268"/>
      <c r="U27" s="1459"/>
      <c r="V27" s="1459">
        <f t="shared" ref="V27:AA27" si="3">COUNTA(V7:V26)</f>
        <v>20</v>
      </c>
      <c r="W27" s="1459">
        <f t="shared" si="3"/>
        <v>20</v>
      </c>
      <c r="X27" s="1459">
        <f t="shared" si="3"/>
        <v>20</v>
      </c>
      <c r="Y27" s="1459">
        <f>COUNTA(Y7:Y26)</f>
        <v>20</v>
      </c>
      <c r="Z27" s="1459">
        <f t="shared" si="3"/>
        <v>20</v>
      </c>
      <c r="AA27" s="1459">
        <f t="shared" si="3"/>
        <v>20</v>
      </c>
      <c r="AB27" s="2220">
        <f>SUM(AB7:AB26)</f>
        <v>78867.11</v>
      </c>
      <c r="AC27" s="2221">
        <f>SUM(AC7:AC26)</f>
        <v>331843.57</v>
      </c>
      <c r="AD27" s="2221">
        <f t="shared" ref="AD27:AK27" si="4">SUM(AD7:AD26)</f>
        <v>0</v>
      </c>
      <c r="AE27" s="2221">
        <f t="shared" si="4"/>
        <v>0</v>
      </c>
      <c r="AF27" s="2220">
        <f t="shared" si="4"/>
        <v>410710.68</v>
      </c>
      <c r="AG27" s="2221">
        <f t="shared" si="4"/>
        <v>179474.25999999998</v>
      </c>
      <c r="AH27" s="2221">
        <f t="shared" si="4"/>
        <v>104943.04999999999</v>
      </c>
      <c r="AI27" s="2221">
        <f t="shared" si="4"/>
        <v>69827.91</v>
      </c>
      <c r="AJ27" s="2220">
        <f t="shared" si="4"/>
        <v>354245.22000000003</v>
      </c>
      <c r="AK27" s="2220">
        <f t="shared" si="4"/>
        <v>56465.459999999992</v>
      </c>
      <c r="AL27" s="1459">
        <f>COUNTA(AL7:AL26)</f>
        <v>20</v>
      </c>
      <c r="AM27" s="108">
        <f>COUNTIF(AM7:AM26,"X")</f>
        <v>9</v>
      </c>
      <c r="AN27" s="1459"/>
    </row>
    <row r="28" spans="1:40" s="2163" customFormat="1" ht="20.100000000000001" customHeight="1">
      <c r="A28" s="2268"/>
      <c r="B28" s="5266" t="s">
        <v>1702</v>
      </c>
      <c r="C28" s="5266"/>
      <c r="D28" s="5266"/>
      <c r="E28" s="5266"/>
      <c r="F28" s="5266"/>
      <c r="G28" s="5266"/>
      <c r="H28" s="5272">
        <f>VLOOKUP(S7,U6:AO22,14,14)</f>
        <v>8039.49</v>
      </c>
      <c r="I28" s="5272"/>
      <c r="J28" s="5272"/>
      <c r="K28" s="5272"/>
      <c r="L28" s="5272"/>
      <c r="M28" s="2275"/>
      <c r="N28" s="2268"/>
      <c r="O28" s="2268"/>
      <c r="P28" s="2268"/>
      <c r="Q28" s="2268"/>
      <c r="R28" s="2268"/>
      <c r="S28" s="2268"/>
      <c r="T28" s="2268"/>
      <c r="U28" s="1459"/>
      <c r="V28" s="1459"/>
      <c r="W28" s="1459"/>
      <c r="X28" s="2164"/>
      <c r="Y28" s="2164"/>
      <c r="Z28" s="1459"/>
      <c r="AA28" s="1459"/>
      <c r="AB28" s="2218"/>
      <c r="AC28" s="2218"/>
      <c r="AD28" s="2218"/>
      <c r="AE28" s="2218"/>
      <c r="AF28" s="2218"/>
      <c r="AG28" s="2218"/>
      <c r="AH28" s="2218"/>
      <c r="AI28" s="2218"/>
      <c r="AJ28" s="2218"/>
      <c r="AK28" s="2218"/>
      <c r="AL28" s="1459"/>
      <c r="AM28" s="108"/>
      <c r="AN28" s="1459"/>
    </row>
    <row r="29" spans="1:40" s="2163" customFormat="1" ht="20.100000000000001" customHeight="1">
      <c r="A29" s="2268"/>
      <c r="B29" s="5266" t="s">
        <v>1703</v>
      </c>
      <c r="C29" s="5266"/>
      <c r="D29" s="5266"/>
      <c r="E29" s="5266"/>
      <c r="F29" s="5266"/>
      <c r="G29" s="5266"/>
      <c r="H29" s="5272">
        <f>VLOOKUP(S7,U6:AO22,15,15)</f>
        <v>4923.6000000000004</v>
      </c>
      <c r="I29" s="5272"/>
      <c r="J29" s="5272"/>
      <c r="K29" s="5272"/>
      <c r="L29" s="5272"/>
      <c r="M29" s="2275"/>
      <c r="N29" s="2268"/>
      <c r="O29" s="2268"/>
      <c r="P29" s="2268"/>
      <c r="Q29" s="2268"/>
      <c r="R29" s="2268"/>
      <c r="S29" s="2268"/>
      <c r="T29" s="2268"/>
      <c r="U29" s="1459"/>
      <c r="V29" s="1459"/>
      <c r="W29" s="1459"/>
      <c r="X29" s="2164"/>
      <c r="Y29" s="2164"/>
      <c r="Z29" s="1459"/>
      <c r="AA29" s="1459"/>
      <c r="AB29" s="2218"/>
      <c r="AC29" s="2218"/>
      <c r="AD29" s="2218"/>
      <c r="AE29" s="2218"/>
      <c r="AF29" s="2218"/>
      <c r="AG29" s="2218"/>
      <c r="AH29" s="2218"/>
      <c r="AI29" s="2218"/>
      <c r="AJ29" s="2218"/>
      <c r="AK29" s="2218"/>
      <c r="AL29" s="1459"/>
      <c r="AM29" s="108"/>
      <c r="AN29" s="1459"/>
    </row>
    <row r="30" spans="1:40" s="2163" customFormat="1" ht="20.100000000000001" customHeight="1">
      <c r="A30" s="2268"/>
      <c r="B30" s="5266" t="s">
        <v>1699</v>
      </c>
      <c r="C30" s="5266"/>
      <c r="D30" s="5266"/>
      <c r="E30" s="5266"/>
      <c r="F30" s="5266"/>
      <c r="G30" s="5266"/>
      <c r="H30" s="2268"/>
      <c r="I30" s="2268"/>
      <c r="J30" s="2275"/>
      <c r="K30" s="2276"/>
      <c r="L30" s="2277"/>
      <c r="M30" s="2277"/>
      <c r="N30" s="2278"/>
      <c r="O30" s="5267">
        <f>H27+H28+H29</f>
        <v>26994.979999999996</v>
      </c>
      <c r="P30" s="5267"/>
      <c r="Q30" s="5267"/>
      <c r="R30" s="5267"/>
      <c r="S30" s="5267"/>
      <c r="T30" s="2268"/>
      <c r="U30" s="1459"/>
      <c r="V30" s="1459"/>
      <c r="W30" s="1459"/>
      <c r="X30" s="2164"/>
      <c r="Y30" s="2164"/>
      <c r="Z30" s="1459"/>
      <c r="AA30" s="1459"/>
      <c r="AB30" s="2218"/>
      <c r="AC30" s="2218"/>
      <c r="AD30" s="2218"/>
      <c r="AE30" s="2218"/>
      <c r="AF30" s="2218"/>
      <c r="AG30" s="2218"/>
      <c r="AH30" s="2218"/>
      <c r="AI30" s="2218"/>
      <c r="AJ30" s="2218"/>
      <c r="AK30" s="2218"/>
      <c r="AL30" s="1459"/>
      <c r="AM30" s="108"/>
      <c r="AN30" s="1459"/>
    </row>
    <row r="31" spans="1:40" s="2163" customFormat="1" ht="18" customHeight="1">
      <c r="A31" s="2268"/>
      <c r="B31" s="2268"/>
      <c r="C31" s="2268"/>
      <c r="D31" s="2268"/>
      <c r="E31" s="2268"/>
      <c r="F31" s="2275"/>
      <c r="G31" s="2275"/>
      <c r="H31" s="2275"/>
      <c r="I31" s="2275"/>
      <c r="J31" s="2268"/>
      <c r="K31" s="2268"/>
      <c r="L31" s="2268"/>
      <c r="M31" s="2268"/>
      <c r="N31" s="2268"/>
      <c r="O31" s="2268"/>
      <c r="P31" s="2268"/>
      <c r="Q31" s="2268"/>
      <c r="R31" s="2268"/>
      <c r="S31" s="2268"/>
      <c r="T31" s="2268"/>
      <c r="U31" s="1459"/>
      <c r="V31" s="1459"/>
      <c r="W31" s="1459"/>
      <c r="X31" s="2164"/>
      <c r="Y31" s="2164"/>
      <c r="Z31" s="1459"/>
      <c r="AA31" s="1459"/>
      <c r="AB31" s="2218"/>
      <c r="AC31" s="2218"/>
      <c r="AD31" s="2218"/>
      <c r="AE31" s="2218"/>
      <c r="AF31" s="2218"/>
      <c r="AG31" s="2218"/>
      <c r="AH31" s="2218"/>
      <c r="AI31" s="2218"/>
      <c r="AJ31" s="2218"/>
      <c r="AK31" s="2218"/>
      <c r="AL31" s="1459"/>
      <c r="AM31" s="108"/>
      <c r="AN31" s="1459"/>
    </row>
    <row r="32" spans="1:40" s="2163" customFormat="1" ht="20.100000000000001" customHeight="1">
      <c r="A32" s="5268" t="s">
        <v>1704</v>
      </c>
      <c r="B32" s="5268"/>
      <c r="C32" s="5268"/>
      <c r="D32" s="5268"/>
      <c r="E32" s="5268"/>
      <c r="F32" s="5269">
        <f>O9+1</f>
        <v>2013</v>
      </c>
      <c r="G32" s="5269"/>
      <c r="H32" s="2283" t="s">
        <v>418</v>
      </c>
      <c r="I32" s="5270">
        <f>R9+1</f>
        <v>2014</v>
      </c>
      <c r="J32" s="5270"/>
      <c r="K32" s="2268"/>
      <c r="L32" s="2268"/>
      <c r="M32" s="2268"/>
      <c r="N32" s="2268"/>
      <c r="O32" s="5267">
        <f>O23-O30</f>
        <v>2542.4700000000048</v>
      </c>
      <c r="P32" s="5271"/>
      <c r="Q32" s="5271"/>
      <c r="R32" s="5271"/>
      <c r="S32" s="5271"/>
      <c r="T32" s="2268"/>
      <c r="U32" s="1459"/>
      <c r="V32" s="1459"/>
      <c r="W32" s="1459"/>
      <c r="X32" s="2164"/>
      <c r="Y32" s="2164"/>
      <c r="Z32" s="1459"/>
      <c r="AA32" s="1459"/>
      <c r="AB32" s="2218"/>
      <c r="AC32" s="2218"/>
      <c r="AD32" s="2218"/>
      <c r="AE32" s="2218"/>
      <c r="AF32" s="2218"/>
      <c r="AG32" s="2218"/>
      <c r="AH32" s="2218"/>
      <c r="AI32" s="2218"/>
      <c r="AJ32" s="2218"/>
      <c r="AK32" s="2218"/>
      <c r="AL32" s="1459"/>
      <c r="AM32" s="108"/>
      <c r="AN32" s="1459"/>
    </row>
    <row r="33" spans="1:40" s="2163" customFormat="1" ht="18" customHeight="1">
      <c r="A33" s="2269"/>
      <c r="B33" s="2268"/>
      <c r="C33" s="2268"/>
      <c r="D33" s="2268"/>
      <c r="E33" s="2268"/>
      <c r="F33" s="2268"/>
      <c r="G33" s="2268"/>
      <c r="H33" s="2268"/>
      <c r="I33" s="2268"/>
      <c r="J33" s="2268"/>
      <c r="K33" s="2268"/>
      <c r="L33" s="2268"/>
      <c r="M33" s="2268"/>
      <c r="N33" s="2268"/>
      <c r="O33" s="2268"/>
      <c r="P33" s="2268"/>
      <c r="Q33" s="2268"/>
      <c r="R33" s="2268"/>
      <c r="S33" s="2268"/>
      <c r="T33" s="2268"/>
      <c r="U33" s="1459"/>
      <c r="V33" s="1459"/>
      <c r="W33" s="1459"/>
      <c r="X33" s="2164"/>
      <c r="Y33" s="2164"/>
      <c r="Z33" s="1459"/>
      <c r="AA33" s="1459"/>
      <c r="AB33" s="2218"/>
      <c r="AC33" s="2218"/>
      <c r="AD33" s="2218"/>
      <c r="AE33" s="2218"/>
      <c r="AF33" s="2218"/>
      <c r="AG33" s="2218"/>
      <c r="AH33" s="2218"/>
      <c r="AI33" s="2218"/>
      <c r="AJ33" s="2218"/>
      <c r="AK33" s="2218"/>
      <c r="AL33" s="1459"/>
      <c r="AM33" s="108"/>
      <c r="AN33" s="1459"/>
    </row>
    <row r="34" spans="1:40" s="2163" customFormat="1" ht="15.75">
      <c r="A34" s="2269"/>
      <c r="B34" s="2268"/>
      <c r="C34" s="2268"/>
      <c r="D34" s="2268"/>
      <c r="E34" s="2268"/>
      <c r="F34" s="2268"/>
      <c r="G34" s="5277" t="s">
        <v>1708</v>
      </c>
      <c r="H34" s="5277"/>
      <c r="I34" s="5277"/>
      <c r="J34" s="5277"/>
      <c r="K34" s="5277"/>
      <c r="L34" s="5277"/>
      <c r="M34" s="5277"/>
      <c r="N34" s="2268"/>
      <c r="O34" s="2268"/>
      <c r="P34" s="2268"/>
      <c r="Q34" s="2268"/>
      <c r="R34" s="2268"/>
      <c r="S34" s="2268"/>
      <c r="T34" s="2268"/>
      <c r="U34" s="1459"/>
      <c r="V34" s="1459"/>
      <c r="W34" s="1459"/>
      <c r="X34" s="2164"/>
      <c r="Y34" s="2164"/>
      <c r="Z34" s="1459"/>
      <c r="AA34" s="1459"/>
      <c r="AB34" s="2218"/>
      <c r="AC34" s="2218"/>
      <c r="AD34" s="2218"/>
      <c r="AE34" s="2218"/>
      <c r="AF34" s="2218"/>
      <c r="AG34" s="2218"/>
      <c r="AH34" s="2218"/>
      <c r="AI34" s="2218"/>
      <c r="AJ34" s="2218"/>
      <c r="AK34" s="2218"/>
      <c r="AL34" s="1459"/>
      <c r="AM34" s="108"/>
      <c r="AN34" s="1459"/>
    </row>
    <row r="35" spans="1:40" s="2163" customFormat="1" ht="18" customHeight="1">
      <c r="A35" s="2269"/>
      <c r="B35" s="2268"/>
      <c r="C35" s="2268"/>
      <c r="D35" s="2268"/>
      <c r="E35" s="2268"/>
      <c r="F35" s="2268"/>
      <c r="G35" s="2289"/>
      <c r="H35" s="2289"/>
      <c r="I35" s="2289"/>
      <c r="J35" s="2289"/>
      <c r="K35" s="2289"/>
      <c r="L35" s="2289"/>
      <c r="M35" s="2289"/>
      <c r="N35" s="2268"/>
      <c r="O35" s="2268"/>
      <c r="P35" s="2268"/>
      <c r="Q35" s="2268"/>
      <c r="R35" s="2268"/>
      <c r="S35" s="2268"/>
      <c r="T35" s="2268"/>
      <c r="U35" s="1459"/>
      <c r="V35" s="1459"/>
      <c r="W35" s="1459"/>
      <c r="X35" s="2164"/>
      <c r="Y35" s="2164"/>
      <c r="Z35" s="1459"/>
      <c r="AA35" s="1459"/>
      <c r="AB35" s="2218"/>
      <c r="AC35" s="2218"/>
      <c r="AD35" s="2218"/>
      <c r="AE35" s="2218"/>
      <c r="AF35" s="2218"/>
      <c r="AG35" s="2218"/>
      <c r="AH35" s="2218"/>
      <c r="AI35" s="2218"/>
      <c r="AJ35" s="2218"/>
      <c r="AK35" s="2218"/>
      <c r="AL35" s="1459"/>
      <c r="AM35" s="108"/>
      <c r="AN35" s="1459"/>
    </row>
    <row r="36" spans="1:40" s="2163" customFormat="1" ht="18" customHeight="1">
      <c r="A36" s="2269"/>
      <c r="B36" s="2268"/>
      <c r="C36" s="2268"/>
      <c r="D36" s="2268"/>
      <c r="E36" s="2290"/>
      <c r="F36" s="2290"/>
      <c r="G36" s="2290"/>
      <c r="H36" s="2290"/>
      <c r="I36" s="2290"/>
      <c r="J36" s="2290"/>
      <c r="K36" s="2290"/>
      <c r="L36" s="2290"/>
      <c r="M36" s="2290"/>
      <c r="N36" s="2290"/>
      <c r="O36" s="2290"/>
      <c r="P36" s="2268"/>
      <c r="Q36" s="2268"/>
      <c r="R36" s="2268"/>
      <c r="S36" s="2268"/>
      <c r="T36" s="2268"/>
      <c r="U36" s="1459"/>
      <c r="V36" s="1459"/>
      <c r="W36" s="1459"/>
      <c r="X36" s="2164"/>
      <c r="Y36" s="2164"/>
      <c r="Z36" s="1459"/>
      <c r="AA36" s="1459"/>
      <c r="AB36" s="2218"/>
      <c r="AC36" s="2218"/>
      <c r="AD36" s="2218"/>
      <c r="AE36" s="2218"/>
      <c r="AF36" s="2218"/>
      <c r="AG36" s="2218"/>
      <c r="AH36" s="2218"/>
      <c r="AI36" s="2218"/>
      <c r="AJ36" s="2218"/>
      <c r="AK36" s="2218"/>
      <c r="AL36" s="1459"/>
      <c r="AM36" s="108"/>
      <c r="AN36" s="1459"/>
    </row>
    <row r="37" spans="1:40" ht="20.100000000000001" customHeight="1">
      <c r="A37" s="2267"/>
      <c r="B37" s="2266"/>
      <c r="C37" s="2266"/>
      <c r="D37" s="2266"/>
      <c r="E37" s="5278" t="str">
        <f>VLOOKUP(S7,U6:AO22,18,18)</f>
        <v>CARDEÑA BENITEZ * LIDIA ESMERALDA</v>
      </c>
      <c r="F37" s="5278"/>
      <c r="G37" s="5278"/>
      <c r="H37" s="5278"/>
      <c r="I37" s="5278"/>
      <c r="J37" s="5278"/>
      <c r="K37" s="5278"/>
      <c r="L37" s="5278"/>
      <c r="M37" s="5278"/>
      <c r="N37" s="5278"/>
      <c r="O37" s="5278"/>
      <c r="P37" s="2266"/>
      <c r="Q37" s="2266"/>
      <c r="R37" s="2266"/>
      <c r="S37" s="2266"/>
      <c r="T37" s="2266"/>
    </row>
    <row r="38" spans="1:40" ht="15">
      <c r="C38" s="2165"/>
      <c r="D38" s="2165"/>
      <c r="E38" s="2165"/>
      <c r="F38" s="2165"/>
      <c r="G38" s="2165"/>
      <c r="H38" s="2165"/>
    </row>
    <row r="39" spans="1:40" ht="15.75">
      <c r="C39" s="2166"/>
      <c r="D39" s="2166"/>
      <c r="E39" s="2166"/>
      <c r="F39" s="2166"/>
      <c r="G39" s="2166"/>
      <c r="H39" s="2166"/>
    </row>
  </sheetData>
  <sheetProtection selectLockedCells="1"/>
  <mergeCells count="48">
    <mergeCell ref="O15:S15"/>
    <mergeCell ref="A11:C11"/>
    <mergeCell ref="A12:F12"/>
    <mergeCell ref="G12:S12"/>
    <mergeCell ref="A3:S3"/>
    <mergeCell ref="A4:S4"/>
    <mergeCell ref="A5:S5"/>
    <mergeCell ref="A7:D7"/>
    <mergeCell ref="E7:G7"/>
    <mergeCell ref="A9:N9"/>
    <mergeCell ref="O9:P9"/>
    <mergeCell ref="R9:S9"/>
    <mergeCell ref="B21:G21"/>
    <mergeCell ref="H21:L21"/>
    <mergeCell ref="A13:B13"/>
    <mergeCell ref="C13:G13"/>
    <mergeCell ref="A15:E15"/>
    <mergeCell ref="F15:G15"/>
    <mergeCell ref="I15:J15"/>
    <mergeCell ref="A18:C18"/>
    <mergeCell ref="D18:E18"/>
    <mergeCell ref="G18:H18"/>
    <mergeCell ref="B20:G20"/>
    <mergeCell ref="H20:L20"/>
    <mergeCell ref="H29:L29"/>
    <mergeCell ref="B22:G22"/>
    <mergeCell ref="H22:L22"/>
    <mergeCell ref="B23:G23"/>
    <mergeCell ref="O23:S23"/>
    <mergeCell ref="A25:C25"/>
    <mergeCell ref="D25:E25"/>
    <mergeCell ref="G25:H25"/>
    <mergeCell ref="G34:M34"/>
    <mergeCell ref="E37:O37"/>
    <mergeCell ref="D11:L11"/>
    <mergeCell ref="M11:N11"/>
    <mergeCell ref="O11:S11"/>
    <mergeCell ref="B30:G30"/>
    <mergeCell ref="O30:S30"/>
    <mergeCell ref="A32:E32"/>
    <mergeCell ref="F32:G32"/>
    <mergeCell ref="I32:J32"/>
    <mergeCell ref="O32:S32"/>
    <mergeCell ref="B27:G27"/>
    <mergeCell ref="H27:L27"/>
    <mergeCell ref="B28:G28"/>
    <mergeCell ref="H28:L28"/>
    <mergeCell ref="B29:G29"/>
  </mergeCells>
  <conditionalFormatting sqref="D11 C13:G13 G12:S12 O15:S15 H20:L22 O23:S23 H27:L29 O30:S30 E37:O37 O11">
    <cfRule type="cellIs" dxfId="663" priority="2" operator="equal">
      <formula>0</formula>
    </cfRule>
  </conditionalFormatting>
  <conditionalFormatting sqref="U4:AQ28">
    <cfRule type="cellIs" dxfId="662" priority="1" operator="equal">
      <formula>0</formula>
    </cfRule>
  </conditionalFormatting>
  <printOptions horizontalCentered="1"/>
  <pageMargins left="0.31496062992125984" right="0.31496062992125984" top="0.47244094488188981" bottom="0.35433070866141736" header="0.31496062992125984" footer="0.31496062992125984"/>
  <pageSetup orientation="portrait" r:id="rId1"/>
  <drawing r:id="rId2"/>
  <legacyDrawing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H37"/>
  <sheetViews>
    <sheetView view="pageBreakPreview" zoomScale="80" zoomScaleSheetLayoutView="80" workbookViewId="0">
      <selection activeCell="A12" sqref="A12"/>
    </sheetView>
  </sheetViews>
  <sheetFormatPr baseColWidth="10" defaultRowHeight="12.75"/>
  <cols>
    <col min="1" max="1" width="4.5703125" style="107" customWidth="1"/>
    <col min="2" max="2" width="37" customWidth="1"/>
    <col min="3" max="4" width="6.28515625" customWidth="1"/>
    <col min="5" max="5" width="1.140625" customWidth="1"/>
    <col min="6" max="7" width="17.7109375" customWidth="1"/>
    <col min="8" max="8" width="1.42578125" customWidth="1"/>
  </cols>
  <sheetData>
    <row r="1" spans="1:8" ht="15" customHeight="1">
      <c r="A1" s="2999"/>
      <c r="B1" s="2655"/>
      <c r="C1" s="3084" t="s">
        <v>196</v>
      </c>
      <c r="D1" s="2655"/>
      <c r="E1" s="2655"/>
      <c r="F1" s="2655"/>
      <c r="G1" s="2655"/>
      <c r="H1" s="2655"/>
    </row>
    <row r="2" spans="1:8" ht="15" customHeight="1">
      <c r="A2" s="2999"/>
      <c r="B2" s="2655"/>
      <c r="C2" s="3084" t="s">
        <v>2335</v>
      </c>
      <c r="D2" s="2655"/>
      <c r="E2" s="2655"/>
      <c r="F2" s="2655"/>
      <c r="G2" s="2655"/>
      <c r="H2" s="2655"/>
    </row>
    <row r="3" spans="1:8" ht="15" customHeight="1">
      <c r="A3" s="2999"/>
      <c r="B3" s="2655"/>
      <c r="C3" s="3084" t="s">
        <v>2336</v>
      </c>
      <c r="D3" s="2655"/>
      <c r="E3" s="2655"/>
      <c r="F3" s="2655"/>
      <c r="G3" s="2655"/>
      <c r="H3" s="2655"/>
    </row>
    <row r="4" spans="1:8" ht="15" customHeight="1">
      <c r="A4" s="2999"/>
      <c r="B4" s="2655"/>
      <c r="C4" s="3084" t="s">
        <v>2337</v>
      </c>
      <c r="D4" s="2655"/>
      <c r="E4" s="2655"/>
      <c r="F4" s="2655"/>
      <c r="G4" s="2655"/>
      <c r="H4" s="2655"/>
    </row>
    <row r="5" spans="1:8" ht="6" customHeight="1">
      <c r="A5" s="2999"/>
      <c r="B5" s="2655"/>
      <c r="C5" s="2655"/>
      <c r="D5" s="2655"/>
      <c r="E5" s="2655"/>
      <c r="F5" s="2655"/>
      <c r="G5" s="2655"/>
      <c r="H5" s="2655"/>
    </row>
    <row r="6" spans="1:8">
      <c r="A6" s="2999"/>
      <c r="B6" s="2655"/>
      <c r="C6" s="3000" t="s">
        <v>2338</v>
      </c>
      <c r="D6" s="2655"/>
      <c r="E6" s="2655"/>
      <c r="F6" s="2655"/>
      <c r="G6" s="2655"/>
      <c r="H6" s="2655"/>
    </row>
    <row r="7" spans="1:8" ht="6.75" customHeight="1">
      <c r="A7" s="2999"/>
      <c r="B7" s="2655"/>
      <c r="C7" s="2655"/>
      <c r="D7" s="3000"/>
      <c r="E7" s="2655"/>
      <c r="F7" s="2655"/>
      <c r="G7" s="2655"/>
      <c r="H7" s="2655"/>
    </row>
    <row r="8" spans="1:8" ht="12.75" customHeight="1">
      <c r="A8" s="2999"/>
      <c r="B8" s="5286" t="s">
        <v>2339</v>
      </c>
      <c r="C8" s="5286"/>
      <c r="D8" s="5286"/>
      <c r="E8" s="5286"/>
      <c r="F8" s="5286"/>
      <c r="G8" s="5286"/>
      <c r="H8" s="2655"/>
    </row>
    <row r="9" spans="1:8" ht="12.75" customHeight="1">
      <c r="A9" s="2999"/>
      <c r="B9" s="5286" t="s">
        <v>2340</v>
      </c>
      <c r="C9" s="5286"/>
      <c r="D9" s="5286"/>
      <c r="E9" s="5286"/>
      <c r="F9" s="5286"/>
      <c r="G9" s="5286"/>
      <c r="H9" s="2655"/>
    </row>
    <row r="10" spans="1:8" ht="6" customHeight="1">
      <c r="A10" s="2999"/>
      <c r="B10" s="3001"/>
      <c r="C10" s="3001"/>
      <c r="D10" s="3001"/>
      <c r="E10" s="3001"/>
      <c r="F10" s="3001"/>
      <c r="G10" s="3001"/>
      <c r="H10" s="2655"/>
    </row>
    <row r="11" spans="1:8" ht="12.75" customHeight="1">
      <c r="A11" s="5285" t="s">
        <v>2341</v>
      </c>
      <c r="B11" s="5285"/>
      <c r="C11" s="5285"/>
      <c r="D11" s="5285"/>
      <c r="E11" s="5285"/>
      <c r="F11" s="5285"/>
      <c r="G11" s="5285"/>
      <c r="H11" s="5285"/>
    </row>
    <row r="12" spans="1:8" ht="12.75" customHeight="1">
      <c r="A12" s="3002" t="s">
        <v>2343</v>
      </c>
      <c r="B12" s="3002"/>
      <c r="C12" s="3002"/>
      <c r="D12" s="3001"/>
      <c r="E12" s="3001"/>
      <c r="F12" s="3001"/>
      <c r="G12" s="3001"/>
      <c r="H12" s="2655"/>
    </row>
    <row r="13" spans="1:8" ht="12.75" customHeight="1">
      <c r="A13" s="2999"/>
      <c r="B13" s="3002"/>
      <c r="C13" s="3002"/>
      <c r="D13" s="3001"/>
      <c r="E13" s="3001"/>
      <c r="F13" s="3001"/>
      <c r="G13" s="3001"/>
      <c r="H13" s="2655"/>
    </row>
    <row r="14" spans="1:8" ht="12.75" customHeight="1">
      <c r="A14" s="5282" t="str">
        <f>CONCATENATE('VISITA DE INSP.'!B6,'VISITA DE INSP.'!U6,'VISITA DE INSP.'!E7,'VISITA DE INSP.'!U6,'VISITA DE INSP.'!V7,'VISITA DE INSP.'!U6,'VISITA DE INSP.'!AE7)</f>
        <v>ESCUELA   PRIMARIA     KABAH   23DPR0055K   MATUTINO</v>
      </c>
      <c r="B14" s="5283"/>
      <c r="C14" s="5283"/>
      <c r="D14" s="5283"/>
      <c r="E14" s="5283"/>
      <c r="F14" s="5283"/>
      <c r="G14" s="5283"/>
      <c r="H14" s="5284"/>
    </row>
    <row r="15" spans="1:8" ht="12.75" customHeight="1">
      <c r="A15" s="3018" t="s">
        <v>444</v>
      </c>
      <c r="B15" s="3019" t="s">
        <v>257</v>
      </c>
      <c r="C15" s="3020"/>
      <c r="D15" s="3021" t="s">
        <v>2344</v>
      </c>
      <c r="E15" s="5287" t="s">
        <v>375</v>
      </c>
      <c r="F15" s="5288"/>
      <c r="G15" s="5288"/>
      <c r="H15" s="3022"/>
    </row>
    <row r="16" spans="1:8" ht="26.25" customHeight="1">
      <c r="A16" s="3023">
        <v>1</v>
      </c>
      <c r="B16" s="3003" t="str">
        <f>'VISITA DE INSP.'!D17</f>
        <v>CERVANTES BENITEZ * ANTONIA</v>
      </c>
      <c r="C16" s="3004"/>
      <c r="D16" s="3017" t="str">
        <f>CONCATENATE('VISITA DE INSP.'!B17,'VISITA DE INSP.'!C17)</f>
        <v>00</v>
      </c>
      <c r="E16" s="3015"/>
      <c r="F16" s="3005"/>
      <c r="G16" s="3005"/>
      <c r="H16" s="3006"/>
    </row>
    <row r="17" spans="1:8" ht="26.25" customHeight="1">
      <c r="A17" s="3024">
        <v>2</v>
      </c>
      <c r="B17" s="3039" t="str">
        <f>'VISITA DE INSP.'!D18</f>
        <v>ARANDA ESCALANTE * ARELI GUADALUPE</v>
      </c>
      <c r="C17" s="3013"/>
      <c r="D17" s="3041" t="str">
        <f>CONCATENATE('VISITA DE INSP.'!B18,'VISITA DE INSP.'!C18)</f>
        <v>1ºA</v>
      </c>
      <c r="E17" s="3016"/>
      <c r="F17" s="3005"/>
      <c r="G17" s="3005"/>
      <c r="H17" s="3008"/>
    </row>
    <row r="18" spans="1:8" ht="26.25" customHeight="1">
      <c r="A18" s="3024">
        <v>3</v>
      </c>
      <c r="B18" s="3039" t="str">
        <f>'VISITA DE INSP.'!D19</f>
        <v>AKE QUEB * MARIANA DEL CONSUELO</v>
      </c>
      <c r="C18" s="3013"/>
      <c r="D18" s="3041" t="str">
        <f>CONCATENATE('VISITA DE INSP.'!B19,'VISITA DE INSP.'!C19)</f>
        <v>1ºB</v>
      </c>
      <c r="E18" s="3016"/>
      <c r="F18" s="3005"/>
      <c r="G18" s="3005"/>
      <c r="H18" s="3008"/>
    </row>
    <row r="19" spans="1:8" ht="26.25" customHeight="1">
      <c r="A19" s="3024">
        <v>4</v>
      </c>
      <c r="B19" s="3039" t="str">
        <f>'VISITA DE INSP.'!D20</f>
        <v>MORENO CARDENAS * IGNACIA</v>
      </c>
      <c r="C19" s="3013"/>
      <c r="D19" s="3041" t="str">
        <f>CONCATENATE('VISITA DE INSP.'!B20,'VISITA DE INSP.'!C20)</f>
        <v>2ºA</v>
      </c>
      <c r="E19" s="3016"/>
      <c r="F19" s="3005"/>
      <c r="G19" s="3005"/>
      <c r="H19" s="3008"/>
    </row>
    <row r="20" spans="1:8" ht="26.25" customHeight="1">
      <c r="A20" s="3024">
        <v>5</v>
      </c>
      <c r="B20" s="3039" t="str">
        <f>'VISITA DE INSP.'!D21</f>
        <v>GONGORA SANTOS * GRACIELA</v>
      </c>
      <c r="C20" s="3013"/>
      <c r="D20" s="3041" t="str">
        <f>CONCATENATE('VISITA DE INSP.'!B21,'VISITA DE INSP.'!C21)</f>
        <v>2ºB</v>
      </c>
      <c r="E20" s="3016"/>
      <c r="F20" s="3005"/>
      <c r="G20" s="3005"/>
      <c r="H20" s="3008"/>
    </row>
    <row r="21" spans="1:8" ht="26.25" customHeight="1">
      <c r="A21" s="3024">
        <v>6</v>
      </c>
      <c r="B21" s="3039" t="str">
        <f>'VISITA DE INSP.'!D22</f>
        <v>VARGAS GARCIA * DEBRA DORIS DEL SAGRARIO</v>
      </c>
      <c r="C21" s="3013"/>
      <c r="D21" s="3041" t="str">
        <f>CONCATENATE('VISITA DE INSP.'!B22,'VISITA DE INSP.'!C22)</f>
        <v>3ºA</v>
      </c>
      <c r="E21" s="3016"/>
      <c r="F21" s="3005"/>
      <c r="G21" s="3005"/>
      <c r="H21" s="3008"/>
    </row>
    <row r="22" spans="1:8" ht="26.25" customHeight="1">
      <c r="A22" s="3024">
        <v>7</v>
      </c>
      <c r="B22" s="3039" t="str">
        <f>'VISITA DE INSP.'!D23</f>
        <v>CASTRO LOPEZ * SOSIMA PETRA</v>
      </c>
      <c r="C22" s="3013"/>
      <c r="D22" s="3041" t="str">
        <f>CONCATENATE('VISITA DE INSP.'!B23,'VISITA DE INSP.'!C23)</f>
        <v>3ºB</v>
      </c>
      <c r="E22" s="3016"/>
      <c r="F22" s="3005"/>
      <c r="G22" s="3005"/>
      <c r="H22" s="3008"/>
    </row>
    <row r="23" spans="1:8" ht="26.25" customHeight="1">
      <c r="A23" s="3024">
        <v>8</v>
      </c>
      <c r="B23" s="3039" t="str">
        <f>'VISITA DE INSP.'!D24</f>
        <v>SANCHEZ BUSTAMANTE * CONCEPCION</v>
      </c>
      <c r="C23" s="3013"/>
      <c r="D23" s="3041" t="str">
        <f>CONCATENATE('VISITA DE INSP.'!B24,'VISITA DE INSP.'!C24)</f>
        <v>4ºA</v>
      </c>
      <c r="E23" s="3016"/>
      <c r="F23" s="3005"/>
      <c r="G23" s="3005"/>
      <c r="H23" s="3008"/>
    </row>
    <row r="24" spans="1:8" ht="26.25" customHeight="1">
      <c r="A24" s="3024">
        <v>9</v>
      </c>
      <c r="B24" s="3039" t="str">
        <f>'VISITA DE INSP.'!D25</f>
        <v>VIVEROS SALAZAR *NORA</v>
      </c>
      <c r="C24" s="3013"/>
      <c r="D24" s="3041" t="str">
        <f>CONCATENATE('VISITA DE INSP.'!B25,'VISITA DE INSP.'!C25)</f>
        <v>4ºB</v>
      </c>
      <c r="E24" s="3016"/>
      <c r="F24" s="3005"/>
      <c r="G24" s="3005"/>
      <c r="H24" s="3008"/>
    </row>
    <row r="25" spans="1:8" ht="26.25" customHeight="1">
      <c r="A25" s="3024">
        <v>10</v>
      </c>
      <c r="B25" s="3039" t="str">
        <f>'VISITA DE INSP.'!D26</f>
        <v>XIU VELAZQUEZ * JOSE MANUEL</v>
      </c>
      <c r="C25" s="3013"/>
      <c r="D25" s="3041" t="str">
        <f>CONCATENATE('VISITA DE INSP.'!B26,'VISITA DE INSP.'!C26)</f>
        <v>5ºA</v>
      </c>
      <c r="E25" s="3016"/>
      <c r="F25" s="3005"/>
      <c r="G25" s="3005"/>
      <c r="H25" s="3008"/>
    </row>
    <row r="26" spans="1:8" ht="26.25" customHeight="1">
      <c r="A26" s="3024">
        <v>11</v>
      </c>
      <c r="B26" s="3039" t="str">
        <f>'VISITA DE INSP.'!D27</f>
        <v>MARTIN QUINTAL * SIHARELI CONCEPCION</v>
      </c>
      <c r="C26" s="3013"/>
      <c r="D26" s="3017" t="str">
        <f>CONCATENATE('VISITA DE INSP.'!B27,'VISITA DE INSP.'!C27)</f>
        <v>5ºB</v>
      </c>
      <c r="E26" s="3016"/>
      <c r="F26" s="3005"/>
      <c r="G26" s="3005"/>
      <c r="H26" s="3008"/>
    </row>
    <row r="27" spans="1:8" ht="26.25" customHeight="1">
      <c r="A27" s="3024">
        <v>12</v>
      </c>
      <c r="B27" s="3039" t="str">
        <f>'VISITA DE INSP.'!D28</f>
        <v>ALEMAN SANTOS * MIRIAM</v>
      </c>
      <c r="C27" s="3013"/>
      <c r="D27" s="3017" t="str">
        <f>CONCATENATE('VISITA DE INSP.'!B28,'VISITA DE INSP.'!C28)</f>
        <v>6ºA</v>
      </c>
      <c r="E27" s="3016"/>
      <c r="F27" s="3005"/>
      <c r="G27" s="3005"/>
      <c r="H27" s="3008"/>
    </row>
    <row r="28" spans="1:8" ht="26.25" customHeight="1">
      <c r="A28" s="3024">
        <v>13</v>
      </c>
      <c r="B28" s="3039" t="str">
        <f>'VISITA DE INSP.'!D29</f>
        <v>CRUZ PEREZ * FRANCISCO</v>
      </c>
      <c r="C28" s="3013"/>
      <c r="D28" s="3017" t="str">
        <f>CONCATENATE('VISITA DE INSP.'!B29,'VISITA DE INSP.'!C29)</f>
        <v>6ºB</v>
      </c>
      <c r="E28" s="3016"/>
      <c r="F28" s="3005"/>
      <c r="G28" s="3005"/>
      <c r="H28" s="3008"/>
    </row>
    <row r="29" spans="1:8" ht="26.25" customHeight="1">
      <c r="A29" s="3024">
        <v>14</v>
      </c>
      <c r="B29" s="3039" t="str">
        <f>'VISITA DE INSP.'!D30</f>
        <v>GONGORA * TERESITA DEL CARMEN</v>
      </c>
      <c r="C29" s="3013"/>
      <c r="D29" s="3017" t="str">
        <f>CONCATENATE('VISITA DE INSP.'!B30,'VISITA DE INSP.'!C30)</f>
        <v>00</v>
      </c>
      <c r="E29" s="3016"/>
      <c r="F29" s="3005"/>
      <c r="G29" s="3005"/>
      <c r="H29" s="3008"/>
    </row>
    <row r="30" spans="1:8" ht="26.25" customHeight="1">
      <c r="A30" s="3024">
        <v>15</v>
      </c>
      <c r="B30" s="3039" t="str">
        <f>'VISITA DE INSP.'!D31</f>
        <v>ARGUELLES GARCIA * MAYRA LUCELY</v>
      </c>
      <c r="C30" s="3013"/>
      <c r="D30" s="3017" t="str">
        <f>CONCATENATE('VISITA DE INSP.'!B31,'VISITA DE INSP.'!C31)</f>
        <v>00</v>
      </c>
      <c r="E30" s="3016"/>
      <c r="F30" s="3005"/>
      <c r="G30" s="3005"/>
      <c r="H30" s="3008"/>
    </row>
    <row r="31" spans="1:8" ht="26.25" customHeight="1">
      <c r="A31" s="3024">
        <v>16</v>
      </c>
      <c r="B31" s="3040">
        <f>'VISITA DE INSP.'!D32</f>
        <v>0</v>
      </c>
      <c r="C31" s="3014"/>
      <c r="D31" s="3017" t="str">
        <f>CONCATENATE('VISITA DE INSP.'!B32,'VISITA DE INSP.'!C32)</f>
        <v>00</v>
      </c>
      <c r="E31" s="3016"/>
      <c r="F31" s="3005"/>
      <c r="G31" s="3005"/>
      <c r="H31" s="3008"/>
    </row>
    <row r="32" spans="1:8" ht="26.25" customHeight="1">
      <c r="A32" s="3024">
        <v>17</v>
      </c>
      <c r="B32" s="3040">
        <f>'VISITA DE INSP.'!D33</f>
        <v>0</v>
      </c>
      <c r="C32" s="3014"/>
      <c r="D32" s="3017" t="str">
        <f>CONCATENATE('VISITA DE INSP.'!B33,'VISITA DE INSP.'!C33)</f>
        <v>00</v>
      </c>
      <c r="E32" s="3016"/>
      <c r="F32" s="3005"/>
      <c r="G32" s="3005"/>
      <c r="H32" s="3008"/>
    </row>
    <row r="33" spans="1:8" ht="26.25" customHeight="1">
      <c r="A33" s="3024">
        <v>18</v>
      </c>
      <c r="B33" s="3040" t="str">
        <f>'VISITA DE INSP.'!D34</f>
        <v>GARDUÑO CASTILLO * MERLI ROCIO</v>
      </c>
      <c r="C33" s="3014"/>
      <c r="D33" s="3017" t="str">
        <f>CONCATENATE('VISITA DE INSP.'!B34,'VISITA DE INSP.'!C34)</f>
        <v>00</v>
      </c>
      <c r="E33" s="3016"/>
      <c r="F33" s="3005"/>
      <c r="G33" s="3005"/>
      <c r="H33" s="3008"/>
    </row>
    <row r="34" spans="1:8" ht="26.25" customHeight="1">
      <c r="A34" s="3024">
        <v>19</v>
      </c>
      <c r="B34" s="3040" t="str">
        <f>'VISITA DE INSP.'!D35</f>
        <v>POOT QUEB *LUIS ARMANDO</v>
      </c>
      <c r="C34" s="3014"/>
      <c r="D34" s="3017" t="str">
        <f>CONCATENATE('VISITA DE INSP.'!B35,'VISITA DE INSP.'!C35)</f>
        <v>00</v>
      </c>
      <c r="E34" s="3016"/>
      <c r="F34" s="3005"/>
      <c r="G34" s="3005"/>
      <c r="H34" s="3008"/>
    </row>
    <row r="35" spans="1:8" ht="26.25" customHeight="1">
      <c r="A35" s="3025">
        <v>20</v>
      </c>
      <c r="B35" s="3040">
        <f>'VISITA DE INSP.'!D36</f>
        <v>0</v>
      </c>
      <c r="C35" s="3014"/>
      <c r="D35" s="3017" t="str">
        <f>CONCATENATE('VISITA DE INSP.'!B36,'VISITA DE INSP.'!C36)</f>
        <v>00</v>
      </c>
      <c r="E35" s="3007"/>
      <c r="F35" s="3005"/>
      <c r="G35" s="3005"/>
      <c r="H35" s="3008"/>
    </row>
    <row r="36" spans="1:8" ht="5.25" customHeight="1">
      <c r="A36" s="3026"/>
      <c r="B36" s="3009"/>
      <c r="C36" s="3010"/>
      <c r="D36" s="3010"/>
      <c r="E36" s="3009"/>
      <c r="F36" s="3011"/>
      <c r="G36" s="3011"/>
      <c r="H36" s="3012"/>
    </row>
    <row r="37" spans="1:8">
      <c r="A37" s="2997"/>
      <c r="B37" s="2998"/>
      <c r="C37" s="2998"/>
      <c r="D37" s="2998"/>
      <c r="E37" s="2998"/>
      <c r="F37" s="2998"/>
      <c r="G37" s="2998"/>
      <c r="H37" s="2998"/>
    </row>
  </sheetData>
  <mergeCells count="5">
    <mergeCell ref="A14:H14"/>
    <mergeCell ref="A11:H11"/>
    <mergeCell ref="B8:G8"/>
    <mergeCell ref="B9:G9"/>
    <mergeCell ref="E15:G15"/>
  </mergeCells>
  <conditionalFormatting sqref="B16:C35">
    <cfRule type="cellIs" dxfId="661" priority="3" operator="equal">
      <formula>0</formula>
    </cfRule>
  </conditionalFormatting>
  <conditionalFormatting sqref="D16:D35">
    <cfRule type="cellIs" dxfId="660" priority="1" operator="equal">
      <formula>0</formula>
    </cfRule>
    <cfRule type="cellIs" dxfId="659" priority="2" operator="equal">
      <formula>0</formula>
    </cfRule>
  </conditionalFormatting>
  <pageMargins left="0.70866141732283472" right="0.70866141732283472" top="0.59055118110236227" bottom="0.35433070866141736" header="0.31496062992125984" footer="0.31496062992125984"/>
  <pageSetup orientation="portrait" r:id="rId1"/>
  <drawing r:id="rId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tabColor rgb="FF33CC33"/>
  </sheetPr>
  <dimension ref="A1:CU85"/>
  <sheetViews>
    <sheetView view="pageBreakPreview" topLeftCell="A33" zoomScaleSheetLayoutView="100" workbookViewId="0">
      <selection activeCell="CT26" sqref="CT26"/>
    </sheetView>
  </sheetViews>
  <sheetFormatPr baseColWidth="10" defaultRowHeight="12.75"/>
  <cols>
    <col min="1" max="1" width="0.5703125" style="1387" customWidth="1"/>
    <col min="2" max="2" width="9.140625" style="1387" customWidth="1"/>
    <col min="3" max="3" width="14" style="1397" customWidth="1"/>
    <col min="4" max="4" width="4.5703125" style="1397" customWidth="1"/>
    <col min="5" max="5" width="7.140625" style="1387" customWidth="1"/>
    <col min="6" max="8" width="5.7109375" style="1387" customWidth="1"/>
    <col min="9" max="9" width="9.7109375" style="1387" customWidth="1"/>
    <col min="10" max="10" width="6.7109375" style="1387" customWidth="1"/>
    <col min="11" max="11" width="1.140625" style="1387" customWidth="1"/>
    <col min="12" max="12" width="4" style="1397" customWidth="1"/>
    <col min="13" max="15" width="5.7109375" style="1387" customWidth="1"/>
    <col min="16" max="16" width="9.28515625" style="1387" customWidth="1"/>
    <col min="17" max="17" width="11.7109375" style="1387" customWidth="1"/>
    <col min="18" max="20" width="5.7109375" style="1387" customWidth="1"/>
    <col min="21" max="21" width="0.5703125" style="1382" customWidth="1"/>
    <col min="22" max="22" width="2.140625" style="1606" hidden="1" customWidth="1"/>
    <col min="23" max="23" width="4" style="1628" hidden="1" customWidth="1"/>
    <col min="24" max="25" width="3.5703125" style="1628" hidden="1" customWidth="1"/>
    <col min="26" max="26" width="4" style="1614" hidden="1" customWidth="1"/>
    <col min="27" max="27" width="4" style="1632" hidden="1" customWidth="1"/>
    <col min="28" max="28" width="4" style="1637" hidden="1" customWidth="1"/>
    <col min="29" max="29" width="4" style="1638" hidden="1" customWidth="1"/>
    <col min="30" max="30" width="4" style="1639" hidden="1" customWidth="1"/>
    <col min="31" max="31" width="4" style="1637" hidden="1" customWidth="1"/>
    <col min="32" max="32" width="4" style="1638" hidden="1" customWidth="1"/>
    <col min="33" max="33" width="4" style="1639" hidden="1" customWidth="1"/>
    <col min="34" max="34" width="4" style="1637" hidden="1" customWidth="1"/>
    <col min="35" max="35" width="4" style="1638" hidden="1" customWidth="1"/>
    <col min="36" max="36" width="4" style="1639" hidden="1" customWidth="1"/>
    <col min="37" max="37" width="4" style="1637" hidden="1" customWidth="1"/>
    <col min="38" max="38" width="4" style="1638" hidden="1" customWidth="1"/>
    <col min="39" max="39" width="4" style="1639" hidden="1" customWidth="1"/>
    <col min="40" max="40" width="4" style="1637" hidden="1" customWidth="1"/>
    <col min="41" max="41" width="4" style="1638" hidden="1" customWidth="1"/>
    <col min="42" max="42" width="4" style="1639" hidden="1" customWidth="1"/>
    <col min="43" max="43" width="4" style="1637" hidden="1" customWidth="1"/>
    <col min="44" max="44" width="4" style="1638" hidden="1" customWidth="1"/>
    <col min="45" max="45" width="4" style="1639" hidden="1" customWidth="1"/>
    <col min="46" max="46" width="4" style="1637" hidden="1" customWidth="1"/>
    <col min="47" max="47" width="4" style="1638" hidden="1" customWidth="1"/>
    <col min="48" max="48" width="4" style="1639" hidden="1" customWidth="1"/>
    <col min="49" max="49" width="4" style="1637" hidden="1" customWidth="1"/>
    <col min="50" max="50" width="4" style="1638" hidden="1" customWidth="1"/>
    <col min="51" max="51" width="4" style="1639" hidden="1" customWidth="1"/>
    <col min="52" max="52" width="4" style="1637" hidden="1" customWidth="1"/>
    <col min="53" max="53" width="4" style="1638" hidden="1" customWidth="1"/>
    <col min="54" max="54" width="4" style="1639" hidden="1" customWidth="1"/>
    <col min="55" max="55" width="4" style="1637" hidden="1" customWidth="1"/>
    <col min="56" max="56" width="4" style="1638" hidden="1" customWidth="1"/>
    <col min="57" max="57" width="4" style="1632" hidden="1" customWidth="1"/>
    <col min="58" max="58" width="4" style="1637" hidden="1" customWidth="1"/>
    <col min="59" max="59" width="4" style="1638" hidden="1" customWidth="1"/>
    <col min="60" max="60" width="4" style="1632" hidden="1" customWidth="1"/>
    <col min="61" max="61" width="4" style="1637" hidden="1" customWidth="1"/>
    <col min="62" max="62" width="4" style="1638" hidden="1" customWidth="1"/>
    <col min="63" max="63" width="4" style="1632" hidden="1" customWidth="1"/>
    <col min="64" max="64" width="4" style="1637" hidden="1" customWidth="1"/>
    <col min="65" max="65" width="4" style="1638" hidden="1" customWidth="1"/>
    <col min="66" max="66" width="4" style="1632" hidden="1" customWidth="1"/>
    <col min="67" max="67" width="4" style="1637" hidden="1" customWidth="1"/>
    <col min="68" max="68" width="4" style="1638" hidden="1" customWidth="1"/>
    <col min="69" max="69" width="4" style="1632" hidden="1" customWidth="1"/>
    <col min="70" max="70" width="4" style="1637" hidden="1" customWidth="1"/>
    <col min="71" max="71" width="4" style="1638" hidden="1" customWidth="1"/>
    <col min="72" max="72" width="4" style="1632" hidden="1" customWidth="1"/>
    <col min="73" max="73" width="4" style="1637" hidden="1" customWidth="1"/>
    <col min="74" max="75" width="4" style="1640" hidden="1" customWidth="1"/>
    <col min="76" max="77" width="3.42578125" style="1387" hidden="1" customWidth="1"/>
    <col min="78" max="93" width="5" style="1656" hidden="1" customWidth="1"/>
    <col min="94" max="94" width="5.7109375" style="1656" hidden="1" customWidth="1"/>
    <col min="95" max="97" width="5.7109375" style="1387" hidden="1" customWidth="1"/>
    <col min="98" max="16384" width="11.42578125" style="1387"/>
  </cols>
  <sheetData>
    <row r="1" spans="1:97" s="1382" customFormat="1" ht="11.25" customHeight="1">
      <c r="A1" s="1755"/>
      <c r="B1" s="1381">
        <v>0</v>
      </c>
      <c r="C1" s="1755">
        <v>0</v>
      </c>
      <c r="D1" s="1755">
        <v>0</v>
      </c>
      <c r="E1" s="2603">
        <v>0</v>
      </c>
      <c r="F1" s="2603">
        <v>0</v>
      </c>
      <c r="G1" s="5307">
        <v>0</v>
      </c>
      <c r="H1" s="5307"/>
      <c r="I1" s="5307"/>
      <c r="J1" s="5307"/>
      <c r="K1" s="5307"/>
      <c r="L1" s="5307"/>
      <c r="M1" s="5307"/>
      <c r="N1" s="5307"/>
      <c r="O1" s="5307"/>
      <c r="P1" s="2603">
        <v>0</v>
      </c>
      <c r="Q1" s="2603">
        <v>0</v>
      </c>
      <c r="R1" s="2603">
        <v>0</v>
      </c>
      <c r="S1" s="1381">
        <v>0</v>
      </c>
      <c r="T1" s="1381">
        <v>0</v>
      </c>
      <c r="U1" s="1755">
        <v>0</v>
      </c>
      <c r="V1" s="2604"/>
      <c r="W1" s="2605">
        <f>VLOOKUP(P40,R49:S66,2)</f>
        <v>1</v>
      </c>
      <c r="X1" s="2605">
        <f>W1+1</f>
        <v>2</v>
      </c>
      <c r="Y1" s="2605">
        <f>W1+2</f>
        <v>3</v>
      </c>
      <c r="Z1" s="2606">
        <f>W1+3</f>
        <v>4</v>
      </c>
      <c r="AA1" s="2607">
        <v>1</v>
      </c>
      <c r="AB1" s="2605">
        <v>2</v>
      </c>
      <c r="AC1" s="2608">
        <v>3</v>
      </c>
      <c r="AD1" s="2607">
        <v>5</v>
      </c>
      <c r="AE1" s="2605">
        <v>6</v>
      </c>
      <c r="AF1" s="2608">
        <v>7</v>
      </c>
      <c r="AG1" s="2607">
        <v>9</v>
      </c>
      <c r="AH1" s="2605">
        <v>10</v>
      </c>
      <c r="AI1" s="2608">
        <v>11</v>
      </c>
      <c r="AJ1" s="2607">
        <v>13</v>
      </c>
      <c r="AK1" s="2605">
        <v>14</v>
      </c>
      <c r="AL1" s="2608">
        <v>15</v>
      </c>
      <c r="AM1" s="2607">
        <v>17</v>
      </c>
      <c r="AN1" s="2605">
        <v>18</v>
      </c>
      <c r="AO1" s="2608">
        <v>19</v>
      </c>
      <c r="AP1" s="2607">
        <v>21</v>
      </c>
      <c r="AQ1" s="2605">
        <v>22</v>
      </c>
      <c r="AR1" s="2608">
        <v>23</v>
      </c>
      <c r="AS1" s="2607">
        <v>25</v>
      </c>
      <c r="AT1" s="2605">
        <v>26</v>
      </c>
      <c r="AU1" s="2608">
        <v>27</v>
      </c>
      <c r="AV1" s="2607">
        <v>29</v>
      </c>
      <c r="AW1" s="2605">
        <v>30</v>
      </c>
      <c r="AX1" s="2608">
        <v>31</v>
      </c>
      <c r="AY1" s="2607">
        <v>33</v>
      </c>
      <c r="AZ1" s="2605">
        <v>34</v>
      </c>
      <c r="BA1" s="2608">
        <v>35</v>
      </c>
      <c r="BB1" s="2607">
        <v>37</v>
      </c>
      <c r="BC1" s="2605">
        <v>38</v>
      </c>
      <c r="BD1" s="2608">
        <v>39</v>
      </c>
      <c r="BE1" s="2607">
        <v>41</v>
      </c>
      <c r="BF1" s="2605">
        <v>42</v>
      </c>
      <c r="BG1" s="2608">
        <v>43</v>
      </c>
      <c r="BH1" s="2607">
        <v>45</v>
      </c>
      <c r="BI1" s="2605">
        <v>46</v>
      </c>
      <c r="BJ1" s="2608">
        <v>47</v>
      </c>
      <c r="BK1" s="2607">
        <v>49</v>
      </c>
      <c r="BL1" s="2605">
        <v>50</v>
      </c>
      <c r="BM1" s="2608">
        <v>51</v>
      </c>
      <c r="BN1" s="2607">
        <v>53</v>
      </c>
      <c r="BO1" s="2605">
        <v>54</v>
      </c>
      <c r="BP1" s="2608">
        <v>55</v>
      </c>
      <c r="BQ1" s="2607">
        <v>57</v>
      </c>
      <c r="BR1" s="2605">
        <v>58</v>
      </c>
      <c r="BS1" s="2608">
        <v>59</v>
      </c>
      <c r="BT1" s="2607">
        <v>61</v>
      </c>
      <c r="BU1" s="2605">
        <v>62</v>
      </c>
      <c r="BV1" s="2608">
        <v>63</v>
      </c>
      <c r="BW1" s="2607"/>
      <c r="BX1" s="2799">
        <f>P40</f>
        <v>1</v>
      </c>
      <c r="BY1" s="2609">
        <v>0</v>
      </c>
      <c r="BZ1" s="2610">
        <v>1</v>
      </c>
      <c r="CA1" s="2610">
        <v>2</v>
      </c>
      <c r="CB1" s="2610">
        <v>3</v>
      </c>
      <c r="CC1" s="2610">
        <v>4</v>
      </c>
      <c r="CD1" s="2610">
        <v>5</v>
      </c>
      <c r="CE1" s="2610">
        <v>6</v>
      </c>
      <c r="CF1" s="2610">
        <v>7</v>
      </c>
      <c r="CG1" s="2610">
        <v>8</v>
      </c>
      <c r="CH1" s="2610">
        <v>9</v>
      </c>
      <c r="CI1" s="2610">
        <v>10</v>
      </c>
      <c r="CJ1" s="2610">
        <v>11</v>
      </c>
      <c r="CK1" s="2610">
        <v>12</v>
      </c>
      <c r="CL1" s="2610">
        <v>13</v>
      </c>
      <c r="CM1" s="2610">
        <v>14</v>
      </c>
      <c r="CN1" s="2610">
        <v>15</v>
      </c>
      <c r="CO1" s="2610">
        <v>16</v>
      </c>
      <c r="CP1" s="2609">
        <v>17</v>
      </c>
      <c r="CQ1" s="2609">
        <v>18</v>
      </c>
      <c r="CR1" s="2609">
        <v>19</v>
      </c>
      <c r="CS1" s="2609">
        <v>20</v>
      </c>
    </row>
    <row r="2" spans="1:97" ht="18.75" customHeight="1">
      <c r="A2" s="1383"/>
      <c r="B2" s="1384"/>
      <c r="C2" s="1385"/>
      <c r="D2" s="1385"/>
      <c r="E2" s="1386"/>
      <c r="G2" s="5324" t="s">
        <v>2519</v>
      </c>
      <c r="H2" s="5324"/>
      <c r="I2" s="5324"/>
      <c r="J2" s="5324"/>
      <c r="K2" s="5324"/>
      <c r="L2" s="5324"/>
      <c r="M2" s="5324"/>
      <c r="N2" s="5324"/>
      <c r="O2" s="5324"/>
      <c r="P2" s="1386"/>
      <c r="Q2" s="1386"/>
      <c r="R2" s="1386"/>
      <c r="S2" s="1384"/>
      <c r="T2" s="1384"/>
      <c r="U2" s="1755">
        <v>0</v>
      </c>
      <c r="V2" s="1607">
        <v>0</v>
      </c>
      <c r="W2" s="1752" t="str">
        <f>HLOOKUP(W1,AA1:BV20,2)</f>
        <v/>
      </c>
      <c r="X2" s="1618">
        <f>HLOOKUP(X1,AA1:BV20,2)</f>
        <v>0</v>
      </c>
      <c r="Y2" s="1619">
        <f>HLOOKUP(Y1,AA1:BV20,2)</f>
        <v>0</v>
      </c>
      <c r="Z2" s="1612">
        <f>X2+Y2</f>
        <v>0</v>
      </c>
      <c r="AA2" s="1632" t="str">
        <f>CONCATENATE(Plantillas!Y37,Plantillas!Z37)</f>
        <v/>
      </c>
      <c r="AB2" s="1617">
        <f>Plantillas!AC37</f>
        <v>0</v>
      </c>
      <c r="AC2" s="1633">
        <f>Plantillas!AD37</f>
        <v>0</v>
      </c>
      <c r="AD2" s="1631" t="str">
        <f>CONCATENATE(Plantillas!Y77,Plantillas!Z77)</f>
        <v/>
      </c>
      <c r="AE2" s="1617">
        <f>Plantillas!AC77</f>
        <v>0</v>
      </c>
      <c r="AF2" s="1633">
        <f>Plantillas!AD77</f>
        <v>0</v>
      </c>
      <c r="AG2" s="1631" t="str">
        <f>CONCATENATE(Plantillas!Y117,Plantillas!Z117)</f>
        <v/>
      </c>
      <c r="AH2" s="1617">
        <f>Plantillas!AC117</f>
        <v>0</v>
      </c>
      <c r="AI2" s="1633">
        <f>Plantillas!AD117</f>
        <v>0</v>
      </c>
      <c r="AJ2" s="1631" t="str">
        <f>CONCATENATE(Plantillas!Y157,Plantillas!Z157)</f>
        <v/>
      </c>
      <c r="AK2" s="1617">
        <f>Plantillas!AC157</f>
        <v>0</v>
      </c>
      <c r="AL2" s="1633">
        <f>Plantillas!AD157</f>
        <v>0</v>
      </c>
      <c r="AM2" s="1631" t="str">
        <f>CONCATENATE(Plantillas!Y197,Plantillas!Z197)</f>
        <v/>
      </c>
      <c r="AN2" s="1617">
        <f>Plantillas!AC197</f>
        <v>0</v>
      </c>
      <c r="AO2" s="1633">
        <f>Plantillas!AD197</f>
        <v>0</v>
      </c>
      <c r="AP2" s="1631" t="str">
        <f>CONCATENATE(Plantillas!Y237,Plantillas!Z237)</f>
        <v/>
      </c>
      <c r="AQ2" s="1617">
        <f>Plantillas!AC237</f>
        <v>0</v>
      </c>
      <c r="AR2" s="1633">
        <f>Plantillas!AD237</f>
        <v>0</v>
      </c>
      <c r="AS2" s="1631" t="str">
        <f>CONCATENATE(Plantillas!Y277,Plantillas!Z277)</f>
        <v/>
      </c>
      <c r="AT2" s="1617">
        <f>Plantillas!AC277</f>
        <v>0</v>
      </c>
      <c r="AU2" s="1633">
        <f>Plantillas!AD277</f>
        <v>0</v>
      </c>
      <c r="AV2" s="1631" t="str">
        <f>CONCATENATE(Plantillas!Y317,Plantillas!Z317)</f>
        <v>5ºA</v>
      </c>
      <c r="AW2" s="1617">
        <f>Plantillas!AC317</f>
        <v>9</v>
      </c>
      <c r="AX2" s="1633">
        <f>Plantillas!AD317</f>
        <v>11</v>
      </c>
      <c r="AY2" s="1631" t="str">
        <f>CONCATENATE(Plantillas!Y357,Plantillas!Z357)</f>
        <v/>
      </c>
      <c r="AZ2" s="1617">
        <f>Plantillas!AC357</f>
        <v>0</v>
      </c>
      <c r="BA2" s="1633">
        <f>Plantillas!AD357</f>
        <v>0</v>
      </c>
      <c r="BB2" s="1631" t="str">
        <f>CONCATENATE(Plantillas!Y397,Plantillas!Z397)</f>
        <v/>
      </c>
      <c r="BC2" s="1617">
        <f>Plantillas!AC397</f>
        <v>0</v>
      </c>
      <c r="BD2" s="1633">
        <f>Plantillas!AD397</f>
        <v>0</v>
      </c>
      <c r="BE2" s="1629" t="str">
        <f>CONCATENATE(Plantillas!Y437,Plantillas!Z437)</f>
        <v>6ºA</v>
      </c>
      <c r="BF2" s="1617">
        <f>Plantillas!AC437</f>
        <v>5</v>
      </c>
      <c r="BG2" s="1633">
        <f>Plantillas!AD437</f>
        <v>8</v>
      </c>
      <c r="BH2" s="1629" t="str">
        <f>CONCATENATE(Plantillas!Y477,Plantillas!Z477)</f>
        <v>1ºA</v>
      </c>
      <c r="BI2" s="1617">
        <f>Plantillas!AC477</f>
        <v>11</v>
      </c>
      <c r="BJ2" s="1633">
        <f>Plantillas!AD477</f>
        <v>4</v>
      </c>
      <c r="BK2" s="1629" t="str">
        <f>CONCATENATE(Plantillas!Y517,Plantillas!Z517)</f>
        <v/>
      </c>
      <c r="BL2" s="1617">
        <f>Plantillas!AC517</f>
        <v>0</v>
      </c>
      <c r="BM2" s="1633">
        <f>Plantillas!AD517</f>
        <v>0</v>
      </c>
      <c r="BN2" s="1629" t="str">
        <f>CONCATENATE(Plantillas!Y557,Plantillas!Z557)</f>
        <v/>
      </c>
      <c r="BO2" s="1617">
        <f>Plantillas!AC557</f>
        <v>0</v>
      </c>
      <c r="BP2" s="1633">
        <f>Plantillas!AD557</f>
        <v>0</v>
      </c>
      <c r="BQ2" s="1629" t="str">
        <f>CONCATENATE(Plantillas!Y597,Plantillas!Z597)</f>
        <v>1ºA</v>
      </c>
      <c r="BR2" s="1617">
        <f>Plantillas!AC597</f>
        <v>8</v>
      </c>
      <c r="BS2" s="1633">
        <f>Plantillas!AD597</f>
        <v>12</v>
      </c>
      <c r="BT2" s="1629" t="str">
        <f>CONCATENATE(Plantillas!Y637,Plantillas!Z637)</f>
        <v/>
      </c>
      <c r="BU2" s="1617">
        <f>Plantillas!AC637</f>
        <v>0</v>
      </c>
      <c r="BV2" s="1633">
        <f>Plantillas!AD637</f>
        <v>0</v>
      </c>
      <c r="BW2" s="3222">
        <v>0</v>
      </c>
      <c r="BX2" s="3223" t="str">
        <f>VLOOKUP(BX1,BY2:CS21,2,2)</f>
        <v>CERVANTES BENITEZ * ANTONIA</v>
      </c>
      <c r="BY2" s="1658">
        <v>1</v>
      </c>
      <c r="BZ2" s="2800" t="str">
        <f>Plantillas!B37</f>
        <v>CERVANTES BENITEZ * ANTONIA</v>
      </c>
      <c r="CA2" s="2800" t="str">
        <f>Plantillas!B38</f>
        <v>ARANDA ESCALANTE * ARELI GUADALUPE</v>
      </c>
      <c r="CB2" s="2800" t="str">
        <f>Plantillas!B39</f>
        <v>AKE QUEB * MARIANA DEL CONSUELO</v>
      </c>
      <c r="CC2" s="2800" t="str">
        <f>Plantillas!B40</f>
        <v>MORENO CARDENAS * IGNACIA</v>
      </c>
      <c r="CD2" s="2800" t="str">
        <f>Plantillas!B41</f>
        <v>GONGORA SANTOS * GRACIELA</v>
      </c>
      <c r="CE2" s="2800" t="str">
        <f>Plantillas!B42</f>
        <v>VARGAS GARCIA * DEBRA DORIS DEL SAGRARIO</v>
      </c>
      <c r="CF2" s="2800" t="str">
        <f>Plantillas!B43</f>
        <v>CASTRO LOPEZ * SOSIMA PETRA</v>
      </c>
      <c r="CG2" s="2800" t="str">
        <f>Plantillas!B44</f>
        <v>SANCHEZ BUSTAMANTE * CONCEPCION</v>
      </c>
      <c r="CH2" s="2800" t="str">
        <f>Plantillas!B45</f>
        <v>VIVEROS SALAZAR *NORA</v>
      </c>
      <c r="CI2" s="2800" t="str">
        <f>Plantillas!B46</f>
        <v>XIU VELAZQUEZ * JOSE MANUEL</v>
      </c>
      <c r="CJ2" s="2800" t="str">
        <f>Plantillas!B47</f>
        <v>MARTIN QUINTAL * SIHARELI CONCEPCION</v>
      </c>
      <c r="CK2" s="2800" t="str">
        <f>Plantillas!B48</f>
        <v>ALEMAN SANTOS * MIRIAM</v>
      </c>
      <c r="CL2" s="2800" t="str">
        <f>Plantillas!B49</f>
        <v>CRUZ PEREZ * FRANCISCO</v>
      </c>
      <c r="CM2" s="2800" t="str">
        <f>Plantillas!B50</f>
        <v>GONGORA * TERESITA DEL CARMEN</v>
      </c>
      <c r="CN2" s="2800" t="str">
        <f>Plantillas!B51</f>
        <v>ARGUELLES GARCIA * MAYRA LUCELY</v>
      </c>
      <c r="CO2" s="2800">
        <f>Plantillas!B52</f>
        <v>0</v>
      </c>
      <c r="CP2" s="2800">
        <f>Plantillas!B53</f>
        <v>0</v>
      </c>
      <c r="CQ2" s="2800" t="str">
        <f>Plantillas!B54</f>
        <v>GARDUÑO CASTILLO * MERLI ROCIO</v>
      </c>
      <c r="CR2" s="2800" t="str">
        <f>Plantillas!B55</f>
        <v>POOT QUEB *LUIS ARMANDO</v>
      </c>
      <c r="CS2" s="2800">
        <f>Plantillas!B56</f>
        <v>0</v>
      </c>
    </row>
    <row r="3" spans="1:97" ht="18.75" customHeight="1">
      <c r="A3" s="1755">
        <v>0</v>
      </c>
      <c r="B3" s="1388"/>
      <c r="C3" s="1385"/>
      <c r="D3" s="1385"/>
      <c r="E3" s="1388"/>
      <c r="F3" s="1388"/>
      <c r="G3" s="5325" t="s">
        <v>1127</v>
      </c>
      <c r="H3" s="5325"/>
      <c r="I3" s="5325"/>
      <c r="J3" s="5325"/>
      <c r="K3" s="5325"/>
      <c r="L3" s="5325"/>
      <c r="M3" s="5325"/>
      <c r="N3" s="5325"/>
      <c r="O3" s="5325"/>
      <c r="P3" s="1388"/>
      <c r="Q3" s="1388"/>
      <c r="R3" s="1388"/>
      <c r="S3" s="1388"/>
      <c r="T3" s="1389"/>
      <c r="U3" s="1755">
        <v>0</v>
      </c>
      <c r="V3" s="1607">
        <v>1</v>
      </c>
      <c r="W3" s="1752" t="str">
        <f>HLOOKUP(W1,AA1:BV20,3)</f>
        <v>1ºA</v>
      </c>
      <c r="X3" s="1618">
        <f>HLOOKUP(X1,AA1:BV20,3)</f>
        <v>17</v>
      </c>
      <c r="Y3" s="1619">
        <f>HLOOKUP(Y1,AA1:BV20,3)</f>
        <v>13</v>
      </c>
      <c r="Z3" s="1612">
        <f>X3+Y3</f>
        <v>30</v>
      </c>
      <c r="AA3" s="1632" t="str">
        <f>CONCATENATE(Plantillas!Y38,Plantillas!Z38)</f>
        <v>1ºA</v>
      </c>
      <c r="AB3" s="1617">
        <f>Plantillas!AC38</f>
        <v>17</v>
      </c>
      <c r="AC3" s="1633">
        <f>Plantillas!AD38</f>
        <v>13</v>
      </c>
      <c r="AD3" s="1631" t="str">
        <f>CONCATENATE(Plantillas!Y78,Plantillas!Z78)</f>
        <v>1ºA</v>
      </c>
      <c r="AE3" s="1617">
        <f>Plantillas!AC78</f>
        <v>15</v>
      </c>
      <c r="AF3" s="1633">
        <f>Plantillas!AD78</f>
        <v>18</v>
      </c>
      <c r="AG3" s="1631" t="str">
        <f>CONCATENATE(Plantillas!Y118,Plantillas!Z118)</f>
        <v>1ºA</v>
      </c>
      <c r="AH3" s="1617">
        <f>Plantillas!AC118</f>
        <v>12</v>
      </c>
      <c r="AI3" s="1633">
        <f>Plantillas!AD118</f>
        <v>18</v>
      </c>
      <c r="AJ3" s="1631" t="str">
        <f>CONCATENATE(Plantillas!Y158,Plantillas!Z158)</f>
        <v>1ºA</v>
      </c>
      <c r="AK3" s="1617">
        <f>Plantillas!AC158</f>
        <v>15</v>
      </c>
      <c r="AL3" s="1633">
        <f>Plantillas!AD158</f>
        <v>19</v>
      </c>
      <c r="AM3" s="1631" t="str">
        <f>CONCATENATE(Plantillas!Y198,Plantillas!Z198)</f>
        <v>1ºA</v>
      </c>
      <c r="AN3" s="1617">
        <f>Plantillas!AC198</f>
        <v>13</v>
      </c>
      <c r="AO3" s="1633">
        <f>Plantillas!AD198</f>
        <v>14</v>
      </c>
      <c r="AP3" s="1631" t="str">
        <f>CONCATENATE(Plantillas!Y238,Plantillas!Z238)</f>
        <v>1ºA</v>
      </c>
      <c r="AQ3" s="1617">
        <f>Plantillas!AC238</f>
        <v>16</v>
      </c>
      <c r="AR3" s="1633">
        <f>Plantillas!AD238</f>
        <v>17</v>
      </c>
      <c r="AS3" s="1631" t="str">
        <f>CONCATENATE(Plantillas!Y278,Plantillas!Z278)</f>
        <v>3ºA</v>
      </c>
      <c r="AT3" s="1617">
        <f>Plantillas!AC278</f>
        <v>12</v>
      </c>
      <c r="AU3" s="1633">
        <f>Plantillas!AD278</f>
        <v>10</v>
      </c>
      <c r="AV3" s="1631" t="str">
        <f>CONCATENATE(Plantillas!Y318,Plantillas!Z318)</f>
        <v>6ºA</v>
      </c>
      <c r="AW3" s="1617">
        <f>Plantillas!AC318</f>
        <v>16</v>
      </c>
      <c r="AX3" s="1633">
        <f>Plantillas!AD318</f>
        <v>12</v>
      </c>
      <c r="AY3" s="1631" t="str">
        <f>CONCATENATE(Plantillas!Y358,Plantillas!Z358)</f>
        <v>1ºA</v>
      </c>
      <c r="AZ3" s="1617">
        <f>Plantillas!AC358</f>
        <v>17</v>
      </c>
      <c r="BA3" s="1633">
        <f>Plantillas!AD358</f>
        <v>11</v>
      </c>
      <c r="BB3" s="1631" t="str">
        <f>CONCATENATE(Plantillas!Y398,Plantillas!Z398)</f>
        <v>1ºA</v>
      </c>
      <c r="BC3" s="1617">
        <f>Plantillas!AC398</f>
        <v>19</v>
      </c>
      <c r="BD3" s="1633">
        <f>Plantillas!AD398</f>
        <v>15</v>
      </c>
      <c r="BE3" s="1629" t="str">
        <f>CONCATENATE(Plantillas!Y438,Plantillas!Z438)</f>
        <v>1ºA</v>
      </c>
      <c r="BF3" s="1617">
        <f>Plantillas!AC438</f>
        <v>6</v>
      </c>
      <c r="BG3" s="1633">
        <f>Plantillas!AD438</f>
        <v>3</v>
      </c>
      <c r="BH3" s="1629" t="str">
        <f>CONCATENATE(Plantillas!Y478,Plantillas!Z478)</f>
        <v>2ºA</v>
      </c>
      <c r="BI3" s="1617">
        <f>Plantillas!AC478</f>
        <v>9</v>
      </c>
      <c r="BJ3" s="1633">
        <f>Plantillas!AD478</f>
        <v>8</v>
      </c>
      <c r="BK3" s="1629" t="str">
        <f>CONCATENATE(Plantillas!Y518,Plantillas!Z518)</f>
        <v>1ºA</v>
      </c>
      <c r="BL3" s="1617">
        <f>Plantillas!AC518</f>
        <v>5</v>
      </c>
      <c r="BM3" s="1633">
        <f>Plantillas!AD518</f>
        <v>2</v>
      </c>
      <c r="BN3" s="1629" t="str">
        <f>CONCATENATE(Plantillas!Y558,Plantillas!Z558)</f>
        <v>1ºA</v>
      </c>
      <c r="BO3" s="1617">
        <f>Plantillas!AC558</f>
        <v>10</v>
      </c>
      <c r="BP3" s="1633">
        <f>Plantillas!AD558</f>
        <v>6</v>
      </c>
      <c r="BQ3" s="1629" t="str">
        <f>CONCATENATE(Plantillas!Y598,Plantillas!Z598)</f>
        <v>1ºB</v>
      </c>
      <c r="BR3" s="1617">
        <f>Plantillas!AC598</f>
        <v>10</v>
      </c>
      <c r="BS3" s="1633">
        <f>Plantillas!AD598</f>
        <v>11</v>
      </c>
      <c r="BT3" s="1629" t="str">
        <f>CONCATENATE(Plantillas!Y638,Plantillas!Z638)</f>
        <v/>
      </c>
      <c r="BU3" s="1617">
        <f>Plantillas!AC638</f>
        <v>0</v>
      </c>
      <c r="BV3" s="1633">
        <f>Plantillas!AD638</f>
        <v>0</v>
      </c>
      <c r="BW3" s="3222">
        <v>1</v>
      </c>
      <c r="BX3" s="3223" t="str">
        <f>VLOOKUP(BX1,BY2:CS21,3,3)</f>
        <v>ARANDA ESCALANTE * ARELI GUADALUPE</v>
      </c>
      <c r="BY3" s="1658">
        <v>2</v>
      </c>
      <c r="BZ3" s="2800" t="str">
        <f>Plantillas!B77</f>
        <v>BALAN XIU * MANUEL JESUS</v>
      </c>
      <c r="CA3" s="2800" t="str">
        <f>Plantillas!B78</f>
        <v>SOSA QUEB * IVONNE GUADALUPE</v>
      </c>
      <c r="CB3" s="2800" t="str">
        <f>Plantillas!B79</f>
        <v>GARCIA POLANCO MANUEL JESUS DE ATOCHA</v>
      </c>
      <c r="CC3" s="2800" t="str">
        <f>Plantillas!B80</f>
        <v>HERNANDEZ JIMENEZ * LUCERO</v>
      </c>
      <c r="CD3" s="2800" t="str">
        <f>Plantillas!B81</f>
        <v>LANDEROS LOPEZ * ALVINA</v>
      </c>
      <c r="CE3" s="2800" t="str">
        <f>Plantillas!B82</f>
        <v>ZALDIVAR CORAL * LORENA DEL ROCIO</v>
      </c>
      <c r="CF3" s="2800" t="str">
        <f>Plantillas!B83</f>
        <v>ARANDA TINAH * BARBARA ISABEL</v>
      </c>
      <c r="CG3" s="2800" t="str">
        <f>Plantillas!B84</f>
        <v>AVILES KOYOC * LAURA GUADALUPE</v>
      </c>
      <c r="CH3" s="2800" t="str">
        <f>Plantillas!B85</f>
        <v>SIERRA FLORES * MARITZA ILEN</v>
      </c>
      <c r="CI3" s="2800" t="str">
        <f>Plantillas!B86</f>
        <v>CARDENA BENITEZ * LIDIA ESMERALDA</v>
      </c>
      <c r="CJ3" s="2800" t="str">
        <f>Plantillas!B87</f>
        <v>TUN CAUICH * EVA DEL JESUS</v>
      </c>
      <c r="CK3" s="2800" t="str">
        <f>Plantillas!B88</f>
        <v>SALAS ALCOCER * JOSE ARIMAEL</v>
      </c>
      <c r="CL3" s="2800" t="str">
        <f>Plantillas!B89</f>
        <v>CANUL DE LA O * MIGUEL ANGEL</v>
      </c>
      <c r="CM3" s="2800" t="str">
        <f>Plantillas!B90</f>
        <v>SANGUINO TREJO * JUAN CARLOS</v>
      </c>
      <c r="CN3" s="2800" t="str">
        <f>Plantillas!B91</f>
        <v>PEREZ DZUL * ZACARIAS</v>
      </c>
      <c r="CO3" s="2800" t="str">
        <f>Plantillas!B92</f>
        <v>LIZARRAGA CASTILLO * ANA EUGENIA</v>
      </c>
      <c r="CP3" s="2800" t="str">
        <f>Plantillas!B93</f>
        <v>ORTIZ ROSADO * LESTHER ARMANDO</v>
      </c>
      <c r="CQ3" s="2800" t="str">
        <f>Plantillas!B94</f>
        <v>DZUL YAM * GENNY YAMILI</v>
      </c>
      <c r="CR3" s="2800" t="str">
        <f>Plantillas!B95</f>
        <v>KU LORIA * GABRIELA RUBI</v>
      </c>
      <c r="CS3" s="2800">
        <f>Plantillas!B96</f>
        <v>0</v>
      </c>
    </row>
    <row r="4" spans="1:97" ht="37.5" customHeight="1">
      <c r="A4" s="1755">
        <v>0</v>
      </c>
      <c r="B4" s="3470" t="s">
        <v>1128</v>
      </c>
      <c r="C4" s="3469"/>
      <c r="D4" s="1759"/>
      <c r="E4" s="1760"/>
      <c r="F4" s="1760"/>
      <c r="G4" s="1760"/>
      <c r="H4" s="5309" t="s">
        <v>2520</v>
      </c>
      <c r="I4" s="5309"/>
      <c r="J4" s="5309"/>
      <c r="K4" s="5309"/>
      <c r="L4" s="5309"/>
      <c r="M4" s="5309"/>
      <c r="N4" s="5309"/>
      <c r="O4" s="1760"/>
      <c r="P4" s="1760"/>
      <c r="Q4" s="3471"/>
      <c r="R4" s="3472" t="s">
        <v>1129</v>
      </c>
      <c r="S4" s="3472" t="str">
        <f>'VISITA DE INSP.'!AS9</f>
        <v>2012</v>
      </c>
      <c r="T4" s="3470">
        <f>S4+1</f>
        <v>2013</v>
      </c>
      <c r="U4" s="1755">
        <v>0</v>
      </c>
      <c r="V4" s="1607">
        <v>2</v>
      </c>
      <c r="W4" s="1752" t="str">
        <f>HLOOKUP(W1,AA1:BV20,4)</f>
        <v>1ºB</v>
      </c>
      <c r="X4" s="1618">
        <f>HLOOKUP(X1,AA1:BV20,4)</f>
        <v>15</v>
      </c>
      <c r="Y4" s="1619">
        <f>HLOOKUP(Y1,AA1:BV20,4)</f>
        <v>12</v>
      </c>
      <c r="Z4" s="1612">
        <f>X4+Y4</f>
        <v>27</v>
      </c>
      <c r="AA4" s="1632" t="str">
        <f>CONCATENATE(Plantillas!Y39,Plantillas!Z39)</f>
        <v>1ºB</v>
      </c>
      <c r="AB4" s="1617">
        <f>Plantillas!AC39</f>
        <v>15</v>
      </c>
      <c r="AC4" s="1633">
        <f>Plantillas!AD39</f>
        <v>12</v>
      </c>
      <c r="AD4" s="1631" t="str">
        <f>CONCATENATE(Plantillas!Y79,Plantillas!Z79)</f>
        <v>1ºB</v>
      </c>
      <c r="AE4" s="1617">
        <f>Plantillas!AC79</f>
        <v>15</v>
      </c>
      <c r="AF4" s="1633">
        <f>Plantillas!AD79</f>
        <v>11</v>
      </c>
      <c r="AG4" s="1631" t="str">
        <f>CONCATENATE(Plantillas!Y119,Plantillas!Z119)</f>
        <v>2ºA</v>
      </c>
      <c r="AH4" s="1617">
        <f>Plantillas!AC119</f>
        <v>19</v>
      </c>
      <c r="AI4" s="1633">
        <f>Plantillas!AD119</f>
        <v>13</v>
      </c>
      <c r="AJ4" s="1631" t="str">
        <f>CONCATENATE(Plantillas!Y159,Plantillas!Z159)</f>
        <v>1ºB</v>
      </c>
      <c r="AK4" s="1617">
        <f>Plantillas!AC159</f>
        <v>15</v>
      </c>
      <c r="AL4" s="1633">
        <f>Plantillas!AD159</f>
        <v>18</v>
      </c>
      <c r="AM4" s="1631" t="str">
        <f>CONCATENATE(Plantillas!Y199,Plantillas!Z199)</f>
        <v>2ºA</v>
      </c>
      <c r="AN4" s="1617">
        <f>Plantillas!AC199</f>
        <v>21</v>
      </c>
      <c r="AO4" s="1633">
        <f>Plantillas!AD199</f>
        <v>14</v>
      </c>
      <c r="AP4" s="1631" t="str">
        <f>CONCATENATE(Plantillas!Y239,Plantillas!Z239)</f>
        <v>1ºB</v>
      </c>
      <c r="AQ4" s="1617">
        <f>Plantillas!AC239</f>
        <v>15</v>
      </c>
      <c r="AR4" s="1633">
        <f>Plantillas!AD239</f>
        <v>17</v>
      </c>
      <c r="AS4" s="1631" t="str">
        <f>CONCATENATE(Plantillas!Y279,Plantillas!Z279)</f>
        <v>4ºA</v>
      </c>
      <c r="AT4" s="1617">
        <f>Plantillas!AC279</f>
        <v>13</v>
      </c>
      <c r="AU4" s="1633">
        <f>Plantillas!AD279</f>
        <v>9</v>
      </c>
      <c r="AV4" s="1631" t="str">
        <f>CONCATENATE(Plantillas!Y319,Plantillas!Z319)</f>
        <v/>
      </c>
      <c r="AW4" s="1617">
        <f>Plantillas!AC319</f>
        <v>0</v>
      </c>
      <c r="AX4" s="1633">
        <f>Plantillas!AD319</f>
        <v>0</v>
      </c>
      <c r="AY4" s="1631" t="str">
        <f>CONCATENATE(Plantillas!Y359,Plantillas!Z359)</f>
        <v>1ºB</v>
      </c>
      <c r="AZ4" s="1617">
        <f>Plantillas!AC359</f>
        <v>13</v>
      </c>
      <c r="BA4" s="1633">
        <f>Plantillas!AD359</f>
        <v>13</v>
      </c>
      <c r="BB4" s="1631" t="str">
        <f>CONCATENATE(Plantillas!Y399,Plantillas!Z399)</f>
        <v>2ºA</v>
      </c>
      <c r="BC4" s="1617">
        <f>Plantillas!AC399</f>
        <v>23</v>
      </c>
      <c r="BD4" s="1633">
        <f>Plantillas!AD399</f>
        <v>12</v>
      </c>
      <c r="BE4" s="1629" t="str">
        <f>CONCATENATE(Plantillas!Y439,Plantillas!Z439)</f>
        <v>2ºA</v>
      </c>
      <c r="BF4" s="1617">
        <f>Plantillas!AC439</f>
        <v>7</v>
      </c>
      <c r="BG4" s="1633">
        <f>Plantillas!AD439</f>
        <v>6</v>
      </c>
      <c r="BH4" s="1629" t="str">
        <f>CONCATENATE(Plantillas!Y479,Plantillas!Z479)</f>
        <v>3ºA</v>
      </c>
      <c r="BI4" s="1617">
        <f>Plantillas!AC479</f>
        <v>9</v>
      </c>
      <c r="BJ4" s="1633">
        <f>Plantillas!AD479</f>
        <v>15</v>
      </c>
      <c r="BK4" s="1629" t="str">
        <f>CONCATENATE(Plantillas!Y519,Plantillas!Z519)</f>
        <v>2ºA</v>
      </c>
      <c r="BL4" s="1617">
        <f>Plantillas!AC519</f>
        <v>7</v>
      </c>
      <c r="BM4" s="1633">
        <f>Plantillas!AD519</f>
        <v>2</v>
      </c>
      <c r="BN4" s="1629" t="str">
        <f>CONCATENATE(Plantillas!Y559,Plantillas!Z559)</f>
        <v>2ºA</v>
      </c>
      <c r="BO4" s="1617">
        <f>Plantillas!AC559</f>
        <v>10</v>
      </c>
      <c r="BP4" s="1633">
        <f>Plantillas!AD559</f>
        <v>4</v>
      </c>
      <c r="BQ4" s="1629" t="str">
        <f>CONCATENATE(Plantillas!Y599,Plantillas!Z599)</f>
        <v>2ºA</v>
      </c>
      <c r="BR4" s="1617">
        <f>Plantillas!AC599</f>
        <v>7</v>
      </c>
      <c r="BS4" s="1633">
        <f>Plantillas!AD599</f>
        <v>6</v>
      </c>
      <c r="BT4" s="1629" t="str">
        <f>CONCATENATE(Plantillas!Y639,Plantillas!Z639)</f>
        <v/>
      </c>
      <c r="BU4" s="1617">
        <f>Plantillas!AC639</f>
        <v>0</v>
      </c>
      <c r="BV4" s="1633">
        <f>Plantillas!AD639</f>
        <v>0</v>
      </c>
      <c r="BW4" s="3222">
        <v>2</v>
      </c>
      <c r="BX4" s="3223" t="str">
        <f>VLOOKUP(BX1,BY2:CS21,4,4)</f>
        <v>AKE QUEB * MARIANA DEL CONSUELO</v>
      </c>
      <c r="BY4" s="1658">
        <v>3</v>
      </c>
      <c r="BZ4" s="2800" t="str">
        <f>Plantillas!B117</f>
        <v>CARDEÑA BENITEZ * LIDIA ESMERALDA</v>
      </c>
      <c r="CA4" s="2800" t="str">
        <f>Plantillas!B118</f>
        <v>ALEMAN SANTOS MIRIAN</v>
      </c>
      <c r="CB4" s="2800" t="str">
        <f>Plantillas!B119</f>
        <v>GONZALEZ PEREZ * FILOMENA</v>
      </c>
      <c r="CC4" s="2800" t="str">
        <f>Plantillas!B120</f>
        <v>TUN CAUICH * EVA DEL JESUS</v>
      </c>
      <c r="CD4" s="2800" t="str">
        <f>Plantillas!B121</f>
        <v>DZUL SANTIAGO * IVAN ARIEL</v>
      </c>
      <c r="CE4" s="2800" t="str">
        <f>Plantillas!B122</f>
        <v>PACHECO COUOH * WILBERTH ALEJANDRO</v>
      </c>
      <c r="CF4" s="2800" t="str">
        <f>Plantillas!B123</f>
        <v>TAMAY UICAB * JUAN BAUTISTA</v>
      </c>
      <c r="CG4" s="2800" t="str">
        <f>Plantillas!B124</f>
        <v>ZALDIVAR CORAL * LORENA DEL ROCIO</v>
      </c>
      <c r="CH4" s="2800" t="str">
        <f>Plantillas!B125</f>
        <v>VIVAS ESTRADA * ISMAEL</v>
      </c>
      <c r="CI4" s="2800" t="str">
        <f>Plantillas!B126</f>
        <v>BARRERA AGUILAR * BLANCA ROSA</v>
      </c>
      <c r="CJ4" s="2800" t="str">
        <f>Plantillas!B127</f>
        <v>BALAN XIU * MANUEL JESUS</v>
      </c>
      <c r="CK4" s="2800" t="str">
        <f>Plantillas!B128</f>
        <v>SOLIS RAMIREZ * TITA</v>
      </c>
      <c r="CL4" s="2800" t="str">
        <f>Plantillas!B129</f>
        <v>PAT TUZ * MARIA MARGARITA</v>
      </c>
      <c r="CM4" s="2800" t="str">
        <f>Plantillas!B130</f>
        <v>MENDOZA CHEL * JORGE ANGEL</v>
      </c>
      <c r="CN4" s="2800">
        <f>Plantillas!B131</f>
        <v>0</v>
      </c>
      <c r="CO4" s="2800">
        <f>Plantillas!B132</f>
        <v>0</v>
      </c>
      <c r="CP4" s="2800">
        <f>Plantillas!B133</f>
        <v>0</v>
      </c>
      <c r="CQ4" s="2800">
        <f>Plantillas!B134</f>
        <v>0</v>
      </c>
      <c r="CR4" s="2800">
        <f>Plantillas!B135</f>
        <v>0</v>
      </c>
      <c r="CS4" s="2800">
        <f>Plantillas!B136</f>
        <v>0</v>
      </c>
    </row>
    <row r="5" spans="1:97" s="1394" customFormat="1" ht="18" customHeight="1">
      <c r="A5" s="1393">
        <v>0</v>
      </c>
      <c r="B5" s="2954" t="s">
        <v>68</v>
      </c>
      <c r="C5" s="2955" t="str">
        <f>VLOOKUP(P40,B49:I66,2)</f>
        <v>KABAH</v>
      </c>
      <c r="D5" s="2955"/>
      <c r="E5" s="2956"/>
      <c r="F5" s="2956"/>
      <c r="G5" s="2956"/>
      <c r="H5" s="2956"/>
      <c r="I5" s="2957" t="s">
        <v>373</v>
      </c>
      <c r="J5" s="5308" t="str">
        <f>VLOOKUP(P40,B49:I66,4)</f>
        <v>MATUTINO</v>
      </c>
      <c r="K5" s="5308"/>
      <c r="L5" s="5308"/>
      <c r="M5" s="2958"/>
      <c r="N5" s="1392"/>
      <c r="O5" s="2957" t="s">
        <v>1647</v>
      </c>
      <c r="P5" s="2955" t="str">
        <f>VLOOKUP(P40,B49:J66,7)</f>
        <v>23DPR0055K</v>
      </c>
      <c r="Q5" s="2956"/>
      <c r="R5" s="2957" t="s">
        <v>1648</v>
      </c>
      <c r="S5" s="2959" t="str">
        <f>VLOOKUP(P40,B50:J66,9)</f>
        <v>042</v>
      </c>
      <c r="T5" s="2960"/>
      <c r="U5" s="1393">
        <v>0</v>
      </c>
      <c r="V5" s="1763">
        <v>3</v>
      </c>
      <c r="W5" s="1764" t="str">
        <f>HLOOKUP(W1,AA1:BV20,5)</f>
        <v>2ºA</v>
      </c>
      <c r="X5" s="1765">
        <f>HLOOKUP(X1,AA1:BV20,5)</f>
        <v>18</v>
      </c>
      <c r="Y5" s="1766">
        <f>HLOOKUP(Y1,AA1:BV20,5)</f>
        <v>17</v>
      </c>
      <c r="Z5" s="1767">
        <f>X5+Y5</f>
        <v>35</v>
      </c>
      <c r="AA5" s="1768" t="str">
        <f>CONCATENATE(Plantillas!Y40,Plantillas!Z40)</f>
        <v>2ºA</v>
      </c>
      <c r="AB5" s="1769">
        <f>Plantillas!AC40</f>
        <v>18</v>
      </c>
      <c r="AC5" s="1770">
        <f>Plantillas!AD40</f>
        <v>17</v>
      </c>
      <c r="AD5" s="1771" t="str">
        <f>CONCATENATE(Plantillas!Y80,Plantillas!Z80)</f>
        <v>1ºC</v>
      </c>
      <c r="AE5" s="1769">
        <f>Plantillas!AC80</f>
        <v>15</v>
      </c>
      <c r="AF5" s="1770">
        <f>Plantillas!AD80</f>
        <v>14</v>
      </c>
      <c r="AG5" s="1771" t="str">
        <f>CONCATENATE(Plantillas!Y120,Plantillas!Z120)</f>
        <v>2ºB</v>
      </c>
      <c r="AH5" s="1769">
        <f>Plantillas!AC120</f>
        <v>18</v>
      </c>
      <c r="AI5" s="1770">
        <f>Plantillas!AD120</f>
        <v>15</v>
      </c>
      <c r="AJ5" s="1771" t="str">
        <f>CONCATENATE(Plantillas!Y160,Plantillas!Z160)</f>
        <v>2ºA</v>
      </c>
      <c r="AK5" s="1769">
        <f>Plantillas!AC160</f>
        <v>18</v>
      </c>
      <c r="AL5" s="1770">
        <f>Plantillas!AD160</f>
        <v>17</v>
      </c>
      <c r="AM5" s="1771" t="str">
        <f>CONCATENATE(Plantillas!Y200,Plantillas!Z200)</f>
        <v>3ºA</v>
      </c>
      <c r="AN5" s="1769">
        <f>Plantillas!AC200</f>
        <v>19</v>
      </c>
      <c r="AO5" s="1770">
        <f>Plantillas!AD200</f>
        <v>12</v>
      </c>
      <c r="AP5" s="1771" t="str">
        <f>CONCATENATE(Plantillas!Y240,Plantillas!Z240)</f>
        <v>1ºC</v>
      </c>
      <c r="AQ5" s="1769">
        <f>Plantillas!AC240</f>
        <v>16</v>
      </c>
      <c r="AR5" s="1770">
        <f>Plantillas!AD240</f>
        <v>15</v>
      </c>
      <c r="AS5" s="1771" t="str">
        <f>CONCATENATE(Plantillas!Y280,Plantillas!Z280)</f>
        <v>5ºA</v>
      </c>
      <c r="AT5" s="1769">
        <f>Plantillas!AC280</f>
        <v>16</v>
      </c>
      <c r="AU5" s="1770">
        <f>Plantillas!AD280</f>
        <v>11</v>
      </c>
      <c r="AV5" s="1771" t="str">
        <f>CONCATENATE(Plantillas!Y320,Plantillas!Z320)</f>
        <v/>
      </c>
      <c r="AW5" s="1769">
        <f>Plantillas!AC320</f>
        <v>0</v>
      </c>
      <c r="AX5" s="1770">
        <f>Plantillas!AD320</f>
        <v>0</v>
      </c>
      <c r="AY5" s="1771" t="str">
        <f>CONCATENATE(Plantillas!Y360,Plantillas!Z360)</f>
        <v>2ºA</v>
      </c>
      <c r="AZ5" s="1769">
        <f>Plantillas!AC360</f>
        <v>19</v>
      </c>
      <c r="BA5" s="1770">
        <f>Plantillas!AD360</f>
        <v>11</v>
      </c>
      <c r="BB5" s="1771" t="str">
        <f>CONCATENATE(Plantillas!Y400,Plantillas!Z400)</f>
        <v>3ºA</v>
      </c>
      <c r="BC5" s="1769">
        <f>Plantillas!AC400</f>
        <v>20</v>
      </c>
      <c r="BD5" s="1770">
        <f>Plantillas!AD400</f>
        <v>14</v>
      </c>
      <c r="BE5" s="1772" t="str">
        <f>CONCATENATE(Plantillas!Y440,Plantillas!Z440)</f>
        <v>3ºA</v>
      </c>
      <c r="BF5" s="1769">
        <f>Plantillas!AC440</f>
        <v>4</v>
      </c>
      <c r="BG5" s="1770">
        <f>Plantillas!AD440</f>
        <v>4</v>
      </c>
      <c r="BH5" s="1772" t="str">
        <f>CONCATENATE(Plantillas!Y480,Plantillas!Z480)</f>
        <v>4ºA</v>
      </c>
      <c r="BI5" s="1769">
        <f>Plantillas!AC480</f>
        <v>7</v>
      </c>
      <c r="BJ5" s="1770">
        <f>Plantillas!AD480</f>
        <v>5</v>
      </c>
      <c r="BK5" s="1772" t="str">
        <f>CONCATENATE(Plantillas!Y520,Plantillas!Z520)</f>
        <v>3ºA</v>
      </c>
      <c r="BL5" s="1769">
        <f>Plantillas!AC520</f>
        <v>9</v>
      </c>
      <c r="BM5" s="1770">
        <f>Plantillas!AD520</f>
        <v>3</v>
      </c>
      <c r="BN5" s="1772" t="str">
        <f>CONCATENATE(Plantillas!Y560,Plantillas!Z560)</f>
        <v>3ºA</v>
      </c>
      <c r="BO5" s="1769">
        <f>Plantillas!AC560</f>
        <v>6</v>
      </c>
      <c r="BP5" s="1770">
        <f>Plantillas!AD560</f>
        <v>3</v>
      </c>
      <c r="BQ5" s="1772" t="str">
        <f>CONCATENATE(Plantillas!Y600,Plantillas!Z600)</f>
        <v>2ºB</v>
      </c>
      <c r="BR5" s="1769">
        <f>Plantillas!AC600</f>
        <v>7</v>
      </c>
      <c r="BS5" s="1770">
        <f>Plantillas!AD600</f>
        <v>7</v>
      </c>
      <c r="BT5" s="1772" t="str">
        <f>CONCATENATE(Plantillas!Y640,Plantillas!Z640)</f>
        <v/>
      </c>
      <c r="BU5" s="1769">
        <f>Plantillas!AC640</f>
        <v>0</v>
      </c>
      <c r="BV5" s="1770">
        <f>Plantillas!AD640</f>
        <v>0</v>
      </c>
      <c r="BW5" s="3224">
        <v>3</v>
      </c>
      <c r="BX5" s="3225" t="str">
        <f>VLOOKUP(BX1,BY2:CS21,5,5)</f>
        <v>MORENO CARDENAS * IGNACIA</v>
      </c>
      <c r="BY5" s="1773">
        <v>4</v>
      </c>
      <c r="BZ5" s="2801" t="str">
        <f>Plantillas!B157</f>
        <v>CETINA CHAY * JUAN CARLOS</v>
      </c>
      <c r="CA5" s="2801" t="str">
        <f>Plantillas!B158</f>
        <v>GOMEZ CASTILLO * SAIDETH MARI</v>
      </c>
      <c r="CB5" s="2801" t="str">
        <f>Plantillas!B159</f>
        <v>GARCIA CASTRO * GUADALUPE</v>
      </c>
      <c r="CC5" s="2801" t="str">
        <f>Plantillas!B160</f>
        <v>ESTRADA PALMA * MARIA SOLEDAD</v>
      </c>
      <c r="CD5" s="2801" t="str">
        <f>Plantillas!B161</f>
        <v>BARRERA AGUILAR * BLANCA ROSA</v>
      </c>
      <c r="CE5" s="2801" t="str">
        <f>Plantillas!B162</f>
        <v>CANCHE PECH * NIDIA ROBSANA</v>
      </c>
      <c r="CF5" s="2801" t="str">
        <f>Plantillas!B163</f>
        <v>CHAVES MARTIN * JUAN MANUEL</v>
      </c>
      <c r="CG5" s="2801" t="str">
        <f>Plantillas!B164</f>
        <v>SANCHEZ DURAN * EDSSON MANUEL</v>
      </c>
      <c r="CH5" s="2801" t="str">
        <f>Plantillas!B165</f>
        <v>BUITRON SANCHEZ * ISMAEL ALEJANDRO</v>
      </c>
      <c r="CI5" s="2801" t="str">
        <f>Plantillas!B166</f>
        <v>PAT XULUC *MARIA ANTONIA</v>
      </c>
      <c r="CJ5" s="2801" t="str">
        <f>Plantillas!B167</f>
        <v>VALLEJO PIÑA * GILBERTO VIDAL</v>
      </c>
      <c r="CK5" s="2801" t="str">
        <f>Plantillas!B168</f>
        <v>ZAPATA AGUAYO * JULIO CESAR</v>
      </c>
      <c r="CL5" s="2801" t="str">
        <f>Plantillas!B169</f>
        <v>COLLI CARRILLO * CRISTHIAN YAIR</v>
      </c>
      <c r="CM5" s="2801" t="str">
        <f>Plantillas!B170</f>
        <v xml:space="preserve">VIGUERAS EUAN * MANUEL </v>
      </c>
      <c r="CN5" s="2801" t="str">
        <f>Plantillas!B171</f>
        <v>GARDUNO ESTANOL * JESUS JAVIER</v>
      </c>
      <c r="CO5" s="2801">
        <f>Plantillas!B172</f>
        <v>0</v>
      </c>
      <c r="CP5" s="2801">
        <f>Plantillas!B173</f>
        <v>0</v>
      </c>
      <c r="CQ5" s="2801" t="str">
        <f>Plantillas!B174</f>
        <v>GOMEZ CORTEZ * MIRNA LUZ</v>
      </c>
      <c r="CR5" s="2801" t="str">
        <f>Plantillas!B175</f>
        <v>FIELDS MAZA * WILBERT</v>
      </c>
      <c r="CS5" s="2801" t="str">
        <f>Plantillas!B176</f>
        <v>COLLI CARRILLO * CRISTHIAN YAIR</v>
      </c>
    </row>
    <row r="6" spans="1:97" ht="14.25" customHeight="1">
      <c r="A6" s="1755">
        <v>0</v>
      </c>
      <c r="B6" s="3127" t="s">
        <v>1130</v>
      </c>
      <c r="C6" s="5302" t="s">
        <v>1131</v>
      </c>
      <c r="D6" s="5302"/>
      <c r="E6" s="5301">
        <v>41625</v>
      </c>
      <c r="F6" s="5301"/>
      <c r="G6" s="3127" t="s">
        <v>1132</v>
      </c>
      <c r="H6" s="5300">
        <v>41694</v>
      </c>
      <c r="I6" s="5300"/>
      <c r="J6" s="3233" t="str">
        <f>MID(Q41,1,1)</f>
        <v>1</v>
      </c>
      <c r="K6" s="3182" t="str">
        <f>MID(Q41,2,1)</f>
        <v>º</v>
      </c>
      <c r="L6" s="3232" t="str">
        <f>MID(Q41,3,1)</f>
        <v>B</v>
      </c>
      <c r="M6" s="3128"/>
      <c r="N6" s="3128"/>
      <c r="O6" s="3128"/>
      <c r="P6" s="3128"/>
      <c r="Q6" s="3128"/>
      <c r="R6" s="3128"/>
      <c r="S6" s="3128"/>
      <c r="T6" s="3128"/>
      <c r="U6" s="1755">
        <v>0</v>
      </c>
      <c r="V6" s="1607">
        <v>4</v>
      </c>
      <c r="W6" s="1752" t="str">
        <f>HLOOKUP(W1,AA1:BV20,6)</f>
        <v>2ºB</v>
      </c>
      <c r="X6" s="1618">
        <f>HLOOKUP(X1,AA1:BV20,6)</f>
        <v>21</v>
      </c>
      <c r="Y6" s="1619">
        <f>HLOOKUP(Y1,AA1:BV20,6)</f>
        <v>12</v>
      </c>
      <c r="Z6" s="1612">
        <f>X6+Y6</f>
        <v>33</v>
      </c>
      <c r="AA6" s="1632" t="str">
        <f>CONCATENATE(Plantillas!Y41,Plantillas!Z41)</f>
        <v>2ºB</v>
      </c>
      <c r="AB6" s="1617">
        <f>Plantillas!AC41</f>
        <v>21</v>
      </c>
      <c r="AC6" s="1633">
        <f>Plantillas!AD41</f>
        <v>12</v>
      </c>
      <c r="AD6" s="1631" t="str">
        <f>CONCATENATE(Plantillas!Y81,Plantillas!Z81)</f>
        <v>2ºA</v>
      </c>
      <c r="AE6" s="1617">
        <f>Plantillas!AC81</f>
        <v>16</v>
      </c>
      <c r="AF6" s="1633">
        <f>Plantillas!AD81</f>
        <v>19</v>
      </c>
      <c r="AG6" s="1631" t="str">
        <f>CONCATENATE(Plantillas!Y121,Plantillas!Z121)</f>
        <v>3ºA</v>
      </c>
      <c r="AH6" s="1617">
        <f>Plantillas!AC121</f>
        <v>12</v>
      </c>
      <c r="AI6" s="1633">
        <f>Plantillas!AD121</f>
        <v>15</v>
      </c>
      <c r="AJ6" s="1631" t="str">
        <f>CONCATENATE(Plantillas!Y161,Plantillas!Z161)</f>
        <v>2ºB</v>
      </c>
      <c r="AK6" s="1617">
        <f>Plantillas!AC161</f>
        <v>16</v>
      </c>
      <c r="AL6" s="1633">
        <f>Plantillas!AD161</f>
        <v>18</v>
      </c>
      <c r="AM6" s="1631" t="str">
        <f>CONCATENATE(Plantillas!Y201,Plantillas!Z201)</f>
        <v>4ºA</v>
      </c>
      <c r="AN6" s="1617">
        <f>Plantillas!AC201</f>
        <v>13</v>
      </c>
      <c r="AO6" s="1633">
        <f>Plantillas!AD201</f>
        <v>10</v>
      </c>
      <c r="AP6" s="1631" t="str">
        <f>CONCATENATE(Plantillas!Y241,Plantillas!Z241)</f>
        <v>2ºA</v>
      </c>
      <c r="AQ6" s="1617">
        <f>Plantillas!AC241</f>
        <v>14</v>
      </c>
      <c r="AR6" s="1633">
        <f>Plantillas!AD241</f>
        <v>18</v>
      </c>
      <c r="AS6" s="1631" t="str">
        <f>CONCATENATE(Plantillas!Y281,Plantillas!Z281)</f>
        <v>6ºA</v>
      </c>
      <c r="AT6" s="1617">
        <f>Plantillas!AC281</f>
        <v>10</v>
      </c>
      <c r="AU6" s="1633">
        <f>Plantillas!AD281</f>
        <v>13</v>
      </c>
      <c r="AV6" s="1631" t="str">
        <f>CONCATENATE(Plantillas!Y321,Plantillas!Z321)</f>
        <v/>
      </c>
      <c r="AW6" s="1617">
        <f>Plantillas!AC321</f>
        <v>0</v>
      </c>
      <c r="AX6" s="1633">
        <f>Plantillas!AD321</f>
        <v>0</v>
      </c>
      <c r="AY6" s="1631" t="str">
        <f>CONCATENATE(Plantillas!Y361,Plantillas!Z361)</f>
        <v>2ºB</v>
      </c>
      <c r="AZ6" s="1617">
        <f>Plantillas!AC361</f>
        <v>18</v>
      </c>
      <c r="BA6" s="1633">
        <f>Plantillas!AD361</f>
        <v>11</v>
      </c>
      <c r="BB6" s="1631" t="str">
        <f>CONCATENATE(Plantillas!Y401,Plantillas!Z401)</f>
        <v>4ºA</v>
      </c>
      <c r="BC6" s="1617">
        <f>Plantillas!AC401</f>
        <v>20</v>
      </c>
      <c r="BD6" s="1633">
        <f>Plantillas!AD401</f>
        <v>14</v>
      </c>
      <c r="BE6" s="1629" t="str">
        <f>CONCATENATE(Plantillas!Y441,Plantillas!Z441)</f>
        <v>4ºA</v>
      </c>
      <c r="BF6" s="1617">
        <f>Plantillas!AC441</f>
        <v>10</v>
      </c>
      <c r="BG6" s="1633">
        <f>Plantillas!AD441</f>
        <v>3</v>
      </c>
      <c r="BH6" s="1629" t="str">
        <f>CONCATENATE(Plantillas!Y481,Plantillas!Z481)</f>
        <v>5ºA</v>
      </c>
      <c r="BI6" s="1617">
        <f>Plantillas!AC481</f>
        <v>9</v>
      </c>
      <c r="BJ6" s="1633">
        <f>Plantillas!AD481</f>
        <v>10</v>
      </c>
      <c r="BK6" s="1629" t="str">
        <f>CONCATENATE(Plantillas!Y521,Plantillas!Z521)</f>
        <v>4ºA</v>
      </c>
      <c r="BL6" s="1617">
        <f>Plantillas!AC521</f>
        <v>5</v>
      </c>
      <c r="BM6" s="1633">
        <f>Plantillas!AD521</f>
        <v>6</v>
      </c>
      <c r="BN6" s="1629" t="str">
        <f>CONCATENATE(Plantillas!Y561,Plantillas!Z561)</f>
        <v>4ºA</v>
      </c>
      <c r="BO6" s="1617">
        <f>Plantillas!AC561</f>
        <v>7</v>
      </c>
      <c r="BP6" s="1633">
        <f>Plantillas!AD561</f>
        <v>4</v>
      </c>
      <c r="BQ6" s="1629" t="str">
        <f>CONCATENATE(Plantillas!Y601,Plantillas!Z601)</f>
        <v>3ºA</v>
      </c>
      <c r="BR6" s="1617">
        <f>Plantillas!AC601</f>
        <v>5</v>
      </c>
      <c r="BS6" s="1633">
        <f>Plantillas!AD601</f>
        <v>8</v>
      </c>
      <c r="BT6" s="1629" t="str">
        <f>CONCATENATE(Plantillas!Y641,Plantillas!Z641)</f>
        <v/>
      </c>
      <c r="BU6" s="1617">
        <f>Plantillas!AC641</f>
        <v>0</v>
      </c>
      <c r="BV6" s="1633">
        <f>Plantillas!AD641</f>
        <v>0</v>
      </c>
      <c r="BW6" s="3222">
        <v>4</v>
      </c>
      <c r="BX6" s="3223" t="str">
        <f>VLOOKUP(BX1,BY2:CS21,6,6)</f>
        <v>GONGORA SANTOS * GRACIELA</v>
      </c>
      <c r="BY6" s="1658">
        <v>5</v>
      </c>
      <c r="BZ6" s="2800" t="str">
        <f>Plantillas!B197</f>
        <v>COOX YAH * CARLOS  ENRIQUE</v>
      </c>
      <c r="CA6" s="2800" t="str">
        <f>Plantillas!B198</f>
        <v>NAHUAT DZIB * VIRGINIA</v>
      </c>
      <c r="CB6" s="2800" t="str">
        <f>Plantillas!B199</f>
        <v>ESTRADA PALMA * MARIA SOLEDAD</v>
      </c>
      <c r="CC6" s="2800" t="str">
        <f>Plantillas!B200</f>
        <v>BUITRON SANCHEZ * ISMAEL ALEJANDRO</v>
      </c>
      <c r="CD6" s="2800" t="str">
        <f>Plantillas!B201</f>
        <v>VALLEJO PIÑA * GILBERTO VIDAL</v>
      </c>
      <c r="CE6" s="2800" t="str">
        <f>Plantillas!B202</f>
        <v>PAT XULUC * MARIA ANTONIA</v>
      </c>
      <c r="CF6" s="2800" t="str">
        <f>Plantillas!B203</f>
        <v>ZAPATA AGUAYO * JULIO CESAR</v>
      </c>
      <c r="CG6" s="2800" t="str">
        <f>Plantillas!B204</f>
        <v>BUENFIL ESCOBEDO * GILMER DE JESUS</v>
      </c>
      <c r="CH6" s="2800" t="str">
        <f>Plantillas!B205</f>
        <v>ALBORNOZ NUÑEZ * IVAN GEOVANI</v>
      </c>
      <c r="CI6" s="2800" t="str">
        <f>Plantillas!B206</f>
        <v>NAVARRETE PANTOJA * MIGUEL ANGEL</v>
      </c>
      <c r="CJ6" s="2800">
        <f>Plantillas!B207</f>
        <v>0</v>
      </c>
      <c r="CK6" s="2800">
        <f>Plantillas!B208</f>
        <v>0</v>
      </c>
      <c r="CL6" s="2800">
        <f>Plantillas!B209</f>
        <v>0</v>
      </c>
      <c r="CM6" s="2800">
        <f>Plantillas!B210</f>
        <v>0</v>
      </c>
      <c r="CN6" s="2800">
        <f>Plantillas!B211</f>
        <v>0</v>
      </c>
      <c r="CO6" s="2800">
        <f>Plantillas!B212</f>
        <v>0</v>
      </c>
      <c r="CP6" s="2800">
        <f>Plantillas!B213</f>
        <v>0</v>
      </c>
      <c r="CQ6" s="2800">
        <f>Plantillas!B214</f>
        <v>0</v>
      </c>
      <c r="CR6" s="2800">
        <f>Plantillas!B215</f>
        <v>0</v>
      </c>
      <c r="CS6" s="2800">
        <f>Plantillas!B216</f>
        <v>0</v>
      </c>
    </row>
    <row r="7" spans="1:97" ht="13.5" customHeight="1">
      <c r="A7" s="1755">
        <v>0</v>
      </c>
      <c r="B7" s="1391" t="s">
        <v>2702</v>
      </c>
      <c r="C7" s="1396"/>
      <c r="D7" s="1396"/>
      <c r="E7" s="1662"/>
      <c r="F7" s="1662"/>
      <c r="G7" s="1662"/>
      <c r="H7" s="1662"/>
      <c r="I7" s="1662"/>
      <c r="J7" s="1662"/>
      <c r="K7" s="1662"/>
      <c r="L7" s="1396" t="s">
        <v>79</v>
      </c>
      <c r="M7" s="1662"/>
      <c r="N7" s="1662"/>
      <c r="O7" s="1662"/>
      <c r="P7" s="1662"/>
      <c r="Q7" s="1662"/>
      <c r="R7" s="1662"/>
      <c r="S7" s="1662"/>
      <c r="T7" s="1390"/>
      <c r="U7" s="1755">
        <v>0</v>
      </c>
      <c r="V7" s="1607">
        <v>5</v>
      </c>
      <c r="W7" s="1752" t="str">
        <f>HLOOKUP(W1,AA1:BV20,7)</f>
        <v>3ºA</v>
      </c>
      <c r="X7" s="1618">
        <f>HLOOKUP(X1,AA1:BV20,7)</f>
        <v>11</v>
      </c>
      <c r="Y7" s="1619">
        <f>HLOOKUP(Y1,AA1:BV20,7)</f>
        <v>17</v>
      </c>
      <c r="Z7" s="1612">
        <f t="shared" ref="Z7:Z19" si="0">X7+Y7</f>
        <v>28</v>
      </c>
      <c r="AA7" s="1632" t="str">
        <f>CONCATENATE(Plantillas!Y42,Plantillas!Z42)</f>
        <v>3ºA</v>
      </c>
      <c r="AB7" s="1617">
        <f>Plantillas!AC42</f>
        <v>11</v>
      </c>
      <c r="AC7" s="1633">
        <f>Plantillas!AD42</f>
        <v>17</v>
      </c>
      <c r="AD7" s="1631" t="str">
        <f>CONCATENATE(Plantillas!Y82,Plantillas!Z82)</f>
        <v>2ºB</v>
      </c>
      <c r="AE7" s="1617">
        <f>Plantillas!AC82</f>
        <v>20</v>
      </c>
      <c r="AF7" s="1633">
        <f>Plantillas!AD82</f>
        <v>14</v>
      </c>
      <c r="AG7" s="1631" t="str">
        <f>CONCATENATE(Plantillas!Y122,Plantillas!Z122)</f>
        <v>3ºB</v>
      </c>
      <c r="AH7" s="1617">
        <f>Plantillas!AC122</f>
        <v>11</v>
      </c>
      <c r="AI7" s="1633">
        <f>Plantillas!AD122</f>
        <v>13</v>
      </c>
      <c r="AJ7" s="1631" t="str">
        <f>CONCATENATE(Plantillas!Y162,Plantillas!Z162)</f>
        <v>3ºA</v>
      </c>
      <c r="AK7" s="1617">
        <f>Plantillas!AC162</f>
        <v>15</v>
      </c>
      <c r="AL7" s="1633">
        <f>Plantillas!AD162</f>
        <v>19</v>
      </c>
      <c r="AM7" s="1631" t="str">
        <f>CONCATENATE(Plantillas!Y202,Plantillas!Z202)</f>
        <v>5ºA</v>
      </c>
      <c r="AN7" s="1617">
        <f>Plantillas!AC202</f>
        <v>18</v>
      </c>
      <c r="AO7" s="1633">
        <f>Plantillas!AD202</f>
        <v>14</v>
      </c>
      <c r="AP7" s="1631" t="str">
        <f>CONCATENATE(Plantillas!Y242,Plantillas!Z242)</f>
        <v>2ºB</v>
      </c>
      <c r="AQ7" s="1617">
        <f>Plantillas!AC242</f>
        <v>14</v>
      </c>
      <c r="AR7" s="1633">
        <f>Plantillas!AD242</f>
        <v>16</v>
      </c>
      <c r="AS7" s="1631" t="str">
        <f>CONCATENATE(Plantillas!Y282,Plantillas!Z282)</f>
        <v>6ºB</v>
      </c>
      <c r="AT7" s="1617">
        <f>Plantillas!AC282</f>
        <v>12</v>
      </c>
      <c r="AU7" s="1633">
        <f>Plantillas!AD282</f>
        <v>9</v>
      </c>
      <c r="AV7" s="1631" t="str">
        <f>CONCATENATE(Plantillas!Y322,Plantillas!Z322)</f>
        <v/>
      </c>
      <c r="AW7" s="1617">
        <f>Plantillas!AC322</f>
        <v>0</v>
      </c>
      <c r="AX7" s="1633">
        <f>Plantillas!AD322</f>
        <v>0</v>
      </c>
      <c r="AY7" s="1631" t="str">
        <f>CONCATENATE(Plantillas!Y362,Plantillas!Z362)</f>
        <v>3ºA</v>
      </c>
      <c r="AZ7" s="1617">
        <f>Plantillas!AC362</f>
        <v>18</v>
      </c>
      <c r="BA7" s="1633">
        <f>Plantillas!AD362</f>
        <v>16</v>
      </c>
      <c r="BB7" s="1631" t="str">
        <f>CONCATENATE(Plantillas!Y402,Plantillas!Z402)</f>
        <v>5ºA</v>
      </c>
      <c r="BC7" s="1617">
        <f>Plantillas!AC402</f>
        <v>17</v>
      </c>
      <c r="BD7" s="1633">
        <f>Plantillas!AD402</f>
        <v>12</v>
      </c>
      <c r="BE7" s="1629" t="str">
        <f>CONCATENATE(Plantillas!Y442,Plantillas!Z442)</f>
        <v>5ºA</v>
      </c>
      <c r="BF7" s="1617">
        <f>Plantillas!AC442</f>
        <v>10</v>
      </c>
      <c r="BG7" s="1633">
        <f>Plantillas!AD442</f>
        <v>7</v>
      </c>
      <c r="BH7" s="1629" t="str">
        <f>CONCATENATE(Plantillas!Y482,Plantillas!Z482)</f>
        <v>6ºA</v>
      </c>
      <c r="BI7" s="1617">
        <f>Plantillas!AC482</f>
        <v>12</v>
      </c>
      <c r="BJ7" s="1633">
        <f>Plantillas!AD482</f>
        <v>8</v>
      </c>
      <c r="BK7" s="1629" t="str">
        <f>CONCATENATE(Plantillas!Y522,Plantillas!Z522)</f>
        <v>5ºA</v>
      </c>
      <c r="BL7" s="1617">
        <f>Plantillas!AC522</f>
        <v>10</v>
      </c>
      <c r="BM7" s="1633">
        <f>Plantillas!AD522</f>
        <v>2</v>
      </c>
      <c r="BN7" s="1629" t="str">
        <f>CONCATENATE(Plantillas!Y562,Plantillas!Z562)</f>
        <v/>
      </c>
      <c r="BO7" s="1617">
        <f>Plantillas!AC562</f>
        <v>0</v>
      </c>
      <c r="BP7" s="1633">
        <f>Plantillas!AD562</f>
        <v>0</v>
      </c>
      <c r="BQ7" s="1629" t="str">
        <f>CONCATENATE(Plantillas!Y602,Plantillas!Z602)</f>
        <v>3ºB</v>
      </c>
      <c r="BR7" s="1617">
        <f>Plantillas!AC602</f>
        <v>6</v>
      </c>
      <c r="BS7" s="1633">
        <f>Plantillas!AD602</f>
        <v>6</v>
      </c>
      <c r="BT7" s="1629" t="str">
        <f>CONCATENATE(Plantillas!Y642,Plantillas!Z642)</f>
        <v/>
      </c>
      <c r="BU7" s="1617">
        <f>Plantillas!AC642</f>
        <v>0</v>
      </c>
      <c r="BV7" s="1633">
        <f>Plantillas!AD642</f>
        <v>0</v>
      </c>
      <c r="BW7" s="3222">
        <v>5</v>
      </c>
      <c r="BX7" s="3223" t="str">
        <f>VLOOKUP(BX1,BY2:CS21,7,7)</f>
        <v>VARGAS GARCIA * DEBRA DORIS DEL SAGRARIO</v>
      </c>
      <c r="BY7" s="1658">
        <v>6</v>
      </c>
      <c r="BZ7" s="2800" t="str">
        <f>Plantillas!B237</f>
        <v>DZIB TUZ * MANUEL JESUS</v>
      </c>
      <c r="CA7" s="2800" t="str">
        <f>Plantillas!B238</f>
        <v>SOSA NAVARRETE * DANIELA</v>
      </c>
      <c r="CB7" s="2800" t="str">
        <f>Plantillas!B239</f>
        <v>CITUK CHULIN * ROSA ISELA</v>
      </c>
      <c r="CC7" s="2800" t="str">
        <f>Plantillas!B240</f>
        <v>CEN CHIN * RITA ANGELICA</v>
      </c>
      <c r="CD7" s="2800" t="str">
        <f>Plantillas!B241</f>
        <v>PAT CHIN * MARIA JOSE</v>
      </c>
      <c r="CE7" s="2800" t="str">
        <f>Plantillas!B242</f>
        <v>HAAS CHE * MARIA EDELMIRA ALICIA</v>
      </c>
      <c r="CF7" s="2800" t="str">
        <f>Plantillas!B243</f>
        <v>COHUO CAUICH * MARIA GUADALUPE</v>
      </c>
      <c r="CG7" s="2800" t="str">
        <f>Plantillas!B244</f>
        <v>GONZALEZ PEREZ * MARIA ISABEL</v>
      </c>
      <c r="CH7" s="2800" t="str">
        <f>Plantillas!B245</f>
        <v>BALAN KU * JANET GUADALUPE</v>
      </c>
      <c r="CI7" s="2800" t="str">
        <f>Plantillas!B246</f>
        <v>TZAB RODRIGUEZ * FABIOLA MARIA</v>
      </c>
      <c r="CJ7" s="2800" t="str">
        <f>Plantillas!B247</f>
        <v>RODRIGUEZ ESCOBEDO * JOSE EZEQUIEL</v>
      </c>
      <c r="CK7" s="2800" t="str">
        <f>Plantillas!B248</f>
        <v>VIVAS ESTRADA * ISMAEL</v>
      </c>
      <c r="CL7" s="2800" t="str">
        <f>Plantillas!B249</f>
        <v>ALARICH NOLTE * BLANQUET</v>
      </c>
      <c r="CM7" s="2800" t="str">
        <f>Plantillas!B250</f>
        <v>CANTO CANCHE * JOSE DOLORES</v>
      </c>
      <c r="CN7" s="2800">
        <f>Plantillas!B251</f>
        <v>0</v>
      </c>
      <c r="CO7" s="2800" t="str">
        <f>Plantillas!B252</f>
        <v>CABRERA PEREZ EDITH</v>
      </c>
      <c r="CP7" s="2802" t="str">
        <f>Plantillas!B253</f>
        <v>AKE QUEB ENRIQUE</v>
      </c>
      <c r="CQ7" s="2802">
        <f>Plantillas!B254</f>
        <v>0</v>
      </c>
      <c r="CR7" s="2802">
        <f>Plantillas!B255</f>
        <v>0</v>
      </c>
      <c r="CS7" s="2802">
        <f>Plantillas!B256</f>
        <v>0</v>
      </c>
    </row>
    <row r="8" spans="1:97" ht="3.75" customHeight="1">
      <c r="A8" s="1755">
        <v>0</v>
      </c>
      <c r="B8" s="1388"/>
      <c r="C8" s="1385"/>
      <c r="D8" s="1385"/>
      <c r="E8" s="1388"/>
      <c r="F8" s="1388"/>
      <c r="G8" s="1388"/>
      <c r="H8" s="1388"/>
      <c r="I8" s="1388"/>
      <c r="J8" s="1388"/>
      <c r="K8" s="1388"/>
      <c r="L8" s="1385"/>
      <c r="M8" s="1388"/>
      <c r="N8" s="1388"/>
      <c r="O8" s="1388"/>
      <c r="P8" s="1388"/>
      <c r="Q8" s="1388"/>
      <c r="R8" s="1388"/>
      <c r="S8" s="1388"/>
      <c r="T8" s="3207"/>
      <c r="U8" s="1755">
        <v>0</v>
      </c>
      <c r="V8" s="1607">
        <v>6</v>
      </c>
      <c r="W8" s="1752" t="str">
        <f>HLOOKUP(W1,AA1:BV20,8)</f>
        <v>3ºB</v>
      </c>
      <c r="X8" s="1618">
        <f>HLOOKUP(X1,AA1:BV20,8)</f>
        <v>18</v>
      </c>
      <c r="Y8" s="1619">
        <f>HLOOKUP(Y1,AA1:BV20,8)</f>
        <v>16</v>
      </c>
      <c r="Z8" s="1612">
        <f>X8+Y8</f>
        <v>34</v>
      </c>
      <c r="AA8" s="1632" t="str">
        <f>CONCATENATE(Plantillas!Y43,Plantillas!Z43)</f>
        <v>3ºB</v>
      </c>
      <c r="AB8" s="1617">
        <f>Plantillas!AC43</f>
        <v>18</v>
      </c>
      <c r="AC8" s="1633">
        <f>Plantillas!AD43</f>
        <v>16</v>
      </c>
      <c r="AD8" s="1631" t="str">
        <f>CONCATENATE(Plantillas!Y83,Plantillas!Z83)</f>
        <v>3ºA</v>
      </c>
      <c r="AE8" s="1617">
        <f>Plantillas!AC83</f>
        <v>17</v>
      </c>
      <c r="AF8" s="1633">
        <f>Plantillas!AD83</f>
        <v>15</v>
      </c>
      <c r="AG8" s="1631" t="str">
        <f>CONCATENATE(Plantillas!Y123,Plantillas!Z123)</f>
        <v>4ºA</v>
      </c>
      <c r="AH8" s="1617">
        <f>Plantillas!AC123</f>
        <v>17</v>
      </c>
      <c r="AI8" s="1633">
        <f>Plantillas!AD123</f>
        <v>17</v>
      </c>
      <c r="AJ8" s="1631" t="str">
        <f>CONCATENATE(Plantillas!Y163,Plantillas!Z163)</f>
        <v>3ºB</v>
      </c>
      <c r="AK8" s="1617">
        <f>Plantillas!AC163</f>
        <v>16</v>
      </c>
      <c r="AL8" s="1633">
        <f>Plantillas!AD163</f>
        <v>17</v>
      </c>
      <c r="AM8" s="1631" t="str">
        <f>CONCATENATE(Plantillas!Y203,Plantillas!Z203)</f>
        <v>6ºA</v>
      </c>
      <c r="AN8" s="1617">
        <f>Plantillas!AC203</f>
        <v>17</v>
      </c>
      <c r="AO8" s="1633">
        <f>Plantillas!AD203</f>
        <v>15</v>
      </c>
      <c r="AP8" s="1631" t="str">
        <f>CONCATENATE(Plantillas!Y243,Plantillas!Z243)</f>
        <v>3ºA</v>
      </c>
      <c r="AQ8" s="1617">
        <f>Plantillas!AC243</f>
        <v>11</v>
      </c>
      <c r="AR8" s="1633">
        <f>Plantillas!AD243</f>
        <v>15</v>
      </c>
      <c r="AS8" s="1631" t="str">
        <f>CONCATENATE(Plantillas!Y283,Plantillas!Z283)</f>
        <v/>
      </c>
      <c r="AT8" s="1617">
        <f>Plantillas!AC283</f>
        <v>0</v>
      </c>
      <c r="AU8" s="1633">
        <f>Plantillas!AD283</f>
        <v>0</v>
      </c>
      <c r="AV8" s="1631" t="str">
        <f>CONCATENATE(Plantillas!Y323,Plantillas!Z323)</f>
        <v/>
      </c>
      <c r="AW8" s="1617">
        <f>Plantillas!AC323</f>
        <v>0</v>
      </c>
      <c r="AX8" s="1633">
        <f>Plantillas!AD323</f>
        <v>0</v>
      </c>
      <c r="AY8" s="1631" t="str">
        <f>CONCATENATE(Plantillas!Y363,Plantillas!Z363)</f>
        <v>3ºB</v>
      </c>
      <c r="AZ8" s="1617">
        <f>Plantillas!AC363</f>
        <v>24</v>
      </c>
      <c r="BA8" s="1633">
        <f>Plantillas!AD363</f>
        <v>9</v>
      </c>
      <c r="BB8" s="1631" t="str">
        <f>CONCATENATE(Plantillas!Y403,Plantillas!Z403)</f>
        <v>5ºB</v>
      </c>
      <c r="BC8" s="1617">
        <f>Plantillas!AC403</f>
        <v>17</v>
      </c>
      <c r="BD8" s="1633">
        <f>Plantillas!AD403</f>
        <v>12</v>
      </c>
      <c r="BE8" s="1629" t="str">
        <f>CONCATENATE(Plantillas!Y443,Plantillas!Z443)</f>
        <v/>
      </c>
      <c r="BF8" s="1617">
        <f>Plantillas!AC443</f>
        <v>0</v>
      </c>
      <c r="BG8" s="1633">
        <f>Plantillas!AD443</f>
        <v>0</v>
      </c>
      <c r="BH8" s="1629" t="str">
        <f>CONCATENATE(Plantillas!Y483,Plantillas!Z483)</f>
        <v/>
      </c>
      <c r="BI8" s="1617">
        <f>Plantillas!AC483</f>
        <v>0</v>
      </c>
      <c r="BJ8" s="1633">
        <f>Plantillas!AD483</f>
        <v>0</v>
      </c>
      <c r="BK8" s="1629" t="str">
        <f>CONCATENATE(Plantillas!Y523,Plantillas!Z523)</f>
        <v>6ºA</v>
      </c>
      <c r="BL8" s="1617">
        <f>Plantillas!AC523</f>
        <v>5</v>
      </c>
      <c r="BM8" s="1633">
        <f>Plantillas!AD523</f>
        <v>2</v>
      </c>
      <c r="BN8" s="1629" t="str">
        <f>CONCATENATE(Plantillas!Y563,Plantillas!Z563)</f>
        <v/>
      </c>
      <c r="BO8" s="1617">
        <f>Plantillas!AC563</f>
        <v>0</v>
      </c>
      <c r="BP8" s="1633">
        <f>Plantillas!AD563</f>
        <v>0</v>
      </c>
      <c r="BQ8" s="1629" t="str">
        <f>CONCATENATE(Plantillas!Y603,Plantillas!Z603)</f>
        <v>4ºA</v>
      </c>
      <c r="BR8" s="1617">
        <f>Plantillas!AC603</f>
        <v>11</v>
      </c>
      <c r="BS8" s="1633">
        <f>Plantillas!AD603</f>
        <v>12</v>
      </c>
      <c r="BT8" s="1629" t="str">
        <f>CONCATENATE(Plantillas!Y643,Plantillas!Z643)</f>
        <v/>
      </c>
      <c r="BU8" s="1617">
        <f>Plantillas!AC643</f>
        <v>0</v>
      </c>
      <c r="BV8" s="1633">
        <f>Plantillas!AD643</f>
        <v>0</v>
      </c>
      <c r="BW8" s="3222">
        <v>6</v>
      </c>
      <c r="BX8" s="3223" t="str">
        <f>VLOOKUP(BX1,BY2:CS21,8,8)</f>
        <v>CASTRO LOPEZ * SOSIMA PETRA</v>
      </c>
      <c r="BY8" s="1658">
        <v>7</v>
      </c>
      <c r="BZ8" s="2800" t="str">
        <f>Plantillas!B277</f>
        <v>PUCH GOMEZ * MADAI ROXANA</v>
      </c>
      <c r="CA8" s="2800" t="str">
        <f>Plantillas!B278</f>
        <v>SOSA NAVARRETE * DANIELA</v>
      </c>
      <c r="CB8" s="2800" t="str">
        <f>Plantillas!B279</f>
        <v>SIERRA  FLORES * MARITZA ILEN</v>
      </c>
      <c r="CC8" s="2800" t="str">
        <f>Plantillas!B280</f>
        <v>FRANCO MOO * VICTOR MANUEL</v>
      </c>
      <c r="CD8" s="2800" t="str">
        <f>Plantillas!B281</f>
        <v>XIU VELAZQUEZ * JOSE MANUEL</v>
      </c>
      <c r="CE8" s="2800" t="str">
        <f>Plantillas!B282</f>
        <v>CORDOBA CAN * JORGE ANTONIO</v>
      </c>
      <c r="CF8" s="2800" t="str">
        <f>Plantillas!B283</f>
        <v>MIS VELEZ * JUAN SILVESTRE</v>
      </c>
      <c r="CG8" s="2800" t="str">
        <f>Plantillas!B284</f>
        <v>MANZANERO BARRANCO * ALBERTO ARIEL</v>
      </c>
      <c r="CH8" s="2800">
        <f>Plantillas!B285</f>
        <v>0</v>
      </c>
      <c r="CI8" s="2800">
        <f>Plantillas!B286</f>
        <v>0</v>
      </c>
      <c r="CJ8" s="2800">
        <f>Plantillas!B287</f>
        <v>0</v>
      </c>
      <c r="CK8" s="2800">
        <f>Plantillas!B288</f>
        <v>0</v>
      </c>
      <c r="CL8" s="2800">
        <f>Plantillas!B289</f>
        <v>0</v>
      </c>
      <c r="CM8" s="2800">
        <f>Plantillas!B290</f>
        <v>0</v>
      </c>
      <c r="CN8" s="2800">
        <f>Plantillas!B291</f>
        <v>0</v>
      </c>
      <c r="CO8" s="2800">
        <f>Plantillas!B292</f>
        <v>0</v>
      </c>
      <c r="CP8" s="2800">
        <f>Plantillas!B293</f>
        <v>0</v>
      </c>
      <c r="CQ8" s="2800">
        <f>Plantillas!B294</f>
        <v>0</v>
      </c>
      <c r="CR8" s="2800">
        <f>Plantillas!B295</f>
        <v>0</v>
      </c>
      <c r="CS8" s="2800">
        <f>Plantillas!B296</f>
        <v>0</v>
      </c>
    </row>
    <row r="9" spans="1:97" ht="8.25" customHeight="1">
      <c r="A9" s="1755">
        <v>0</v>
      </c>
      <c r="B9" s="1388"/>
      <c r="C9" s="1385"/>
      <c r="D9" s="5289" t="str">
        <f>VLOOKUP(C11,BW2:BX21,2,2)</f>
        <v>MORENO CARDENAS * IGNACIA</v>
      </c>
      <c r="E9" s="5289"/>
      <c r="F9" s="5289"/>
      <c r="G9" s="5289"/>
      <c r="H9" s="5289"/>
      <c r="I9" s="3219"/>
      <c r="J9" s="5289" t="str">
        <f>VLOOKUP(I11,BW2:BX21,2,2)</f>
        <v>GONGORA SANTOS * GRACIELA</v>
      </c>
      <c r="K9" s="5289"/>
      <c r="L9" s="5289"/>
      <c r="M9" s="5289"/>
      <c r="N9" s="5289"/>
      <c r="O9" s="5289"/>
      <c r="P9" s="3219"/>
      <c r="Q9" s="5289" t="str">
        <f>VLOOKUP(P11,BW2:BX21,2,2)</f>
        <v>VARGAS GARCIA * DEBRA DORIS DEL SAGRARIO</v>
      </c>
      <c r="R9" s="5289"/>
      <c r="S9" s="5289"/>
      <c r="T9" s="5289"/>
      <c r="U9" s="1755">
        <v>0</v>
      </c>
      <c r="V9" s="1607">
        <v>7</v>
      </c>
      <c r="W9" s="1752" t="str">
        <f>HLOOKUP(W1,AA1:BV20,9)</f>
        <v>4ºA</v>
      </c>
      <c r="X9" s="1618">
        <f>HLOOKUP(X1,AA1:BV20,9)</f>
        <v>18</v>
      </c>
      <c r="Y9" s="1619">
        <f>HLOOKUP(Y1,AA1:BV20,9)</f>
        <v>17</v>
      </c>
      <c r="Z9" s="1612">
        <f t="shared" si="0"/>
        <v>35</v>
      </c>
      <c r="AA9" s="1632" t="str">
        <f>CONCATENATE(Plantillas!Y44,Plantillas!Z44)</f>
        <v>4ºA</v>
      </c>
      <c r="AB9" s="1617">
        <f>Plantillas!AC44</f>
        <v>18</v>
      </c>
      <c r="AC9" s="1633">
        <f>Plantillas!AD44</f>
        <v>17</v>
      </c>
      <c r="AD9" s="1631" t="str">
        <f>CONCATENATE(Plantillas!Y84,Plantillas!Z84)</f>
        <v>3ºB</v>
      </c>
      <c r="AE9" s="1617">
        <f>Plantillas!AC84</f>
        <v>17</v>
      </c>
      <c r="AF9" s="1633">
        <f>Plantillas!AD84</f>
        <v>12</v>
      </c>
      <c r="AG9" s="1631" t="str">
        <f>CONCATENATE(Plantillas!Y124,Plantillas!Z124)</f>
        <v>5ºA</v>
      </c>
      <c r="AH9" s="1617">
        <f>Plantillas!AC124</f>
        <v>15</v>
      </c>
      <c r="AI9" s="1633">
        <f>Plantillas!AD124</f>
        <v>10</v>
      </c>
      <c r="AJ9" s="1631" t="str">
        <f>CONCATENATE(Plantillas!Y164,Plantillas!Z164)</f>
        <v>4ºA</v>
      </c>
      <c r="AK9" s="1617">
        <f>Plantillas!AC164</f>
        <v>17</v>
      </c>
      <c r="AL9" s="1633">
        <f>Plantillas!AD164</f>
        <v>11</v>
      </c>
      <c r="AM9" s="1631" t="str">
        <f>CONCATENATE(Plantillas!Y204,Plantillas!Z204)</f>
        <v>6ºB</v>
      </c>
      <c r="AN9" s="1617">
        <f>Plantillas!AC204</f>
        <v>17</v>
      </c>
      <c r="AO9" s="1633">
        <f>Plantillas!AD204</f>
        <v>16</v>
      </c>
      <c r="AP9" s="1631" t="str">
        <f>CONCATENATE(Plantillas!Y244,Plantillas!Z244)</f>
        <v>3ºB</v>
      </c>
      <c r="AQ9" s="1617">
        <f>Plantillas!AC244</f>
        <v>12</v>
      </c>
      <c r="AR9" s="1633">
        <f>Plantillas!AD244</f>
        <v>15</v>
      </c>
      <c r="AS9" s="1631" t="str">
        <f>CONCATENATE(Plantillas!Y284,Plantillas!Z284)</f>
        <v/>
      </c>
      <c r="AT9" s="1617">
        <f>Plantillas!AC284</f>
        <v>0</v>
      </c>
      <c r="AU9" s="1633">
        <f>Plantillas!AD284</f>
        <v>0</v>
      </c>
      <c r="AV9" s="1631" t="str">
        <f>CONCATENATE(Plantillas!Y324,Plantillas!Z324)</f>
        <v/>
      </c>
      <c r="AW9" s="1617">
        <f>Plantillas!AC324</f>
        <v>0</v>
      </c>
      <c r="AX9" s="1633">
        <f>Plantillas!AD324</f>
        <v>0</v>
      </c>
      <c r="AY9" s="1631" t="str">
        <f>CONCATENATE(Plantillas!Y364,Plantillas!Z364)</f>
        <v>4ºA</v>
      </c>
      <c r="AZ9" s="1617">
        <f>Plantillas!AC364</f>
        <v>12</v>
      </c>
      <c r="BA9" s="1633">
        <f>Plantillas!AD364</f>
        <v>20</v>
      </c>
      <c r="BB9" s="1631" t="str">
        <f>CONCATENATE(Plantillas!Y404,Plantillas!Z404)</f>
        <v>6ºA</v>
      </c>
      <c r="BC9" s="1617">
        <f>Plantillas!AC404</f>
        <v>21</v>
      </c>
      <c r="BD9" s="1633">
        <f>Plantillas!AD404</f>
        <v>13</v>
      </c>
      <c r="BE9" s="1629" t="str">
        <f>CONCATENATE(Plantillas!Y444,Plantillas!Z444)</f>
        <v/>
      </c>
      <c r="BF9" s="1617">
        <f>Plantillas!AC444</f>
        <v>0</v>
      </c>
      <c r="BG9" s="1633">
        <f>Plantillas!AD444</f>
        <v>0</v>
      </c>
      <c r="BH9" s="1629" t="str">
        <f>CONCATENATE(Plantillas!Y484,Plantillas!Z484)</f>
        <v/>
      </c>
      <c r="BI9" s="1617" t="e">
        <f>Plantillas!#REF!</f>
        <v>#REF!</v>
      </c>
      <c r="BJ9" s="1633" t="e">
        <f>Plantillas!#REF!</f>
        <v>#REF!</v>
      </c>
      <c r="BK9" s="1629" t="str">
        <f>CONCATENATE(Plantillas!Y524,Plantillas!Z524)</f>
        <v/>
      </c>
      <c r="BL9" s="1617">
        <f>Plantillas!AC524</f>
        <v>0</v>
      </c>
      <c r="BM9" s="1633">
        <f>Plantillas!AD524</f>
        <v>0</v>
      </c>
      <c r="BN9" s="1629" t="str">
        <f>CONCATENATE(Plantillas!Y564,Plantillas!Z564)</f>
        <v/>
      </c>
      <c r="BO9" s="1617">
        <f>Plantillas!AC564</f>
        <v>0</v>
      </c>
      <c r="BP9" s="1633">
        <f>Plantillas!AD564</f>
        <v>0</v>
      </c>
      <c r="BQ9" s="1629" t="str">
        <f>CONCATENATE(Plantillas!Y604,Plantillas!Z604)</f>
        <v>5ºA</v>
      </c>
      <c r="BR9" s="1617">
        <f>Plantillas!AC604</f>
        <v>8</v>
      </c>
      <c r="BS9" s="1633">
        <f>Plantillas!AD604</f>
        <v>8</v>
      </c>
      <c r="BT9" s="1629" t="str">
        <f>CONCATENATE(Plantillas!Y644,Plantillas!Z644)</f>
        <v/>
      </c>
      <c r="BU9" s="1617">
        <f>Plantillas!AC644</f>
        <v>0</v>
      </c>
      <c r="BV9" s="1633">
        <f>Plantillas!AD644</f>
        <v>0</v>
      </c>
      <c r="BW9" s="3222">
        <v>7</v>
      </c>
      <c r="BX9" s="3223" t="str">
        <f>VLOOKUP(BX1,BY2:CS21,9,9)</f>
        <v>SANCHEZ BUSTAMANTE * CONCEPCION</v>
      </c>
      <c r="BY9" s="1658">
        <v>8</v>
      </c>
      <c r="BZ9" s="2800" t="str">
        <f>Plantillas!B317</f>
        <v>DZIB TUZ * MANUEL JESUS</v>
      </c>
      <c r="CA9" s="2800" t="str">
        <f>Plantillas!B318</f>
        <v>AVILA MATIAS * OLINKA</v>
      </c>
      <c r="CB9" s="2800" t="str">
        <f>Plantillas!B319</f>
        <v>DIAZ SANCHEZ * ANGEL</v>
      </c>
      <c r="CC9" s="2800" t="str">
        <f>Plantillas!B320</f>
        <v>CERVERA TAPIA * NORMA</v>
      </c>
      <c r="CD9" s="2800">
        <f>Plantillas!B321</f>
        <v>0</v>
      </c>
      <c r="CE9" s="2800">
        <f>Plantillas!B322</f>
        <v>0</v>
      </c>
      <c r="CF9" s="2800">
        <f>Plantillas!B323</f>
        <v>0</v>
      </c>
      <c r="CG9" s="2800">
        <f>Plantillas!B324</f>
        <v>0</v>
      </c>
      <c r="CH9" s="2800">
        <f>Plantillas!B325</f>
        <v>0</v>
      </c>
      <c r="CI9" s="2800">
        <f>Plantillas!B326</f>
        <v>0</v>
      </c>
      <c r="CJ9" s="2800">
        <f>Plantillas!B327</f>
        <v>0</v>
      </c>
      <c r="CK9" s="2800">
        <f>Plantillas!B328</f>
        <v>0</v>
      </c>
      <c r="CL9" s="2800">
        <f>Plantillas!B329</f>
        <v>0</v>
      </c>
      <c r="CM9" s="2800">
        <f>Plantillas!B330</f>
        <v>0</v>
      </c>
      <c r="CN9" s="2800">
        <f>Plantillas!B331</f>
        <v>0</v>
      </c>
      <c r="CO9" s="2800">
        <f>Plantillas!B332</f>
        <v>0</v>
      </c>
      <c r="CP9" s="2800">
        <f>Plantillas!B333</f>
        <v>0</v>
      </c>
      <c r="CQ9" s="2800">
        <f>Plantillas!B334</f>
        <v>0</v>
      </c>
      <c r="CR9" s="2800">
        <f>Plantillas!B335</f>
        <v>0</v>
      </c>
      <c r="CS9" s="2800">
        <f>Plantillas!B336</f>
        <v>0</v>
      </c>
    </row>
    <row r="10" spans="1:97" ht="12" customHeight="1">
      <c r="A10" s="1755">
        <v>0</v>
      </c>
      <c r="B10" s="1388"/>
      <c r="C10" s="1385"/>
      <c r="D10" s="5290">
        <f>Q40+1</f>
        <v>3</v>
      </c>
      <c r="E10" s="5290"/>
      <c r="F10" s="5292" t="str">
        <f>R40</f>
        <v>2do. Informe</v>
      </c>
      <c r="G10" s="5292"/>
      <c r="H10" s="5292"/>
      <c r="I10" s="3219"/>
      <c r="J10" s="5290">
        <f>D10+1</f>
        <v>4</v>
      </c>
      <c r="K10" s="5290"/>
      <c r="L10" s="5290"/>
      <c r="M10" s="5292" t="str">
        <f>R40</f>
        <v>2do. Informe</v>
      </c>
      <c r="N10" s="5292"/>
      <c r="O10" s="5292"/>
      <c r="P10" s="3219"/>
      <c r="Q10" s="3231">
        <f>J10+1</f>
        <v>5</v>
      </c>
      <c r="R10" s="5292" t="str">
        <f>R40</f>
        <v>2do. Informe</v>
      </c>
      <c r="S10" s="5292"/>
      <c r="T10" s="5292"/>
      <c r="U10" s="1755">
        <v>0</v>
      </c>
      <c r="V10" s="1607">
        <v>8</v>
      </c>
      <c r="W10" s="1752" t="str">
        <f>HLOOKUP(W1,AA1:BV20,10)</f>
        <v>4ºB</v>
      </c>
      <c r="X10" s="1618">
        <f>HLOOKUP(X1,AA1:BV20,10)</f>
        <v>17</v>
      </c>
      <c r="Y10" s="1619">
        <f>HLOOKUP(Y1,AA1:BV20,10)</f>
        <v>16</v>
      </c>
      <c r="Z10" s="1612">
        <f t="shared" si="0"/>
        <v>33</v>
      </c>
      <c r="AA10" s="1632" t="str">
        <f>CONCATENATE(Plantillas!Y45,Plantillas!Z45)</f>
        <v>4ºB</v>
      </c>
      <c r="AB10" s="1617">
        <f>Plantillas!AC45</f>
        <v>17</v>
      </c>
      <c r="AC10" s="1633">
        <f>Plantillas!AD45</f>
        <v>16</v>
      </c>
      <c r="AD10" s="1631" t="str">
        <f>CONCATENATE(Plantillas!Y85,Plantillas!Z85)</f>
        <v>4ºA</v>
      </c>
      <c r="AE10" s="1617">
        <f>Plantillas!AC85</f>
        <v>17</v>
      </c>
      <c r="AF10" s="1633">
        <f>Plantillas!AD85</f>
        <v>12</v>
      </c>
      <c r="AG10" s="1631" t="str">
        <f>CONCATENATE(Plantillas!Y125,Plantillas!Z125)</f>
        <v>5ºB</v>
      </c>
      <c r="AH10" s="1617">
        <f>Plantillas!AC125</f>
        <v>8</v>
      </c>
      <c r="AI10" s="1633">
        <f>Plantillas!AD125</f>
        <v>15</v>
      </c>
      <c r="AJ10" s="1631" t="str">
        <f>CONCATENATE(Plantillas!Y165,Plantillas!Z165)</f>
        <v>4ºB</v>
      </c>
      <c r="AK10" s="1617">
        <f>Plantillas!AC165</f>
        <v>19</v>
      </c>
      <c r="AL10" s="1633">
        <f>Plantillas!AD165</f>
        <v>10</v>
      </c>
      <c r="AM10" s="1631" t="str">
        <f>CONCATENATE(Plantillas!Y205,Plantillas!Z205)</f>
        <v/>
      </c>
      <c r="AN10" s="1617">
        <f>Plantillas!AC205</f>
        <v>0</v>
      </c>
      <c r="AO10" s="1633">
        <f>Plantillas!AD205</f>
        <v>0</v>
      </c>
      <c r="AP10" s="1631" t="str">
        <f>CONCATENATE(Plantillas!Y245,Plantillas!Z245)</f>
        <v>4ºA</v>
      </c>
      <c r="AQ10" s="1617">
        <f>Plantillas!AC245</f>
        <v>15</v>
      </c>
      <c r="AR10" s="1633">
        <f>Plantillas!AD245</f>
        <v>18</v>
      </c>
      <c r="AS10" s="1631" t="str">
        <f>CONCATENATE(Plantillas!Y285,Plantillas!Z285)</f>
        <v/>
      </c>
      <c r="AT10" s="1617">
        <f>Plantillas!AC285</f>
        <v>0</v>
      </c>
      <c r="AU10" s="1633">
        <f>Plantillas!AD285</f>
        <v>0</v>
      </c>
      <c r="AV10" s="1631" t="str">
        <f>CONCATENATE(Plantillas!Y325,Plantillas!Z325)</f>
        <v/>
      </c>
      <c r="AW10" s="1617">
        <f>Plantillas!AC325</f>
        <v>0</v>
      </c>
      <c r="AX10" s="1633">
        <f>Plantillas!AD325</f>
        <v>0</v>
      </c>
      <c r="AY10" s="1631" t="str">
        <f>CONCATENATE(Plantillas!Y365,Plantillas!Z365)</f>
        <v>4ºB</v>
      </c>
      <c r="AZ10" s="1617">
        <f>Plantillas!AC365</f>
        <v>14</v>
      </c>
      <c r="BA10" s="1633">
        <f>Plantillas!AD365</f>
        <v>19</v>
      </c>
      <c r="BB10" s="1631" t="str">
        <f>CONCATENATE(Plantillas!Y405,Plantillas!Z405)</f>
        <v/>
      </c>
      <c r="BC10" s="1617">
        <f>Plantillas!AC405</f>
        <v>0</v>
      </c>
      <c r="BD10" s="1633">
        <f>Plantillas!AD405</f>
        <v>0</v>
      </c>
      <c r="BE10" s="1629" t="str">
        <f>CONCATENATE(Plantillas!Y445,Plantillas!Z445)</f>
        <v/>
      </c>
      <c r="BF10" s="1617">
        <f>Plantillas!AC445</f>
        <v>0</v>
      </c>
      <c r="BG10" s="1633">
        <f>Plantillas!AD445</f>
        <v>0</v>
      </c>
      <c r="BH10" s="1629" t="str">
        <f>CONCATENATE(Plantillas!Y485,Plantillas!Z485)</f>
        <v/>
      </c>
      <c r="BI10" s="1617">
        <f>Plantillas!AC485</f>
        <v>0</v>
      </c>
      <c r="BJ10" s="1633">
        <f>Plantillas!AD485</f>
        <v>0</v>
      </c>
      <c r="BK10" s="1629" t="str">
        <f>CONCATENATE(Plantillas!Y525,Plantillas!Z525)</f>
        <v/>
      </c>
      <c r="BL10" s="1617">
        <f>Plantillas!AC525</f>
        <v>0</v>
      </c>
      <c r="BM10" s="1633">
        <f>Plantillas!AD525</f>
        <v>0</v>
      </c>
      <c r="BN10" s="1629" t="str">
        <f>CONCATENATE(Plantillas!Y565,Plantillas!Z565)</f>
        <v/>
      </c>
      <c r="BO10" s="1617">
        <f>Plantillas!AC565</f>
        <v>0</v>
      </c>
      <c r="BP10" s="1633">
        <f>Plantillas!AD565</f>
        <v>0</v>
      </c>
      <c r="BQ10" s="1629" t="str">
        <f>CONCATENATE(Plantillas!Y605,Plantillas!Z605)</f>
        <v>5ºB</v>
      </c>
      <c r="BR10" s="1617">
        <f>Plantillas!AC605</f>
        <v>8</v>
      </c>
      <c r="BS10" s="1633">
        <f>Plantillas!AD605</f>
        <v>9</v>
      </c>
      <c r="BT10" s="1629" t="str">
        <f>CONCATENATE(Plantillas!Y645,Plantillas!Z645)</f>
        <v/>
      </c>
      <c r="BU10" s="1617">
        <f>Plantillas!AC645</f>
        <v>0</v>
      </c>
      <c r="BV10" s="1633">
        <f>Plantillas!AD645</f>
        <v>0</v>
      </c>
      <c r="BW10" s="3222">
        <v>8</v>
      </c>
      <c r="BX10" s="3223" t="str">
        <f>VLOOKUP(BX1,BY2:CS21,10,10)</f>
        <v>VIVEROS SALAZAR *NORA</v>
      </c>
      <c r="BY10" s="1658">
        <v>9</v>
      </c>
      <c r="BZ10" s="2800" t="str">
        <f>Plantillas!B357</f>
        <v>ARJONA SANTOYO * MARCO ANTONIO</v>
      </c>
      <c r="CA10" s="2800" t="str">
        <f>Plantillas!B358</f>
        <v>COOX YAH * CARLOS ENRIQUE</v>
      </c>
      <c r="CB10" s="2800" t="str">
        <f>Plantillas!B359</f>
        <v>LOPEZ ALVAREZ * GUADALUPE AURORA</v>
      </c>
      <c r="CC10" s="2800" t="str">
        <f>Plantillas!B360</f>
        <v>AVILEZ MEX * GABRIELA GEOVANA</v>
      </c>
      <c r="CD10" s="2800" t="str">
        <f>Plantillas!B361</f>
        <v>TUN DOMINGUEZ * ANA ROSA</v>
      </c>
      <c r="CE10" s="2800" t="str">
        <f>Plantillas!B362</f>
        <v>PECH PACHECO * DEYFILIA MARGOT</v>
      </c>
      <c r="CF10" s="2800" t="str">
        <f>Plantillas!B363</f>
        <v>CHI NAAL * ELENA MARGARITA</v>
      </c>
      <c r="CG10" s="2800" t="str">
        <f>Plantillas!B364</f>
        <v>AVILA MATIAS * OLINKA</v>
      </c>
      <c r="CH10" s="2800" t="str">
        <f>Plantillas!B365</f>
        <v>GONZALEZ PEREZ * FILOMENA</v>
      </c>
      <c r="CI10" s="2800" t="str">
        <f>Plantillas!B366</f>
        <v>ALARCON ALARCON * MARTHA LILIANA</v>
      </c>
      <c r="CJ10" s="2800" t="str">
        <f>Plantillas!B367</f>
        <v>DELGADO CRUZ * ANTONIA CAROLINA</v>
      </c>
      <c r="CK10" s="2800" t="str">
        <f>Plantillas!B368</f>
        <v>DZUL SANTIAGO * IVAN ARIEL</v>
      </c>
      <c r="CL10" s="2800" t="str">
        <f>Plantillas!B369</f>
        <v>MAY CHUC * FELICIANO</v>
      </c>
      <c r="CM10" s="2800" t="str">
        <f>Plantillas!B370</f>
        <v>ROSAS BENITEZ * JULIAN</v>
      </c>
      <c r="CN10" s="2800" t="str">
        <f>Plantillas!B371</f>
        <v>LIZARRAGA CASTILLO * ALICIA LORAINE</v>
      </c>
      <c r="CO10" s="2800" t="str">
        <f>Plantillas!B372</f>
        <v>CANUL MARTIN * LUIS FERNANDO</v>
      </c>
      <c r="CP10" s="2800">
        <f>Plantillas!B373</f>
        <v>0</v>
      </c>
      <c r="CQ10" s="2800">
        <f>Plantillas!B374</f>
        <v>0</v>
      </c>
      <c r="CR10" s="2800">
        <f>Plantillas!B375</f>
        <v>0</v>
      </c>
      <c r="CS10" s="2800">
        <f>Plantillas!B376</f>
        <v>0</v>
      </c>
    </row>
    <row r="11" spans="1:97" ht="12" customHeight="1">
      <c r="A11" s="1755">
        <v>0</v>
      </c>
      <c r="B11" s="1388"/>
      <c r="C11" s="3229">
        <f>D10</f>
        <v>3</v>
      </c>
      <c r="D11" s="5305" t="str">
        <f>VLOOKUP(C11,V22:Z40,2,5)</f>
        <v>2ºA</v>
      </c>
      <c r="E11" s="5306"/>
      <c r="F11" s="3226" t="s">
        <v>406</v>
      </c>
      <c r="G11" s="3227" t="s">
        <v>407</v>
      </c>
      <c r="H11" s="3228" t="s">
        <v>495</v>
      </c>
      <c r="I11" s="3230">
        <f>J10</f>
        <v>4</v>
      </c>
      <c r="J11" s="5297" t="str">
        <f>VLOOKUP(I11,V22:Z40,2,5)</f>
        <v>2ºB</v>
      </c>
      <c r="K11" s="5297"/>
      <c r="L11" s="5297"/>
      <c r="M11" s="3226" t="s">
        <v>406</v>
      </c>
      <c r="N11" s="3227" t="s">
        <v>407</v>
      </c>
      <c r="O11" s="3228" t="s">
        <v>495</v>
      </c>
      <c r="P11" s="3230">
        <f>Q10</f>
        <v>5</v>
      </c>
      <c r="Q11" s="3228" t="str">
        <f>VLOOKUP(P11,V22:Z40,2,5)</f>
        <v>3ºA</v>
      </c>
      <c r="R11" s="3226" t="s">
        <v>406</v>
      </c>
      <c r="S11" s="3227" t="s">
        <v>407</v>
      </c>
      <c r="T11" s="3228" t="s">
        <v>495</v>
      </c>
      <c r="U11" s="1755">
        <v>0</v>
      </c>
      <c r="V11" s="1607">
        <v>9</v>
      </c>
      <c r="W11" s="1752" t="str">
        <f>HLOOKUP(W1,AA1:BV20,11)</f>
        <v>5ºA</v>
      </c>
      <c r="X11" s="1618">
        <f>HLOOKUP(X1,AA1:BV20,11)</f>
        <v>23</v>
      </c>
      <c r="Y11" s="1619">
        <f>HLOOKUP(Y1,AA1:BV384,11)</f>
        <v>10</v>
      </c>
      <c r="Z11" s="1612">
        <f t="shared" si="0"/>
        <v>33</v>
      </c>
      <c r="AA11" s="1632" t="str">
        <f>CONCATENATE(Plantillas!Y46,Plantillas!Z46)</f>
        <v>5ºA</v>
      </c>
      <c r="AB11" s="1617">
        <f>Plantillas!AC46</f>
        <v>23</v>
      </c>
      <c r="AC11" s="1633">
        <f>Plantillas!AD46</f>
        <v>10</v>
      </c>
      <c r="AD11" s="1631" t="str">
        <f>CONCATENATE(Plantillas!Y86,Plantillas!Z86)</f>
        <v>4ºB</v>
      </c>
      <c r="AE11" s="1617">
        <f>Plantillas!AC86</f>
        <v>15</v>
      </c>
      <c r="AF11" s="1633">
        <f>Plantillas!AD86</f>
        <v>12</v>
      </c>
      <c r="AG11" s="1631" t="str">
        <f>CONCATENATE(Plantillas!Y126,Plantillas!Z126)</f>
        <v>6ºA</v>
      </c>
      <c r="AH11" s="1617">
        <f>Plantillas!AC126</f>
        <v>14</v>
      </c>
      <c r="AI11" s="1633">
        <f>Plantillas!AD126</f>
        <v>10</v>
      </c>
      <c r="AJ11" s="1631" t="str">
        <f>CONCATENATE(Plantillas!Y166,Plantillas!Z166)</f>
        <v>5ºA</v>
      </c>
      <c r="AK11" s="1617">
        <f>Plantillas!AC166</f>
        <v>11</v>
      </c>
      <c r="AL11" s="1633">
        <f>Plantillas!AD166</f>
        <v>14</v>
      </c>
      <c r="AM11" s="1631" t="str">
        <f>CONCATENATE(Plantillas!Y206,Plantillas!Z206)</f>
        <v/>
      </c>
      <c r="AN11" s="1617">
        <f>Plantillas!AC206</f>
        <v>0</v>
      </c>
      <c r="AO11" s="1633">
        <f>Plantillas!AD206</f>
        <v>0</v>
      </c>
      <c r="AP11" s="1631" t="str">
        <f>CONCATENATE(Plantillas!Y246,Plantillas!Z246)</f>
        <v>4ºB</v>
      </c>
      <c r="AQ11" s="1617">
        <f>Plantillas!AC246</f>
        <v>18</v>
      </c>
      <c r="AR11" s="1633">
        <f>Plantillas!AD246</f>
        <v>15</v>
      </c>
      <c r="AS11" s="1631" t="str">
        <f>CONCATENATE(Plantillas!Y286,Plantillas!Z286)</f>
        <v/>
      </c>
      <c r="AT11" s="1617">
        <f>Plantillas!AC286</f>
        <v>0</v>
      </c>
      <c r="AU11" s="1633">
        <f>Plantillas!AD286</f>
        <v>0</v>
      </c>
      <c r="AV11" s="1631" t="str">
        <f>CONCATENATE(Plantillas!Y326,Plantillas!Z326)</f>
        <v/>
      </c>
      <c r="AW11" s="1617">
        <f>Plantillas!AC326</f>
        <v>0</v>
      </c>
      <c r="AX11" s="1633">
        <f>Plantillas!AD326</f>
        <v>0</v>
      </c>
      <c r="AY11" s="1631" t="str">
        <f>CONCATENATE(Plantillas!Y366,Plantillas!Z366)</f>
        <v>5ºA</v>
      </c>
      <c r="AZ11" s="1617">
        <f>Plantillas!AC366</f>
        <v>16</v>
      </c>
      <c r="BA11" s="1633">
        <f>Plantillas!AD366</f>
        <v>17</v>
      </c>
      <c r="BB11" s="1631" t="str">
        <f>CONCATENATE(Plantillas!Y406,Plantillas!Z406)</f>
        <v/>
      </c>
      <c r="BC11" s="1617">
        <f>Plantillas!AC406</f>
        <v>0</v>
      </c>
      <c r="BD11" s="1633">
        <f>Plantillas!AD406</f>
        <v>0</v>
      </c>
      <c r="BE11" s="1629" t="str">
        <f>CONCATENATE(Plantillas!Y446,Plantillas!Z446)</f>
        <v/>
      </c>
      <c r="BF11" s="1617">
        <f>Plantillas!AC446</f>
        <v>0</v>
      </c>
      <c r="BG11" s="1633">
        <f>Plantillas!AD446</f>
        <v>0</v>
      </c>
      <c r="BH11" s="1629" t="str">
        <f>CONCATENATE(Plantillas!Y486,Plantillas!Z486)</f>
        <v/>
      </c>
      <c r="BI11" s="1617">
        <f>Plantillas!AC486</f>
        <v>0</v>
      </c>
      <c r="BJ11" s="1633">
        <f>Plantillas!AD486</f>
        <v>0</v>
      </c>
      <c r="BK11" s="1629" t="str">
        <f>CONCATENATE(Plantillas!Y526,Plantillas!Z526)</f>
        <v/>
      </c>
      <c r="BL11" s="1617">
        <f>Plantillas!AC526</f>
        <v>0</v>
      </c>
      <c r="BM11" s="1633">
        <f>Plantillas!AD526</f>
        <v>0</v>
      </c>
      <c r="BN11" s="1629" t="str">
        <f>CONCATENATE(Plantillas!Y566,Plantillas!Z566)</f>
        <v/>
      </c>
      <c r="BO11" s="1617">
        <f>Plantillas!AC566</f>
        <v>0</v>
      </c>
      <c r="BP11" s="1633">
        <f>Plantillas!AD566</f>
        <v>0</v>
      </c>
      <c r="BQ11" s="1629" t="str">
        <f>CONCATENATE(Plantillas!Y606,Plantillas!Z606)</f>
        <v>6ºA</v>
      </c>
      <c r="BR11" s="1617">
        <f>Plantillas!AC606</f>
        <v>5</v>
      </c>
      <c r="BS11" s="1633">
        <f>Plantillas!AD606</f>
        <v>4</v>
      </c>
      <c r="BT11" s="1629" t="str">
        <f>CONCATENATE(Plantillas!Y646,Plantillas!Z646)</f>
        <v/>
      </c>
      <c r="BU11" s="1617">
        <f>Plantillas!AC646</f>
        <v>0</v>
      </c>
      <c r="BV11" s="1633">
        <f>Plantillas!AD646</f>
        <v>0</v>
      </c>
      <c r="BW11" s="3222">
        <v>9</v>
      </c>
      <c r="BX11" s="3223" t="str">
        <f>VLOOKUP(BX1,BY2:CS21,11,11)</f>
        <v>XIU VELAZQUEZ * JOSE MANUEL</v>
      </c>
      <c r="BY11" s="1658">
        <v>10</v>
      </c>
      <c r="BZ11" s="2800" t="str">
        <f>Plantillas!B397</f>
        <v>CERVERA VIDAL * DULCE RUTH</v>
      </c>
      <c r="CA11" s="2800" t="str">
        <f>Plantillas!B398</f>
        <v>FIELDS MAZA * WILBERT</v>
      </c>
      <c r="CB11" s="2800" t="str">
        <f>Plantillas!B399</f>
        <v>RIVERO NUÑEZ * LANDY GRACIELA</v>
      </c>
      <c r="CC11" s="2800" t="str">
        <f>Plantillas!B400</f>
        <v xml:space="preserve">GOMEZ CORTEZ * MIRNA LUZ </v>
      </c>
      <c r="CD11" s="2800" t="str">
        <f>Plantillas!B401</f>
        <v>PADILLA DIAZ * LANDY DEL ROSARIO</v>
      </c>
      <c r="CE11" s="2800" t="str">
        <f>Plantillas!B402</f>
        <v>HERNANDEZ CARDEÑA * ALEX KARIN</v>
      </c>
      <c r="CF11" s="2800" t="str">
        <f>Plantillas!B403</f>
        <v>COLLI CARRILLO * ROBERTO ALAN</v>
      </c>
      <c r="CG11" s="2800" t="str">
        <f>Plantillas!B404</f>
        <v>MATU CRUZ * LAURA SOFIA</v>
      </c>
      <c r="CH11" s="2800" t="str">
        <f>Plantillas!B405</f>
        <v>VALLEJO SOSA * JANET ALICIA</v>
      </c>
      <c r="CI11" s="2800" t="str">
        <f>Plantillas!B406</f>
        <v>TEC CEME * AMADA</v>
      </c>
      <c r="CJ11" s="2800">
        <f>Plantillas!B407</f>
        <v>0</v>
      </c>
      <c r="CK11" s="2800">
        <f>Plantillas!B408</f>
        <v>0</v>
      </c>
      <c r="CL11" s="2800">
        <f>Plantillas!B409</f>
        <v>0</v>
      </c>
      <c r="CM11" s="2800">
        <f>Plantillas!B410</f>
        <v>0</v>
      </c>
      <c r="CN11" s="2800">
        <f>Plantillas!B411</f>
        <v>0</v>
      </c>
      <c r="CO11" s="2800">
        <f>Plantillas!B412</f>
        <v>0</v>
      </c>
      <c r="CP11" s="2800">
        <f>Plantillas!B413</f>
        <v>0</v>
      </c>
      <c r="CQ11" s="2800">
        <f>Plantillas!B414</f>
        <v>0</v>
      </c>
      <c r="CR11" s="2800">
        <f>Plantillas!B415</f>
        <v>0</v>
      </c>
      <c r="CS11" s="2800">
        <f>Plantillas!B416</f>
        <v>0</v>
      </c>
    </row>
    <row r="12" spans="1:97" ht="12" customHeight="1">
      <c r="A12" s="1755">
        <v>0</v>
      </c>
      <c r="B12" s="1388"/>
      <c r="C12" s="3221"/>
      <c r="D12" s="5322" t="s">
        <v>1126</v>
      </c>
      <c r="E12" s="5323"/>
      <c r="F12" s="3235">
        <f>VLOOKUP(C11,V2:Z20,3,5)</f>
        <v>18</v>
      </c>
      <c r="G12" s="3235">
        <f>VLOOKUP(C11,V2:Z20,4,5)</f>
        <v>17</v>
      </c>
      <c r="H12" s="3235">
        <f>SUM(F12:G12)</f>
        <v>35</v>
      </c>
      <c r="I12" s="3216"/>
      <c r="J12" s="5298" t="s">
        <v>1126</v>
      </c>
      <c r="K12" s="5298"/>
      <c r="L12" s="5298"/>
      <c r="M12" s="3235">
        <f>VLOOKUP(I11,V2:Z20,3,5)</f>
        <v>21</v>
      </c>
      <c r="N12" s="3235">
        <f>VLOOKUP(I11,V2:Z20,4,5)</f>
        <v>12</v>
      </c>
      <c r="O12" s="3235">
        <f>SUM(M12:N12)</f>
        <v>33</v>
      </c>
      <c r="P12" s="3216"/>
      <c r="Q12" s="3473" t="s">
        <v>1126</v>
      </c>
      <c r="R12" s="3235">
        <f>VLOOKUP(P11,V2:Z20,3,5)</f>
        <v>11</v>
      </c>
      <c r="S12" s="3235">
        <f>VLOOKUP(P11,V2:Z20,4,5)</f>
        <v>17</v>
      </c>
      <c r="T12" s="3235">
        <f>SUM(R12:S12)</f>
        <v>28</v>
      </c>
      <c r="U12" s="1755">
        <v>0</v>
      </c>
      <c r="V12" s="1607">
        <v>10</v>
      </c>
      <c r="W12" s="1752" t="str">
        <f>HLOOKUP(W1,AA1:BV20,12)</f>
        <v>5ºB</v>
      </c>
      <c r="X12" s="1618">
        <f>HLOOKUP(X1,AA1:BV20,12)</f>
        <v>22</v>
      </c>
      <c r="Y12" s="1619">
        <f>HLOOKUP(Y1,AA1:BV20,12)</f>
        <v>10</v>
      </c>
      <c r="Z12" s="1612">
        <f t="shared" si="0"/>
        <v>32</v>
      </c>
      <c r="AA12" s="1632" t="str">
        <f>CONCATENATE(Plantillas!Y47,Plantillas!Z47)</f>
        <v>5ºB</v>
      </c>
      <c r="AB12" s="1617">
        <f>Plantillas!AC47</f>
        <v>22</v>
      </c>
      <c r="AC12" s="1633">
        <f>Plantillas!AD47</f>
        <v>10</v>
      </c>
      <c r="AD12" s="1631" t="str">
        <f>CONCATENATE(Plantillas!Y87,Plantillas!Z87)</f>
        <v>4ºC</v>
      </c>
      <c r="AE12" s="1617">
        <f>Plantillas!AC87</f>
        <v>20</v>
      </c>
      <c r="AF12" s="1633">
        <f>Plantillas!AD87</f>
        <v>10</v>
      </c>
      <c r="AG12" s="1631" t="str">
        <f>CONCATENATE(Plantillas!Y127,Plantillas!Z127)</f>
        <v>6ºB</v>
      </c>
      <c r="AH12" s="1617">
        <f>Plantillas!AC127</f>
        <v>11</v>
      </c>
      <c r="AI12" s="1633">
        <f>Plantillas!AD127</f>
        <v>11</v>
      </c>
      <c r="AJ12" s="1631" t="str">
        <f>CONCATENATE(Plantillas!Y167,Plantillas!Z167)</f>
        <v>5ºB</v>
      </c>
      <c r="AK12" s="1617">
        <f>Plantillas!AC167</f>
        <v>17</v>
      </c>
      <c r="AL12" s="1633">
        <f>Plantillas!AD167</f>
        <v>8</v>
      </c>
      <c r="AM12" s="1631" t="str">
        <f>CONCATENATE(Plantillas!Y207,Plantillas!Z207)</f>
        <v/>
      </c>
      <c r="AN12" s="1617">
        <f>Plantillas!AC207</f>
        <v>0</v>
      </c>
      <c r="AO12" s="1633">
        <f>Plantillas!AD207</f>
        <v>0</v>
      </c>
      <c r="AP12" s="1631" t="str">
        <f>CONCATENATE(Plantillas!Y247,Plantillas!Z247)</f>
        <v>5ºA</v>
      </c>
      <c r="AQ12" s="1617">
        <f>Plantillas!AC247</f>
        <v>13</v>
      </c>
      <c r="AR12" s="1633">
        <f>Plantillas!AD247</f>
        <v>21</v>
      </c>
      <c r="AS12" s="1631" t="str">
        <f>CONCATENATE(Plantillas!Y287,Plantillas!Z287)</f>
        <v/>
      </c>
      <c r="AT12" s="1617">
        <f>Plantillas!AC287</f>
        <v>0</v>
      </c>
      <c r="AU12" s="1633">
        <f>Plantillas!AD287</f>
        <v>0</v>
      </c>
      <c r="AV12" s="1631" t="str">
        <f>CONCATENATE(Plantillas!Y327,Plantillas!Z327)</f>
        <v/>
      </c>
      <c r="AW12" s="1617">
        <f>Plantillas!AC327</f>
        <v>0</v>
      </c>
      <c r="AX12" s="1633">
        <f>Plantillas!AD327</f>
        <v>0</v>
      </c>
      <c r="AY12" s="1631" t="str">
        <f>CONCATENATE(Plantillas!Y367,Plantillas!Z367)</f>
        <v>5ºB</v>
      </c>
      <c r="AZ12" s="1617">
        <f>Plantillas!AC367</f>
        <v>20</v>
      </c>
      <c r="BA12" s="1633">
        <f>Plantillas!AD367</f>
        <v>15</v>
      </c>
      <c r="BB12" s="1631" t="str">
        <f>CONCATENATE(Plantillas!Y407,Plantillas!Z407)</f>
        <v/>
      </c>
      <c r="BC12" s="1617">
        <f>Plantillas!AC407</f>
        <v>0</v>
      </c>
      <c r="BD12" s="1633">
        <f>Plantillas!AD407</f>
        <v>0</v>
      </c>
      <c r="BE12" s="1629" t="str">
        <f>CONCATENATE(Plantillas!Y447,Plantillas!Z447)</f>
        <v/>
      </c>
      <c r="BF12" s="1617">
        <f>Plantillas!AC447</f>
        <v>0</v>
      </c>
      <c r="BG12" s="1633">
        <f>Plantillas!AD447</f>
        <v>0</v>
      </c>
      <c r="BH12" s="1629" t="str">
        <f>CONCATENATE(Plantillas!Y487,Plantillas!Z487)</f>
        <v/>
      </c>
      <c r="BI12" s="1617">
        <f>Plantillas!AC487</f>
        <v>0</v>
      </c>
      <c r="BJ12" s="1633">
        <f>Plantillas!AD487</f>
        <v>0</v>
      </c>
      <c r="BK12" s="1629" t="str">
        <f>CONCATENATE(Plantillas!Y527,Plantillas!Z527)</f>
        <v/>
      </c>
      <c r="BL12" s="1617">
        <f>Plantillas!AC527</f>
        <v>0</v>
      </c>
      <c r="BM12" s="1633">
        <f>Plantillas!AD527</f>
        <v>0</v>
      </c>
      <c r="BN12" s="1629" t="str">
        <f>CONCATENATE(Plantillas!Y567,Plantillas!Z567)</f>
        <v/>
      </c>
      <c r="BO12" s="1617">
        <f>Plantillas!AC567</f>
        <v>0</v>
      </c>
      <c r="BP12" s="1633">
        <f>Plantillas!AD567</f>
        <v>0</v>
      </c>
      <c r="BQ12" s="1629" t="str">
        <f>CONCATENATE(Plantillas!Y607,Plantillas!Z607)</f>
        <v/>
      </c>
      <c r="BR12" s="1617">
        <f>Plantillas!AC607</f>
        <v>0</v>
      </c>
      <c r="BS12" s="1633">
        <f>Plantillas!AD607</f>
        <v>0</v>
      </c>
      <c r="BT12" s="1629" t="str">
        <f>CONCATENATE(Plantillas!Y647,Plantillas!Z647)</f>
        <v/>
      </c>
      <c r="BU12" s="1617">
        <f>Plantillas!AC647</f>
        <v>0</v>
      </c>
      <c r="BV12" s="1633">
        <f>Plantillas!AD647</f>
        <v>0</v>
      </c>
      <c r="BW12" s="3222">
        <v>10</v>
      </c>
      <c r="BX12" s="3223" t="str">
        <f>VLOOKUP(BX1,BY2:CS21,12,12)</f>
        <v>MARTIN QUINTAL * SIHARELI CONCEPCION</v>
      </c>
      <c r="BY12" s="1658">
        <v>11</v>
      </c>
      <c r="BZ12" s="2800" t="str">
        <f>Plantillas!B437</f>
        <v>TUCUCH SANTOS * AURORA LETICIA</v>
      </c>
      <c r="CA12" s="2800" t="str">
        <f>Plantillas!B438</f>
        <v>HERNANDEZ SANCHEZ * LOYDA</v>
      </c>
      <c r="CB12" s="2800">
        <f>Plantillas!B439</f>
        <v>0</v>
      </c>
      <c r="CC12" s="2800" t="str">
        <f>Plantillas!B440</f>
        <v>PAAT KOO OSCAR * ALEJANDRO</v>
      </c>
      <c r="CD12" s="2800">
        <f>Plantillas!B441</f>
        <v>0</v>
      </c>
      <c r="CE12" s="2800" t="str">
        <f>Plantillas!B442</f>
        <v>CANUL BORGES * FATIMA DEL CARMEN</v>
      </c>
      <c r="CF12" s="2800" t="str">
        <f>Plantillas!B443</f>
        <v>POLANCO SAMANIEGO * JHONNY FRANCISCO</v>
      </c>
      <c r="CG12" s="2800" t="str">
        <f>Plantillas!B444</f>
        <v>CAUDILLO ARRIAGA * DAFNE MAGALY</v>
      </c>
      <c r="CH12" s="2800" t="str">
        <f>Plantillas!B445</f>
        <v>MARTINEZ CARRASCO * GUADALUPE</v>
      </c>
      <c r="CI12" s="2800" t="str">
        <f>Plantillas!B446</f>
        <v>RAMIREZ SANCHEZ MARIA * YOLANDA</v>
      </c>
      <c r="CJ12" s="2800" t="str">
        <f>Plantillas!B447</f>
        <v>GONZALEZ CASTELLANO * ANALIA VERONICA</v>
      </c>
      <c r="CK12" s="2800" t="str">
        <f>Plantillas!B448</f>
        <v>ARRIAGA ALEMAN * MARISELA</v>
      </c>
      <c r="CL12" s="2800" t="str">
        <f>Plantillas!B449</f>
        <v>ROSALES MARTINEZ * CAROLINA</v>
      </c>
      <c r="CM12" s="2800">
        <f>Plantillas!B450</f>
        <v>0</v>
      </c>
      <c r="CN12" s="2800">
        <f>Plantillas!B451</f>
        <v>0</v>
      </c>
      <c r="CO12" s="2800">
        <f>Plantillas!B452</f>
        <v>0</v>
      </c>
      <c r="CP12" s="2800">
        <f>Plantillas!B453</f>
        <v>0</v>
      </c>
      <c r="CQ12" s="2800">
        <f>Plantillas!B454</f>
        <v>0</v>
      </c>
      <c r="CR12" s="2800">
        <f>Plantillas!B455</f>
        <v>0</v>
      </c>
      <c r="CS12" s="2800">
        <f>Plantillas!B456</f>
        <v>0</v>
      </c>
    </row>
    <row r="13" spans="1:97" ht="12" customHeight="1">
      <c r="A13" s="1755">
        <v>0</v>
      </c>
      <c r="B13" s="1388"/>
      <c r="C13" s="3221"/>
      <c r="D13" s="5320" t="s">
        <v>423</v>
      </c>
      <c r="E13" s="5321"/>
      <c r="F13" s="3235">
        <f>VLOOKUP(C11,V22:Z40,3,5)</f>
        <v>0</v>
      </c>
      <c r="G13" s="3235">
        <f>VLOOKUP(C11,V22:Z40,4,5)</f>
        <v>0</v>
      </c>
      <c r="H13" s="3235">
        <f>SUM(F13:G13)</f>
        <v>0</v>
      </c>
      <c r="I13" s="3216"/>
      <c r="J13" s="5293" t="s">
        <v>423</v>
      </c>
      <c r="K13" s="5293"/>
      <c r="L13" s="5293"/>
      <c r="M13" s="3235">
        <f>VLOOKUP(I11,V22:Z40,3,5)</f>
        <v>1</v>
      </c>
      <c r="N13" s="3235">
        <f>VLOOKUP(I11,V22:Z40,4,5)</f>
        <v>3</v>
      </c>
      <c r="O13" s="3235">
        <f>SUM(M13:N13)</f>
        <v>4</v>
      </c>
      <c r="P13" s="3216"/>
      <c r="Q13" s="3474" t="s">
        <v>423</v>
      </c>
      <c r="R13" s="3235">
        <f>VLOOKUP(P11,V22:Z40,3,5)</f>
        <v>0</v>
      </c>
      <c r="S13" s="3235">
        <f>VLOOKUP(P11,V22:Z40,4,5)</f>
        <v>1</v>
      </c>
      <c r="T13" s="3235">
        <f>SUM(R13:S13)</f>
        <v>1</v>
      </c>
      <c r="U13" s="1755">
        <v>0</v>
      </c>
      <c r="V13" s="1607">
        <v>11</v>
      </c>
      <c r="W13" s="1752" t="str">
        <f>HLOOKUP(W1,AA1:BV20,13)</f>
        <v>6ºA</v>
      </c>
      <c r="X13" s="1618">
        <f>HLOOKUP(X1,AA1:BV20,13)</f>
        <v>20</v>
      </c>
      <c r="Y13" s="1619">
        <f>HLOOKUP(Y1,AA1:BV20,13)</f>
        <v>15</v>
      </c>
      <c r="Z13" s="1612">
        <f t="shared" si="0"/>
        <v>35</v>
      </c>
      <c r="AA13" s="1632" t="str">
        <f>CONCATENATE(Plantillas!Y48,Plantillas!Z48)</f>
        <v>6ºA</v>
      </c>
      <c r="AB13" s="1617">
        <f>Plantillas!AC48</f>
        <v>20</v>
      </c>
      <c r="AC13" s="1633">
        <f>Plantillas!AD48</f>
        <v>15</v>
      </c>
      <c r="AD13" s="1631" t="str">
        <f>CONCATENATE(Plantillas!Y88,Plantillas!Z88)</f>
        <v>5ºA</v>
      </c>
      <c r="AE13" s="1617">
        <f>Plantillas!AC88</f>
        <v>17</v>
      </c>
      <c r="AF13" s="1633">
        <f>Plantillas!AD88</f>
        <v>18</v>
      </c>
      <c r="AG13" s="1631" t="str">
        <f>CONCATENATE(Plantillas!Y128,Plantillas!Z128)</f>
        <v/>
      </c>
      <c r="AH13" s="1617">
        <f>Plantillas!AC128</f>
        <v>0</v>
      </c>
      <c r="AI13" s="1633">
        <f>Plantillas!AD128</f>
        <v>0</v>
      </c>
      <c r="AJ13" s="1631" t="str">
        <f>CONCATENATE(Plantillas!Y168,Plantillas!Z168)</f>
        <v>6ºA</v>
      </c>
      <c r="AK13" s="1617">
        <f>Plantillas!AC168</f>
        <v>14</v>
      </c>
      <c r="AL13" s="1633">
        <f>Plantillas!AD168</f>
        <v>15</v>
      </c>
      <c r="AM13" s="1631" t="str">
        <f>CONCATENATE(Plantillas!Y208,Plantillas!Z208)</f>
        <v/>
      </c>
      <c r="AN13" s="1617">
        <f>Plantillas!AC208</f>
        <v>0</v>
      </c>
      <c r="AO13" s="1633">
        <f>Plantillas!AD208</f>
        <v>0</v>
      </c>
      <c r="AP13" s="1631" t="str">
        <f>CONCATENATE(Plantillas!Y248,Plantillas!Z248)</f>
        <v>5ºB</v>
      </c>
      <c r="AQ13" s="1617">
        <f>Plantillas!AC248</f>
        <v>12</v>
      </c>
      <c r="AR13" s="1633">
        <f>Plantillas!AD248</f>
        <v>22</v>
      </c>
      <c r="AS13" s="1631" t="str">
        <f>CONCATENATE(Plantillas!Y288,Plantillas!Z288)</f>
        <v/>
      </c>
      <c r="AT13" s="1617">
        <f>Plantillas!AC288</f>
        <v>0</v>
      </c>
      <c r="AU13" s="1633">
        <f>Plantillas!AD288</f>
        <v>0</v>
      </c>
      <c r="AV13" s="1631" t="str">
        <f>CONCATENATE(Plantillas!Y328,Plantillas!Z328)</f>
        <v/>
      </c>
      <c r="AW13" s="1617">
        <f>Plantillas!AC328</f>
        <v>0</v>
      </c>
      <c r="AX13" s="1633">
        <f>Plantillas!AD328</f>
        <v>0</v>
      </c>
      <c r="AY13" s="1631" t="str">
        <f>CONCATENATE(Plantillas!Y368,Plantillas!Z368)</f>
        <v>6ºA</v>
      </c>
      <c r="AZ13" s="1617">
        <f>Plantillas!AC368</f>
        <v>20</v>
      </c>
      <c r="BA13" s="1633">
        <f>Plantillas!AD368</f>
        <v>15</v>
      </c>
      <c r="BB13" s="1631" t="str">
        <f>CONCATENATE(Plantillas!Y408,Plantillas!Z408)</f>
        <v/>
      </c>
      <c r="BC13" s="1617">
        <f>Plantillas!AC408</f>
        <v>0</v>
      </c>
      <c r="BD13" s="1633">
        <f>Plantillas!AD408</f>
        <v>0</v>
      </c>
      <c r="BE13" s="1629" t="str">
        <f>CONCATENATE(Plantillas!Y448,Plantillas!Z448)</f>
        <v/>
      </c>
      <c r="BF13" s="1617">
        <f>Plantillas!AC448</f>
        <v>0</v>
      </c>
      <c r="BG13" s="1633">
        <f>Plantillas!AD448</f>
        <v>0</v>
      </c>
      <c r="BH13" s="1629" t="str">
        <f>CONCATENATE(Plantillas!Y488,Plantillas!Z488)</f>
        <v/>
      </c>
      <c r="BI13" s="1617">
        <f>Plantillas!AC488</f>
        <v>0</v>
      </c>
      <c r="BJ13" s="1633">
        <f>Plantillas!AD488</f>
        <v>0</v>
      </c>
      <c r="BK13" s="1629" t="str">
        <f>CONCATENATE(Plantillas!Y528,Plantillas!Z528)</f>
        <v/>
      </c>
      <c r="BL13" s="1617">
        <f>Plantillas!AC528</f>
        <v>0</v>
      </c>
      <c r="BM13" s="1633">
        <f>Plantillas!AD528</f>
        <v>0</v>
      </c>
      <c r="BN13" s="1629" t="str">
        <f>CONCATENATE(Plantillas!Y568,Plantillas!Z568)</f>
        <v/>
      </c>
      <c r="BO13" s="1617">
        <f>Plantillas!AC568</f>
        <v>0</v>
      </c>
      <c r="BP13" s="1633">
        <f>Plantillas!AD568</f>
        <v>0</v>
      </c>
      <c r="BQ13" s="1629" t="str">
        <f>CONCATENATE(Plantillas!Y608,Plantillas!Z608)</f>
        <v/>
      </c>
      <c r="BR13" s="1617">
        <f>Plantillas!AC608</f>
        <v>0</v>
      </c>
      <c r="BS13" s="1633">
        <f>Plantillas!AD608</f>
        <v>0</v>
      </c>
      <c r="BT13" s="1629" t="str">
        <f>CONCATENATE(Plantillas!Y648,Plantillas!Z648)</f>
        <v/>
      </c>
      <c r="BU13" s="1617">
        <f>Plantillas!AC648</f>
        <v>0</v>
      </c>
      <c r="BV13" s="1633">
        <f>Plantillas!AD648</f>
        <v>0</v>
      </c>
      <c r="BW13" s="3222">
        <v>11</v>
      </c>
      <c r="BX13" s="3223" t="str">
        <f>VLOOKUP(BX1,BY2:CS21,13,13)</f>
        <v>ALEMAN SANTOS * MIRIAM</v>
      </c>
      <c r="BY13" s="1659">
        <v>12</v>
      </c>
      <c r="BZ13" s="2800" t="str">
        <f>Plantillas!B477</f>
        <v>CRUZ MARTINEZ * BELEM</v>
      </c>
      <c r="CA13" s="2800">
        <f>Plantillas!B478</f>
        <v>0</v>
      </c>
      <c r="CB13" s="2800" t="str">
        <f>Plantillas!B479</f>
        <v>CAN BASTO * CRISHTY</v>
      </c>
      <c r="CC13" s="2800" t="str">
        <f>Plantillas!B480</f>
        <v>MONTAÑO CASTILLO * MARIANA</v>
      </c>
      <c r="CD13" s="2800" t="str">
        <f>Plantillas!B481</f>
        <v>GOMEZ RIVERA *  SULEMA</v>
      </c>
      <c r="CE13" s="2800" t="str">
        <f>Plantillas!B482</f>
        <v>SANCHEZ DE LA CRUZ * ADELA DEL CARMEN</v>
      </c>
      <c r="CF13" s="2800" t="str">
        <f>Plantillas!B483</f>
        <v>SEGURA MARQUEZ * GRISELDA</v>
      </c>
      <c r="CG13" s="2800" t="str">
        <f>Plantillas!B484</f>
        <v>OVIEDO GARCIA * FRANCISCA GABRIELA</v>
      </c>
      <c r="CH13" s="2800" t="str">
        <f>Plantillas!B485</f>
        <v>IZQUIERDO PACHECO * IRMA ISABEL</v>
      </c>
      <c r="CI13" s="2800" t="str">
        <f>Plantillas!B486</f>
        <v>BADILLO VILLALPANDO * CLAUDIA TRINIDAD</v>
      </c>
      <c r="CJ13" s="2800" t="str">
        <f>Plantillas!B487</f>
        <v>MORENO CORONADO * LUCIA</v>
      </c>
      <c r="CK13" s="2800" t="str">
        <f>Plantillas!B488</f>
        <v>ESTEVEZ TRUJEQUE * QUETZALLI</v>
      </c>
      <c r="CL13" s="2800" t="str">
        <f>Plantillas!B489</f>
        <v>PALMA HERNANDEZ * ENEY</v>
      </c>
      <c r="CM13" s="2800" t="str">
        <f>Plantillas!B490</f>
        <v>PEREZ RODRIGUEZ * JOSE LUIS</v>
      </c>
      <c r="CN13" s="2800">
        <f>Plantillas!B491</f>
        <v>0</v>
      </c>
      <c r="CO13" s="2800">
        <f>Plantillas!B492</f>
        <v>0</v>
      </c>
      <c r="CP13" s="2800">
        <f>Plantillas!B493</f>
        <v>0</v>
      </c>
      <c r="CQ13" s="2800">
        <f>Plantillas!B494</f>
        <v>0</v>
      </c>
      <c r="CR13" s="2800">
        <f>Plantillas!B495</f>
        <v>0</v>
      </c>
      <c r="CS13" s="2800">
        <f>Plantillas!B496</f>
        <v>0</v>
      </c>
    </row>
    <row r="14" spans="1:97" ht="12" customHeight="1">
      <c r="A14" s="1755">
        <v>0</v>
      </c>
      <c r="B14" s="1388"/>
      <c r="C14" s="3221"/>
      <c r="D14" s="5318" t="s">
        <v>434</v>
      </c>
      <c r="E14" s="5319"/>
      <c r="F14" s="3235">
        <f>VLOOKUP(C11,V42:Z60,3,5)</f>
        <v>2</v>
      </c>
      <c r="G14" s="3235">
        <f>VLOOKUP(C11,V42:Z60,4,5)</f>
        <v>2</v>
      </c>
      <c r="H14" s="3235">
        <f>SUM(F14:G14)</f>
        <v>4</v>
      </c>
      <c r="I14" s="3216"/>
      <c r="J14" s="5294" t="s">
        <v>434</v>
      </c>
      <c r="K14" s="5294"/>
      <c r="L14" s="5294"/>
      <c r="M14" s="3235">
        <f>VLOOKUP(I11,V42:Z60,3,5)</f>
        <v>2</v>
      </c>
      <c r="N14" s="3235">
        <f>VLOOKUP(I11,V42:Z60,4,5)</f>
        <v>2</v>
      </c>
      <c r="O14" s="3235">
        <f>SUM(M14:N14)</f>
        <v>4</v>
      </c>
      <c r="P14" s="3216"/>
      <c r="Q14" s="3475" t="s">
        <v>434</v>
      </c>
      <c r="R14" s="3235">
        <f>VLOOKUP(P11,V42:Z60,3,5)</f>
        <v>1</v>
      </c>
      <c r="S14" s="3235">
        <f>VLOOKUP(P11,V42:Z60,4,5)</f>
        <v>4</v>
      </c>
      <c r="T14" s="3235">
        <f>SUM(R14:S14)</f>
        <v>5</v>
      </c>
      <c r="U14" s="1755">
        <v>0</v>
      </c>
      <c r="V14" s="1607">
        <v>12</v>
      </c>
      <c r="W14" s="1752" t="str">
        <f>HLOOKUP(W1,AA1:BV20,14)</f>
        <v>6ºB</v>
      </c>
      <c r="X14" s="1618">
        <f>HLOOKUP(X1,AA1:BV20,14)</f>
        <v>19</v>
      </c>
      <c r="Y14" s="1619">
        <f>HLOOKUP(Y1,AA1:BV20,14)</f>
        <v>16</v>
      </c>
      <c r="Z14" s="1612">
        <f t="shared" si="0"/>
        <v>35</v>
      </c>
      <c r="AA14" s="1632" t="str">
        <f>CONCATENATE(Plantillas!Y49,Plantillas!Z49)</f>
        <v>6ºB</v>
      </c>
      <c r="AB14" s="1617">
        <f>Plantillas!AC49</f>
        <v>19</v>
      </c>
      <c r="AC14" s="1633">
        <f>Plantillas!AD49</f>
        <v>16</v>
      </c>
      <c r="AD14" s="1631" t="str">
        <f>CONCATENATE(Plantillas!Y89,Plantillas!Z89)</f>
        <v>5ºB</v>
      </c>
      <c r="AE14" s="1617">
        <f>Plantillas!AC89</f>
        <v>17</v>
      </c>
      <c r="AF14" s="1633">
        <f>Plantillas!AD89</f>
        <v>18</v>
      </c>
      <c r="AG14" s="1631" t="str">
        <f>CONCATENATE(Plantillas!Y129,Plantillas!Z129)</f>
        <v/>
      </c>
      <c r="AH14" s="1617">
        <f>Plantillas!AC129</f>
        <v>0</v>
      </c>
      <c r="AI14" s="1633">
        <f>Plantillas!AD129</f>
        <v>0</v>
      </c>
      <c r="AJ14" s="1631" t="str">
        <f>CONCATENATE(Plantillas!Y169,Plantillas!Z169)</f>
        <v>6ºB</v>
      </c>
      <c r="AK14" s="1617">
        <f>Plantillas!AC169</f>
        <v>19</v>
      </c>
      <c r="AL14" s="1633">
        <f>Plantillas!AD169</f>
        <v>12</v>
      </c>
      <c r="AM14" s="1631" t="str">
        <f>CONCATENATE(Plantillas!Y209,Plantillas!Z209)</f>
        <v/>
      </c>
      <c r="AN14" s="1617">
        <f>Plantillas!AC209</f>
        <v>0</v>
      </c>
      <c r="AO14" s="1633">
        <f>Plantillas!AD209</f>
        <v>0</v>
      </c>
      <c r="AP14" s="1631" t="str">
        <f>CONCATENATE(Plantillas!Y249,Plantillas!Z249)</f>
        <v>6ºA</v>
      </c>
      <c r="AQ14" s="1617">
        <f>Plantillas!AC249</f>
        <v>16</v>
      </c>
      <c r="AR14" s="1633">
        <f>Plantillas!AD249</f>
        <v>19</v>
      </c>
      <c r="AS14" s="1631" t="str">
        <f>CONCATENATE(Plantillas!Y289,Plantillas!Z289)</f>
        <v/>
      </c>
      <c r="AT14" s="1617">
        <f>Plantillas!AC289</f>
        <v>0</v>
      </c>
      <c r="AU14" s="1633">
        <f>Plantillas!AD289</f>
        <v>0</v>
      </c>
      <c r="AV14" s="1631" t="str">
        <f>CONCATENATE(Plantillas!Y329,Plantillas!Z329)</f>
        <v/>
      </c>
      <c r="AW14" s="1617">
        <f>Plantillas!AC329</f>
        <v>0</v>
      </c>
      <c r="AX14" s="1633">
        <f>Plantillas!AD329</f>
        <v>0</v>
      </c>
      <c r="AY14" s="1631" t="str">
        <f>CONCATENATE(Plantillas!Y369,Plantillas!Z369)</f>
        <v>6ºB</v>
      </c>
      <c r="AZ14" s="1617">
        <f>Plantillas!AC369</f>
        <v>20</v>
      </c>
      <c r="BA14" s="1633">
        <f>Plantillas!AD369</f>
        <v>15</v>
      </c>
      <c r="BB14" s="1631" t="str">
        <f>CONCATENATE(Plantillas!Y409,Plantillas!Z409)</f>
        <v/>
      </c>
      <c r="BC14" s="1617">
        <f>Plantillas!AC409</f>
        <v>0</v>
      </c>
      <c r="BD14" s="1633">
        <f>Plantillas!AD409</f>
        <v>0</v>
      </c>
      <c r="BE14" s="1629" t="str">
        <f>CONCATENATE(Plantillas!Y449,Plantillas!Z449)</f>
        <v/>
      </c>
      <c r="BF14" s="1617">
        <f>Plantillas!AC449</f>
        <v>0</v>
      </c>
      <c r="BG14" s="1633">
        <f>Plantillas!AD449</f>
        <v>0</v>
      </c>
      <c r="BH14" s="1629" t="str">
        <f>CONCATENATE(Plantillas!Y489,Plantillas!Z489)</f>
        <v/>
      </c>
      <c r="BI14" s="1617">
        <f>Plantillas!AC489</f>
        <v>0</v>
      </c>
      <c r="BJ14" s="1633">
        <f>Plantillas!AD489</f>
        <v>0</v>
      </c>
      <c r="BK14" s="1629" t="str">
        <f>CONCATENATE(Plantillas!Y529,Plantillas!Z529)</f>
        <v/>
      </c>
      <c r="BL14" s="1617">
        <f>Plantillas!AC529</f>
        <v>0</v>
      </c>
      <c r="BM14" s="1633">
        <f>Plantillas!AD529</f>
        <v>0</v>
      </c>
      <c r="BN14" s="1629" t="str">
        <f>CONCATENATE(Plantillas!Y569,Plantillas!Z569)</f>
        <v/>
      </c>
      <c r="BO14" s="1617">
        <f>Plantillas!AC569</f>
        <v>0</v>
      </c>
      <c r="BP14" s="1633">
        <f>Plantillas!AD569</f>
        <v>0</v>
      </c>
      <c r="BQ14" s="1629" t="str">
        <f>CONCATENATE(Plantillas!Y609,Plantillas!Z609)</f>
        <v/>
      </c>
      <c r="BR14" s="1617">
        <f>Plantillas!AC609</f>
        <v>0</v>
      </c>
      <c r="BS14" s="1633">
        <f>Plantillas!AD609</f>
        <v>0</v>
      </c>
      <c r="BT14" s="1629" t="str">
        <f>CONCATENATE(Plantillas!Y649,Plantillas!Z649)</f>
        <v/>
      </c>
      <c r="BU14" s="1617">
        <f>Plantillas!AC649</f>
        <v>0</v>
      </c>
      <c r="BV14" s="1633">
        <f>Plantillas!AD649</f>
        <v>0</v>
      </c>
      <c r="BW14" s="3222">
        <v>12</v>
      </c>
      <c r="BX14" s="3223" t="str">
        <f>VLOOKUP(BX1,BY2:CS21,14,14)</f>
        <v>CRUZ PEREZ * FRANCISCO</v>
      </c>
      <c r="BY14" s="1659">
        <v>13</v>
      </c>
      <c r="BZ14" s="2800" t="str">
        <f>Plantillas!B517</f>
        <v>RUIZ VALLE * PATRICIA</v>
      </c>
      <c r="CA14" s="2800" t="str">
        <f>Plantillas!B518</f>
        <v>C HALE HERRERA * LUZMY MIGANGELY</v>
      </c>
      <c r="CB14" s="2800">
        <f>Plantillas!B519</f>
        <v>0</v>
      </c>
      <c r="CC14" s="2800" t="str">
        <f>Plantillas!B520</f>
        <v>CABALLERO CHAN * AMPARO ISABEL</v>
      </c>
      <c r="CD14" s="2800" t="str">
        <f>Plantillas!B521</f>
        <v>MARTINEZ TORRES * SONIA CRISTHELL</v>
      </c>
      <c r="CE14" s="2800" t="str">
        <f>Plantillas!B522</f>
        <v>CETINA EK * ADDY ISABELINA</v>
      </c>
      <c r="CF14" s="2800">
        <f>Plantillas!B523</f>
        <v>0</v>
      </c>
      <c r="CG14" s="2800" t="str">
        <f>Plantillas!B524</f>
        <v>BARRERA AVILA * ABRAN</v>
      </c>
      <c r="CH14" s="2800" t="str">
        <f>Plantillas!B525</f>
        <v>SANTOS UC * DORA INES</v>
      </c>
      <c r="CI14" s="2800">
        <f>Plantillas!B526</f>
        <v>0</v>
      </c>
      <c r="CJ14" s="2800">
        <f>Plantillas!B527</f>
        <v>0</v>
      </c>
      <c r="CK14" s="2800">
        <f>Plantillas!B528</f>
        <v>0</v>
      </c>
      <c r="CL14" s="2800">
        <f>Plantillas!B529</f>
        <v>0</v>
      </c>
      <c r="CM14" s="2800">
        <f>Plantillas!B530</f>
        <v>0</v>
      </c>
      <c r="CN14" s="2800">
        <f>Plantillas!B531</f>
        <v>0</v>
      </c>
      <c r="CO14" s="2800">
        <f>Plantillas!B532</f>
        <v>0</v>
      </c>
      <c r="CP14" s="2800">
        <f>Plantillas!B533</f>
        <v>0</v>
      </c>
      <c r="CQ14" s="2800">
        <f>Plantillas!B534</f>
        <v>0</v>
      </c>
      <c r="CR14" s="2800">
        <f>Plantillas!B535</f>
        <v>0</v>
      </c>
      <c r="CS14" s="2800">
        <f>Plantillas!B536</f>
        <v>0</v>
      </c>
    </row>
    <row r="15" spans="1:97" ht="12" customHeight="1">
      <c r="A15" s="1755">
        <v>0</v>
      </c>
      <c r="B15" s="1388"/>
      <c r="C15" s="3221"/>
      <c r="D15" s="5314" t="s">
        <v>848</v>
      </c>
      <c r="E15" s="5315"/>
      <c r="F15" s="3235">
        <f>F12+F13-F14-F16</f>
        <v>16</v>
      </c>
      <c r="G15" s="3235">
        <f>G12+G13-G14-G16</f>
        <v>15</v>
      </c>
      <c r="H15" s="3235">
        <f>SUM(F15:G15)</f>
        <v>31</v>
      </c>
      <c r="I15" s="3216"/>
      <c r="J15" s="5295" t="s">
        <v>848</v>
      </c>
      <c r="K15" s="5295"/>
      <c r="L15" s="5295"/>
      <c r="M15" s="3235">
        <f>M12+M13-M14-M16</f>
        <v>20</v>
      </c>
      <c r="N15" s="3235">
        <f>N12+N13-N14-N16</f>
        <v>13</v>
      </c>
      <c r="O15" s="3235">
        <f>SUM(M15:N15)</f>
        <v>33</v>
      </c>
      <c r="P15" s="3216" t="s">
        <v>79</v>
      </c>
      <c r="Q15" s="3476" t="s">
        <v>848</v>
      </c>
      <c r="R15" s="3235">
        <f>R12+R13-R14-R16</f>
        <v>10</v>
      </c>
      <c r="S15" s="3235">
        <f>S12+S13-S14-S16</f>
        <v>14</v>
      </c>
      <c r="T15" s="3235">
        <f>SUM(R15:S15)</f>
        <v>24</v>
      </c>
      <c r="U15" s="1755">
        <v>0</v>
      </c>
      <c r="V15" s="1607">
        <v>13</v>
      </c>
      <c r="W15" s="1752" t="str">
        <f>HLOOKUP(W1,AA1:BV20,15)</f>
        <v/>
      </c>
      <c r="X15" s="1618">
        <f>HLOOKUP(X1,AA1:BV20,15)</f>
        <v>0</v>
      </c>
      <c r="Y15" s="1619">
        <f>HLOOKUP(Y1,AA1:BV20,15)</f>
        <v>0</v>
      </c>
      <c r="Z15" s="1612">
        <f t="shared" si="0"/>
        <v>0</v>
      </c>
      <c r="AA15" s="1632" t="str">
        <f>CONCATENATE(Plantillas!Y50,Plantillas!Z50)</f>
        <v/>
      </c>
      <c r="AB15" s="1617">
        <f>Plantillas!AC50</f>
        <v>0</v>
      </c>
      <c r="AC15" s="1633">
        <f>Plantillas!AD50</f>
        <v>0</v>
      </c>
      <c r="AD15" s="1631" t="str">
        <f>CONCATENATE(Plantillas!Y90,Plantillas!Z90)</f>
        <v>6ºA</v>
      </c>
      <c r="AE15" s="1617">
        <f>Plantillas!AC90</f>
        <v>15</v>
      </c>
      <c r="AF15" s="1633">
        <f>Plantillas!AD90</f>
        <v>16</v>
      </c>
      <c r="AG15" s="1631" t="str">
        <f>CONCATENATE(Plantillas!Y130,Plantillas!Z130)</f>
        <v/>
      </c>
      <c r="AH15" s="1617">
        <f>Plantillas!AC130</f>
        <v>0</v>
      </c>
      <c r="AI15" s="1633">
        <f>Plantillas!AD130</f>
        <v>0</v>
      </c>
      <c r="AJ15" s="1631" t="str">
        <f>CONCATENATE(Plantillas!Y170,Plantillas!Z170)</f>
        <v/>
      </c>
      <c r="AK15" s="1617">
        <f>Plantillas!AC170</f>
        <v>0</v>
      </c>
      <c r="AL15" s="1633">
        <f>Plantillas!AD170</f>
        <v>0</v>
      </c>
      <c r="AM15" s="1631" t="str">
        <f>CONCATENATE(Plantillas!Y210,Plantillas!Z210)</f>
        <v/>
      </c>
      <c r="AN15" s="1617">
        <f>Plantillas!AC210</f>
        <v>0</v>
      </c>
      <c r="AO15" s="1633">
        <f>Plantillas!AD210</f>
        <v>0</v>
      </c>
      <c r="AP15" s="1631" t="str">
        <f>CONCATENATE(Plantillas!Y250,Plantillas!Z250)</f>
        <v>6ºB</v>
      </c>
      <c r="AQ15" s="1617">
        <f>Plantillas!AC250</f>
        <v>22</v>
      </c>
      <c r="AR15" s="1633">
        <f>Plantillas!AD250</f>
        <v>11</v>
      </c>
      <c r="AS15" s="1631" t="str">
        <f>CONCATENATE(Plantillas!Y290,Plantillas!Z290)</f>
        <v/>
      </c>
      <c r="AT15" s="1617">
        <f>Plantillas!AC290</f>
        <v>0</v>
      </c>
      <c r="AU15" s="1633">
        <f>Plantillas!AD290</f>
        <v>0</v>
      </c>
      <c r="AV15" s="1631" t="str">
        <f>CONCATENATE(Plantillas!Y330,Plantillas!Z330)</f>
        <v/>
      </c>
      <c r="AW15" s="1617">
        <f>Plantillas!AC330</f>
        <v>0</v>
      </c>
      <c r="AX15" s="1633">
        <f>Plantillas!AD330</f>
        <v>0</v>
      </c>
      <c r="AY15" s="1631" t="str">
        <f>CONCATENATE(Plantillas!Y370,Plantillas!Z370)</f>
        <v/>
      </c>
      <c r="AZ15" s="1617">
        <f>Plantillas!AC370</f>
        <v>0</v>
      </c>
      <c r="BA15" s="1633">
        <f>Plantillas!AD370</f>
        <v>0</v>
      </c>
      <c r="BB15" s="1631" t="str">
        <f>CONCATENATE(Plantillas!Y410,Plantillas!Z410)</f>
        <v/>
      </c>
      <c r="BC15" s="1617">
        <f>Plantillas!AC410</f>
        <v>0</v>
      </c>
      <c r="BD15" s="1633">
        <f>Plantillas!AD410</f>
        <v>0</v>
      </c>
      <c r="BE15" s="1629" t="str">
        <f>CONCATENATE(Plantillas!Y450,Plantillas!Z450)</f>
        <v/>
      </c>
      <c r="BF15" s="1617">
        <f>Plantillas!AC450</f>
        <v>0</v>
      </c>
      <c r="BG15" s="1633">
        <f>Plantillas!AD450</f>
        <v>0</v>
      </c>
      <c r="BH15" s="1629" t="str">
        <f>CONCATENATE(Plantillas!Y490,Plantillas!Z490)</f>
        <v/>
      </c>
      <c r="BI15" s="1617">
        <f>Plantillas!AC490</f>
        <v>0</v>
      </c>
      <c r="BJ15" s="1633">
        <f>Plantillas!AD490</f>
        <v>0</v>
      </c>
      <c r="BK15" s="1629" t="str">
        <f>CONCATENATE(Plantillas!Y530,Plantillas!Z530)</f>
        <v/>
      </c>
      <c r="BL15" s="1617">
        <f>Plantillas!AC530</f>
        <v>0</v>
      </c>
      <c r="BM15" s="1633">
        <f>Plantillas!AD530</f>
        <v>0</v>
      </c>
      <c r="BN15" s="1629" t="str">
        <f>CONCATENATE(Plantillas!Y570,Plantillas!Z570)</f>
        <v/>
      </c>
      <c r="BO15" s="1617">
        <f>Plantillas!AC570</f>
        <v>0</v>
      </c>
      <c r="BP15" s="1633">
        <f>Plantillas!AD570</f>
        <v>0</v>
      </c>
      <c r="BQ15" s="1629" t="str">
        <f>CONCATENATE(Plantillas!Y610,Plantillas!Z610)</f>
        <v/>
      </c>
      <c r="BR15" s="1617">
        <f>Plantillas!AC610</f>
        <v>0</v>
      </c>
      <c r="BS15" s="1633">
        <f>Plantillas!AD610</f>
        <v>0</v>
      </c>
      <c r="BT15" s="1629" t="str">
        <f>CONCATENATE(Plantillas!Y650,Plantillas!Z650)</f>
        <v/>
      </c>
      <c r="BU15" s="1617">
        <f>Plantillas!AC650</f>
        <v>0</v>
      </c>
      <c r="BV15" s="1633">
        <f>Plantillas!AD650</f>
        <v>0</v>
      </c>
      <c r="BW15" s="3222">
        <v>13</v>
      </c>
      <c r="BX15" s="3223" t="str">
        <f>VLOOKUP(BX1,BY2:CS21,15,15)</f>
        <v>GONGORA * TERESITA DEL CARMEN</v>
      </c>
      <c r="BY15" s="1659">
        <v>14</v>
      </c>
      <c r="BZ15" s="2800" t="str">
        <f>Plantillas!B557</f>
        <v>G.CANTON PUERTO * REBECA</v>
      </c>
      <c r="CA15" s="2800" t="str">
        <f>Plantillas!B558</f>
        <v>VALENZUELA GOMEZ * MARLEN</v>
      </c>
      <c r="CB15" s="2800">
        <f>Plantillas!B559</f>
        <v>0</v>
      </c>
      <c r="CC15" s="2800" t="str">
        <f>Plantillas!B560</f>
        <v>OSEGUERA MARQUINA * AMERICA J</v>
      </c>
      <c r="CD15" s="2800">
        <f>Plantillas!B561</f>
        <v>0</v>
      </c>
      <c r="CE15" s="2800" t="str">
        <f>Plantillas!B562</f>
        <v>SÀNCHEZ TORRES * LUIS MAURICIO</v>
      </c>
      <c r="CF15" s="2800" t="str">
        <f>Plantillas!B563</f>
        <v>BRANDT SOLANO * IRMA NOEMI</v>
      </c>
      <c r="CG15" s="2800" t="str">
        <f>Plantillas!B564</f>
        <v>CÀMARA LÒPEZ * LUCÌA ELENA</v>
      </c>
      <c r="CH15" s="2800">
        <f>Plantillas!B565</f>
        <v>0</v>
      </c>
      <c r="CI15" s="2800">
        <f>Plantillas!B566</f>
        <v>0</v>
      </c>
      <c r="CJ15" s="2800">
        <f>Plantillas!B567</f>
        <v>0</v>
      </c>
      <c r="CK15" s="2800">
        <f>Plantillas!B568</f>
        <v>0</v>
      </c>
      <c r="CL15" s="2800">
        <f>Plantillas!B569</f>
        <v>0</v>
      </c>
      <c r="CM15" s="2800">
        <f>Plantillas!B570</f>
        <v>0</v>
      </c>
      <c r="CN15" s="2800">
        <f>Plantillas!B571</f>
        <v>0</v>
      </c>
      <c r="CO15" s="2800">
        <f>Plantillas!B572</f>
        <v>0</v>
      </c>
      <c r="CP15" s="2800">
        <f>Plantillas!B573</f>
        <v>0</v>
      </c>
      <c r="CQ15" s="2800">
        <f>Plantillas!B574</f>
        <v>0</v>
      </c>
      <c r="CR15" s="2800">
        <f>Plantillas!B575</f>
        <v>0</v>
      </c>
      <c r="CS15" s="2800">
        <f>Plantillas!B576</f>
        <v>0</v>
      </c>
    </row>
    <row r="16" spans="1:97" ht="12" customHeight="1">
      <c r="A16" s="1755">
        <v>0</v>
      </c>
      <c r="B16" s="1388"/>
      <c r="C16" s="3221"/>
      <c r="D16" s="5312" t="s">
        <v>1142</v>
      </c>
      <c r="E16" s="5313"/>
      <c r="F16" s="3235">
        <f>VLOOKUP(C11,V62:Z80,3,5)</f>
        <v>0</v>
      </c>
      <c r="G16" s="3235">
        <f>VLOOKUP(C11,V62:Z80,4,5)</f>
        <v>0</v>
      </c>
      <c r="H16" s="3235">
        <f>SUM(F16:G16)</f>
        <v>0</v>
      </c>
      <c r="I16" s="3216"/>
      <c r="J16" s="5296" t="s">
        <v>1142</v>
      </c>
      <c r="K16" s="5296"/>
      <c r="L16" s="5296"/>
      <c r="M16" s="3235">
        <f>VLOOKUP(I11,V62:Z80,3,5)</f>
        <v>0</v>
      </c>
      <c r="N16" s="3235">
        <f>VLOOKUP(I11,V62:Z80,4,5)</f>
        <v>0</v>
      </c>
      <c r="O16" s="3235">
        <f>SUM(M16:N16)</f>
        <v>0</v>
      </c>
      <c r="P16" s="3216" t="s">
        <v>79</v>
      </c>
      <c r="Q16" s="3477" t="s">
        <v>1142</v>
      </c>
      <c r="R16" s="3235">
        <f>VLOOKUP(P11,V62:Z80,3,5)</f>
        <v>0</v>
      </c>
      <c r="S16" s="3235">
        <f>VLOOKUP(P11,V62:Z80,4,5)</f>
        <v>0</v>
      </c>
      <c r="T16" s="3235">
        <f>SUM(R16:S16)</f>
        <v>0</v>
      </c>
      <c r="U16" s="1755">
        <v>0</v>
      </c>
      <c r="V16" s="1607">
        <v>14</v>
      </c>
      <c r="W16" s="1752" t="str">
        <f>HLOOKUP(W1,AA1:BV20,16)</f>
        <v/>
      </c>
      <c r="X16" s="1618">
        <f>HLOOKUP(X1,AA1:BV20,16)</f>
        <v>0</v>
      </c>
      <c r="Y16" s="1619">
        <f>HLOOKUP(Y1,AA1:BV20,16)</f>
        <v>0</v>
      </c>
      <c r="Z16" s="1612">
        <f t="shared" si="0"/>
        <v>0</v>
      </c>
      <c r="AA16" s="1632" t="str">
        <f>CONCATENATE(Plantillas!Y51,Plantillas!Z51)</f>
        <v/>
      </c>
      <c r="AB16" s="1617">
        <f>Plantillas!AC51</f>
        <v>0</v>
      </c>
      <c r="AC16" s="1633">
        <f>Plantillas!AD51</f>
        <v>0</v>
      </c>
      <c r="AD16" s="1631" t="str">
        <f>CONCATENATE(Plantillas!Y91,Plantillas!Z91)</f>
        <v>6ºB</v>
      </c>
      <c r="AE16" s="1617">
        <f>Plantillas!AC91</f>
        <v>13</v>
      </c>
      <c r="AF16" s="1633">
        <f>Plantillas!AD91</f>
        <v>21</v>
      </c>
      <c r="AG16" s="1631" t="str">
        <f>CONCATENATE(Plantillas!Y131,Plantillas!Z131)</f>
        <v/>
      </c>
      <c r="AH16" s="1617">
        <f>Plantillas!AC131</f>
        <v>0</v>
      </c>
      <c r="AI16" s="1633">
        <f>Plantillas!AD131</f>
        <v>0</v>
      </c>
      <c r="AJ16" s="1631" t="str">
        <f>CONCATENATE(Plantillas!Y171,Plantillas!Z171)</f>
        <v/>
      </c>
      <c r="AK16" s="1617">
        <f>Plantillas!AC171</f>
        <v>0</v>
      </c>
      <c r="AL16" s="1633">
        <f>Plantillas!AD171</f>
        <v>0</v>
      </c>
      <c r="AM16" s="1631" t="str">
        <f>CONCATENATE(Plantillas!Y211,Plantillas!Z211)</f>
        <v/>
      </c>
      <c r="AN16" s="1617">
        <f>Plantillas!AC211</f>
        <v>0</v>
      </c>
      <c r="AO16" s="1633">
        <f>Plantillas!AD211</f>
        <v>0</v>
      </c>
      <c r="AP16" s="1631" t="str">
        <f>CONCATENATE(Plantillas!Y251,Plantillas!Z251)</f>
        <v/>
      </c>
      <c r="AQ16" s="1617">
        <f>Plantillas!AC251</f>
        <v>0</v>
      </c>
      <c r="AR16" s="1633">
        <f>Plantillas!AD251</f>
        <v>0</v>
      </c>
      <c r="AS16" s="1631" t="str">
        <f>CONCATENATE(Plantillas!Y291,Plantillas!Z291)</f>
        <v/>
      </c>
      <c r="AT16" s="1617">
        <f>Plantillas!AC291</f>
        <v>0</v>
      </c>
      <c r="AU16" s="1633">
        <f>Plantillas!AD291</f>
        <v>0</v>
      </c>
      <c r="AV16" s="1631" t="str">
        <f>CONCATENATE(Plantillas!Y331,Plantillas!Z331)</f>
        <v/>
      </c>
      <c r="AW16" s="1617">
        <f>Plantillas!AC331</f>
        <v>0</v>
      </c>
      <c r="AX16" s="1633">
        <f>Plantillas!AD331</f>
        <v>0</v>
      </c>
      <c r="AY16" s="1631" t="str">
        <f>CONCATENATE(Plantillas!Y371,Plantillas!Z371)</f>
        <v/>
      </c>
      <c r="AZ16" s="1617">
        <f>Plantillas!AC371</f>
        <v>0</v>
      </c>
      <c r="BA16" s="1633">
        <f>Plantillas!AD371</f>
        <v>0</v>
      </c>
      <c r="BB16" s="1631" t="str">
        <f>CONCATENATE(Plantillas!Y411,Plantillas!Z411)</f>
        <v/>
      </c>
      <c r="BC16" s="1617">
        <f>Plantillas!AC411</f>
        <v>0</v>
      </c>
      <c r="BD16" s="1633">
        <f>Plantillas!AD411</f>
        <v>0</v>
      </c>
      <c r="BE16" s="1629" t="str">
        <f>CONCATENATE(Plantillas!Y451,Plantillas!Z451)</f>
        <v/>
      </c>
      <c r="BF16" s="1617">
        <f>Plantillas!AC451</f>
        <v>0</v>
      </c>
      <c r="BG16" s="1633">
        <f>Plantillas!AD451</f>
        <v>0</v>
      </c>
      <c r="BH16" s="1629" t="str">
        <f>CONCATENATE(Plantillas!Y491,Plantillas!Z491)</f>
        <v/>
      </c>
      <c r="BI16" s="1617">
        <f>Plantillas!AC491</f>
        <v>0</v>
      </c>
      <c r="BJ16" s="1633">
        <f>Plantillas!AD491</f>
        <v>0</v>
      </c>
      <c r="BK16" s="1629" t="str">
        <f>CONCATENATE(Plantillas!Y531,Plantillas!Z531)</f>
        <v/>
      </c>
      <c r="BL16" s="1617">
        <f>Plantillas!AC531</f>
        <v>0</v>
      </c>
      <c r="BM16" s="1633">
        <f>Plantillas!AD531</f>
        <v>0</v>
      </c>
      <c r="BN16" s="1629" t="str">
        <f>CONCATENATE(Plantillas!Y571,Plantillas!Z571)</f>
        <v/>
      </c>
      <c r="BO16" s="1617">
        <f>Plantillas!AC571</f>
        <v>0</v>
      </c>
      <c r="BP16" s="1633">
        <f>Plantillas!AD571</f>
        <v>0</v>
      </c>
      <c r="BQ16" s="1629" t="str">
        <f>CONCATENATE(Plantillas!Y611,Plantillas!Z611)</f>
        <v/>
      </c>
      <c r="BR16" s="1617">
        <f>Plantillas!AC611</f>
        <v>0</v>
      </c>
      <c r="BS16" s="1633">
        <f>Plantillas!AD611</f>
        <v>0</v>
      </c>
      <c r="BT16" s="1629" t="str">
        <f>CONCATENATE(Plantillas!Y651,Plantillas!Z651)</f>
        <v/>
      </c>
      <c r="BU16" s="1617">
        <f>Plantillas!AC651</f>
        <v>0</v>
      </c>
      <c r="BV16" s="1633">
        <f>Plantillas!AD651</f>
        <v>0</v>
      </c>
      <c r="BW16" s="3222">
        <v>14</v>
      </c>
      <c r="BX16" s="3223" t="str">
        <f>VLOOKUP(BX1,BY2:CS21,16,16)</f>
        <v>ARGUELLES GARCIA * MAYRA LUCELY</v>
      </c>
      <c r="BY16" s="1659">
        <v>15</v>
      </c>
      <c r="BZ16" s="2800" t="str">
        <f>Plantillas!B597</f>
        <v>JUAREZ ESPINOSA * BELINDA</v>
      </c>
      <c r="CA16" s="2800" t="str">
        <f>Plantillas!B598</f>
        <v>ABRAJAN HERNANDEZ * MAXIMA GUADALUPE</v>
      </c>
      <c r="CB16" s="2800" t="str">
        <f>Plantillas!B599</f>
        <v>BONFIL YAM * WENDY KARINA</v>
      </c>
      <c r="CC16" s="2800" t="str">
        <f>Plantillas!B600</f>
        <v>JIMENEZ ALVAREZ * MIRNA ZULMY</v>
      </c>
      <c r="CD16" s="2800" t="str">
        <f>Plantillas!B601</f>
        <v>CERVANTES MANRIQUEZ * GEORGINA</v>
      </c>
      <c r="CE16" s="2800" t="str">
        <f>Plantillas!B602</f>
        <v>BARRIGA PARADA * MARIA DEL ROSARIO</v>
      </c>
      <c r="CF16" s="2800" t="str">
        <f>Plantillas!B603</f>
        <v>MIRANDA VALDEZ * MARIA ALMA</v>
      </c>
      <c r="CG16" s="2800" t="str">
        <f>Plantillas!B604</f>
        <v>CEN NAJERA * ILIANA BEATRIZ</v>
      </c>
      <c r="CH16" s="2800" t="str">
        <f>Plantillas!B605</f>
        <v>ADME AVILEZ  * CARLOS CAMERINO</v>
      </c>
      <c r="CI16" s="2800" t="str">
        <f>Plantillas!B606</f>
        <v>SOLIS PEREZ * JOSE ALFREDO</v>
      </c>
      <c r="CJ16" s="2800" t="str">
        <f>Plantillas!B607</f>
        <v>LOPEZ RIVERA LETICIA</v>
      </c>
      <c r="CK16" s="2800" t="str">
        <f>Plantillas!B608</f>
        <v>HERNANDEZ DE LA PARRA * ADRIANA</v>
      </c>
      <c r="CL16" s="2800" t="str">
        <f>Plantillas!B609</f>
        <v>REYES BARBA * ANNETTE</v>
      </c>
      <c r="CM16" s="2800" t="str">
        <f>Plantillas!B610</f>
        <v>BARBA HERNANDEZ * DIANA</v>
      </c>
      <c r="CN16" s="2800" t="str">
        <f>Plantillas!B611</f>
        <v>LASTRA SUAREZ * SILVIA PATRICIA</v>
      </c>
      <c r="CO16" s="2800" t="str">
        <f>Plantillas!B612</f>
        <v>BAUTISTA SAURI * GLORIA EDITH</v>
      </c>
      <c r="CP16" s="2800" t="str">
        <f>Plantillas!B613</f>
        <v>PECH SILVEIRA * FRANCO ANTONIO</v>
      </c>
      <c r="CQ16" s="2800">
        <f>Plantillas!B614</f>
        <v>0</v>
      </c>
      <c r="CR16" s="2800">
        <f>Plantillas!B615</f>
        <v>0</v>
      </c>
      <c r="CS16" s="2800">
        <f>Plantillas!B616</f>
        <v>0</v>
      </c>
    </row>
    <row r="17" spans="1:97" ht="12" customHeight="1">
      <c r="A17" s="1755">
        <v>0</v>
      </c>
      <c r="B17" s="1388"/>
      <c r="C17" s="3221"/>
      <c r="D17" s="5291" t="str">
        <f>VLOOKUP(C19,BW2:BX21,2,2)</f>
        <v>CASTRO LOPEZ * SOSIMA PETRA</v>
      </c>
      <c r="E17" s="5291"/>
      <c r="F17" s="5291"/>
      <c r="G17" s="5291"/>
      <c r="H17" s="5291"/>
      <c r="I17" s="3216"/>
      <c r="J17" s="5289" t="str">
        <f>VLOOKUP(I19,BW2:BX21,2,2)</f>
        <v>SANCHEZ BUSTAMANTE * CONCEPCION</v>
      </c>
      <c r="K17" s="5289"/>
      <c r="L17" s="5289"/>
      <c r="M17" s="5289"/>
      <c r="N17" s="5289"/>
      <c r="O17" s="5289"/>
      <c r="P17" s="3216"/>
      <c r="Q17" s="5289" t="str">
        <f>VLOOKUP(P19,BW2:BX21,2,2)</f>
        <v>VIVEROS SALAZAR *NORA</v>
      </c>
      <c r="R17" s="5289"/>
      <c r="S17" s="5289"/>
      <c r="T17" s="5289"/>
      <c r="U17" s="1755">
        <v>0</v>
      </c>
      <c r="V17" s="1607">
        <v>15</v>
      </c>
      <c r="W17" s="1752" t="str">
        <f>HLOOKUP(W1,AA1:BV20,17)</f>
        <v/>
      </c>
      <c r="X17" s="1618">
        <f>HLOOKUP(X1,AA1:BV20,17)</f>
        <v>0</v>
      </c>
      <c r="Y17" s="1619">
        <f>HLOOKUP(Y1,AA1:BV20,17)</f>
        <v>0</v>
      </c>
      <c r="Z17" s="1612">
        <f t="shared" si="0"/>
        <v>0</v>
      </c>
      <c r="AA17" s="1632" t="str">
        <f>CONCATENATE(Plantillas!Y52,Plantillas!Z52)</f>
        <v/>
      </c>
      <c r="AB17" s="1617">
        <f>Plantillas!AC52</f>
        <v>0</v>
      </c>
      <c r="AC17" s="1633">
        <f>Plantillas!AD52</f>
        <v>0</v>
      </c>
      <c r="AD17" s="1631" t="str">
        <f>CONCATENATE(Plantillas!Y92,Plantillas!Z92)</f>
        <v/>
      </c>
      <c r="AE17" s="1617">
        <f>Plantillas!AC92</f>
        <v>0</v>
      </c>
      <c r="AF17" s="1633">
        <f>Plantillas!AD92</f>
        <v>0</v>
      </c>
      <c r="AG17" s="1631" t="str">
        <f>CONCATENATE(Plantillas!Y132,Plantillas!Z132)</f>
        <v/>
      </c>
      <c r="AH17" s="1617">
        <f>Plantillas!AC132</f>
        <v>0</v>
      </c>
      <c r="AI17" s="1633">
        <f>Plantillas!AD132</f>
        <v>0</v>
      </c>
      <c r="AJ17" s="1631" t="str">
        <f>CONCATENATE(Plantillas!Y172,Plantillas!Z172)</f>
        <v/>
      </c>
      <c r="AK17" s="1617">
        <f>Plantillas!AC172</f>
        <v>0</v>
      </c>
      <c r="AL17" s="1633">
        <f>Plantillas!AD172</f>
        <v>0</v>
      </c>
      <c r="AM17" s="1631" t="str">
        <f>CONCATENATE(Plantillas!Y212,Plantillas!Z212)</f>
        <v/>
      </c>
      <c r="AN17" s="1617">
        <f>Plantillas!AC212</f>
        <v>0</v>
      </c>
      <c r="AO17" s="1633">
        <f>Plantillas!AD212</f>
        <v>0</v>
      </c>
      <c r="AP17" s="1631" t="str">
        <f>CONCATENATE(Plantillas!Y252,Plantillas!Z252)</f>
        <v/>
      </c>
      <c r="AQ17" s="1617">
        <f>Plantillas!AC252</f>
        <v>0</v>
      </c>
      <c r="AR17" s="1633">
        <f>Plantillas!AD252</f>
        <v>0</v>
      </c>
      <c r="AS17" s="1631" t="str">
        <f>CONCATENATE(Plantillas!Y292,Plantillas!Z292)</f>
        <v/>
      </c>
      <c r="AT17" s="1617">
        <f>Plantillas!AC292</f>
        <v>0</v>
      </c>
      <c r="AU17" s="1633">
        <f>Plantillas!AD292</f>
        <v>0</v>
      </c>
      <c r="AV17" s="1631" t="str">
        <f>CONCATENATE(Plantillas!Y332,Plantillas!Z332)</f>
        <v/>
      </c>
      <c r="AW17" s="1617">
        <f>Plantillas!AC332</f>
        <v>0</v>
      </c>
      <c r="AX17" s="1633">
        <f>Plantillas!AD332</f>
        <v>0</v>
      </c>
      <c r="AY17" s="1631" t="str">
        <f>CONCATENATE(Plantillas!Y372,Plantillas!Z372)</f>
        <v/>
      </c>
      <c r="AZ17" s="1617">
        <f>Plantillas!AC372</f>
        <v>0</v>
      </c>
      <c r="BA17" s="1633">
        <f>Plantillas!AD372</f>
        <v>0</v>
      </c>
      <c r="BB17" s="1631" t="str">
        <f>CONCATENATE(Plantillas!Y412,Plantillas!Z412)</f>
        <v/>
      </c>
      <c r="BC17" s="1617">
        <f>Plantillas!AC412</f>
        <v>0</v>
      </c>
      <c r="BD17" s="1633">
        <f>Plantillas!AD412</f>
        <v>0</v>
      </c>
      <c r="BE17" s="1629" t="str">
        <f>CONCATENATE(Plantillas!Y452,Plantillas!Z452)</f>
        <v/>
      </c>
      <c r="BF17" s="1617">
        <f>Plantillas!AC452</f>
        <v>0</v>
      </c>
      <c r="BG17" s="1633">
        <f>Plantillas!AD452</f>
        <v>0</v>
      </c>
      <c r="BH17" s="1629" t="str">
        <f>CONCATENATE(Plantillas!Y492,Plantillas!Z492)</f>
        <v/>
      </c>
      <c r="BI17" s="1617">
        <f>Plantillas!AC492</f>
        <v>0</v>
      </c>
      <c r="BJ17" s="1633">
        <f>Plantillas!AD492</f>
        <v>0</v>
      </c>
      <c r="BK17" s="1629" t="str">
        <f>CONCATENATE(Plantillas!Y532,Plantillas!Z532)</f>
        <v/>
      </c>
      <c r="BL17" s="1617">
        <f>Plantillas!AC532</f>
        <v>0</v>
      </c>
      <c r="BM17" s="1633">
        <f>Plantillas!AD532</f>
        <v>0</v>
      </c>
      <c r="BN17" s="1629" t="str">
        <f>CONCATENATE(Plantillas!Y572,Plantillas!Z572)</f>
        <v/>
      </c>
      <c r="BO17" s="1617">
        <f>Plantillas!AC572</f>
        <v>0</v>
      </c>
      <c r="BP17" s="1633">
        <f>Plantillas!AD572</f>
        <v>0</v>
      </c>
      <c r="BQ17" s="1629" t="str">
        <f>CONCATENATE(Plantillas!Y612,Plantillas!Z612)</f>
        <v/>
      </c>
      <c r="BR17" s="1617">
        <f>Plantillas!AC612</f>
        <v>0</v>
      </c>
      <c r="BS17" s="1633">
        <f>Plantillas!AD612</f>
        <v>0</v>
      </c>
      <c r="BT17" s="1629" t="str">
        <f>CONCATENATE(Plantillas!Y652,Plantillas!Z652)</f>
        <v/>
      </c>
      <c r="BU17" s="1617">
        <f>Plantillas!AC652</f>
        <v>0</v>
      </c>
      <c r="BV17" s="1633">
        <f>Plantillas!AD652</f>
        <v>0</v>
      </c>
      <c r="BW17" s="3222">
        <v>15</v>
      </c>
      <c r="BX17" s="3223">
        <f>VLOOKUP(BX1,BY2:CS21,17,17)</f>
        <v>0</v>
      </c>
      <c r="BY17" s="1659">
        <v>16</v>
      </c>
      <c r="BZ17" s="2800">
        <f>Plantillas!B637</f>
        <v>0</v>
      </c>
      <c r="CA17" s="2800">
        <f>Plantillas!B638</f>
        <v>0</v>
      </c>
      <c r="CB17" s="2800">
        <f>Plantillas!B639</f>
        <v>0</v>
      </c>
      <c r="CC17" s="2800">
        <f>Plantillas!B640</f>
        <v>0</v>
      </c>
      <c r="CD17" s="2800">
        <f>Plantillas!B641</f>
        <v>0</v>
      </c>
      <c r="CE17" s="2800">
        <f>Plantillas!B642</f>
        <v>0</v>
      </c>
      <c r="CF17" s="2800">
        <f>Plantillas!B643</f>
        <v>0</v>
      </c>
      <c r="CG17" s="2800">
        <f>Plantillas!B644</f>
        <v>0</v>
      </c>
      <c r="CH17" s="2800">
        <f>Plantillas!B645</f>
        <v>0</v>
      </c>
      <c r="CI17" s="2800">
        <f>Plantillas!B646</f>
        <v>0</v>
      </c>
      <c r="CJ17" s="2800">
        <f>Plantillas!B647</f>
        <v>0</v>
      </c>
      <c r="CK17" s="2800">
        <f>Plantillas!B648</f>
        <v>0</v>
      </c>
      <c r="CL17" s="2800">
        <f>Plantillas!B649</f>
        <v>0</v>
      </c>
      <c r="CM17" s="2800">
        <f>Plantillas!B650</f>
        <v>0</v>
      </c>
      <c r="CN17" s="2800">
        <f>Plantillas!B651</f>
        <v>0</v>
      </c>
      <c r="CO17" s="2800">
        <f>Plantillas!B652</f>
        <v>0</v>
      </c>
      <c r="CP17" s="2800">
        <f>Plantillas!B653</f>
        <v>0</v>
      </c>
      <c r="CQ17" s="2800">
        <f>Plantillas!B654</f>
        <v>0</v>
      </c>
      <c r="CR17" s="2800">
        <f>Plantillas!B655</f>
        <v>0</v>
      </c>
      <c r="CS17" s="2800">
        <f>Plantillas!B656</f>
        <v>0</v>
      </c>
    </row>
    <row r="18" spans="1:97" ht="12" customHeight="1">
      <c r="A18" s="1755">
        <v>0</v>
      </c>
      <c r="B18" s="1388"/>
      <c r="C18" s="3221"/>
      <c r="D18" s="5290">
        <f>Q10+1</f>
        <v>6</v>
      </c>
      <c r="E18" s="5290"/>
      <c r="F18" s="5292" t="str">
        <f>R40</f>
        <v>2do. Informe</v>
      </c>
      <c r="G18" s="5292"/>
      <c r="H18" s="5292"/>
      <c r="I18" s="3216"/>
      <c r="J18" s="5290">
        <f>D18+1</f>
        <v>7</v>
      </c>
      <c r="K18" s="5290"/>
      <c r="L18" s="5290"/>
      <c r="M18" s="5292" t="str">
        <f>R40</f>
        <v>2do. Informe</v>
      </c>
      <c r="N18" s="5292"/>
      <c r="O18" s="5292"/>
      <c r="P18" s="3216"/>
      <c r="Q18" s="3231">
        <f>J18+1</f>
        <v>8</v>
      </c>
      <c r="R18" s="5292" t="str">
        <f>R40</f>
        <v>2do. Informe</v>
      </c>
      <c r="S18" s="5292"/>
      <c r="T18" s="5292"/>
      <c r="U18" s="1755">
        <v>0</v>
      </c>
      <c r="V18" s="1607">
        <v>16</v>
      </c>
      <c r="W18" s="1752" t="str">
        <f>HLOOKUP(W1,AA1:BV20,18)</f>
        <v/>
      </c>
      <c r="X18" s="1618">
        <f>HLOOKUP(X1,AA1:BV20,18)</f>
        <v>0</v>
      </c>
      <c r="Y18" s="1619">
        <f>HLOOKUP(Y1,AA1:BV20,18)</f>
        <v>0</v>
      </c>
      <c r="Z18" s="1612">
        <f t="shared" si="0"/>
        <v>0</v>
      </c>
      <c r="AA18" s="1632" t="str">
        <f>CONCATENATE(Plantillas!Y53,Plantillas!Z53)</f>
        <v/>
      </c>
      <c r="AB18" s="1617">
        <f>Plantillas!AC53</f>
        <v>0</v>
      </c>
      <c r="AC18" s="1633">
        <f>Plantillas!AD53</f>
        <v>0</v>
      </c>
      <c r="AD18" s="1631" t="str">
        <f>CONCATENATE(Plantillas!Y93,Plantillas!Z93)</f>
        <v/>
      </c>
      <c r="AE18" s="1617">
        <f>Plantillas!AC93</f>
        <v>0</v>
      </c>
      <c r="AF18" s="1633">
        <f>Plantillas!AD93</f>
        <v>0</v>
      </c>
      <c r="AG18" s="1631" t="str">
        <f>CONCATENATE(Plantillas!Y133,Plantillas!Z133)</f>
        <v/>
      </c>
      <c r="AH18" s="1617">
        <f>Plantillas!AC133</f>
        <v>0</v>
      </c>
      <c r="AI18" s="1633">
        <f>Plantillas!AD133</f>
        <v>0</v>
      </c>
      <c r="AJ18" s="1631" t="str">
        <f>CONCATENATE(Plantillas!Y173,Plantillas!Z173)</f>
        <v/>
      </c>
      <c r="AK18" s="1617">
        <f>Plantillas!AC173</f>
        <v>0</v>
      </c>
      <c r="AL18" s="1633">
        <f>Plantillas!AD173</f>
        <v>0</v>
      </c>
      <c r="AM18" s="1631" t="str">
        <f>CONCATENATE(Plantillas!Y213,Plantillas!Z213)</f>
        <v/>
      </c>
      <c r="AN18" s="1617">
        <f>Plantillas!AC213</f>
        <v>0</v>
      </c>
      <c r="AO18" s="1633">
        <f>Plantillas!AD213</f>
        <v>0</v>
      </c>
      <c r="AP18" s="1631" t="str">
        <f>CONCATENATE(Plantillas!Y253,Plantillas!Z253)</f>
        <v/>
      </c>
      <c r="AQ18" s="1617">
        <f>Plantillas!AC253</f>
        <v>0</v>
      </c>
      <c r="AR18" s="1633">
        <f>Plantillas!AD253</f>
        <v>0</v>
      </c>
      <c r="AS18" s="1631" t="str">
        <f>CONCATENATE(Plantillas!Y293,Plantillas!Z293)</f>
        <v/>
      </c>
      <c r="AT18" s="1617">
        <f>Plantillas!AC293</f>
        <v>0</v>
      </c>
      <c r="AU18" s="1633">
        <f>Plantillas!AD293</f>
        <v>0</v>
      </c>
      <c r="AV18" s="1631" t="str">
        <f>CONCATENATE(Plantillas!Y333,Plantillas!Z333)</f>
        <v/>
      </c>
      <c r="AW18" s="1617">
        <f>Plantillas!AC333</f>
        <v>0</v>
      </c>
      <c r="AX18" s="1633">
        <f>Plantillas!AD333</f>
        <v>0</v>
      </c>
      <c r="AY18" s="1631" t="str">
        <f>CONCATENATE(Plantillas!Y373,Plantillas!Z373)</f>
        <v/>
      </c>
      <c r="AZ18" s="1617">
        <f>Plantillas!AC373</f>
        <v>0</v>
      </c>
      <c r="BA18" s="1633">
        <f>Plantillas!AD373</f>
        <v>0</v>
      </c>
      <c r="BB18" s="1631" t="str">
        <f>CONCATENATE(Plantillas!Y413,Plantillas!Z413)</f>
        <v/>
      </c>
      <c r="BC18" s="1617">
        <f>Plantillas!AC413</f>
        <v>0</v>
      </c>
      <c r="BD18" s="1633">
        <f>Plantillas!AD413</f>
        <v>0</v>
      </c>
      <c r="BE18" s="1629" t="str">
        <f>CONCATENATE(Plantillas!Y453,Plantillas!Z453)</f>
        <v/>
      </c>
      <c r="BF18" s="1617">
        <f>Plantillas!AC453</f>
        <v>0</v>
      </c>
      <c r="BG18" s="1633">
        <f>Plantillas!AD453</f>
        <v>0</v>
      </c>
      <c r="BH18" s="1629" t="str">
        <f>CONCATENATE(Plantillas!Y493,Plantillas!Z493)</f>
        <v/>
      </c>
      <c r="BI18" s="1617">
        <f>Plantillas!AC493</f>
        <v>0</v>
      </c>
      <c r="BJ18" s="1633">
        <f>Plantillas!AD493</f>
        <v>0</v>
      </c>
      <c r="BK18" s="1629" t="str">
        <f>CONCATENATE(Plantillas!Y533,Plantillas!Z533)</f>
        <v/>
      </c>
      <c r="BL18" s="1617">
        <f>Plantillas!AC533</f>
        <v>0</v>
      </c>
      <c r="BM18" s="1633">
        <f>Plantillas!AD533</f>
        <v>0</v>
      </c>
      <c r="BN18" s="1629" t="str">
        <f>CONCATENATE(Plantillas!Y573,Plantillas!Z573)</f>
        <v/>
      </c>
      <c r="BO18" s="1617">
        <f>Plantillas!AC573</f>
        <v>0</v>
      </c>
      <c r="BP18" s="1633">
        <f>Plantillas!AD573</f>
        <v>0</v>
      </c>
      <c r="BQ18" s="1629" t="str">
        <f>CONCATENATE(Plantillas!Y613,Plantillas!Z613)</f>
        <v/>
      </c>
      <c r="BR18" s="1617">
        <f>Plantillas!AC613</f>
        <v>0</v>
      </c>
      <c r="BS18" s="1633">
        <f>Plantillas!AD613</f>
        <v>0</v>
      </c>
      <c r="BT18" s="1629" t="str">
        <f>CONCATENATE(Plantillas!Y653,Plantillas!Z653)</f>
        <v/>
      </c>
      <c r="BU18" s="1617">
        <f>Plantillas!AC653</f>
        <v>0</v>
      </c>
      <c r="BV18" s="1633">
        <f>Plantillas!AD653</f>
        <v>0</v>
      </c>
      <c r="BW18" s="3222">
        <v>16</v>
      </c>
      <c r="BX18" s="3223">
        <f>VLOOKUP(BX1,BY2:CS21,18,18)</f>
        <v>0</v>
      </c>
      <c r="BY18" s="1660">
        <v>17</v>
      </c>
      <c r="BZ18" s="2800">
        <f>Plantillas!B677</f>
        <v>0</v>
      </c>
      <c r="CA18" s="2800">
        <f>Plantillas!B678</f>
        <v>0</v>
      </c>
      <c r="CB18" s="2800">
        <f>Plantillas!B679</f>
        <v>0</v>
      </c>
      <c r="CC18" s="2800">
        <f>Plantillas!B680</f>
        <v>0</v>
      </c>
      <c r="CD18" s="2800">
        <f>Plantillas!B681</f>
        <v>0</v>
      </c>
      <c r="CE18" s="2800">
        <f>Plantillas!B682</f>
        <v>0</v>
      </c>
      <c r="CF18" s="2800">
        <f>Plantillas!B683</f>
        <v>0</v>
      </c>
      <c r="CG18" s="2800">
        <f>Plantillas!B684</f>
        <v>0</v>
      </c>
      <c r="CH18" s="2800">
        <f>Plantillas!B685</f>
        <v>0</v>
      </c>
      <c r="CI18" s="2800">
        <f>Plantillas!B686</f>
        <v>0</v>
      </c>
      <c r="CJ18" s="2800">
        <f>Plantillas!B687</f>
        <v>0</v>
      </c>
      <c r="CK18" s="2800">
        <f>Plantillas!B688</f>
        <v>0</v>
      </c>
      <c r="CL18" s="2800">
        <f>Plantillas!B689</f>
        <v>0</v>
      </c>
      <c r="CM18" s="2800">
        <f>Plantillas!B690</f>
        <v>0</v>
      </c>
      <c r="CN18" s="2800">
        <f>Plantillas!B691</f>
        <v>0</v>
      </c>
      <c r="CO18" s="2800">
        <f>Plantillas!B692</f>
        <v>0</v>
      </c>
      <c r="CP18" s="2800">
        <f>Plantillas!B693</f>
        <v>0</v>
      </c>
      <c r="CQ18" s="2800">
        <f>Plantillas!B694</f>
        <v>0</v>
      </c>
      <c r="CR18" s="2800">
        <f>Plantillas!B695</f>
        <v>0</v>
      </c>
      <c r="CS18" s="2800">
        <f>Plantillas!B696</f>
        <v>0</v>
      </c>
    </row>
    <row r="19" spans="1:97" ht="12" customHeight="1">
      <c r="A19" s="1755">
        <v>0</v>
      </c>
      <c r="B19" s="1388"/>
      <c r="C19" s="3229">
        <f>D18</f>
        <v>6</v>
      </c>
      <c r="D19" s="5297" t="str">
        <f>VLOOKUP(C19,V22:Z40,2,5)</f>
        <v>3ºB</v>
      </c>
      <c r="E19" s="5297"/>
      <c r="F19" s="3226" t="s">
        <v>406</v>
      </c>
      <c r="G19" s="3227" t="s">
        <v>407</v>
      </c>
      <c r="H19" s="3228" t="s">
        <v>495</v>
      </c>
      <c r="I19" s="3230">
        <f>J18</f>
        <v>7</v>
      </c>
      <c r="J19" s="5326" t="str">
        <f>VLOOKUP(I19,V22:Z40,2,5)</f>
        <v>4ºA</v>
      </c>
      <c r="K19" s="5326"/>
      <c r="L19" s="5326"/>
      <c r="M19" s="3226" t="s">
        <v>406</v>
      </c>
      <c r="N19" s="3227" t="s">
        <v>407</v>
      </c>
      <c r="O19" s="3228" t="s">
        <v>495</v>
      </c>
      <c r="P19" s="3230">
        <f>Q18</f>
        <v>8</v>
      </c>
      <c r="Q19" s="3228" t="str">
        <f>VLOOKUP(P19,V22:Z40,2,5)</f>
        <v>4ºB</v>
      </c>
      <c r="R19" s="3226" t="s">
        <v>406</v>
      </c>
      <c r="S19" s="3227" t="s">
        <v>407</v>
      </c>
      <c r="T19" s="3228" t="s">
        <v>495</v>
      </c>
      <c r="U19" s="1755">
        <v>0</v>
      </c>
      <c r="V19" s="1607">
        <v>17</v>
      </c>
      <c r="W19" s="1752" t="str">
        <f>HLOOKUP(W1,AA1:BV20,19)</f>
        <v/>
      </c>
      <c r="X19" s="1618">
        <f>HLOOKUP(X1,AA1:BV20,19)</f>
        <v>0</v>
      </c>
      <c r="Y19" s="1619">
        <f>HLOOKUP(Y1,AA1:BV20,19)</f>
        <v>0</v>
      </c>
      <c r="Z19" s="1612">
        <f t="shared" si="0"/>
        <v>0</v>
      </c>
      <c r="AA19" s="1632" t="str">
        <f>CONCATENATE(Plantillas!Y54,Plantillas!Z54)</f>
        <v/>
      </c>
      <c r="AB19" s="1617">
        <f>Plantillas!AC54</f>
        <v>0</v>
      </c>
      <c r="AC19" s="1633">
        <f>Plantillas!AD54</f>
        <v>0</v>
      </c>
      <c r="AD19" s="1631" t="str">
        <f>CONCATENATE(Plantillas!Y94,Plantillas!Z94)</f>
        <v/>
      </c>
      <c r="AE19" s="1617">
        <f>Plantillas!AC94</f>
        <v>0</v>
      </c>
      <c r="AF19" s="1633">
        <f>Plantillas!AD94</f>
        <v>0</v>
      </c>
      <c r="AG19" s="1631" t="str">
        <f>CONCATENATE(Plantillas!Y134,Plantillas!Z134)</f>
        <v/>
      </c>
      <c r="AH19" s="1617">
        <f>Plantillas!AC134</f>
        <v>0</v>
      </c>
      <c r="AI19" s="1633">
        <f>Plantillas!AD134</f>
        <v>0</v>
      </c>
      <c r="AJ19" s="1631" t="str">
        <f>CONCATENATE(Plantillas!Y174,Plantillas!Z174)</f>
        <v/>
      </c>
      <c r="AK19" s="1617">
        <f>Plantillas!AC174</f>
        <v>0</v>
      </c>
      <c r="AL19" s="1633">
        <f>Plantillas!AD174</f>
        <v>0</v>
      </c>
      <c r="AM19" s="1631" t="str">
        <f>CONCATENATE(Plantillas!Y214,Plantillas!Z214)</f>
        <v/>
      </c>
      <c r="AN19" s="1617">
        <f>Plantillas!AC214</f>
        <v>0</v>
      </c>
      <c r="AO19" s="1633">
        <f>Plantillas!AD214</f>
        <v>0</v>
      </c>
      <c r="AP19" s="1631" t="str">
        <f>CONCATENATE(Plantillas!Y254,Plantillas!Z254)</f>
        <v/>
      </c>
      <c r="AQ19" s="1617">
        <f>Plantillas!AC254</f>
        <v>0</v>
      </c>
      <c r="AR19" s="1633">
        <f>Plantillas!AD254</f>
        <v>0</v>
      </c>
      <c r="AS19" s="1631" t="str">
        <f>CONCATENATE(Plantillas!Y294,Plantillas!Z294)</f>
        <v/>
      </c>
      <c r="AT19" s="1617">
        <f>Plantillas!AC294</f>
        <v>0</v>
      </c>
      <c r="AU19" s="1633">
        <f>Plantillas!AD294</f>
        <v>0</v>
      </c>
      <c r="AV19" s="1631" t="str">
        <f>CONCATENATE(Plantillas!Y334,Plantillas!Z334)</f>
        <v/>
      </c>
      <c r="AW19" s="1617">
        <f>Plantillas!AC334</f>
        <v>0</v>
      </c>
      <c r="AX19" s="1633">
        <f>Plantillas!AD334</f>
        <v>0</v>
      </c>
      <c r="AY19" s="1631" t="str">
        <f>CONCATENATE(Plantillas!Y374,Plantillas!Z374)</f>
        <v/>
      </c>
      <c r="AZ19" s="1617">
        <f>Plantillas!AC374</f>
        <v>0</v>
      </c>
      <c r="BA19" s="1633">
        <f>Plantillas!AD374</f>
        <v>0</v>
      </c>
      <c r="BB19" s="1631" t="str">
        <f>CONCATENATE(Plantillas!Y414,Plantillas!Z414)</f>
        <v/>
      </c>
      <c r="BC19" s="1617">
        <f>Plantillas!AC414</f>
        <v>0</v>
      </c>
      <c r="BD19" s="1633">
        <f>Plantillas!AD414</f>
        <v>0</v>
      </c>
      <c r="BE19" s="1629" t="str">
        <f>CONCATENATE(Plantillas!Y454,Plantillas!Z454)</f>
        <v/>
      </c>
      <c r="BF19" s="1617">
        <f>Plantillas!AC454</f>
        <v>0</v>
      </c>
      <c r="BG19" s="1633">
        <f>Plantillas!AD454</f>
        <v>0</v>
      </c>
      <c r="BH19" s="1629" t="str">
        <f>CONCATENATE(Plantillas!Y494,Plantillas!Z494)</f>
        <v/>
      </c>
      <c r="BI19" s="1617">
        <f>Plantillas!AC494</f>
        <v>0</v>
      </c>
      <c r="BJ19" s="1633">
        <f>Plantillas!AD494</f>
        <v>0</v>
      </c>
      <c r="BK19" s="1629" t="str">
        <f>CONCATENATE(Plantillas!Y534,Plantillas!Z534)</f>
        <v/>
      </c>
      <c r="BL19" s="1617">
        <f>Plantillas!AC534</f>
        <v>0</v>
      </c>
      <c r="BM19" s="1633">
        <f>Plantillas!AD534</f>
        <v>0</v>
      </c>
      <c r="BN19" s="1629" t="str">
        <f>CONCATENATE(Plantillas!Y574,Plantillas!Z574)</f>
        <v/>
      </c>
      <c r="BO19" s="1617">
        <f>Plantillas!AC574</f>
        <v>0</v>
      </c>
      <c r="BP19" s="1633">
        <f>Plantillas!AD574</f>
        <v>0</v>
      </c>
      <c r="BQ19" s="1629" t="str">
        <f>CONCATENATE(Plantillas!Y614,Plantillas!Z614)</f>
        <v/>
      </c>
      <c r="BR19" s="1617">
        <f>Plantillas!AC614</f>
        <v>0</v>
      </c>
      <c r="BS19" s="1633">
        <f>Plantillas!AD614</f>
        <v>0</v>
      </c>
      <c r="BT19" s="1629" t="str">
        <f>CONCATENATE(Plantillas!Y654,Plantillas!Z654)</f>
        <v/>
      </c>
      <c r="BU19" s="1617">
        <f>Plantillas!AC654</f>
        <v>0</v>
      </c>
      <c r="BV19" s="1633">
        <f>Plantillas!AD654</f>
        <v>0</v>
      </c>
      <c r="BW19" s="3222">
        <v>17</v>
      </c>
      <c r="BX19" s="3223" t="str">
        <f>VLOOKUP(BX1,BY2:CS21,19,19)</f>
        <v>GARDUÑO CASTILLO * MERLI ROCIO</v>
      </c>
      <c r="BY19" s="1660">
        <v>18</v>
      </c>
      <c r="BZ19" s="2800">
        <f>Plantillas!B717</f>
        <v>0</v>
      </c>
      <c r="CA19" s="2800">
        <f>Plantillas!B718</f>
        <v>0</v>
      </c>
      <c r="CB19" s="2800">
        <f>Plantillas!B719</f>
        <v>0</v>
      </c>
      <c r="CC19" s="2800">
        <f>Plantillas!B720</f>
        <v>0</v>
      </c>
      <c r="CD19" s="2800">
        <f>Plantillas!B721</f>
        <v>0</v>
      </c>
      <c r="CE19" s="2800">
        <f>Plantillas!B722</f>
        <v>0</v>
      </c>
      <c r="CF19" s="2800">
        <f>Plantillas!B723</f>
        <v>0</v>
      </c>
      <c r="CG19" s="2800">
        <f>Plantillas!B724</f>
        <v>0</v>
      </c>
      <c r="CH19" s="2800">
        <f>Plantillas!B725</f>
        <v>0</v>
      </c>
      <c r="CI19" s="2800">
        <f>Plantillas!B726</f>
        <v>0</v>
      </c>
      <c r="CJ19" s="2800">
        <f>Plantillas!B727</f>
        <v>0</v>
      </c>
      <c r="CK19" s="2800">
        <f>Plantillas!B728</f>
        <v>0</v>
      </c>
      <c r="CL19" s="2800">
        <f>Plantillas!B729</f>
        <v>0</v>
      </c>
      <c r="CM19" s="2800">
        <f>Plantillas!B730</f>
        <v>0</v>
      </c>
      <c r="CN19" s="2800">
        <f>Plantillas!B731</f>
        <v>0</v>
      </c>
      <c r="CO19" s="2800">
        <f>Plantillas!B732</f>
        <v>0</v>
      </c>
      <c r="CP19" s="2800">
        <f>Plantillas!B733</f>
        <v>0</v>
      </c>
      <c r="CQ19" s="2800">
        <f>Plantillas!B734</f>
        <v>0</v>
      </c>
      <c r="CR19" s="2800">
        <f>Plantillas!B735</f>
        <v>0</v>
      </c>
      <c r="CS19" s="2800">
        <f>Plantillas!B736</f>
        <v>0</v>
      </c>
    </row>
    <row r="20" spans="1:97" ht="12" customHeight="1">
      <c r="A20" s="1755">
        <v>0</v>
      </c>
      <c r="B20" s="1388"/>
      <c r="C20" s="3221"/>
      <c r="D20" s="5298" t="s">
        <v>1126</v>
      </c>
      <c r="E20" s="5298"/>
      <c r="F20" s="3235">
        <f>VLOOKUP(C19,V2:Z20,3,5)</f>
        <v>18</v>
      </c>
      <c r="G20" s="3235">
        <f>VLOOKUP(C19,V2:Z20,4,5)</f>
        <v>16</v>
      </c>
      <c r="H20" s="3235">
        <f>SUM(F20:G20)</f>
        <v>34</v>
      </c>
      <c r="I20" s="3216"/>
      <c r="J20" s="5298" t="s">
        <v>1126</v>
      </c>
      <c r="K20" s="5298"/>
      <c r="L20" s="5298"/>
      <c r="M20" s="3235">
        <f>VLOOKUP(I19,V2:Z20,3,5)</f>
        <v>18</v>
      </c>
      <c r="N20" s="3235">
        <f>VLOOKUP(I19,V2:Z20,4,5)</f>
        <v>17</v>
      </c>
      <c r="O20" s="3235">
        <f>SUM(M20:N20)</f>
        <v>35</v>
      </c>
      <c r="P20" s="3216"/>
      <c r="Q20" s="3473" t="s">
        <v>1126</v>
      </c>
      <c r="R20" s="3235">
        <f>VLOOKUP(P19,V2:Z20,3,5)</f>
        <v>17</v>
      </c>
      <c r="S20" s="3235">
        <f>VLOOKUP(P19,V2:Z20,4,5)</f>
        <v>16</v>
      </c>
      <c r="T20" s="3235">
        <f>SUM(R20:S20)</f>
        <v>33</v>
      </c>
      <c r="U20" s="1755">
        <v>0</v>
      </c>
      <c r="V20" s="1607">
        <v>18</v>
      </c>
      <c r="W20" s="1753" t="str">
        <f>HLOOKUP(W1,AA1:BV20,20)</f>
        <v/>
      </c>
      <c r="X20" s="1621">
        <f>HLOOKUP(X1,AA1:BV20,20)</f>
        <v>0</v>
      </c>
      <c r="Y20" s="1622">
        <f>HLOOKUP(Y1,AA1:BV20,20)</f>
        <v>0</v>
      </c>
      <c r="Z20" s="1612">
        <f>X20+Y20</f>
        <v>0</v>
      </c>
      <c r="AA20" s="1632" t="str">
        <f>CONCATENATE(Plantillas!Y55,Plantillas!Z55)</f>
        <v/>
      </c>
      <c r="AB20" s="1617">
        <f>Plantillas!AC55</f>
        <v>0</v>
      </c>
      <c r="AC20" s="1633">
        <f>Plantillas!AD55</f>
        <v>0</v>
      </c>
      <c r="AD20" s="1631" t="str">
        <f>CONCATENATE(Plantillas!Y95,Plantillas!Z95)</f>
        <v/>
      </c>
      <c r="AE20" s="1617">
        <f>Plantillas!AC95</f>
        <v>0</v>
      </c>
      <c r="AF20" s="1633">
        <f>Plantillas!AD95</f>
        <v>0</v>
      </c>
      <c r="AG20" s="1631" t="str">
        <f>CONCATENATE(Plantillas!Y135,Plantillas!Z135)</f>
        <v/>
      </c>
      <c r="AH20" s="1617">
        <f>Plantillas!AC135</f>
        <v>0</v>
      </c>
      <c r="AI20" s="1633">
        <f>Plantillas!AD135</f>
        <v>0</v>
      </c>
      <c r="AJ20" s="1631" t="str">
        <f>CONCATENATE(Plantillas!Y175,Plantillas!Z175)</f>
        <v/>
      </c>
      <c r="AK20" s="1617">
        <f>Plantillas!AC175</f>
        <v>0</v>
      </c>
      <c r="AL20" s="1633">
        <f>Plantillas!AD175</f>
        <v>0</v>
      </c>
      <c r="AM20" s="1631" t="str">
        <f>CONCATENATE(Plantillas!Y215,Plantillas!Z215)</f>
        <v/>
      </c>
      <c r="AN20" s="1617">
        <f>Plantillas!AC215</f>
        <v>0</v>
      </c>
      <c r="AO20" s="1633">
        <f>Plantillas!AD215</f>
        <v>0</v>
      </c>
      <c r="AP20" s="1631" t="str">
        <f>CONCATENATE(Plantillas!Y255,Plantillas!Z255)</f>
        <v/>
      </c>
      <c r="AQ20" s="1617">
        <f>Plantillas!AC255</f>
        <v>0</v>
      </c>
      <c r="AR20" s="1633">
        <f>Plantillas!AD255</f>
        <v>0</v>
      </c>
      <c r="AS20" s="1631" t="str">
        <f>CONCATENATE(Plantillas!Y295,Plantillas!Z295)</f>
        <v/>
      </c>
      <c r="AT20" s="1617">
        <f>Plantillas!AC295</f>
        <v>0</v>
      </c>
      <c r="AU20" s="1633">
        <f>Plantillas!AD295</f>
        <v>0</v>
      </c>
      <c r="AV20" s="1631" t="str">
        <f>CONCATENATE(Plantillas!Y335,Plantillas!Z335)</f>
        <v/>
      </c>
      <c r="AW20" s="1617">
        <f>Plantillas!AC335</f>
        <v>0</v>
      </c>
      <c r="AX20" s="1633">
        <f>Plantillas!AD335</f>
        <v>0</v>
      </c>
      <c r="AY20" s="1631" t="str">
        <f>CONCATENATE(Plantillas!Y375,Plantillas!Z375)</f>
        <v/>
      </c>
      <c r="AZ20" s="1617">
        <f>Plantillas!AC375</f>
        <v>0</v>
      </c>
      <c r="BA20" s="1633">
        <f>Plantillas!AD375</f>
        <v>0</v>
      </c>
      <c r="BB20" s="1631" t="str">
        <f>CONCATENATE(Plantillas!Y415,Plantillas!Z415)</f>
        <v/>
      </c>
      <c r="BC20" s="1617">
        <f>Plantillas!AC415</f>
        <v>0</v>
      </c>
      <c r="BD20" s="1633">
        <f>Plantillas!AD415</f>
        <v>0</v>
      </c>
      <c r="BE20" s="1629" t="str">
        <f>CONCATENATE(Plantillas!Y455,Plantillas!Z455)</f>
        <v/>
      </c>
      <c r="BF20" s="1617">
        <f>Plantillas!AC455</f>
        <v>0</v>
      </c>
      <c r="BG20" s="1633">
        <f>Plantillas!AD455</f>
        <v>0</v>
      </c>
      <c r="BH20" s="1629" t="str">
        <f>CONCATENATE(Plantillas!Y495,Plantillas!Z495)</f>
        <v/>
      </c>
      <c r="BI20" s="1617">
        <f>Plantillas!AC495</f>
        <v>0</v>
      </c>
      <c r="BJ20" s="1633">
        <f>Plantillas!AD495</f>
        <v>0</v>
      </c>
      <c r="BK20" s="1629" t="str">
        <f>CONCATENATE(Plantillas!Y535,Plantillas!Z535)</f>
        <v/>
      </c>
      <c r="BL20" s="1617">
        <f>Plantillas!AC535</f>
        <v>0</v>
      </c>
      <c r="BM20" s="1633">
        <f>Plantillas!AD535</f>
        <v>0</v>
      </c>
      <c r="BN20" s="1629" t="str">
        <f>CONCATENATE(Plantillas!Y575,Plantillas!Z575)</f>
        <v/>
      </c>
      <c r="BO20" s="1617">
        <f>Plantillas!AC575</f>
        <v>0</v>
      </c>
      <c r="BP20" s="1633">
        <f>Plantillas!AD575</f>
        <v>0</v>
      </c>
      <c r="BQ20" s="1629" t="str">
        <f>CONCATENATE(Plantillas!Y615,Plantillas!Z615)</f>
        <v/>
      </c>
      <c r="BR20" s="1617">
        <f>Plantillas!AC615</f>
        <v>0</v>
      </c>
      <c r="BS20" s="1633">
        <f>Plantillas!AD615</f>
        <v>0</v>
      </c>
      <c r="BT20" s="1629" t="str">
        <f>CONCATENATE(Plantillas!Y655,Plantillas!Z655)</f>
        <v/>
      </c>
      <c r="BU20" s="1617">
        <f>Plantillas!AC655</f>
        <v>0</v>
      </c>
      <c r="BV20" s="1633">
        <f>Plantillas!AD655</f>
        <v>0</v>
      </c>
      <c r="BW20" s="3222">
        <v>18</v>
      </c>
      <c r="BX20" s="3223" t="str">
        <f>VLOOKUP(BX1,BY2:CS21,20,20)</f>
        <v>POOT QUEB *LUIS ARMANDO</v>
      </c>
      <c r="BY20" s="1660">
        <v>19</v>
      </c>
      <c r="BZ20" s="2800">
        <f>Plantillas!B757</f>
        <v>0</v>
      </c>
      <c r="CA20" s="2800">
        <f>Plantillas!B758</f>
        <v>0</v>
      </c>
      <c r="CB20" s="2800">
        <f>Plantillas!B759</f>
        <v>0</v>
      </c>
      <c r="CC20" s="2800">
        <f>Plantillas!B760</f>
        <v>0</v>
      </c>
      <c r="CD20" s="2800">
        <f>Plantillas!B761</f>
        <v>0</v>
      </c>
      <c r="CE20" s="2800">
        <f>Plantillas!B762</f>
        <v>0</v>
      </c>
      <c r="CF20" s="2800">
        <f>Plantillas!B763</f>
        <v>0</v>
      </c>
      <c r="CG20" s="2800">
        <f>Plantillas!B764</f>
        <v>0</v>
      </c>
      <c r="CH20" s="2800">
        <f>Plantillas!B765</f>
        <v>0</v>
      </c>
      <c r="CI20" s="2800">
        <f>Plantillas!B766</f>
        <v>0</v>
      </c>
      <c r="CJ20" s="2800">
        <f>Plantillas!B767</f>
        <v>0</v>
      </c>
      <c r="CK20" s="2800">
        <f>Plantillas!B768</f>
        <v>0</v>
      </c>
      <c r="CL20" s="2800">
        <f>Plantillas!B769</f>
        <v>0</v>
      </c>
      <c r="CM20" s="2800">
        <f>Plantillas!B770</f>
        <v>0</v>
      </c>
      <c r="CN20" s="2800">
        <f>Plantillas!B771</f>
        <v>0</v>
      </c>
      <c r="CO20" s="2800">
        <f>Plantillas!B772</f>
        <v>0</v>
      </c>
      <c r="CP20" s="2800">
        <f>Plantillas!B773</f>
        <v>0</v>
      </c>
      <c r="CQ20" s="2800">
        <f>Plantillas!B774</f>
        <v>0</v>
      </c>
      <c r="CR20" s="2800">
        <f>Plantillas!B775</f>
        <v>0</v>
      </c>
      <c r="CS20" s="2800">
        <f>Plantillas!B776</f>
        <v>0</v>
      </c>
    </row>
    <row r="21" spans="1:97" ht="12" customHeight="1">
      <c r="A21" s="1755"/>
      <c r="B21" s="1388"/>
      <c r="C21" s="3221"/>
      <c r="D21" s="5293" t="s">
        <v>423</v>
      </c>
      <c r="E21" s="5293"/>
      <c r="F21" s="3235">
        <f>VLOOKUP(C19,V22:Z40,3,5)</f>
        <v>0</v>
      </c>
      <c r="G21" s="3235">
        <f>VLOOKUP(C19,V22:Z40,4,5)</f>
        <v>0</v>
      </c>
      <c r="H21" s="3235">
        <f>SUM(F21:G21)</f>
        <v>0</v>
      </c>
      <c r="I21" s="3216"/>
      <c r="J21" s="5293" t="s">
        <v>423</v>
      </c>
      <c r="K21" s="5293"/>
      <c r="L21" s="5293"/>
      <c r="M21" s="3235">
        <f>VLOOKUP(I19,V22:Z40,3,5)</f>
        <v>0</v>
      </c>
      <c r="N21" s="3235">
        <f>VLOOKUP(I19,V22:Z40,4,5)</f>
        <v>0</v>
      </c>
      <c r="O21" s="3235">
        <f>SUM(M21:N21)</f>
        <v>0</v>
      </c>
      <c r="P21" s="3216"/>
      <c r="Q21" s="3474" t="s">
        <v>423</v>
      </c>
      <c r="R21" s="3235">
        <f>VLOOKUP(P19,V22:Z40,3,5)</f>
        <v>0</v>
      </c>
      <c r="S21" s="3235">
        <f>VLOOKUP(P19,V22:Z40,4,5)</f>
        <v>1</v>
      </c>
      <c r="T21" s="3235">
        <f>SUM(R21:S21)</f>
        <v>1</v>
      </c>
      <c r="U21" s="1755">
        <v>0</v>
      </c>
      <c r="V21" s="1607"/>
      <c r="W21" s="1623">
        <f>VLOOKUP(P40,R49:S66,2)</f>
        <v>1</v>
      </c>
      <c r="X21" s="1615">
        <f>W21+1</f>
        <v>2</v>
      </c>
      <c r="Y21" s="1616">
        <f>W21+2</f>
        <v>3</v>
      </c>
      <c r="Z21" s="1611">
        <f>W21+3</f>
        <v>4</v>
      </c>
      <c r="AA21" s="1629">
        <v>1</v>
      </c>
      <c r="AB21" s="1615">
        <v>2</v>
      </c>
      <c r="AC21" s="1630">
        <v>3</v>
      </c>
      <c r="AD21" s="1631">
        <v>5</v>
      </c>
      <c r="AE21" s="1615">
        <v>6</v>
      </c>
      <c r="AF21" s="1630">
        <v>7</v>
      </c>
      <c r="AG21" s="1631">
        <v>9</v>
      </c>
      <c r="AH21" s="1615">
        <v>10</v>
      </c>
      <c r="AI21" s="1630">
        <v>11</v>
      </c>
      <c r="AJ21" s="1631">
        <v>13</v>
      </c>
      <c r="AK21" s="1615">
        <v>14</v>
      </c>
      <c r="AL21" s="1630">
        <v>15</v>
      </c>
      <c r="AM21" s="1631">
        <v>17</v>
      </c>
      <c r="AN21" s="1615">
        <v>18</v>
      </c>
      <c r="AO21" s="1630">
        <v>19</v>
      </c>
      <c r="AP21" s="1631">
        <v>21</v>
      </c>
      <c r="AQ21" s="1615">
        <v>22</v>
      </c>
      <c r="AR21" s="1630">
        <v>23</v>
      </c>
      <c r="AS21" s="1631">
        <v>25</v>
      </c>
      <c r="AT21" s="1615">
        <v>26</v>
      </c>
      <c r="AU21" s="1630">
        <v>27</v>
      </c>
      <c r="AV21" s="1631">
        <v>29</v>
      </c>
      <c r="AW21" s="1615">
        <v>30</v>
      </c>
      <c r="AX21" s="1630">
        <v>31</v>
      </c>
      <c r="AY21" s="1631">
        <v>33</v>
      </c>
      <c r="AZ21" s="1615">
        <v>34</v>
      </c>
      <c r="BA21" s="1630">
        <v>35</v>
      </c>
      <c r="BB21" s="1631">
        <v>37</v>
      </c>
      <c r="BC21" s="1615">
        <v>38</v>
      </c>
      <c r="BD21" s="1630">
        <v>39</v>
      </c>
      <c r="BE21" s="1629">
        <v>41</v>
      </c>
      <c r="BF21" s="1615">
        <v>42</v>
      </c>
      <c r="BG21" s="1630">
        <v>43</v>
      </c>
      <c r="BH21" s="1629">
        <v>45</v>
      </c>
      <c r="BI21" s="1615">
        <v>46</v>
      </c>
      <c r="BJ21" s="1630">
        <v>47</v>
      </c>
      <c r="BK21" s="1629">
        <v>49</v>
      </c>
      <c r="BL21" s="1615">
        <v>50</v>
      </c>
      <c r="BM21" s="1630">
        <v>51</v>
      </c>
      <c r="BN21" s="1629">
        <v>53</v>
      </c>
      <c r="BO21" s="1615">
        <v>54</v>
      </c>
      <c r="BP21" s="1630">
        <v>55</v>
      </c>
      <c r="BQ21" s="1629">
        <v>57</v>
      </c>
      <c r="BR21" s="1615">
        <v>58</v>
      </c>
      <c r="BS21" s="1630">
        <v>59</v>
      </c>
      <c r="BT21" s="1629">
        <v>61</v>
      </c>
      <c r="BU21" s="1615">
        <v>62</v>
      </c>
      <c r="BV21" s="1630">
        <v>63</v>
      </c>
      <c r="BW21" s="3222">
        <v>19</v>
      </c>
      <c r="BX21" s="3223">
        <f>VLOOKUP(BX1,BY2:CS21,21,21)</f>
        <v>0</v>
      </c>
      <c r="BY21" s="1660">
        <v>20</v>
      </c>
      <c r="BZ21" s="2800" t="str">
        <f>Plantillas!B10</f>
        <v>RICALDE CASTRO * JESUS MARTIN</v>
      </c>
      <c r="CA21" s="2800" t="str">
        <f>Plantillas!B11</f>
        <v>GARCIA GONGORA * ANTONIO</v>
      </c>
      <c r="CB21" s="2800" t="str">
        <f>Plantillas!B12</f>
        <v>GARCIA GONGORA *ANTONIO</v>
      </c>
      <c r="CC21" s="2800" t="str">
        <f>Plantillas!B13</f>
        <v>ESCAMILLA HUCHIM * MARCELO DAMIAN</v>
      </c>
      <c r="CD21" s="2800" t="str">
        <f>Plantillas!B14</f>
        <v>ESCAMILLA HUCHIM * MARCELO DAMIAN</v>
      </c>
      <c r="CE21" s="2800" t="str">
        <f>Plantillas!B15</f>
        <v>REAL RUIZ FRANCISCA</v>
      </c>
      <c r="CF21" s="2800" t="str">
        <f>Plantillas!B16</f>
        <v>HERVE  AZAEL AGUILAR CRUZ</v>
      </c>
      <c r="CG21" s="2800" t="str">
        <f>Plantillas!B17</f>
        <v>LIA BEATRIZ ORTIZ MEJIA</v>
      </c>
      <c r="CH21" s="2800" t="str">
        <f>Plantillas!B18</f>
        <v>MARIA TERESA CANUL GONZALEZ</v>
      </c>
      <c r="CI21" s="2800" t="str">
        <f>Plantillas!B19</f>
        <v>RUSEL FULGENCIO AVILEZ CAMPOS</v>
      </c>
      <c r="CJ21" s="2800" t="str">
        <f>Plantillas!B20</f>
        <v>WILLIAN RENAN COBA NAVARRETE</v>
      </c>
      <c r="CK21" s="2800" t="str">
        <f>Plantillas!B21</f>
        <v>MILDRED ELIZABETH ROSADO PIÑA</v>
      </c>
      <c r="CL21" s="2800" t="str">
        <f>Plantillas!B22</f>
        <v>JULIA IRLANDA ALFEREZ AMAYA</v>
      </c>
      <c r="CM21" s="2800" t="str">
        <f>Plantillas!B23</f>
        <v>BEATRIZ EUGENIA BAEZA PASOS</v>
      </c>
      <c r="CN21" s="2800" t="str">
        <f>Plantillas!B24</f>
        <v>WENEFRIDO GRANADOS VAZQUEZ</v>
      </c>
      <c r="CO21" s="2800" t="str">
        <f>Plantillas!B25</f>
        <v>ROBERTO COLLI MAY</v>
      </c>
      <c r="CP21" s="2800" t="str">
        <f>Plantillas!B26</f>
        <v>BRITO EUAN ILIANA PATRICIA</v>
      </c>
      <c r="CQ21" s="2800">
        <f>Plantillas!B27</f>
        <v>0</v>
      </c>
      <c r="CR21" s="2800">
        <f>Plantillas!B28</f>
        <v>0</v>
      </c>
      <c r="CS21" s="2800">
        <f>Plantillas!B29</f>
        <v>0</v>
      </c>
    </row>
    <row r="22" spans="1:97" ht="12" customHeight="1">
      <c r="A22" s="1755">
        <v>0</v>
      </c>
      <c r="B22" s="1388"/>
      <c r="C22" s="3221"/>
      <c r="D22" s="5294" t="s">
        <v>434</v>
      </c>
      <c r="E22" s="5294"/>
      <c r="F22" s="3235">
        <f>VLOOKUP(C19,V42:Z60,3,5)</f>
        <v>0</v>
      </c>
      <c r="G22" s="3235">
        <f>VLOOKUP(C19,V42:Z60,4,5)</f>
        <v>1</v>
      </c>
      <c r="H22" s="3235">
        <f>SUM(F22:G22)</f>
        <v>1</v>
      </c>
      <c r="I22" s="3216"/>
      <c r="J22" s="5294" t="s">
        <v>434</v>
      </c>
      <c r="K22" s="5294"/>
      <c r="L22" s="5294"/>
      <c r="M22" s="3235">
        <f>VLOOKUP(I19,V42:Z60,3,5)</f>
        <v>3</v>
      </c>
      <c r="N22" s="3235">
        <f>VLOOKUP(I19,V42:Z60,4,5)</f>
        <v>1</v>
      </c>
      <c r="O22" s="3235">
        <f>SUM(M22:N22)</f>
        <v>4</v>
      </c>
      <c r="P22" s="3216"/>
      <c r="Q22" s="3475" t="s">
        <v>434</v>
      </c>
      <c r="R22" s="3235">
        <f>VLOOKUP(P19,V42:Z60,3,5)</f>
        <v>3</v>
      </c>
      <c r="S22" s="3235">
        <f>VLOOKUP(P19,V42:Z60,4,5)</f>
        <v>2</v>
      </c>
      <c r="T22" s="3235">
        <f>SUM(R22:S22)</f>
        <v>5</v>
      </c>
      <c r="U22" s="1755">
        <v>0</v>
      </c>
      <c r="V22" s="1607">
        <v>0</v>
      </c>
      <c r="W22" s="1624" t="str">
        <f>HLOOKUP(W21,AA21:BV40,2)</f>
        <v/>
      </c>
      <c r="X22" s="1618">
        <f>HLOOKUP(X21,AA21:BV40,2)</f>
        <v>0</v>
      </c>
      <c r="Y22" s="1619">
        <f>HLOOKUP(Y21,AA21:BV40,2)</f>
        <v>0</v>
      </c>
      <c r="Z22" s="1612">
        <f>X22+Y22</f>
        <v>0</v>
      </c>
      <c r="AA22" s="1632" t="str">
        <f>CONCATENATE(Plantillas!Y37,Plantillas!Z37)</f>
        <v/>
      </c>
      <c r="AB22" s="1617">
        <f>Plantillas!AE37</f>
        <v>0</v>
      </c>
      <c r="AC22" s="1633">
        <f>Plantillas!AF37</f>
        <v>0</v>
      </c>
      <c r="AD22" s="1631" t="str">
        <f>CONCATENATE(Plantillas!Y77,Plantillas!Z77)</f>
        <v/>
      </c>
      <c r="AE22" s="1617">
        <f>Plantillas!AE77</f>
        <v>0</v>
      </c>
      <c r="AF22" s="1633">
        <f>Plantillas!AF77</f>
        <v>0</v>
      </c>
      <c r="AG22" s="1631" t="str">
        <f>CONCATENATE(Plantillas!Y117,Plantillas!Z117)</f>
        <v/>
      </c>
      <c r="AH22" s="1617">
        <f>Plantillas!AE117</f>
        <v>0</v>
      </c>
      <c r="AI22" s="1633">
        <f>Plantillas!AF117</f>
        <v>0</v>
      </c>
      <c r="AJ22" s="1631" t="str">
        <f>CONCATENATE(Plantillas!Y157,Plantillas!Z157)</f>
        <v/>
      </c>
      <c r="AK22" s="1617">
        <f>Plantillas!AE157</f>
        <v>0</v>
      </c>
      <c r="AL22" s="1633">
        <f>Plantillas!AF157</f>
        <v>0</v>
      </c>
      <c r="AM22" s="1631" t="str">
        <f>CONCATENATE(Plantillas!Y197,Plantillas!Z197)</f>
        <v/>
      </c>
      <c r="AN22" s="1617">
        <f>Plantillas!AE197</f>
        <v>0</v>
      </c>
      <c r="AO22" s="1633">
        <f>Plantillas!AF197</f>
        <v>0</v>
      </c>
      <c r="AP22" s="1631" t="str">
        <f>CONCATENATE(Plantillas!Y237,Plantillas!Z237)</f>
        <v/>
      </c>
      <c r="AQ22" s="1617">
        <f>Plantillas!AE237</f>
        <v>0</v>
      </c>
      <c r="AR22" s="1633">
        <f>Plantillas!AF237</f>
        <v>0</v>
      </c>
      <c r="AS22" s="1631" t="str">
        <f>CONCATENATE(Plantillas!Y277,Plantillas!Z277)</f>
        <v/>
      </c>
      <c r="AT22" s="1617">
        <f>Plantillas!AE277</f>
        <v>0</v>
      </c>
      <c r="AU22" s="1633">
        <f>Plantillas!AF277</f>
        <v>0</v>
      </c>
      <c r="AV22" s="1631" t="str">
        <f>CONCATENATE(Plantillas!Y317,Plantillas!Z317)</f>
        <v>5ºA</v>
      </c>
      <c r="AW22" s="1617">
        <f>Plantillas!AE317</f>
        <v>0</v>
      </c>
      <c r="AX22" s="1633">
        <f>Plantillas!AF317</f>
        <v>1</v>
      </c>
      <c r="AY22" s="1631" t="str">
        <f>CONCATENATE(Plantillas!Y357,Plantillas!Z357)</f>
        <v/>
      </c>
      <c r="AZ22" s="1617">
        <f>Plantillas!AE357</f>
        <v>0</v>
      </c>
      <c r="BA22" s="1633">
        <f>Plantillas!AF357</f>
        <v>0</v>
      </c>
      <c r="BB22" s="1631" t="str">
        <f>CONCATENATE(Plantillas!Y397,Plantillas!Z397)</f>
        <v/>
      </c>
      <c r="BC22" s="1617">
        <f>Plantillas!AE397</f>
        <v>0</v>
      </c>
      <c r="BD22" s="1633">
        <f>Plantillas!AF397</f>
        <v>0</v>
      </c>
      <c r="BE22" s="1629" t="str">
        <f>CONCATENATE(Plantillas!Y437,Plantillas!Z437)</f>
        <v>6ºA</v>
      </c>
      <c r="BF22" s="1617">
        <f>Plantillas!AE437</f>
        <v>2</v>
      </c>
      <c r="BG22" s="1633">
        <f>Plantillas!AF437</f>
        <v>1</v>
      </c>
      <c r="BH22" s="1629" t="str">
        <f>CONCATENATE(Plantillas!Y477,Plantillas!Z477)</f>
        <v>1ºA</v>
      </c>
      <c r="BI22" s="1617">
        <f>Plantillas!AE477</f>
        <v>0</v>
      </c>
      <c r="BJ22" s="1633">
        <f>Plantillas!AF477</f>
        <v>3</v>
      </c>
      <c r="BK22" s="1629" t="str">
        <f>CONCATENATE(Plantillas!Y517,Plantillas!Z517)</f>
        <v/>
      </c>
      <c r="BL22" s="1617">
        <f>Plantillas!AE517</f>
        <v>0</v>
      </c>
      <c r="BM22" s="1633">
        <f>Plantillas!AF517</f>
        <v>0</v>
      </c>
      <c r="BN22" s="1629" t="str">
        <f>CONCATENATE(Plantillas!Y557,Plantillas!Z557)</f>
        <v/>
      </c>
      <c r="BO22" s="1617">
        <f>Plantillas!AE557</f>
        <v>0</v>
      </c>
      <c r="BP22" s="1633">
        <f>Plantillas!AF557</f>
        <v>0</v>
      </c>
      <c r="BQ22" s="1629" t="str">
        <f>CONCATENATE(Plantillas!Y597,Plantillas!Z597)</f>
        <v>1ºA</v>
      </c>
      <c r="BR22" s="1617">
        <f>Plantillas!AE597</f>
        <v>2</v>
      </c>
      <c r="BS22" s="1633">
        <f>Plantillas!AF597</f>
        <v>0</v>
      </c>
      <c r="BT22" s="1629" t="str">
        <f>CONCATENATE(Plantillas!Y637,Plantillas!Z637)</f>
        <v/>
      </c>
      <c r="BU22" s="1617">
        <f>Plantillas!AE637</f>
        <v>0</v>
      </c>
      <c r="BV22" s="1633">
        <f>Plantillas!AF637</f>
        <v>0</v>
      </c>
      <c r="BW22" s="1619"/>
    </row>
    <row r="23" spans="1:97" ht="12" customHeight="1">
      <c r="A23" s="1755">
        <v>0</v>
      </c>
      <c r="B23" s="1388"/>
      <c r="C23" s="3221"/>
      <c r="D23" s="5295" t="s">
        <v>848</v>
      </c>
      <c r="E23" s="5295"/>
      <c r="F23" s="3235">
        <f>F20+F21-F22-F24</f>
        <v>18</v>
      </c>
      <c r="G23" s="3235">
        <f>G20+G21-G22-G24</f>
        <v>15</v>
      </c>
      <c r="H23" s="3235">
        <f>SUM(F23:G23)</f>
        <v>33</v>
      </c>
      <c r="I23" s="3216"/>
      <c r="J23" s="5295" t="s">
        <v>848</v>
      </c>
      <c r="K23" s="5295"/>
      <c r="L23" s="5295"/>
      <c r="M23" s="3235">
        <f>M20+M21-M22-M24</f>
        <v>15</v>
      </c>
      <c r="N23" s="3235">
        <f>N20+N21-N22-N24</f>
        <v>16</v>
      </c>
      <c r="O23" s="3235">
        <f>SUM(M23:N23)</f>
        <v>31</v>
      </c>
      <c r="P23" s="3216" t="s">
        <v>79</v>
      </c>
      <c r="Q23" s="3476" t="s">
        <v>848</v>
      </c>
      <c r="R23" s="3235">
        <f>R20+R21-R22-R24</f>
        <v>14</v>
      </c>
      <c r="S23" s="3235">
        <f>S20+S21-S22-S24</f>
        <v>15</v>
      </c>
      <c r="T23" s="3235">
        <f>SUM(R23:S23)</f>
        <v>29</v>
      </c>
      <c r="U23" s="1755">
        <v>0</v>
      </c>
      <c r="V23" s="1607">
        <v>1</v>
      </c>
      <c r="W23" s="1624" t="str">
        <f>HLOOKUP(W21,AA21:BV40,3)</f>
        <v>1ºA</v>
      </c>
      <c r="X23" s="1618">
        <f>HLOOKUP(X21,AA21:BV40,3)</f>
        <v>1</v>
      </c>
      <c r="Y23" s="1619">
        <f>HLOOKUP(Y21,AA21:BV40,3)</f>
        <v>1</v>
      </c>
      <c r="Z23" s="1612">
        <f>X23+Y23</f>
        <v>2</v>
      </c>
      <c r="AA23" s="1632" t="str">
        <f>CONCATENATE(Plantillas!Y38,Plantillas!Z38)</f>
        <v>1ºA</v>
      </c>
      <c r="AB23" s="1617">
        <f>Plantillas!AE38</f>
        <v>1</v>
      </c>
      <c r="AC23" s="1633">
        <f>Plantillas!AF38</f>
        <v>1</v>
      </c>
      <c r="AD23" s="1631" t="str">
        <f>CONCATENATE(Plantillas!Y78,Plantillas!Z78)</f>
        <v>1ºA</v>
      </c>
      <c r="AE23" s="1617">
        <f>Plantillas!AE78</f>
        <v>0</v>
      </c>
      <c r="AF23" s="1633">
        <f>Plantillas!AF78</f>
        <v>0</v>
      </c>
      <c r="AG23" s="1631" t="str">
        <f>CONCATENATE(Plantillas!Y118,Plantillas!Z118)</f>
        <v>1ºA</v>
      </c>
      <c r="AH23" s="1617">
        <f>Plantillas!AE118</f>
        <v>3</v>
      </c>
      <c r="AI23" s="1633">
        <f>Plantillas!AF118</f>
        <v>2</v>
      </c>
      <c r="AJ23" s="1631" t="str">
        <f>CONCATENATE(Plantillas!Y158,Plantillas!Z158)</f>
        <v>1ºA</v>
      </c>
      <c r="AK23" s="1617">
        <f>Plantillas!AE158</f>
        <v>1</v>
      </c>
      <c r="AL23" s="1633">
        <f>Plantillas!AF158</f>
        <v>0</v>
      </c>
      <c r="AM23" s="1631" t="str">
        <f>CONCATENATE(Plantillas!Y198,Plantillas!Z198)</f>
        <v>1ºA</v>
      </c>
      <c r="AN23" s="1617">
        <f>Plantillas!AE198</f>
        <v>1</v>
      </c>
      <c r="AO23" s="1633">
        <f>Plantillas!AF198</f>
        <v>2</v>
      </c>
      <c r="AP23" s="1631" t="str">
        <f>CONCATENATE(Plantillas!Y238,Plantillas!Z238)</f>
        <v>1ºA</v>
      </c>
      <c r="AQ23" s="1617">
        <f>Plantillas!AE238</f>
        <v>1</v>
      </c>
      <c r="AR23" s="1633">
        <f>Plantillas!AF238</f>
        <v>0</v>
      </c>
      <c r="AS23" s="1631" t="str">
        <f>CONCATENATE(Plantillas!Y278,Plantillas!Z278)</f>
        <v>3ºA</v>
      </c>
      <c r="AT23" s="1617">
        <f>Plantillas!AE278</f>
        <v>1</v>
      </c>
      <c r="AU23" s="1633">
        <f>Plantillas!AF278</f>
        <v>0</v>
      </c>
      <c r="AV23" s="1631" t="str">
        <f>CONCATENATE(Plantillas!Y318,Plantillas!Z318)</f>
        <v>6ºA</v>
      </c>
      <c r="AW23" s="1617">
        <f>Plantillas!AE318</f>
        <v>1</v>
      </c>
      <c r="AX23" s="1633">
        <f>Plantillas!AF318</f>
        <v>0</v>
      </c>
      <c r="AY23" s="1631" t="str">
        <f>CONCATENATE(Plantillas!Y358,Plantillas!Z358)</f>
        <v>1ºA</v>
      </c>
      <c r="AZ23" s="1617">
        <f>Plantillas!AE358</f>
        <v>0</v>
      </c>
      <c r="BA23" s="1633">
        <f>Plantillas!AF358</f>
        <v>1</v>
      </c>
      <c r="BB23" s="1631" t="str">
        <f>CONCATENATE(Plantillas!Y398,Plantillas!Z398)</f>
        <v>1ºA</v>
      </c>
      <c r="BC23" s="1617">
        <f>Plantillas!AE398</f>
        <v>0</v>
      </c>
      <c r="BD23" s="1633">
        <f>Plantillas!AF398</f>
        <v>1</v>
      </c>
      <c r="BE23" s="1629" t="str">
        <f>CONCATENATE(Plantillas!Y438,Plantillas!Z438)</f>
        <v>1ºA</v>
      </c>
      <c r="BF23" s="1617">
        <f>Plantillas!AE438</f>
        <v>0</v>
      </c>
      <c r="BG23" s="1633">
        <f>Plantillas!AF438</f>
        <v>1</v>
      </c>
      <c r="BH23" s="1629" t="str">
        <f>CONCATENATE(Plantillas!Y478,Plantillas!Z478)</f>
        <v>2ºA</v>
      </c>
      <c r="BI23" s="1617">
        <f>Plantillas!AE478</f>
        <v>2</v>
      </c>
      <c r="BJ23" s="1633">
        <f>Plantillas!AF478</f>
        <v>3</v>
      </c>
      <c r="BK23" s="1629" t="str">
        <f>CONCATENATE(Plantillas!Y518,Plantillas!Z518)</f>
        <v>1ºA</v>
      </c>
      <c r="BL23" s="1617">
        <f>Plantillas!AE518</f>
        <v>0</v>
      </c>
      <c r="BM23" s="1633">
        <f>Plantillas!AF518</f>
        <v>1</v>
      </c>
      <c r="BN23" s="1629" t="str">
        <f>CONCATENATE(Plantillas!Y558,Plantillas!Z558)</f>
        <v>1ºA</v>
      </c>
      <c r="BO23" s="1617">
        <f>Plantillas!AE558</f>
        <v>0</v>
      </c>
      <c r="BP23" s="1633">
        <f>Plantillas!AF558</f>
        <v>0</v>
      </c>
      <c r="BQ23" s="1629" t="str">
        <f>CONCATENATE(Plantillas!Y598,Plantillas!Z598)</f>
        <v>1ºB</v>
      </c>
      <c r="BR23" s="1617">
        <f>Plantillas!AE598</f>
        <v>1</v>
      </c>
      <c r="BS23" s="1633">
        <f>Plantillas!AF598</f>
        <v>0</v>
      </c>
      <c r="BT23" s="1629" t="str">
        <f>CONCATENATE(Plantillas!Y638,Plantillas!Z638)</f>
        <v/>
      </c>
      <c r="BU23" s="1617">
        <f>Plantillas!AE638</f>
        <v>0</v>
      </c>
      <c r="BV23" s="1633">
        <f>Plantillas!AF638</f>
        <v>0</v>
      </c>
      <c r="BW23" s="1619"/>
    </row>
    <row r="24" spans="1:97" ht="12" customHeight="1">
      <c r="A24" s="1755">
        <v>0</v>
      </c>
      <c r="B24" s="1388"/>
      <c r="C24" s="3221"/>
      <c r="D24" s="5296" t="s">
        <v>1142</v>
      </c>
      <c r="E24" s="5296"/>
      <c r="F24" s="3235">
        <f>VLOOKUP(C19,V62:Z80,3,5)</f>
        <v>0</v>
      </c>
      <c r="G24" s="3235">
        <f>VLOOKUP(C19,V62:Z80,4,5)</f>
        <v>0</v>
      </c>
      <c r="H24" s="3235">
        <f>SUM(F24:G24)</f>
        <v>0</v>
      </c>
      <c r="I24" s="3216"/>
      <c r="J24" s="5296" t="s">
        <v>1142</v>
      </c>
      <c r="K24" s="5296"/>
      <c r="L24" s="5296"/>
      <c r="M24" s="3235">
        <f>VLOOKUP(I19,V62:Z80,3,5)</f>
        <v>0</v>
      </c>
      <c r="N24" s="3235">
        <f>VLOOKUP(I19,V62:Z80,4,5)</f>
        <v>0</v>
      </c>
      <c r="O24" s="3235">
        <f>SUM(M24:N24)</f>
        <v>0</v>
      </c>
      <c r="P24" s="3216" t="s">
        <v>79</v>
      </c>
      <c r="Q24" s="3477" t="s">
        <v>1142</v>
      </c>
      <c r="R24" s="3235">
        <f>VLOOKUP(P19,V62:Z80,3,5)</f>
        <v>0</v>
      </c>
      <c r="S24" s="3235">
        <f>VLOOKUP(P19,V62:Z80,4,5)</f>
        <v>0</v>
      </c>
      <c r="T24" s="3235">
        <f>SUM(R24:S24)</f>
        <v>0</v>
      </c>
      <c r="U24" s="1755">
        <v>0</v>
      </c>
      <c r="V24" s="1607">
        <v>2</v>
      </c>
      <c r="W24" s="1624" t="str">
        <f>HLOOKUP(W21,AA21:BV40,4)</f>
        <v>1ºB</v>
      </c>
      <c r="X24" s="1618">
        <f>HLOOKUP(X21,AA21:BV40,4)</f>
        <v>0</v>
      </c>
      <c r="Y24" s="1619">
        <f>HLOOKUP(Y21,AA21:BV40,4)</f>
        <v>3</v>
      </c>
      <c r="Z24" s="1612">
        <f t="shared" ref="Z24" si="1">X24+Y24</f>
        <v>3</v>
      </c>
      <c r="AA24" s="1632" t="str">
        <f>CONCATENATE(Plantillas!Y39,Plantillas!Z39)</f>
        <v>1ºB</v>
      </c>
      <c r="AB24" s="1617">
        <f>Plantillas!AE39</f>
        <v>0</v>
      </c>
      <c r="AC24" s="1633">
        <f>Plantillas!AF39</f>
        <v>3</v>
      </c>
      <c r="AD24" s="1631" t="str">
        <f>CONCATENATE(Plantillas!Y79,Plantillas!Z79)</f>
        <v>1ºB</v>
      </c>
      <c r="AE24" s="1617">
        <f>Plantillas!AE79</f>
        <v>2</v>
      </c>
      <c r="AF24" s="1633">
        <f>Plantillas!AF79</f>
        <v>2</v>
      </c>
      <c r="AG24" s="1631" t="str">
        <f>CONCATENATE(Plantillas!Y119,Plantillas!Z119)</f>
        <v>2ºA</v>
      </c>
      <c r="AH24" s="1617">
        <f>Plantillas!AE119</f>
        <v>2</v>
      </c>
      <c r="AI24" s="1633">
        <f>Plantillas!AF119</f>
        <v>3</v>
      </c>
      <c r="AJ24" s="1631" t="str">
        <f>CONCATENATE(Plantillas!Y159,Plantillas!Z159)</f>
        <v>1ºB</v>
      </c>
      <c r="AK24" s="1617">
        <f>Plantillas!AE159</f>
        <v>1</v>
      </c>
      <c r="AL24" s="1633">
        <f>Plantillas!AF159</f>
        <v>1</v>
      </c>
      <c r="AM24" s="1631" t="str">
        <f>CONCATENATE(Plantillas!Y199,Plantillas!Z199)</f>
        <v>2ºA</v>
      </c>
      <c r="AN24" s="1617">
        <f>Plantillas!AE199</f>
        <v>2</v>
      </c>
      <c r="AO24" s="1633">
        <f>Plantillas!AF199</f>
        <v>1</v>
      </c>
      <c r="AP24" s="1631" t="str">
        <f>CONCATENATE(Plantillas!Y239,Plantillas!Z239)</f>
        <v>1ºB</v>
      </c>
      <c r="AQ24" s="1617">
        <f>Plantillas!AE239</f>
        <v>3</v>
      </c>
      <c r="AR24" s="1633">
        <f>Plantillas!AF239</f>
        <v>2</v>
      </c>
      <c r="AS24" s="1631" t="str">
        <f>CONCATENATE(Plantillas!Y279,Plantillas!Z279)</f>
        <v>4ºA</v>
      </c>
      <c r="AT24" s="1617">
        <f>Plantillas!AE279</f>
        <v>0</v>
      </c>
      <c r="AU24" s="1633">
        <f>Plantillas!AF279</f>
        <v>1</v>
      </c>
      <c r="AV24" s="1631" t="str">
        <f>CONCATENATE(Plantillas!Y319,Plantillas!Z319)</f>
        <v/>
      </c>
      <c r="AW24" s="1617">
        <f>Plantillas!AE319</f>
        <v>0</v>
      </c>
      <c r="AX24" s="1633">
        <f>Plantillas!AF319</f>
        <v>0</v>
      </c>
      <c r="AY24" s="1631" t="str">
        <f>CONCATENATE(Plantillas!Y359,Plantillas!Z359)</f>
        <v>1ºB</v>
      </c>
      <c r="AZ24" s="1617">
        <f>Plantillas!AE359</f>
        <v>3</v>
      </c>
      <c r="BA24" s="1633">
        <f>Plantillas!AF359</f>
        <v>1</v>
      </c>
      <c r="BB24" s="1631" t="str">
        <f>CONCATENATE(Plantillas!Y399,Plantillas!Z399)</f>
        <v>2ºA</v>
      </c>
      <c r="BC24" s="1617">
        <f>Plantillas!AE399</f>
        <v>0</v>
      </c>
      <c r="BD24" s="1633">
        <f>Plantillas!AF399</f>
        <v>1</v>
      </c>
      <c r="BE24" s="1629" t="str">
        <f>CONCATENATE(Plantillas!Y439,Plantillas!Z439)</f>
        <v>2ºA</v>
      </c>
      <c r="BF24" s="1617">
        <f>Plantillas!AE439</f>
        <v>1</v>
      </c>
      <c r="BG24" s="1633">
        <f>Plantillas!AF439</f>
        <v>3</v>
      </c>
      <c r="BH24" s="1629" t="str">
        <f>CONCATENATE(Plantillas!Y479,Plantillas!Z479)</f>
        <v>3ºA</v>
      </c>
      <c r="BI24" s="1617">
        <f>Plantillas!AE479</f>
        <v>0</v>
      </c>
      <c r="BJ24" s="1633">
        <f>Plantillas!AF479</f>
        <v>3</v>
      </c>
      <c r="BK24" s="1629" t="str">
        <f>CONCATENATE(Plantillas!Y519,Plantillas!Z519)</f>
        <v>2ºA</v>
      </c>
      <c r="BL24" s="1617">
        <f>Plantillas!AE519</f>
        <v>1</v>
      </c>
      <c r="BM24" s="1633">
        <f>Plantillas!AF519</f>
        <v>0</v>
      </c>
      <c r="BN24" s="1629" t="str">
        <f>CONCATENATE(Plantillas!Y559,Plantillas!Z559)</f>
        <v>2ºA</v>
      </c>
      <c r="BO24" s="1617">
        <f>Plantillas!AE559</f>
        <v>0</v>
      </c>
      <c r="BP24" s="1633">
        <f>Plantillas!AF559</f>
        <v>1</v>
      </c>
      <c r="BQ24" s="1629" t="str">
        <f>CONCATENATE(Plantillas!Y599,Plantillas!Z599)</f>
        <v>2ºA</v>
      </c>
      <c r="BR24" s="1617">
        <f>Plantillas!AE599</f>
        <v>0</v>
      </c>
      <c r="BS24" s="1633">
        <f>Plantillas!AF599</f>
        <v>1</v>
      </c>
      <c r="BT24" s="1629" t="str">
        <f>CONCATENATE(Plantillas!Y639,Plantillas!Z639)</f>
        <v/>
      </c>
      <c r="BU24" s="1617">
        <f>Plantillas!AE639</f>
        <v>0</v>
      </c>
      <c r="BV24" s="1633">
        <f>Plantillas!AF639</f>
        <v>0</v>
      </c>
      <c r="BW24" s="1619"/>
    </row>
    <row r="25" spans="1:97" ht="12" customHeight="1">
      <c r="A25" s="1755"/>
      <c r="B25" s="1388"/>
      <c r="C25" s="3221"/>
      <c r="D25" s="5291" t="str">
        <f>VLOOKUP(C27,BW2:BX21,2,2)</f>
        <v>XIU VELAZQUEZ * JOSE MANUEL</v>
      </c>
      <c r="E25" s="5291"/>
      <c r="F25" s="5291"/>
      <c r="G25" s="5291"/>
      <c r="H25" s="5291"/>
      <c r="I25" s="3216"/>
      <c r="J25" s="5289" t="str">
        <f>VLOOKUP(I27,BW2:BX21,2,2)</f>
        <v>MARTIN QUINTAL * SIHARELI CONCEPCION</v>
      </c>
      <c r="K25" s="5289"/>
      <c r="L25" s="5289"/>
      <c r="M25" s="5289"/>
      <c r="N25" s="5289"/>
      <c r="O25" s="5289"/>
      <c r="P25" s="3216"/>
      <c r="Q25" s="5289" t="str">
        <f>VLOOKUP(P27,BW2:BX21,2,2)</f>
        <v>ALEMAN SANTOS * MIRIAM</v>
      </c>
      <c r="R25" s="5289"/>
      <c r="S25" s="5289"/>
      <c r="T25" s="5289"/>
      <c r="U25" s="1755"/>
      <c r="V25" s="1607">
        <v>3</v>
      </c>
      <c r="W25" s="1624" t="str">
        <f>HLOOKUP(W21,AA21:BV40,5)</f>
        <v>2ºA</v>
      </c>
      <c r="X25" s="1618">
        <f>HLOOKUP(X21,AA21:BV40,5)</f>
        <v>0</v>
      </c>
      <c r="Y25" s="1619">
        <f>HLOOKUP(Y21,AA21:BV40,5)</f>
        <v>0</v>
      </c>
      <c r="Z25" s="1612">
        <f t="shared" ref="Z25:Z40" si="2">X25+Y25</f>
        <v>0</v>
      </c>
      <c r="AA25" s="1632" t="str">
        <f>CONCATENATE(Plantillas!Y40,Plantillas!Z40)</f>
        <v>2ºA</v>
      </c>
      <c r="AB25" s="1617">
        <f>Plantillas!AE40</f>
        <v>0</v>
      </c>
      <c r="AC25" s="1633">
        <f>Plantillas!AF40</f>
        <v>0</v>
      </c>
      <c r="AD25" s="1631" t="str">
        <f>CONCATENATE(Plantillas!Y80,Plantillas!Z80)</f>
        <v>1ºC</v>
      </c>
      <c r="AE25" s="1617">
        <f>Plantillas!AE80</f>
        <v>1</v>
      </c>
      <c r="AF25" s="1633">
        <f>Plantillas!AF80</f>
        <v>1</v>
      </c>
      <c r="AG25" s="1631" t="str">
        <f>CONCATENATE(Plantillas!Y120,Plantillas!Z120)</f>
        <v>2ºB</v>
      </c>
      <c r="AH25" s="1617">
        <f>Plantillas!AE120</f>
        <v>0</v>
      </c>
      <c r="AI25" s="1633">
        <f>Plantillas!AF120</f>
        <v>2</v>
      </c>
      <c r="AJ25" s="1631" t="str">
        <f>CONCATENATE(Plantillas!Y160,Plantillas!Z160)</f>
        <v>2ºA</v>
      </c>
      <c r="AK25" s="1617">
        <f>Plantillas!AE160</f>
        <v>1</v>
      </c>
      <c r="AL25" s="1633">
        <f>Plantillas!AF160</f>
        <v>0</v>
      </c>
      <c r="AM25" s="1631" t="str">
        <f>CONCATENATE(Plantillas!Y200,Plantillas!Z200)</f>
        <v>3ºA</v>
      </c>
      <c r="AN25" s="1617">
        <f>Plantillas!AE200</f>
        <v>4</v>
      </c>
      <c r="AO25" s="1633">
        <f>Plantillas!AF200</f>
        <v>2</v>
      </c>
      <c r="AP25" s="1631" t="str">
        <f>CONCATENATE(Plantillas!Y240,Plantillas!Z240)</f>
        <v>1ºC</v>
      </c>
      <c r="AQ25" s="1617">
        <f>Plantillas!AE240</f>
        <v>2</v>
      </c>
      <c r="AR25" s="1633">
        <f>Plantillas!AF240</f>
        <v>0</v>
      </c>
      <c r="AS25" s="1631" t="str">
        <f>CONCATENATE(Plantillas!Y280,Plantillas!Z280)</f>
        <v>5ºA</v>
      </c>
      <c r="AT25" s="1617">
        <f>Plantillas!AE280</f>
        <v>1</v>
      </c>
      <c r="AU25" s="1633">
        <f>Plantillas!AF280</f>
        <v>0</v>
      </c>
      <c r="AV25" s="1631" t="str">
        <f>CONCATENATE(Plantillas!Y320,Plantillas!Z320)</f>
        <v/>
      </c>
      <c r="AW25" s="1617">
        <f>Plantillas!AE320</f>
        <v>0</v>
      </c>
      <c r="AX25" s="1633">
        <f>Plantillas!AF320</f>
        <v>0</v>
      </c>
      <c r="AY25" s="1631" t="str">
        <f>CONCATENATE(Plantillas!Y360,Plantillas!Z360)</f>
        <v>2ºA</v>
      </c>
      <c r="AZ25" s="1617">
        <f>Plantillas!AE360</f>
        <v>0</v>
      </c>
      <c r="BA25" s="1633">
        <f>Plantillas!AF360</f>
        <v>2</v>
      </c>
      <c r="BB25" s="1631" t="str">
        <f>CONCATENATE(Plantillas!Y400,Plantillas!Z400)</f>
        <v>3ºA</v>
      </c>
      <c r="BC25" s="1617">
        <f>Plantillas!AE400</f>
        <v>2</v>
      </c>
      <c r="BD25" s="1633">
        <f>Plantillas!AF400</f>
        <v>1</v>
      </c>
      <c r="BE25" s="1629" t="str">
        <f>CONCATENATE(Plantillas!Y440,Plantillas!Z440)</f>
        <v>3ºA</v>
      </c>
      <c r="BF25" s="1617">
        <f>Plantillas!AE440</f>
        <v>0</v>
      </c>
      <c r="BG25" s="1633">
        <f>Plantillas!AF440</f>
        <v>3</v>
      </c>
      <c r="BH25" s="1629" t="str">
        <f>CONCATENATE(Plantillas!Y480,Plantillas!Z480)</f>
        <v>4ºA</v>
      </c>
      <c r="BI25" s="1617">
        <f>Plantillas!AE480</f>
        <v>2</v>
      </c>
      <c r="BJ25" s="1633">
        <f>Plantillas!AF480</f>
        <v>1</v>
      </c>
      <c r="BK25" s="1629" t="str">
        <f>CONCATENATE(Plantillas!Y520,Plantillas!Z520)</f>
        <v>3ºA</v>
      </c>
      <c r="BL25" s="1617">
        <f>Plantillas!AE520</f>
        <v>0</v>
      </c>
      <c r="BM25" s="1633">
        <f>Plantillas!AF520</f>
        <v>1</v>
      </c>
      <c r="BN25" s="1629" t="str">
        <f>CONCATENATE(Plantillas!Y560,Plantillas!Z560)</f>
        <v>3ºA</v>
      </c>
      <c r="BO25" s="1617">
        <f>Plantillas!AE560</f>
        <v>1</v>
      </c>
      <c r="BP25" s="1633">
        <f>Plantillas!AF560</f>
        <v>0</v>
      </c>
      <c r="BQ25" s="1629" t="str">
        <f>CONCATENATE(Plantillas!Y600,Plantillas!Z600)</f>
        <v>2ºB</v>
      </c>
      <c r="BR25" s="1617">
        <f>Plantillas!AE600</f>
        <v>2</v>
      </c>
      <c r="BS25" s="1633">
        <f>Plantillas!AF600</f>
        <v>0</v>
      </c>
      <c r="BT25" s="1629" t="str">
        <f>CONCATENATE(Plantillas!Y640,Plantillas!Z640)</f>
        <v/>
      </c>
      <c r="BU25" s="1617">
        <f>Plantillas!AE640</f>
        <v>0</v>
      </c>
      <c r="BV25" s="1633">
        <f>Plantillas!AF640</f>
        <v>0</v>
      </c>
      <c r="BW25" s="1619"/>
    </row>
    <row r="26" spans="1:97" ht="12" customHeight="1">
      <c r="A26" s="1755"/>
      <c r="B26" s="1388"/>
      <c r="C26" s="3221"/>
      <c r="D26" s="5290">
        <f>Q18+1</f>
        <v>9</v>
      </c>
      <c r="E26" s="5290"/>
      <c r="F26" s="5292" t="str">
        <f>R40</f>
        <v>2do. Informe</v>
      </c>
      <c r="G26" s="5292"/>
      <c r="H26" s="5292"/>
      <c r="I26" s="3216"/>
      <c r="J26" s="5290">
        <f>D26+1</f>
        <v>10</v>
      </c>
      <c r="K26" s="5290"/>
      <c r="L26" s="5290"/>
      <c r="M26" s="5292" t="str">
        <f>R40</f>
        <v>2do. Informe</v>
      </c>
      <c r="N26" s="5292"/>
      <c r="O26" s="5292"/>
      <c r="P26" s="3216"/>
      <c r="Q26" s="3231">
        <f>J26+1</f>
        <v>11</v>
      </c>
      <c r="R26" s="5292" t="str">
        <f>R40</f>
        <v>2do. Informe</v>
      </c>
      <c r="S26" s="5292"/>
      <c r="T26" s="5292"/>
      <c r="U26" s="1755"/>
      <c r="V26" s="1607">
        <v>4</v>
      </c>
      <c r="W26" s="1624" t="str">
        <f>HLOOKUP(W21,AA21:BV40,6)</f>
        <v>2ºB</v>
      </c>
      <c r="X26" s="1618">
        <f>HLOOKUP(X21,AA21:BV40,6)</f>
        <v>1</v>
      </c>
      <c r="Y26" s="1619">
        <f>HLOOKUP(Y21,AA21:BV40,6)</f>
        <v>3</v>
      </c>
      <c r="Z26" s="1612">
        <f t="shared" si="2"/>
        <v>4</v>
      </c>
      <c r="AA26" s="1632" t="str">
        <f>CONCATENATE(Plantillas!Y41,Plantillas!Z41)</f>
        <v>2ºB</v>
      </c>
      <c r="AB26" s="1617">
        <f>Plantillas!AE41</f>
        <v>1</v>
      </c>
      <c r="AC26" s="1633">
        <f>Plantillas!AF41</f>
        <v>3</v>
      </c>
      <c r="AD26" s="1631" t="str">
        <f>CONCATENATE(Plantillas!Y81,Plantillas!Z81)</f>
        <v>2ºA</v>
      </c>
      <c r="AE26" s="1617">
        <f>Plantillas!AE81</f>
        <v>1</v>
      </c>
      <c r="AF26" s="1633">
        <f>Plantillas!AF81</f>
        <v>0</v>
      </c>
      <c r="AG26" s="1631" t="str">
        <f>CONCATENATE(Plantillas!Y121,Plantillas!Z121)</f>
        <v>3ºA</v>
      </c>
      <c r="AH26" s="1617">
        <f>Plantillas!AE121</f>
        <v>0</v>
      </c>
      <c r="AI26" s="1633">
        <f>Plantillas!AF121</f>
        <v>2</v>
      </c>
      <c r="AJ26" s="1631" t="str">
        <f>CONCATENATE(Plantillas!Y161,Plantillas!Z161)</f>
        <v>2ºB</v>
      </c>
      <c r="AK26" s="1617">
        <f>Plantillas!AE161</f>
        <v>1</v>
      </c>
      <c r="AL26" s="1633">
        <f>Plantillas!AF161</f>
        <v>2</v>
      </c>
      <c r="AM26" s="1631" t="str">
        <f>CONCATENATE(Plantillas!Y201,Plantillas!Z201)</f>
        <v>4ºA</v>
      </c>
      <c r="AN26" s="1617">
        <f>Plantillas!AE201</f>
        <v>4</v>
      </c>
      <c r="AO26" s="1633">
        <f>Plantillas!AF201</f>
        <v>2</v>
      </c>
      <c r="AP26" s="1631" t="str">
        <f>CONCATENATE(Plantillas!Y241,Plantillas!Z241)</f>
        <v>2ºA</v>
      </c>
      <c r="AQ26" s="1617">
        <f>Plantillas!AE241</f>
        <v>2</v>
      </c>
      <c r="AR26" s="1633">
        <f>Plantillas!AF241</f>
        <v>0</v>
      </c>
      <c r="AS26" s="1631" t="str">
        <f>CONCATENATE(Plantillas!Y281,Plantillas!Z281)</f>
        <v>6ºA</v>
      </c>
      <c r="AT26" s="1617">
        <f>Plantillas!AE281</f>
        <v>0</v>
      </c>
      <c r="AU26" s="1633">
        <f>Plantillas!AF281</f>
        <v>0</v>
      </c>
      <c r="AV26" s="1631" t="str">
        <f>CONCATENATE(Plantillas!Y321,Plantillas!Z321)</f>
        <v/>
      </c>
      <c r="AW26" s="1617">
        <f>Plantillas!AE321</f>
        <v>0</v>
      </c>
      <c r="AX26" s="1633">
        <f>Plantillas!AF321</f>
        <v>0</v>
      </c>
      <c r="AY26" s="1631" t="str">
        <f>CONCATENATE(Plantillas!Y361,Plantillas!Z361)</f>
        <v>2ºB</v>
      </c>
      <c r="AZ26" s="1617">
        <f>Plantillas!AE361</f>
        <v>3</v>
      </c>
      <c r="BA26" s="1633">
        <f>Plantillas!AF361</f>
        <v>1</v>
      </c>
      <c r="BB26" s="1631" t="str">
        <f>CONCATENATE(Plantillas!Y401,Plantillas!Z401)</f>
        <v>4ºA</v>
      </c>
      <c r="BC26" s="1617">
        <f>Plantillas!AE401</f>
        <v>1</v>
      </c>
      <c r="BD26" s="1633">
        <f>Plantillas!AF401</f>
        <v>1</v>
      </c>
      <c r="BE26" s="1629" t="str">
        <f>CONCATENATE(Plantillas!Y441,Plantillas!Z441)</f>
        <v>4ºA</v>
      </c>
      <c r="BF26" s="1617">
        <f>Plantillas!AE441</f>
        <v>1</v>
      </c>
      <c r="BG26" s="1633">
        <f>Plantillas!AF441</f>
        <v>0</v>
      </c>
      <c r="BH26" s="1629" t="str">
        <f>CONCATENATE(Plantillas!Y481,Plantillas!Z481)</f>
        <v>5ºA</v>
      </c>
      <c r="BI26" s="1617">
        <f>Plantillas!AE481</f>
        <v>3</v>
      </c>
      <c r="BJ26" s="1633">
        <f>Plantillas!AF481</f>
        <v>2</v>
      </c>
      <c r="BK26" s="1629" t="str">
        <f>CONCATENATE(Plantillas!Y521,Plantillas!Z521)</f>
        <v>4ºA</v>
      </c>
      <c r="BL26" s="1617">
        <f>Plantillas!AE521</f>
        <v>2</v>
      </c>
      <c r="BM26" s="1633">
        <f>Plantillas!AF521</f>
        <v>0</v>
      </c>
      <c r="BN26" s="1629" t="str">
        <f>CONCATENATE(Plantillas!Y561,Plantillas!Z561)</f>
        <v>4ºA</v>
      </c>
      <c r="BO26" s="1617">
        <f>Plantillas!AE561</f>
        <v>1</v>
      </c>
      <c r="BP26" s="1633">
        <f>Plantillas!AF561</f>
        <v>0</v>
      </c>
      <c r="BQ26" s="1629" t="str">
        <f>CONCATENATE(Plantillas!Y601,Plantillas!Z601)</f>
        <v>3ºA</v>
      </c>
      <c r="BR26" s="1617">
        <f>Plantillas!AE601</f>
        <v>1</v>
      </c>
      <c r="BS26" s="1633">
        <f>Plantillas!AF601</f>
        <v>0</v>
      </c>
      <c r="BT26" s="1629" t="str">
        <f>CONCATENATE(Plantillas!Y641,Plantillas!Z641)</f>
        <v/>
      </c>
      <c r="BU26" s="1617">
        <f>Plantillas!AE641</f>
        <v>0</v>
      </c>
      <c r="BV26" s="1633">
        <f>Plantillas!AF641</f>
        <v>0</v>
      </c>
      <c r="BW26" s="1619"/>
    </row>
    <row r="27" spans="1:97" ht="12" customHeight="1">
      <c r="A27" s="1755"/>
      <c r="B27" s="1388"/>
      <c r="C27" s="3229">
        <f>D26</f>
        <v>9</v>
      </c>
      <c r="D27" s="5297" t="str">
        <f>VLOOKUP(C27,V22:Z40,2,5)</f>
        <v>5ºA</v>
      </c>
      <c r="E27" s="5297"/>
      <c r="F27" s="3226" t="s">
        <v>406</v>
      </c>
      <c r="G27" s="3227" t="s">
        <v>407</v>
      </c>
      <c r="H27" s="3228" t="s">
        <v>495</v>
      </c>
      <c r="I27" s="3230">
        <f>J26</f>
        <v>10</v>
      </c>
      <c r="J27" s="5297" t="str">
        <f>VLOOKUP(I27,V22:Z40,2,5)</f>
        <v>5ºB</v>
      </c>
      <c r="K27" s="5297"/>
      <c r="L27" s="5297"/>
      <c r="M27" s="3226" t="s">
        <v>406</v>
      </c>
      <c r="N27" s="3227" t="s">
        <v>407</v>
      </c>
      <c r="O27" s="3228" t="s">
        <v>495</v>
      </c>
      <c r="P27" s="3230">
        <f>Q26</f>
        <v>11</v>
      </c>
      <c r="Q27" s="3228" t="str">
        <f>VLOOKUP(P27,V22:Z40,2,5)</f>
        <v>6ºA</v>
      </c>
      <c r="R27" s="3226" t="s">
        <v>406</v>
      </c>
      <c r="S27" s="3227" t="s">
        <v>407</v>
      </c>
      <c r="T27" s="3228" t="s">
        <v>495</v>
      </c>
      <c r="U27" s="1755"/>
      <c r="V27" s="1607">
        <v>5</v>
      </c>
      <c r="W27" s="1624" t="str">
        <f>HLOOKUP(W21,AA21:BV40,7)</f>
        <v>3ºA</v>
      </c>
      <c r="X27" s="1618">
        <f>HLOOKUP(X21,AA21:BV40,7)</f>
        <v>0</v>
      </c>
      <c r="Y27" s="1619">
        <f>HLOOKUP(Y21,AA21:BV40,7)</f>
        <v>1</v>
      </c>
      <c r="Z27" s="1612">
        <f t="shared" si="2"/>
        <v>1</v>
      </c>
      <c r="AA27" s="1632" t="str">
        <f>CONCATENATE(Plantillas!Y42,Plantillas!Z42)</f>
        <v>3ºA</v>
      </c>
      <c r="AB27" s="1617">
        <f>Plantillas!AE42</f>
        <v>0</v>
      </c>
      <c r="AC27" s="1633">
        <f>Plantillas!AF42</f>
        <v>1</v>
      </c>
      <c r="AD27" s="1631" t="str">
        <f>CONCATENATE(Plantillas!Y82,Plantillas!Z82)</f>
        <v>2ºB</v>
      </c>
      <c r="AE27" s="1617">
        <f>Plantillas!AE82</f>
        <v>1</v>
      </c>
      <c r="AF27" s="1633">
        <f>Plantillas!AF82</f>
        <v>1</v>
      </c>
      <c r="AG27" s="1631" t="str">
        <f>CONCATENATE(Plantillas!Y122,Plantillas!Z122)</f>
        <v>3ºB</v>
      </c>
      <c r="AH27" s="1617">
        <f>Plantillas!AE122</f>
        <v>1</v>
      </c>
      <c r="AI27" s="1633">
        <f>Plantillas!AF122</f>
        <v>3</v>
      </c>
      <c r="AJ27" s="1631" t="str">
        <f>CONCATENATE(Plantillas!Y162,Plantillas!Z162)</f>
        <v>3ºA</v>
      </c>
      <c r="AK27" s="1617">
        <f>Plantillas!AE162</f>
        <v>0</v>
      </c>
      <c r="AL27" s="1633">
        <f>Plantillas!AF162</f>
        <v>0</v>
      </c>
      <c r="AM27" s="1631" t="str">
        <f>CONCATENATE(Plantillas!Y202,Plantillas!Z202)</f>
        <v>5ºA</v>
      </c>
      <c r="AN27" s="1617">
        <f>Plantillas!AE202</f>
        <v>1</v>
      </c>
      <c r="AO27" s="1633">
        <f>Plantillas!AF202</f>
        <v>1</v>
      </c>
      <c r="AP27" s="1631" t="str">
        <f>CONCATENATE(Plantillas!Y242,Plantillas!Z242)</f>
        <v>2ºB</v>
      </c>
      <c r="AQ27" s="1617">
        <f>Plantillas!AE242</f>
        <v>1</v>
      </c>
      <c r="AR27" s="1633">
        <f>Plantillas!AF242</f>
        <v>0</v>
      </c>
      <c r="AS27" s="1631" t="str">
        <f>CONCATENATE(Plantillas!Y282,Plantillas!Z282)</f>
        <v>6ºB</v>
      </c>
      <c r="AT27" s="1617">
        <f>Plantillas!AE282</f>
        <v>0</v>
      </c>
      <c r="AU27" s="1633">
        <f>Plantillas!AF282</f>
        <v>0</v>
      </c>
      <c r="AV27" s="1631" t="str">
        <f>CONCATENATE(Plantillas!Y322,Plantillas!Z322)</f>
        <v/>
      </c>
      <c r="AW27" s="1617">
        <f>Plantillas!AE322</f>
        <v>0</v>
      </c>
      <c r="AX27" s="1633">
        <f>Plantillas!AF322</f>
        <v>0</v>
      </c>
      <c r="AY27" s="1631" t="str">
        <f>CONCATENATE(Plantillas!Y362,Plantillas!Z362)</f>
        <v>3ºA</v>
      </c>
      <c r="AZ27" s="1617">
        <f>Plantillas!AE362</f>
        <v>1</v>
      </c>
      <c r="BA27" s="1633">
        <f>Plantillas!AF362</f>
        <v>0</v>
      </c>
      <c r="BB27" s="1631" t="str">
        <f>CONCATENATE(Plantillas!Y402,Plantillas!Z402)</f>
        <v>5ºA</v>
      </c>
      <c r="BC27" s="1617">
        <f>Plantillas!AE402</f>
        <v>0</v>
      </c>
      <c r="BD27" s="1633">
        <f>Plantillas!AF402</f>
        <v>0</v>
      </c>
      <c r="BE27" s="1629" t="str">
        <f>CONCATENATE(Plantillas!Y442,Plantillas!Z442)</f>
        <v>5ºA</v>
      </c>
      <c r="BF27" s="1617">
        <f>Plantillas!AE442</f>
        <v>0</v>
      </c>
      <c r="BG27" s="1633">
        <f>Plantillas!AF442</f>
        <v>3</v>
      </c>
      <c r="BH27" s="1629" t="str">
        <f>CONCATENATE(Plantillas!Y482,Plantillas!Z482)</f>
        <v>6ºA</v>
      </c>
      <c r="BI27" s="1617">
        <f>Plantillas!AE482</f>
        <v>5</v>
      </c>
      <c r="BJ27" s="1633">
        <f>Plantillas!AF482</f>
        <v>1</v>
      </c>
      <c r="BK27" s="1629" t="str">
        <f>CONCATENATE(Plantillas!Y522,Plantillas!Z522)</f>
        <v>5ºA</v>
      </c>
      <c r="BL27" s="1617">
        <f>Plantillas!AE522</f>
        <v>1</v>
      </c>
      <c r="BM27" s="1633">
        <f>Plantillas!AF522</f>
        <v>0</v>
      </c>
      <c r="BN27" s="1629" t="str">
        <f>CONCATENATE(Plantillas!Y562,Plantillas!Z562)</f>
        <v/>
      </c>
      <c r="BO27" s="1617">
        <f>Plantillas!AE562</f>
        <v>0</v>
      </c>
      <c r="BP27" s="1633">
        <f>Plantillas!AF562</f>
        <v>0</v>
      </c>
      <c r="BQ27" s="1629" t="str">
        <f>CONCATENATE(Plantillas!Y602,Plantillas!Z602)</f>
        <v>3ºB</v>
      </c>
      <c r="BR27" s="1617">
        <f>Plantillas!AE602</f>
        <v>0</v>
      </c>
      <c r="BS27" s="1633">
        <f>Plantillas!AF602</f>
        <v>0</v>
      </c>
      <c r="BT27" s="1629" t="str">
        <f>CONCATENATE(Plantillas!Y642,Plantillas!Z642)</f>
        <v/>
      </c>
      <c r="BU27" s="1617">
        <f>Plantillas!AE642</f>
        <v>0</v>
      </c>
      <c r="BV27" s="1633">
        <f>Plantillas!AF642</f>
        <v>0</v>
      </c>
      <c r="BW27" s="1619"/>
    </row>
    <row r="28" spans="1:97" ht="12" customHeight="1">
      <c r="A28" s="1755"/>
      <c r="B28" s="1388"/>
      <c r="C28" s="3221"/>
      <c r="D28" s="5298" t="s">
        <v>1126</v>
      </c>
      <c r="E28" s="5298"/>
      <c r="F28" s="3235">
        <f>VLOOKUP(C27,V2:Z20,3,5)</f>
        <v>23</v>
      </c>
      <c r="G28" s="3235">
        <f>VLOOKUP(C27,V2:Z20,4,5)</f>
        <v>10</v>
      </c>
      <c r="H28" s="3235">
        <f>SUM(F28:G28)</f>
        <v>33</v>
      </c>
      <c r="I28" s="3216"/>
      <c r="J28" s="5298" t="s">
        <v>1126</v>
      </c>
      <c r="K28" s="5298"/>
      <c r="L28" s="5298"/>
      <c r="M28" s="3235">
        <f>VLOOKUP(I27,V2:Z20,3,5)</f>
        <v>22</v>
      </c>
      <c r="N28" s="3235">
        <f>VLOOKUP(I27,V2:Z20,4,5)</f>
        <v>10</v>
      </c>
      <c r="O28" s="3235">
        <f>SUM(M28:N28)</f>
        <v>32</v>
      </c>
      <c r="P28" s="3216"/>
      <c r="Q28" s="3473" t="s">
        <v>1126</v>
      </c>
      <c r="R28" s="3235">
        <f>VLOOKUP(P27,V2:Z20,3,5)</f>
        <v>20</v>
      </c>
      <c r="S28" s="3235">
        <f>VLOOKUP(P27,V2:Z20,4,5)</f>
        <v>15</v>
      </c>
      <c r="T28" s="3235">
        <f>SUM(R28:S28)</f>
        <v>35</v>
      </c>
      <c r="U28" s="1755"/>
      <c r="V28" s="1607">
        <v>6</v>
      </c>
      <c r="W28" s="1624" t="str">
        <f>HLOOKUP(W21,AA21:BV40,8)</f>
        <v>3ºB</v>
      </c>
      <c r="X28" s="1618">
        <f>HLOOKUP(X21,AA21:BV40,8)</f>
        <v>0</v>
      </c>
      <c r="Y28" s="1619">
        <f>HLOOKUP(Y21,AA21:BV40,8)</f>
        <v>0</v>
      </c>
      <c r="Z28" s="1612">
        <f t="shared" si="2"/>
        <v>0</v>
      </c>
      <c r="AA28" s="1632" t="str">
        <f>CONCATENATE(Plantillas!Y43,Plantillas!Z43)</f>
        <v>3ºB</v>
      </c>
      <c r="AB28" s="1617">
        <f>Plantillas!AE43</f>
        <v>0</v>
      </c>
      <c r="AC28" s="1633">
        <f>Plantillas!AF43</f>
        <v>0</v>
      </c>
      <c r="AD28" s="1631" t="str">
        <f>CONCATENATE(Plantillas!Y83,Plantillas!Z83)</f>
        <v>3ºA</v>
      </c>
      <c r="AE28" s="1617">
        <f>Plantillas!AE83</f>
        <v>2</v>
      </c>
      <c r="AF28" s="1633">
        <f>Plantillas!AF83</f>
        <v>1</v>
      </c>
      <c r="AG28" s="1631" t="str">
        <f>CONCATENATE(Plantillas!Y123,Plantillas!Z123)</f>
        <v>4ºA</v>
      </c>
      <c r="AH28" s="1617">
        <f>Plantillas!AE123</f>
        <v>1</v>
      </c>
      <c r="AI28" s="1633">
        <f>Plantillas!AF123</f>
        <v>2</v>
      </c>
      <c r="AJ28" s="1631" t="str">
        <f>CONCATENATE(Plantillas!Y163,Plantillas!Z163)</f>
        <v>3ºB</v>
      </c>
      <c r="AK28" s="1617">
        <f>Plantillas!AE163</f>
        <v>1</v>
      </c>
      <c r="AL28" s="1633">
        <f>Plantillas!AF163</f>
        <v>0</v>
      </c>
      <c r="AM28" s="1631" t="str">
        <f>CONCATENATE(Plantillas!Y203,Plantillas!Z203)</f>
        <v>6ºA</v>
      </c>
      <c r="AN28" s="1617">
        <f>Plantillas!AE203</f>
        <v>0</v>
      </c>
      <c r="AO28" s="1633">
        <f>Plantillas!AF203</f>
        <v>0</v>
      </c>
      <c r="AP28" s="1631" t="str">
        <f>CONCATENATE(Plantillas!Y243,Plantillas!Z243)</f>
        <v>3ºA</v>
      </c>
      <c r="AQ28" s="1617">
        <f>Plantillas!AE243</f>
        <v>2</v>
      </c>
      <c r="AR28" s="1633">
        <f>Plantillas!AF243</f>
        <v>2</v>
      </c>
      <c r="AS28" s="1631" t="str">
        <f>CONCATENATE(Plantillas!Y283,Plantillas!Z283)</f>
        <v/>
      </c>
      <c r="AT28" s="1617">
        <f>Plantillas!AE283</f>
        <v>0</v>
      </c>
      <c r="AU28" s="1633">
        <f>Plantillas!AF283</f>
        <v>0</v>
      </c>
      <c r="AV28" s="1631" t="str">
        <f>CONCATENATE(Plantillas!Y323,Plantillas!Z323)</f>
        <v/>
      </c>
      <c r="AW28" s="1617">
        <f>Plantillas!AE323</f>
        <v>0</v>
      </c>
      <c r="AX28" s="1633">
        <f>Plantillas!AF323</f>
        <v>0</v>
      </c>
      <c r="AY28" s="1631" t="str">
        <f>CONCATENATE(Plantillas!Y363,Plantillas!Z363)</f>
        <v>3ºB</v>
      </c>
      <c r="AZ28" s="1617">
        <f>Plantillas!AE363</f>
        <v>2</v>
      </c>
      <c r="BA28" s="1633">
        <f>Plantillas!AF363</f>
        <v>1</v>
      </c>
      <c r="BB28" s="1631" t="str">
        <f>CONCATENATE(Plantillas!Y403,Plantillas!Z403)</f>
        <v>5ºB</v>
      </c>
      <c r="BC28" s="1617">
        <f>Plantillas!AE403</f>
        <v>2</v>
      </c>
      <c r="BD28" s="1633">
        <f>Plantillas!AF403</f>
        <v>2</v>
      </c>
      <c r="BE28" s="1629" t="str">
        <f>CONCATENATE(Plantillas!Y443,Plantillas!Z443)</f>
        <v/>
      </c>
      <c r="BF28" s="1617">
        <f>Plantillas!AE443</f>
        <v>0</v>
      </c>
      <c r="BG28" s="1633">
        <f>Plantillas!AF443</f>
        <v>0</v>
      </c>
      <c r="BH28" s="1629" t="str">
        <f>CONCATENATE(Plantillas!Y483,Plantillas!Z483)</f>
        <v/>
      </c>
      <c r="BI28" s="1617">
        <f>Plantillas!AE483</f>
        <v>0</v>
      </c>
      <c r="BJ28" s="1633">
        <f>Plantillas!AF483</f>
        <v>0</v>
      </c>
      <c r="BK28" s="1629" t="str">
        <f>CONCATENATE(Plantillas!Y523,Plantillas!Z523)</f>
        <v>6ºA</v>
      </c>
      <c r="BL28" s="1617">
        <f>Plantillas!AE523</f>
        <v>1</v>
      </c>
      <c r="BM28" s="1633">
        <f>Plantillas!AF523</f>
        <v>1</v>
      </c>
      <c r="BN28" s="1629" t="str">
        <f>CONCATENATE(Plantillas!Y563,Plantillas!Z563)</f>
        <v/>
      </c>
      <c r="BO28" s="1617">
        <f>Plantillas!AE563</f>
        <v>0</v>
      </c>
      <c r="BP28" s="1633">
        <f>Plantillas!AF563</f>
        <v>0</v>
      </c>
      <c r="BQ28" s="1629" t="str">
        <f>CONCATENATE(Plantillas!Y603,Plantillas!Z603)</f>
        <v>4ºA</v>
      </c>
      <c r="BR28" s="1617">
        <f>Plantillas!AE603</f>
        <v>1</v>
      </c>
      <c r="BS28" s="1633">
        <f>Plantillas!AF603</f>
        <v>0</v>
      </c>
      <c r="BT28" s="1629" t="str">
        <f>CONCATENATE(Plantillas!Y643,Plantillas!Z643)</f>
        <v/>
      </c>
      <c r="BU28" s="1617">
        <f>Plantillas!AE643</f>
        <v>0</v>
      </c>
      <c r="BV28" s="1633">
        <f>Plantillas!AF643</f>
        <v>0</v>
      </c>
      <c r="BW28" s="1619"/>
    </row>
    <row r="29" spans="1:97" ht="12" customHeight="1">
      <c r="A29" s="1755"/>
      <c r="B29" s="1388"/>
      <c r="C29" s="3221"/>
      <c r="D29" s="5293" t="s">
        <v>423</v>
      </c>
      <c r="E29" s="5293"/>
      <c r="F29" s="3235">
        <f>VLOOKUP(C27,V22:Z40,3,5)</f>
        <v>0</v>
      </c>
      <c r="G29" s="3235">
        <f>VLOOKUP(C27,V22:Z40,4,5)</f>
        <v>0</v>
      </c>
      <c r="H29" s="3235">
        <f>SUM(F29:G29)</f>
        <v>0</v>
      </c>
      <c r="I29" s="3216"/>
      <c r="J29" s="5293" t="s">
        <v>423</v>
      </c>
      <c r="K29" s="5293"/>
      <c r="L29" s="5293"/>
      <c r="M29" s="3235">
        <f>VLOOKUP(I27,V22:Z40,3,5)</f>
        <v>1</v>
      </c>
      <c r="N29" s="3235">
        <f>VLOOKUP(I27,V22:Z40,4,5)</f>
        <v>1</v>
      </c>
      <c r="O29" s="3235">
        <f>SUM(M29:N29)</f>
        <v>2</v>
      </c>
      <c r="P29" s="3216"/>
      <c r="Q29" s="3474" t="s">
        <v>423</v>
      </c>
      <c r="R29" s="3235">
        <f>VLOOKUP(P27,V22:Z40,3,5)</f>
        <v>0</v>
      </c>
      <c r="S29" s="3235">
        <f>VLOOKUP(P27,V22:Z40,4,5)</f>
        <v>1</v>
      </c>
      <c r="T29" s="3235">
        <f>SUM(R29:S29)</f>
        <v>1</v>
      </c>
      <c r="U29" s="1755"/>
      <c r="V29" s="1607">
        <v>7</v>
      </c>
      <c r="W29" s="1624" t="str">
        <f>HLOOKUP(W21,AA21:BV40,9)</f>
        <v>4ºA</v>
      </c>
      <c r="X29" s="1618">
        <f>HLOOKUP(X21,AA21:BV40,9)</f>
        <v>0</v>
      </c>
      <c r="Y29" s="1619">
        <f>HLOOKUP(Y21,AA21:BV40,9)</f>
        <v>0</v>
      </c>
      <c r="Z29" s="1612">
        <f t="shared" si="2"/>
        <v>0</v>
      </c>
      <c r="AA29" s="1632" t="str">
        <f>CONCATENATE(Plantillas!Y44,Plantillas!Z44)</f>
        <v>4ºA</v>
      </c>
      <c r="AB29" s="1617">
        <f>Plantillas!AE44</f>
        <v>0</v>
      </c>
      <c r="AC29" s="1633">
        <f>Plantillas!AF44</f>
        <v>0</v>
      </c>
      <c r="AD29" s="1631" t="str">
        <f>CONCATENATE(Plantillas!Y84,Plantillas!Z84)</f>
        <v>3ºB</v>
      </c>
      <c r="AE29" s="1617">
        <f>Plantillas!AE84</f>
        <v>2</v>
      </c>
      <c r="AF29" s="1633">
        <f>Plantillas!AF84</f>
        <v>1</v>
      </c>
      <c r="AG29" s="1631" t="str">
        <f>CONCATENATE(Plantillas!Y124,Plantillas!Z124)</f>
        <v>5ºA</v>
      </c>
      <c r="AH29" s="1617">
        <f>Plantillas!AE124</f>
        <v>1</v>
      </c>
      <c r="AI29" s="1633">
        <f>Plantillas!AF124</f>
        <v>1</v>
      </c>
      <c r="AJ29" s="1631" t="str">
        <f>CONCATENATE(Plantillas!Y164,Plantillas!Z164)</f>
        <v>4ºA</v>
      </c>
      <c r="AK29" s="1617">
        <f>Plantillas!AE164</f>
        <v>2</v>
      </c>
      <c r="AL29" s="1633">
        <f>Plantillas!AF164</f>
        <v>0</v>
      </c>
      <c r="AM29" s="1631" t="str">
        <f>CONCATENATE(Plantillas!Y204,Plantillas!Z204)</f>
        <v>6ºB</v>
      </c>
      <c r="AN29" s="1617">
        <f>Plantillas!AE204</f>
        <v>0</v>
      </c>
      <c r="AO29" s="1633">
        <f>Plantillas!AF204</f>
        <v>0</v>
      </c>
      <c r="AP29" s="1631" t="str">
        <f>CONCATENATE(Plantillas!Y244,Plantillas!Z244)</f>
        <v>3ºB</v>
      </c>
      <c r="AQ29" s="1617">
        <f>Plantillas!AE244</f>
        <v>2</v>
      </c>
      <c r="AR29" s="1633">
        <f>Plantillas!AF244</f>
        <v>1</v>
      </c>
      <c r="AS29" s="1631" t="str">
        <f>CONCATENATE(Plantillas!Y284,Plantillas!Z284)</f>
        <v/>
      </c>
      <c r="AT29" s="1617">
        <f>Plantillas!AE284</f>
        <v>0</v>
      </c>
      <c r="AU29" s="1633">
        <f>Plantillas!AF284</f>
        <v>0</v>
      </c>
      <c r="AV29" s="1631" t="str">
        <f>CONCATENATE(Plantillas!Y324,Plantillas!Z324)</f>
        <v/>
      </c>
      <c r="AW29" s="1617">
        <f>Plantillas!AE324</f>
        <v>0</v>
      </c>
      <c r="AX29" s="1633">
        <f>Plantillas!AF324</f>
        <v>0</v>
      </c>
      <c r="AY29" s="1631" t="str">
        <f>CONCATENATE(Plantillas!Y364,Plantillas!Z364)</f>
        <v>4ºA</v>
      </c>
      <c r="AZ29" s="1617">
        <f>Plantillas!AE364</f>
        <v>1</v>
      </c>
      <c r="BA29" s="1633">
        <f>Plantillas!AF364</f>
        <v>2</v>
      </c>
      <c r="BB29" s="1631" t="str">
        <f>CONCATENATE(Plantillas!Y404,Plantillas!Z404)</f>
        <v>6ºA</v>
      </c>
      <c r="BC29" s="1617">
        <f>Plantillas!AE404</f>
        <v>1</v>
      </c>
      <c r="BD29" s="1633">
        <f>Plantillas!AF404</f>
        <v>0</v>
      </c>
      <c r="BE29" s="1629" t="str">
        <f>CONCATENATE(Plantillas!Y444,Plantillas!Z444)</f>
        <v/>
      </c>
      <c r="BF29" s="1617">
        <f>Plantillas!AE444</f>
        <v>0</v>
      </c>
      <c r="BG29" s="1633">
        <f>Plantillas!AF444</f>
        <v>0</v>
      </c>
      <c r="BH29" s="1629" t="str">
        <f>CONCATENATE(Plantillas!Y484,Plantillas!Z484)</f>
        <v/>
      </c>
      <c r="BI29" s="1617">
        <f>Plantillas!AE484</f>
        <v>0</v>
      </c>
      <c r="BJ29" s="1633">
        <f>Plantillas!AF484</f>
        <v>0</v>
      </c>
      <c r="BK29" s="1629" t="str">
        <f>CONCATENATE(Plantillas!Y524,Plantillas!Z524)</f>
        <v/>
      </c>
      <c r="BL29" s="1617">
        <f>Plantillas!AE524</f>
        <v>0</v>
      </c>
      <c r="BM29" s="1633">
        <f>Plantillas!AF524</f>
        <v>0</v>
      </c>
      <c r="BN29" s="1629" t="str">
        <f>CONCATENATE(Plantillas!Y564,Plantillas!Z564)</f>
        <v/>
      </c>
      <c r="BO29" s="1617">
        <f>Plantillas!AE564</f>
        <v>0</v>
      </c>
      <c r="BP29" s="1633">
        <f>Plantillas!AF564</f>
        <v>0</v>
      </c>
      <c r="BQ29" s="1629" t="str">
        <f>CONCATENATE(Plantillas!Y604,Plantillas!Z604)</f>
        <v>5ºA</v>
      </c>
      <c r="BR29" s="1617">
        <f>Plantillas!AE604</f>
        <v>0</v>
      </c>
      <c r="BS29" s="1633">
        <f>Plantillas!AF604</f>
        <v>0</v>
      </c>
      <c r="BT29" s="1629" t="str">
        <f>CONCATENATE(Plantillas!Y644,Plantillas!Z644)</f>
        <v/>
      </c>
      <c r="BU29" s="1617">
        <f>Plantillas!AE644</f>
        <v>0</v>
      </c>
      <c r="BV29" s="1633">
        <f>Plantillas!AF644</f>
        <v>0</v>
      </c>
      <c r="BW29" s="1619"/>
    </row>
    <row r="30" spans="1:97" s="1392" customFormat="1" ht="12" customHeight="1">
      <c r="A30" s="1755">
        <v>3</v>
      </c>
      <c r="B30" s="1391"/>
      <c r="C30" s="1391"/>
      <c r="D30" s="5294" t="s">
        <v>434</v>
      </c>
      <c r="E30" s="5294"/>
      <c r="F30" s="3235">
        <f>VLOOKUP(C27,V42:Z60,3,5)</f>
        <v>4</v>
      </c>
      <c r="G30" s="3235">
        <f>VLOOKUP(C27,V42:Z60,4,5)</f>
        <v>2</v>
      </c>
      <c r="H30" s="3235">
        <f>SUM(F30:G30)</f>
        <v>6</v>
      </c>
      <c r="I30" s="3217"/>
      <c r="J30" s="5294" t="s">
        <v>434</v>
      </c>
      <c r="K30" s="5294"/>
      <c r="L30" s="5294"/>
      <c r="M30" s="3235">
        <f>VLOOKUP(I27,V42:Z60,3,5)</f>
        <v>6</v>
      </c>
      <c r="N30" s="3235">
        <f>VLOOKUP(I27,V42:Z60,4,5)</f>
        <v>2</v>
      </c>
      <c r="O30" s="3235">
        <f>SUM(M30:N30)</f>
        <v>8</v>
      </c>
      <c r="P30" s="3217"/>
      <c r="Q30" s="3475" t="s">
        <v>434</v>
      </c>
      <c r="R30" s="3235">
        <f>VLOOKUP(P27,V42:Z60,3,5)</f>
        <v>5</v>
      </c>
      <c r="S30" s="3235">
        <f>VLOOKUP(P27,V42:Z60,4,5)</f>
        <v>1</v>
      </c>
      <c r="T30" s="3235">
        <f>SUM(R30:S30)</f>
        <v>6</v>
      </c>
      <c r="U30" s="1755">
        <v>0</v>
      </c>
      <c r="V30" s="1607">
        <v>8</v>
      </c>
      <c r="W30" s="1624" t="str">
        <f>HLOOKUP(W21,AA21:BV40,10)</f>
        <v>4ºB</v>
      </c>
      <c r="X30" s="1618">
        <f>HLOOKUP(X21,AA21:BV40,10)</f>
        <v>0</v>
      </c>
      <c r="Y30" s="1619">
        <f>HLOOKUP(Y21,AA21:BV40,10)</f>
        <v>1</v>
      </c>
      <c r="Z30" s="1612">
        <f t="shared" si="2"/>
        <v>1</v>
      </c>
      <c r="AA30" s="1632" t="str">
        <f>CONCATENATE(Plantillas!Y45,Plantillas!Z45)</f>
        <v>4ºB</v>
      </c>
      <c r="AB30" s="1617">
        <f>Plantillas!AE45</f>
        <v>0</v>
      </c>
      <c r="AC30" s="1633">
        <f>Plantillas!AF45</f>
        <v>1</v>
      </c>
      <c r="AD30" s="1631" t="str">
        <f>CONCATENATE(Plantillas!Y85,Plantillas!Z85)</f>
        <v>4ºA</v>
      </c>
      <c r="AE30" s="1617">
        <f>Plantillas!AE85</f>
        <v>1</v>
      </c>
      <c r="AF30" s="1633">
        <f>Plantillas!AF85</f>
        <v>1</v>
      </c>
      <c r="AG30" s="1631" t="str">
        <f>CONCATENATE(Plantillas!Y125,Plantillas!Z125)</f>
        <v>5ºB</v>
      </c>
      <c r="AH30" s="1617">
        <f>Plantillas!AE125</f>
        <v>1</v>
      </c>
      <c r="AI30" s="1633">
        <f>Plantillas!AF125</f>
        <v>0</v>
      </c>
      <c r="AJ30" s="1631" t="str">
        <f>CONCATENATE(Plantillas!Y165,Plantillas!Z165)</f>
        <v>4ºB</v>
      </c>
      <c r="AK30" s="1617">
        <f>Plantillas!AE165</f>
        <v>0</v>
      </c>
      <c r="AL30" s="1633">
        <f>Plantillas!AF165</f>
        <v>0</v>
      </c>
      <c r="AM30" s="1631" t="str">
        <f>CONCATENATE(Plantillas!Y205,Plantillas!Z205)</f>
        <v/>
      </c>
      <c r="AN30" s="1617">
        <f>Plantillas!AE205</f>
        <v>0</v>
      </c>
      <c r="AO30" s="1633">
        <f>Plantillas!AF205</f>
        <v>0</v>
      </c>
      <c r="AP30" s="1631" t="str">
        <f>CONCATENATE(Plantillas!Y245,Plantillas!Z245)</f>
        <v>4ºA</v>
      </c>
      <c r="AQ30" s="1617">
        <f>Plantillas!AE245</f>
        <v>0</v>
      </c>
      <c r="AR30" s="1633">
        <f>Plantillas!AF245</f>
        <v>0</v>
      </c>
      <c r="AS30" s="1631" t="str">
        <f>CONCATENATE(Plantillas!Y285,Plantillas!Z285)</f>
        <v/>
      </c>
      <c r="AT30" s="1617">
        <f>Plantillas!AE285</f>
        <v>0</v>
      </c>
      <c r="AU30" s="1633">
        <f>Plantillas!AF285</f>
        <v>0</v>
      </c>
      <c r="AV30" s="1631" t="str">
        <f>CONCATENATE(Plantillas!Y325,Plantillas!Z325)</f>
        <v/>
      </c>
      <c r="AW30" s="1617">
        <f>Plantillas!AE325</f>
        <v>0</v>
      </c>
      <c r="AX30" s="1633">
        <f>Plantillas!AF325</f>
        <v>0</v>
      </c>
      <c r="AY30" s="1631" t="str">
        <f>CONCATENATE(Plantillas!Y365,Plantillas!Z365)</f>
        <v>4ºB</v>
      </c>
      <c r="AZ30" s="1617">
        <f>Plantillas!AE365</f>
        <v>1</v>
      </c>
      <c r="BA30" s="1633">
        <f>Plantillas!AF365</f>
        <v>1</v>
      </c>
      <c r="BB30" s="1631" t="str">
        <f>CONCATENATE(Plantillas!Y405,Plantillas!Z405)</f>
        <v/>
      </c>
      <c r="BC30" s="1617">
        <f>Plantillas!AE405</f>
        <v>0</v>
      </c>
      <c r="BD30" s="1633">
        <f>Plantillas!AF405</f>
        <v>0</v>
      </c>
      <c r="BE30" s="1629" t="str">
        <f>CONCATENATE(Plantillas!Y445,Plantillas!Z445)</f>
        <v/>
      </c>
      <c r="BF30" s="1617">
        <f>Plantillas!AE445</f>
        <v>0</v>
      </c>
      <c r="BG30" s="1633">
        <f>Plantillas!AF445</f>
        <v>0</v>
      </c>
      <c r="BH30" s="1629" t="str">
        <f>CONCATENATE(Plantillas!Y485,Plantillas!Z485)</f>
        <v/>
      </c>
      <c r="BI30" s="1617">
        <f>Plantillas!AE485</f>
        <v>0</v>
      </c>
      <c r="BJ30" s="1633">
        <f>Plantillas!AF485</f>
        <v>0</v>
      </c>
      <c r="BK30" s="1629" t="str">
        <f>CONCATENATE(Plantillas!Y525,Plantillas!Z525)</f>
        <v/>
      </c>
      <c r="BL30" s="1617">
        <f>Plantillas!AE525</f>
        <v>0</v>
      </c>
      <c r="BM30" s="1633">
        <f>Plantillas!AF525</f>
        <v>0</v>
      </c>
      <c r="BN30" s="1629" t="str">
        <f>CONCATENATE(Plantillas!Y565,Plantillas!Z565)</f>
        <v/>
      </c>
      <c r="BO30" s="1617">
        <f>Plantillas!AE565</f>
        <v>0</v>
      </c>
      <c r="BP30" s="1633">
        <f>Plantillas!AF565</f>
        <v>0</v>
      </c>
      <c r="BQ30" s="1629" t="str">
        <f>CONCATENATE(Plantillas!Y605,Plantillas!Z605)</f>
        <v>5ºB</v>
      </c>
      <c r="BR30" s="1617">
        <f>Plantillas!AE605</f>
        <v>0</v>
      </c>
      <c r="BS30" s="1633">
        <f>Plantillas!AF605</f>
        <v>0</v>
      </c>
      <c r="BT30" s="1629" t="str">
        <f>CONCATENATE(Plantillas!Y645,Plantillas!Z645)</f>
        <v/>
      </c>
      <c r="BU30" s="1617">
        <f>Plantillas!AE645</f>
        <v>0</v>
      </c>
      <c r="BV30" s="1633">
        <f>Plantillas!AF645</f>
        <v>0</v>
      </c>
      <c r="BW30" s="1619"/>
      <c r="BZ30" s="1656"/>
      <c r="CA30" s="1656"/>
      <c r="CB30" s="1656"/>
      <c r="CC30" s="1656"/>
      <c r="CD30" s="1656"/>
      <c r="CE30" s="1656"/>
      <c r="CF30" s="1656"/>
      <c r="CG30" s="1656"/>
      <c r="CH30" s="1656"/>
      <c r="CI30" s="1656"/>
      <c r="CJ30" s="1656"/>
      <c r="CK30" s="1656"/>
      <c r="CL30" s="1656"/>
      <c r="CM30" s="1656"/>
      <c r="CN30" s="1656"/>
      <c r="CO30" s="1656"/>
      <c r="CP30" s="1656"/>
    </row>
    <row r="31" spans="1:97" s="1394" customFormat="1" ht="12" customHeight="1">
      <c r="A31" s="1393">
        <v>0</v>
      </c>
      <c r="B31" s="1760"/>
      <c r="C31" s="1760"/>
      <c r="D31" s="5295" t="s">
        <v>848</v>
      </c>
      <c r="E31" s="5295"/>
      <c r="F31" s="3235">
        <f>F28+F29-F30-F32</f>
        <v>19</v>
      </c>
      <c r="G31" s="3235">
        <f>G28+G29-G30-G32</f>
        <v>8</v>
      </c>
      <c r="H31" s="3235">
        <f>SUM(F31:G31)</f>
        <v>27</v>
      </c>
      <c r="I31" s="3218"/>
      <c r="J31" s="5295" t="s">
        <v>848</v>
      </c>
      <c r="K31" s="5295"/>
      <c r="L31" s="5295"/>
      <c r="M31" s="3235">
        <f>M28+M29-M30-M32</f>
        <v>17</v>
      </c>
      <c r="N31" s="3235">
        <f>N28+N29-N30-N32</f>
        <v>9</v>
      </c>
      <c r="O31" s="3235">
        <f>SUM(M31:N31)</f>
        <v>26</v>
      </c>
      <c r="P31" s="3218" t="s">
        <v>79</v>
      </c>
      <c r="Q31" s="3476" t="s">
        <v>848</v>
      </c>
      <c r="R31" s="3235">
        <f>R28+R29-R30-R32</f>
        <v>15</v>
      </c>
      <c r="S31" s="3235">
        <f>S28+S29-S30-S32</f>
        <v>15</v>
      </c>
      <c r="T31" s="3235">
        <f>SUM(R31:S31)</f>
        <v>30</v>
      </c>
      <c r="U31" s="1755">
        <v>0</v>
      </c>
      <c r="V31" s="1607">
        <v>9</v>
      </c>
      <c r="W31" s="1624" t="str">
        <f>HLOOKUP(W21,AA21:BV40,11)</f>
        <v>5ºA</v>
      </c>
      <c r="X31" s="1618">
        <f>HLOOKUP(X21,AA21:BV40,11)</f>
        <v>0</v>
      </c>
      <c r="Y31" s="1619">
        <f>HLOOKUP(Y21,AA21:BV404,11)</f>
        <v>0</v>
      </c>
      <c r="Z31" s="1612">
        <f t="shared" si="2"/>
        <v>0</v>
      </c>
      <c r="AA31" s="1632" t="str">
        <f>CONCATENATE(Plantillas!Y46,Plantillas!Z46)</f>
        <v>5ºA</v>
      </c>
      <c r="AB31" s="1617">
        <f>Plantillas!AE46</f>
        <v>0</v>
      </c>
      <c r="AC31" s="1633">
        <f>Plantillas!AF46</f>
        <v>0</v>
      </c>
      <c r="AD31" s="1631" t="str">
        <f>CONCATENATE(Plantillas!Y86,Plantillas!Z86)</f>
        <v>4ºB</v>
      </c>
      <c r="AE31" s="1617">
        <f>Plantillas!AE86</f>
        <v>2</v>
      </c>
      <c r="AF31" s="1633">
        <f>Plantillas!AF86</f>
        <v>1</v>
      </c>
      <c r="AG31" s="1631" t="str">
        <f>CONCATENATE(Plantillas!Y126,Plantillas!Z126)</f>
        <v>6ºA</v>
      </c>
      <c r="AH31" s="1617">
        <f>Plantillas!AE126</f>
        <v>0</v>
      </c>
      <c r="AI31" s="1633">
        <f>Plantillas!AF126</f>
        <v>0</v>
      </c>
      <c r="AJ31" s="1631" t="str">
        <f>CONCATENATE(Plantillas!Y166,Plantillas!Z166)</f>
        <v>5ºA</v>
      </c>
      <c r="AK31" s="1617">
        <f>Plantillas!AE166</f>
        <v>0</v>
      </c>
      <c r="AL31" s="1633">
        <f>Plantillas!AF166</f>
        <v>0</v>
      </c>
      <c r="AM31" s="1631" t="str">
        <f>CONCATENATE(Plantillas!Y206,Plantillas!Z206)</f>
        <v/>
      </c>
      <c r="AN31" s="1617">
        <f>Plantillas!AE206</f>
        <v>0</v>
      </c>
      <c r="AO31" s="1633">
        <f>Plantillas!AF206</f>
        <v>0</v>
      </c>
      <c r="AP31" s="1631" t="str">
        <f>CONCATENATE(Plantillas!Y246,Plantillas!Z246)</f>
        <v>4ºB</v>
      </c>
      <c r="AQ31" s="1617">
        <f>Plantillas!AE246</f>
        <v>1</v>
      </c>
      <c r="AR31" s="1633">
        <f>Plantillas!AF246</f>
        <v>2</v>
      </c>
      <c r="AS31" s="1631" t="str">
        <f>CONCATENATE(Plantillas!Y286,Plantillas!Z286)</f>
        <v/>
      </c>
      <c r="AT31" s="1617">
        <f>Plantillas!AE286</f>
        <v>0</v>
      </c>
      <c r="AU31" s="1633">
        <f>Plantillas!AF286</f>
        <v>0</v>
      </c>
      <c r="AV31" s="1631" t="str">
        <f>CONCATENATE(Plantillas!Y326,Plantillas!Z326)</f>
        <v/>
      </c>
      <c r="AW31" s="1617">
        <f>Plantillas!AE326</f>
        <v>0</v>
      </c>
      <c r="AX31" s="1633">
        <f>Plantillas!AF326</f>
        <v>0</v>
      </c>
      <c r="AY31" s="1631" t="str">
        <f>CONCATENATE(Plantillas!Y366,Plantillas!Z366)</f>
        <v>5ºA</v>
      </c>
      <c r="AZ31" s="1617">
        <f>Plantillas!AE366</f>
        <v>2</v>
      </c>
      <c r="BA31" s="1633">
        <f>Plantillas!AF366</f>
        <v>2</v>
      </c>
      <c r="BB31" s="1631" t="str">
        <f>CONCATENATE(Plantillas!Y406,Plantillas!Z406)</f>
        <v/>
      </c>
      <c r="BC31" s="1617">
        <f>Plantillas!AE406</f>
        <v>0</v>
      </c>
      <c r="BD31" s="1633">
        <f>Plantillas!AF406</f>
        <v>0</v>
      </c>
      <c r="BE31" s="1629" t="str">
        <f>CONCATENATE(Plantillas!Y446,Plantillas!Z446)</f>
        <v/>
      </c>
      <c r="BF31" s="1617">
        <f>Plantillas!AE446</f>
        <v>0</v>
      </c>
      <c r="BG31" s="1633">
        <f>Plantillas!AF446</f>
        <v>0</v>
      </c>
      <c r="BH31" s="1629" t="str">
        <f>CONCATENATE(Plantillas!Y486,Plantillas!Z486)</f>
        <v/>
      </c>
      <c r="BI31" s="1617">
        <f>Plantillas!AE486</f>
        <v>0</v>
      </c>
      <c r="BJ31" s="1633">
        <f>Plantillas!AF486</f>
        <v>0</v>
      </c>
      <c r="BK31" s="1629" t="str">
        <f>CONCATENATE(Plantillas!Y526,Plantillas!Z526)</f>
        <v/>
      </c>
      <c r="BL31" s="1617">
        <f>Plantillas!AE526</f>
        <v>0</v>
      </c>
      <c r="BM31" s="1633">
        <f>Plantillas!AF526</f>
        <v>0</v>
      </c>
      <c r="BN31" s="1629" t="str">
        <f>CONCATENATE(Plantillas!Y566,Plantillas!Z566)</f>
        <v/>
      </c>
      <c r="BO31" s="1617">
        <f>Plantillas!AE566</f>
        <v>0</v>
      </c>
      <c r="BP31" s="1633">
        <f>Plantillas!AF566</f>
        <v>0</v>
      </c>
      <c r="BQ31" s="1629" t="str">
        <f>CONCATENATE(Plantillas!Y606,Plantillas!Z606)</f>
        <v>6ºA</v>
      </c>
      <c r="BR31" s="1617">
        <f>Plantillas!AE606</f>
        <v>0</v>
      </c>
      <c r="BS31" s="1633">
        <f>Plantillas!AF606</f>
        <v>1</v>
      </c>
      <c r="BT31" s="1629" t="str">
        <f>CONCATENATE(Plantillas!Y646,Plantillas!Z646)</f>
        <v/>
      </c>
      <c r="BU31" s="1617">
        <f>Plantillas!AE646</f>
        <v>0</v>
      </c>
      <c r="BV31" s="1633">
        <f>Plantillas!AF646</f>
        <v>0</v>
      </c>
      <c r="BW31" s="1619"/>
      <c r="BZ31" s="1657"/>
      <c r="CA31" s="1657"/>
      <c r="CB31" s="1657"/>
      <c r="CC31" s="1657"/>
      <c r="CD31" s="1657"/>
      <c r="CE31" s="1657"/>
      <c r="CF31" s="1657"/>
      <c r="CG31" s="1657"/>
      <c r="CH31" s="1657"/>
      <c r="CI31" s="1657"/>
      <c r="CJ31" s="1657"/>
      <c r="CK31" s="1657"/>
      <c r="CL31" s="1657"/>
      <c r="CM31" s="1657"/>
      <c r="CN31" s="1657"/>
      <c r="CO31" s="1657"/>
      <c r="CP31" s="1657"/>
    </row>
    <row r="32" spans="1:97" ht="12" customHeight="1">
      <c r="A32" s="1755">
        <v>0</v>
      </c>
      <c r="B32" s="1388"/>
      <c r="C32" s="1385"/>
      <c r="D32" s="5296" t="s">
        <v>1142</v>
      </c>
      <c r="E32" s="5296"/>
      <c r="F32" s="3235">
        <f>VLOOKUP(C27,V62:Z80,3,5)</f>
        <v>0</v>
      </c>
      <c r="G32" s="3235">
        <f>VLOOKUP(C27,V62:Z80,4,5)</f>
        <v>0</v>
      </c>
      <c r="H32" s="3235">
        <f>SUM(F32:G32)</f>
        <v>0</v>
      </c>
      <c r="I32" s="3216"/>
      <c r="J32" s="5296" t="s">
        <v>1142</v>
      </c>
      <c r="K32" s="5296"/>
      <c r="L32" s="5296"/>
      <c r="M32" s="3235">
        <f>VLOOKUP(I27,V62:Z80,3,5)</f>
        <v>0</v>
      </c>
      <c r="N32" s="3235">
        <f>VLOOKUP(I27,V62:Z80,4,5)</f>
        <v>0</v>
      </c>
      <c r="O32" s="3235">
        <f>SUM(M32:N32)</f>
        <v>0</v>
      </c>
      <c r="P32" s="3216" t="s">
        <v>79</v>
      </c>
      <c r="Q32" s="3477" t="s">
        <v>1142</v>
      </c>
      <c r="R32" s="3235">
        <f>VLOOKUP(P27,V62:Z80,3,5)</f>
        <v>0</v>
      </c>
      <c r="S32" s="3235">
        <f>VLOOKUP(P27,V62:Z80,4,5)</f>
        <v>0</v>
      </c>
      <c r="T32" s="3235">
        <f>SUM(R32:S32)</f>
        <v>0</v>
      </c>
      <c r="U32" s="1755">
        <v>0</v>
      </c>
      <c r="V32" s="1607">
        <v>10</v>
      </c>
      <c r="W32" s="1624" t="str">
        <f>HLOOKUP(W21,AA21:BV40,12)</f>
        <v>5ºB</v>
      </c>
      <c r="X32" s="1618">
        <f>HLOOKUP(X21,AA21:BV40,12)</f>
        <v>1</v>
      </c>
      <c r="Y32" s="1619">
        <f>HLOOKUP(Y21,AA21:BV40,12)</f>
        <v>1</v>
      </c>
      <c r="Z32" s="1612">
        <f t="shared" si="2"/>
        <v>2</v>
      </c>
      <c r="AA32" s="1632" t="str">
        <f>CONCATENATE(Plantillas!Y47,Plantillas!Z47)</f>
        <v>5ºB</v>
      </c>
      <c r="AB32" s="1617">
        <f>Plantillas!AE47</f>
        <v>1</v>
      </c>
      <c r="AC32" s="1633">
        <f>Plantillas!AF47</f>
        <v>1</v>
      </c>
      <c r="AD32" s="1631" t="str">
        <f>CONCATENATE(Plantillas!Y87,Plantillas!Z87)</f>
        <v>4ºC</v>
      </c>
      <c r="AE32" s="1617">
        <f>Plantillas!AE87</f>
        <v>0</v>
      </c>
      <c r="AF32" s="1633">
        <f>Plantillas!AF87</f>
        <v>0</v>
      </c>
      <c r="AG32" s="1631" t="str">
        <f>CONCATENATE(Plantillas!Y127,Plantillas!Z127)</f>
        <v>6ºB</v>
      </c>
      <c r="AH32" s="1617">
        <f>Plantillas!AE127</f>
        <v>1</v>
      </c>
      <c r="AI32" s="1633">
        <f>Plantillas!AF127</f>
        <v>1</v>
      </c>
      <c r="AJ32" s="1631" t="str">
        <f>CONCATENATE(Plantillas!Y167,Plantillas!Z167)</f>
        <v>5ºB</v>
      </c>
      <c r="AK32" s="1617">
        <f>Plantillas!AE167</f>
        <v>0</v>
      </c>
      <c r="AL32" s="1633">
        <f>Plantillas!AF167</f>
        <v>0</v>
      </c>
      <c r="AM32" s="1631" t="str">
        <f>CONCATENATE(Plantillas!Y207,Plantillas!Z207)</f>
        <v/>
      </c>
      <c r="AN32" s="1617">
        <f>Plantillas!AE207</f>
        <v>0</v>
      </c>
      <c r="AO32" s="1633">
        <f>Plantillas!AF207</f>
        <v>0</v>
      </c>
      <c r="AP32" s="1631" t="str">
        <f>CONCATENATE(Plantillas!Y247,Plantillas!Z247)</f>
        <v>5ºA</v>
      </c>
      <c r="AQ32" s="1617">
        <f>Plantillas!AE247</f>
        <v>0</v>
      </c>
      <c r="AR32" s="1633">
        <f>Plantillas!AF247</f>
        <v>1</v>
      </c>
      <c r="AS32" s="1631" t="str">
        <f>CONCATENATE(Plantillas!Y287,Plantillas!Z287)</f>
        <v/>
      </c>
      <c r="AT32" s="1617">
        <f>Plantillas!AE287</f>
        <v>0</v>
      </c>
      <c r="AU32" s="1633">
        <f>Plantillas!AF287</f>
        <v>0</v>
      </c>
      <c r="AV32" s="1631" t="str">
        <f>CONCATENATE(Plantillas!Y327,Plantillas!Z327)</f>
        <v/>
      </c>
      <c r="AW32" s="1617">
        <f>Plantillas!AE327</f>
        <v>0</v>
      </c>
      <c r="AX32" s="1633">
        <f>Plantillas!AF327</f>
        <v>0</v>
      </c>
      <c r="AY32" s="1631" t="str">
        <f>CONCATENATE(Plantillas!Y367,Plantillas!Z367)</f>
        <v>5ºB</v>
      </c>
      <c r="AZ32" s="1617">
        <f>Plantillas!AE367</f>
        <v>0</v>
      </c>
      <c r="BA32" s="1633">
        <f>Plantillas!AF367</f>
        <v>1</v>
      </c>
      <c r="BB32" s="1631" t="str">
        <f>CONCATENATE(Plantillas!Y407,Plantillas!Z407)</f>
        <v/>
      </c>
      <c r="BC32" s="1617">
        <f>Plantillas!AE407</f>
        <v>0</v>
      </c>
      <c r="BD32" s="1633">
        <f>Plantillas!AF407</f>
        <v>0</v>
      </c>
      <c r="BE32" s="1629" t="str">
        <f>CONCATENATE(Plantillas!Y447,Plantillas!Z447)</f>
        <v/>
      </c>
      <c r="BF32" s="1617">
        <f>Plantillas!AE447</f>
        <v>0</v>
      </c>
      <c r="BG32" s="1633">
        <f>Plantillas!AF447</f>
        <v>0</v>
      </c>
      <c r="BH32" s="1629" t="str">
        <f>CONCATENATE(Plantillas!Y487,Plantillas!Z487)</f>
        <v/>
      </c>
      <c r="BI32" s="1617">
        <f>Plantillas!AE487</f>
        <v>0</v>
      </c>
      <c r="BJ32" s="1633">
        <f>Plantillas!AF487</f>
        <v>0</v>
      </c>
      <c r="BK32" s="1629" t="str">
        <f>CONCATENATE(Plantillas!Y527,Plantillas!Z527)</f>
        <v/>
      </c>
      <c r="BL32" s="1617">
        <f>Plantillas!AE527</f>
        <v>0</v>
      </c>
      <c r="BM32" s="1633">
        <f>Plantillas!AF527</f>
        <v>0</v>
      </c>
      <c r="BN32" s="1629" t="str">
        <f>CONCATENATE(Plantillas!Y567,Plantillas!Z567)</f>
        <v/>
      </c>
      <c r="BO32" s="1617">
        <f>Plantillas!AE567</f>
        <v>0</v>
      </c>
      <c r="BP32" s="1633">
        <f>Plantillas!AF567</f>
        <v>0</v>
      </c>
      <c r="BQ32" s="1629" t="str">
        <f>CONCATENATE(Plantillas!Y607,Plantillas!Z607)</f>
        <v/>
      </c>
      <c r="BR32" s="1617">
        <f>Plantillas!AE607</f>
        <v>0</v>
      </c>
      <c r="BS32" s="1633">
        <f>Plantillas!AF607</f>
        <v>0</v>
      </c>
      <c r="BT32" s="1629" t="str">
        <f>CONCATENATE(Plantillas!Y647,Plantillas!Z647)</f>
        <v/>
      </c>
      <c r="BU32" s="1617">
        <f>Plantillas!AE647</f>
        <v>0</v>
      </c>
      <c r="BV32" s="1633">
        <f>Plantillas!AF647</f>
        <v>0</v>
      </c>
      <c r="BW32" s="1619"/>
    </row>
    <row r="33" spans="1:99" ht="6.75" customHeight="1">
      <c r="A33" s="1755"/>
      <c r="B33" s="2597"/>
      <c r="C33" s="2597"/>
      <c r="D33" s="2597"/>
      <c r="E33" s="2597"/>
      <c r="F33" s="1608"/>
      <c r="G33" s="1608"/>
      <c r="H33" s="1608"/>
      <c r="I33" s="1609"/>
      <c r="J33" s="1383"/>
      <c r="K33" s="1756"/>
      <c r="L33" s="2598"/>
      <c r="M33" s="2599"/>
      <c r="N33" s="2599"/>
      <c r="O33" s="2599"/>
      <c r="P33" s="2599"/>
      <c r="Q33" s="1781"/>
      <c r="R33" s="2600"/>
      <c r="S33" s="2600"/>
      <c r="T33" s="1395"/>
      <c r="U33" s="1755"/>
      <c r="V33" s="1607">
        <v>11</v>
      </c>
      <c r="W33" s="1624" t="str">
        <f>HLOOKUP(W21,AA21:BV40,13)</f>
        <v>6ºA</v>
      </c>
      <c r="X33" s="1618">
        <f>HLOOKUP(X21,AA21:BV40,13)</f>
        <v>0</v>
      </c>
      <c r="Y33" s="1619">
        <f>HLOOKUP(Y21,AA21:BV40,13)</f>
        <v>1</v>
      </c>
      <c r="Z33" s="1612">
        <f t="shared" si="2"/>
        <v>1</v>
      </c>
      <c r="AA33" s="1632" t="str">
        <f>CONCATENATE(Plantillas!Y48,Plantillas!Z48)</f>
        <v>6ºA</v>
      </c>
      <c r="AB33" s="1617">
        <f>Plantillas!AE48</f>
        <v>0</v>
      </c>
      <c r="AC33" s="1633">
        <f>Plantillas!AF48</f>
        <v>1</v>
      </c>
      <c r="AD33" s="1631" t="str">
        <f>CONCATENATE(Plantillas!Y88,Plantillas!Z88)</f>
        <v>5ºA</v>
      </c>
      <c r="AE33" s="1617">
        <f>Plantillas!AE88</f>
        <v>0</v>
      </c>
      <c r="AF33" s="1633">
        <f>Plantillas!AF88</f>
        <v>0</v>
      </c>
      <c r="AG33" s="1631" t="str">
        <f>CONCATENATE(Plantillas!Y128,Plantillas!Z128)</f>
        <v/>
      </c>
      <c r="AH33" s="1617">
        <f>Plantillas!AE128</f>
        <v>0</v>
      </c>
      <c r="AI33" s="1633">
        <f>Plantillas!AF128</f>
        <v>0</v>
      </c>
      <c r="AJ33" s="1631" t="str">
        <f>CONCATENATE(Plantillas!Y168,Plantillas!Z168)</f>
        <v>6ºA</v>
      </c>
      <c r="AK33" s="1617">
        <f>Plantillas!AE168</f>
        <v>1</v>
      </c>
      <c r="AL33" s="1633">
        <f>Plantillas!AF168</f>
        <v>2</v>
      </c>
      <c r="AM33" s="1631" t="str">
        <f>CONCATENATE(Plantillas!Y208,Plantillas!Z208)</f>
        <v/>
      </c>
      <c r="AN33" s="1617">
        <f>Plantillas!AE208</f>
        <v>0</v>
      </c>
      <c r="AO33" s="1633">
        <f>Plantillas!AF208</f>
        <v>0</v>
      </c>
      <c r="AP33" s="1631" t="str">
        <f>CONCATENATE(Plantillas!Y248,Plantillas!Z248)</f>
        <v>5ºB</v>
      </c>
      <c r="AQ33" s="1617">
        <f>Plantillas!AE248</f>
        <v>2</v>
      </c>
      <c r="AR33" s="1633">
        <f>Plantillas!AF248</f>
        <v>1</v>
      </c>
      <c r="AS33" s="1631" t="str">
        <f>CONCATENATE(Plantillas!Y288,Plantillas!Z288)</f>
        <v/>
      </c>
      <c r="AT33" s="1617">
        <f>Plantillas!AE288</f>
        <v>0</v>
      </c>
      <c r="AU33" s="1633">
        <f>Plantillas!AF288</f>
        <v>0</v>
      </c>
      <c r="AV33" s="1631" t="str">
        <f>CONCATENATE(Plantillas!Y328,Plantillas!Z328)</f>
        <v/>
      </c>
      <c r="AW33" s="1617">
        <f>Plantillas!AE328</f>
        <v>0</v>
      </c>
      <c r="AX33" s="1633">
        <f>Plantillas!AF328</f>
        <v>0</v>
      </c>
      <c r="AY33" s="1631" t="str">
        <f>CONCATENATE(Plantillas!Y368,Plantillas!Z368)</f>
        <v>6ºA</v>
      </c>
      <c r="AZ33" s="1617">
        <f>Plantillas!AE368</f>
        <v>1</v>
      </c>
      <c r="BA33" s="1633">
        <f>Plantillas!AF368</f>
        <v>2</v>
      </c>
      <c r="BB33" s="1631" t="str">
        <f>CONCATENATE(Plantillas!Y408,Plantillas!Z408)</f>
        <v/>
      </c>
      <c r="BC33" s="1617">
        <f>Plantillas!AE408</f>
        <v>0</v>
      </c>
      <c r="BD33" s="1633">
        <f>Plantillas!AF408</f>
        <v>0</v>
      </c>
      <c r="BE33" s="1629" t="str">
        <f>CONCATENATE(Plantillas!Y448,Plantillas!Z448)</f>
        <v/>
      </c>
      <c r="BF33" s="1617">
        <f>Plantillas!AE448</f>
        <v>0</v>
      </c>
      <c r="BG33" s="1633">
        <f>Plantillas!AF448</f>
        <v>0</v>
      </c>
      <c r="BH33" s="1629" t="str">
        <f>CONCATENATE(Plantillas!Y488,Plantillas!Z488)</f>
        <v/>
      </c>
      <c r="BI33" s="1617">
        <f>Plantillas!AE488</f>
        <v>0</v>
      </c>
      <c r="BJ33" s="1633">
        <f>Plantillas!AF488</f>
        <v>0</v>
      </c>
      <c r="BK33" s="1629" t="str">
        <f>CONCATENATE(Plantillas!Y528,Plantillas!Z528)</f>
        <v/>
      </c>
      <c r="BL33" s="1617">
        <f>Plantillas!AE528</f>
        <v>0</v>
      </c>
      <c r="BM33" s="1633">
        <f>Plantillas!AF528</f>
        <v>0</v>
      </c>
      <c r="BN33" s="1629" t="str">
        <f>CONCATENATE(Plantillas!Y568,Plantillas!Z568)</f>
        <v/>
      </c>
      <c r="BO33" s="1617">
        <f>Plantillas!AE568</f>
        <v>0</v>
      </c>
      <c r="BP33" s="1633">
        <f>Plantillas!AF568</f>
        <v>0</v>
      </c>
      <c r="BQ33" s="1629" t="str">
        <f>CONCATENATE(Plantillas!Y608,Plantillas!Z608)</f>
        <v/>
      </c>
      <c r="BR33" s="1617">
        <f>Plantillas!AE608</f>
        <v>0</v>
      </c>
      <c r="BS33" s="1633">
        <f>Plantillas!AF608</f>
        <v>0</v>
      </c>
      <c r="BT33" s="1629" t="str">
        <f>CONCATENATE(Plantillas!Y648,Plantillas!Z648)</f>
        <v/>
      </c>
      <c r="BU33" s="1617">
        <f>Plantillas!AE648</f>
        <v>0</v>
      </c>
      <c r="BV33" s="1633">
        <f>Plantillas!AF648</f>
        <v>0</v>
      </c>
      <c r="BW33" s="1619"/>
    </row>
    <row r="34" spans="1:99" ht="10.5" customHeight="1">
      <c r="A34" s="1755">
        <v>0</v>
      </c>
      <c r="B34" s="5304" t="str">
        <f>VLOOKUP(P40,B49:J66,8)</f>
        <v>CERVANTES BENITEZ * ANTONIA</v>
      </c>
      <c r="C34" s="5304"/>
      <c r="D34" s="5304"/>
      <c r="E34" s="5304"/>
      <c r="F34" s="1775"/>
      <c r="G34" s="1775"/>
      <c r="H34" s="1780" t="s">
        <v>1120</v>
      </c>
      <c r="I34" s="1776"/>
      <c r="J34" s="1776"/>
      <c r="K34" s="1775"/>
      <c r="L34" s="5304" t="s">
        <v>1121</v>
      </c>
      <c r="M34" s="5304"/>
      <c r="N34" s="5304"/>
      <c r="O34" s="5304"/>
      <c r="P34" s="5304"/>
      <c r="Q34" s="1777"/>
      <c r="R34" s="5303" t="s">
        <v>1122</v>
      </c>
      <c r="S34" s="5303"/>
      <c r="T34" s="1778"/>
      <c r="U34" s="1755">
        <v>0</v>
      </c>
      <c r="V34" s="1607">
        <v>12</v>
      </c>
      <c r="W34" s="1624" t="str">
        <f>HLOOKUP(W21,AA21:BV40,14)</f>
        <v>6ºB</v>
      </c>
      <c r="X34" s="1618">
        <f>HLOOKUP(X21,AA21:BV40,14)</f>
        <v>1</v>
      </c>
      <c r="Y34" s="1619">
        <f>HLOOKUP(Y21,AA21:BV40,14)</f>
        <v>1</v>
      </c>
      <c r="Z34" s="1612">
        <f t="shared" si="2"/>
        <v>2</v>
      </c>
      <c r="AA34" s="1632" t="str">
        <f>CONCATENATE(Plantillas!Y49,Plantillas!Z49)</f>
        <v>6ºB</v>
      </c>
      <c r="AB34" s="1617">
        <f>Plantillas!AE49</f>
        <v>1</v>
      </c>
      <c r="AC34" s="1633">
        <f>Plantillas!AF49</f>
        <v>1</v>
      </c>
      <c r="AD34" s="1631" t="str">
        <f>CONCATENATE(Plantillas!Y89,Plantillas!Z89)</f>
        <v>5ºB</v>
      </c>
      <c r="AE34" s="1617">
        <f>Plantillas!AE89</f>
        <v>0</v>
      </c>
      <c r="AF34" s="1633">
        <f>Plantillas!AF89</f>
        <v>0</v>
      </c>
      <c r="AG34" s="1631" t="str">
        <f>CONCATENATE(Plantillas!Y129,Plantillas!Z129)</f>
        <v/>
      </c>
      <c r="AH34" s="1617">
        <f>Plantillas!AE129</f>
        <v>0</v>
      </c>
      <c r="AI34" s="1633">
        <f>Plantillas!AF129</f>
        <v>0</v>
      </c>
      <c r="AJ34" s="1631" t="str">
        <f>CONCATENATE(Plantillas!Y169,Plantillas!Z169)</f>
        <v>6ºB</v>
      </c>
      <c r="AK34" s="1617">
        <f>Plantillas!AE169</f>
        <v>0</v>
      </c>
      <c r="AL34" s="1633">
        <f>Plantillas!AF169</f>
        <v>0</v>
      </c>
      <c r="AM34" s="1631" t="str">
        <f>CONCATENATE(Plantillas!Y209,Plantillas!Z209)</f>
        <v/>
      </c>
      <c r="AN34" s="1617">
        <f>Plantillas!AE209</f>
        <v>0</v>
      </c>
      <c r="AO34" s="1633">
        <f>Plantillas!AF209</f>
        <v>0</v>
      </c>
      <c r="AP34" s="1631" t="str">
        <f>CONCATENATE(Plantillas!Y249,Plantillas!Z249)</f>
        <v>6ºA</v>
      </c>
      <c r="AQ34" s="1617">
        <f>Plantillas!AE249</f>
        <v>0</v>
      </c>
      <c r="AR34" s="1633">
        <f>Plantillas!AF249</f>
        <v>0</v>
      </c>
      <c r="AS34" s="1631" t="str">
        <f>CONCATENATE(Plantillas!Y289,Plantillas!Z289)</f>
        <v/>
      </c>
      <c r="AT34" s="1617">
        <f>Plantillas!AE289</f>
        <v>0</v>
      </c>
      <c r="AU34" s="1633">
        <f>Plantillas!AF289</f>
        <v>0</v>
      </c>
      <c r="AV34" s="1631" t="str">
        <f>CONCATENATE(Plantillas!Y329,Plantillas!Z329)</f>
        <v/>
      </c>
      <c r="AW34" s="1617">
        <f>Plantillas!AE329</f>
        <v>0</v>
      </c>
      <c r="AX34" s="1633">
        <f>Plantillas!AF329</f>
        <v>0</v>
      </c>
      <c r="AY34" s="1631" t="str">
        <f>CONCATENATE(Plantillas!Y369,Plantillas!Z369)</f>
        <v>6ºB</v>
      </c>
      <c r="AZ34" s="1617">
        <f>Plantillas!AE369</f>
        <v>0</v>
      </c>
      <c r="BA34" s="1633">
        <f>Plantillas!AF369</f>
        <v>0</v>
      </c>
      <c r="BB34" s="1631" t="str">
        <f>CONCATENATE(Plantillas!Y409,Plantillas!Z409)</f>
        <v/>
      </c>
      <c r="BC34" s="1617">
        <f>Plantillas!AE409</f>
        <v>0</v>
      </c>
      <c r="BD34" s="1633">
        <f>Plantillas!AF409</f>
        <v>0</v>
      </c>
      <c r="BE34" s="1629" t="str">
        <f>CONCATENATE(Plantillas!Y449,Plantillas!Z449)</f>
        <v/>
      </c>
      <c r="BF34" s="1617">
        <f>Plantillas!AE449</f>
        <v>0</v>
      </c>
      <c r="BG34" s="1633">
        <f>Plantillas!AF449</f>
        <v>0</v>
      </c>
      <c r="BH34" s="1629" t="str">
        <f>CONCATENATE(Plantillas!Y489,Plantillas!Z489)</f>
        <v/>
      </c>
      <c r="BI34" s="1617">
        <f>Plantillas!AE489</f>
        <v>0</v>
      </c>
      <c r="BJ34" s="1633">
        <f>Plantillas!AF489</f>
        <v>0</v>
      </c>
      <c r="BK34" s="1629" t="str">
        <f>CONCATENATE(Plantillas!Y529,Plantillas!Z529)</f>
        <v/>
      </c>
      <c r="BL34" s="1617">
        <f>Plantillas!AE529</f>
        <v>0</v>
      </c>
      <c r="BM34" s="1633">
        <f>Plantillas!AF529</f>
        <v>0</v>
      </c>
      <c r="BN34" s="1629" t="str">
        <f>CONCATENATE(Plantillas!Y569,Plantillas!Z569)</f>
        <v/>
      </c>
      <c r="BO34" s="1617">
        <f>Plantillas!AE569</f>
        <v>0</v>
      </c>
      <c r="BP34" s="1633">
        <f>Plantillas!AF569</f>
        <v>0</v>
      </c>
      <c r="BQ34" s="1629" t="str">
        <f>CONCATENATE(Plantillas!Y609,Plantillas!Z609)</f>
        <v/>
      </c>
      <c r="BR34" s="1617">
        <f>Plantillas!AE609</f>
        <v>0</v>
      </c>
      <c r="BS34" s="1633">
        <f>Plantillas!AF609</f>
        <v>0</v>
      </c>
      <c r="BT34" s="1629" t="str">
        <f>CONCATENATE(Plantillas!Y649,Plantillas!Z649)</f>
        <v/>
      </c>
      <c r="BU34" s="1617">
        <f>Plantillas!AE649</f>
        <v>0</v>
      </c>
      <c r="BV34" s="1633">
        <f>Plantillas!AF649</f>
        <v>0</v>
      </c>
      <c r="BW34" s="1619"/>
    </row>
    <row r="35" spans="1:99" ht="10.5" customHeight="1">
      <c r="A35" s="1755">
        <v>0</v>
      </c>
      <c r="B35" s="5303" t="s">
        <v>1123</v>
      </c>
      <c r="C35" s="5303"/>
      <c r="D35" s="5303"/>
      <c r="E35" s="5303"/>
      <c r="F35" s="1775"/>
      <c r="G35" s="1775"/>
      <c r="H35" s="1780" t="s">
        <v>68</v>
      </c>
      <c r="I35" s="1775"/>
      <c r="J35" s="1776"/>
      <c r="K35" s="1775"/>
      <c r="L35" s="5303" t="s">
        <v>1124</v>
      </c>
      <c r="M35" s="5303"/>
      <c r="N35" s="5303"/>
      <c r="O35" s="5303"/>
      <c r="P35" s="5303"/>
      <c r="Q35" s="1777"/>
      <c r="R35" s="5303" t="s">
        <v>1125</v>
      </c>
      <c r="S35" s="5303"/>
      <c r="T35" s="1779"/>
      <c r="U35" s="1755">
        <v>0</v>
      </c>
      <c r="V35" s="1607">
        <v>13</v>
      </c>
      <c r="W35" s="1624" t="str">
        <f>HLOOKUP(W21,AA21:BV40,15)</f>
        <v/>
      </c>
      <c r="X35" s="1618">
        <f>HLOOKUP(X21,AA21:BV40,15)</f>
        <v>0</v>
      </c>
      <c r="Y35" s="1619">
        <f>HLOOKUP(Y21,AA21:BV40,15)</f>
        <v>0</v>
      </c>
      <c r="Z35" s="1612">
        <f t="shared" si="2"/>
        <v>0</v>
      </c>
      <c r="AA35" s="1632" t="str">
        <f>CONCATENATE(Plantillas!Y50,Plantillas!Z50)</f>
        <v/>
      </c>
      <c r="AB35" s="1617">
        <f>Plantillas!AE50</f>
        <v>0</v>
      </c>
      <c r="AC35" s="1633">
        <f>Plantillas!AF50</f>
        <v>0</v>
      </c>
      <c r="AD35" s="1631" t="str">
        <f>CONCATENATE(Plantillas!Y90,Plantillas!Z90)</f>
        <v>6ºA</v>
      </c>
      <c r="AE35" s="1617">
        <f>Plantillas!AE90</f>
        <v>0</v>
      </c>
      <c r="AF35" s="1633">
        <f>Plantillas!AF90</f>
        <v>2</v>
      </c>
      <c r="AG35" s="1631" t="str">
        <f>CONCATENATE(Plantillas!Y130,Plantillas!Z130)</f>
        <v/>
      </c>
      <c r="AH35" s="1617">
        <f>Plantillas!AE130</f>
        <v>0</v>
      </c>
      <c r="AI35" s="1633">
        <f>Plantillas!AF130</f>
        <v>0</v>
      </c>
      <c r="AJ35" s="1631" t="str">
        <f>CONCATENATE(Plantillas!Y170,Plantillas!Z170)</f>
        <v/>
      </c>
      <c r="AK35" s="1617">
        <f>Plantillas!AE170</f>
        <v>0</v>
      </c>
      <c r="AL35" s="1633">
        <f>Plantillas!AF170</f>
        <v>0</v>
      </c>
      <c r="AM35" s="1631" t="str">
        <f>CONCATENATE(Plantillas!Y210,Plantillas!Z210)</f>
        <v/>
      </c>
      <c r="AN35" s="1617">
        <f>Plantillas!AE210</f>
        <v>0</v>
      </c>
      <c r="AO35" s="1633">
        <f>Plantillas!AF210</f>
        <v>0</v>
      </c>
      <c r="AP35" s="1631" t="str">
        <f>CONCATENATE(Plantillas!Y250,Plantillas!Z250)</f>
        <v>6ºB</v>
      </c>
      <c r="AQ35" s="1617">
        <f>Plantillas!AE250</f>
        <v>0</v>
      </c>
      <c r="AR35" s="1633">
        <f>Plantillas!AF250</f>
        <v>2</v>
      </c>
      <c r="AS35" s="1631" t="str">
        <f>CONCATENATE(Plantillas!Y290,Plantillas!Z290)</f>
        <v/>
      </c>
      <c r="AT35" s="1617">
        <f>Plantillas!AE290</f>
        <v>0</v>
      </c>
      <c r="AU35" s="1633">
        <f>Plantillas!AF290</f>
        <v>0</v>
      </c>
      <c r="AV35" s="1631" t="str">
        <f>CONCATENATE(Plantillas!Y330,Plantillas!Z330)</f>
        <v/>
      </c>
      <c r="AW35" s="1617">
        <f>Plantillas!AE330</f>
        <v>0</v>
      </c>
      <c r="AX35" s="1633">
        <f>Plantillas!AF330</f>
        <v>0</v>
      </c>
      <c r="AY35" s="1631" t="str">
        <f>CONCATENATE(Plantillas!Y370,Plantillas!Z370)</f>
        <v/>
      </c>
      <c r="AZ35" s="1617">
        <f>Plantillas!AE370</f>
        <v>0</v>
      </c>
      <c r="BA35" s="1633">
        <f>Plantillas!AF370</f>
        <v>0</v>
      </c>
      <c r="BB35" s="1631" t="str">
        <f>CONCATENATE(Plantillas!Y410,Plantillas!Z410)</f>
        <v/>
      </c>
      <c r="BC35" s="1617">
        <f>Plantillas!AE410</f>
        <v>0</v>
      </c>
      <c r="BD35" s="1633">
        <f>Plantillas!AF410</f>
        <v>0</v>
      </c>
      <c r="BE35" s="1629" t="str">
        <f>CONCATENATE(Plantillas!Y450,Plantillas!Z450)</f>
        <v/>
      </c>
      <c r="BF35" s="1617">
        <f>Plantillas!AE450</f>
        <v>0</v>
      </c>
      <c r="BG35" s="1633">
        <f>Plantillas!AF450</f>
        <v>0</v>
      </c>
      <c r="BH35" s="1629" t="str">
        <f>CONCATENATE(Plantillas!Y490,Plantillas!Z490)</f>
        <v/>
      </c>
      <c r="BI35" s="1617">
        <f>Plantillas!AE490</f>
        <v>0</v>
      </c>
      <c r="BJ35" s="1633">
        <f>Plantillas!AF490</f>
        <v>0</v>
      </c>
      <c r="BK35" s="1629" t="str">
        <f>CONCATENATE(Plantillas!Y530,Plantillas!Z530)</f>
        <v/>
      </c>
      <c r="BL35" s="1617">
        <f>Plantillas!AE530</f>
        <v>0</v>
      </c>
      <c r="BM35" s="1633">
        <f>Plantillas!AF530</f>
        <v>0</v>
      </c>
      <c r="BN35" s="1629" t="str">
        <f>CONCATENATE(Plantillas!Y570,Plantillas!Z570)</f>
        <v/>
      </c>
      <c r="BO35" s="1617">
        <f>Plantillas!AE570</f>
        <v>0</v>
      </c>
      <c r="BP35" s="1633">
        <f>Plantillas!AF570</f>
        <v>0</v>
      </c>
      <c r="BQ35" s="1629" t="str">
        <f>CONCATENATE(Plantillas!Y610,Plantillas!Z610)</f>
        <v/>
      </c>
      <c r="BR35" s="1617">
        <f>Plantillas!AE610</f>
        <v>0</v>
      </c>
      <c r="BS35" s="1633">
        <f>Plantillas!AF610</f>
        <v>0</v>
      </c>
      <c r="BT35" s="1629" t="str">
        <f>CONCATENATE(Plantillas!Y650,Plantillas!Z650)</f>
        <v/>
      </c>
      <c r="BU35" s="1617">
        <f>Plantillas!AE650</f>
        <v>0</v>
      </c>
      <c r="BV35" s="1633">
        <f>Plantillas!AF650</f>
        <v>0</v>
      </c>
      <c r="BW35" s="1619"/>
    </row>
    <row r="36" spans="1:99" ht="5.25" customHeight="1">
      <c r="A36" s="1755">
        <v>0</v>
      </c>
      <c r="B36" s="1388"/>
      <c r="C36" s="1385"/>
      <c r="D36" s="1385"/>
      <c r="E36" s="1388"/>
      <c r="F36" s="1388"/>
      <c r="G36" s="1388"/>
      <c r="H36" s="1388"/>
      <c r="I36" s="1388"/>
      <c r="J36" s="1388"/>
      <c r="K36" s="1388"/>
      <c r="L36" s="1385"/>
      <c r="M36" s="1388"/>
      <c r="N36" s="1388"/>
      <c r="O36" s="1388"/>
      <c r="P36" s="1388"/>
      <c r="Q36" s="1388"/>
      <c r="R36" s="1388"/>
      <c r="S36" s="1388"/>
      <c r="T36" s="1388"/>
      <c r="U36" s="1755">
        <v>0</v>
      </c>
      <c r="V36" s="1607">
        <v>14</v>
      </c>
      <c r="W36" s="1624" t="str">
        <f>HLOOKUP(W21,AA21:BV40,16)</f>
        <v/>
      </c>
      <c r="X36" s="1618">
        <f>HLOOKUP(X21,AA21:BV40,16)</f>
        <v>0</v>
      </c>
      <c r="Y36" s="1619">
        <f>HLOOKUP(Y21,AA21:BV40,16)</f>
        <v>0</v>
      </c>
      <c r="Z36" s="1612">
        <f t="shared" si="2"/>
        <v>0</v>
      </c>
      <c r="AA36" s="1632" t="str">
        <f>CONCATENATE(Plantillas!Y51,Plantillas!Z51)</f>
        <v/>
      </c>
      <c r="AB36" s="1617">
        <f>Plantillas!AE51</f>
        <v>0</v>
      </c>
      <c r="AC36" s="1633">
        <f>Plantillas!AF51</f>
        <v>0</v>
      </c>
      <c r="AD36" s="1631" t="str">
        <f>CONCATENATE(Plantillas!Y91,Plantillas!Z91)</f>
        <v>6ºB</v>
      </c>
      <c r="AE36" s="1617">
        <f>Plantillas!AE91</f>
        <v>0</v>
      </c>
      <c r="AF36" s="1633">
        <f>Plantillas!AF91</f>
        <v>0</v>
      </c>
      <c r="AG36" s="1631" t="str">
        <f>CONCATENATE(Plantillas!Y131,Plantillas!Z131)</f>
        <v/>
      </c>
      <c r="AH36" s="1617">
        <f>Plantillas!AE131</f>
        <v>0</v>
      </c>
      <c r="AI36" s="1633">
        <f>Plantillas!AF131</f>
        <v>0</v>
      </c>
      <c r="AJ36" s="1631" t="str">
        <f>CONCATENATE(Plantillas!Y171,Plantillas!Z171)</f>
        <v/>
      </c>
      <c r="AK36" s="1617">
        <f>Plantillas!AE171</f>
        <v>0</v>
      </c>
      <c r="AL36" s="1633">
        <f>Plantillas!AF171</f>
        <v>0</v>
      </c>
      <c r="AM36" s="1631" t="str">
        <f>CONCATENATE(Plantillas!Y211,Plantillas!Z211)</f>
        <v/>
      </c>
      <c r="AN36" s="1617">
        <f>Plantillas!AE211</f>
        <v>0</v>
      </c>
      <c r="AO36" s="1633">
        <f>Plantillas!AF211</f>
        <v>0</v>
      </c>
      <c r="AP36" s="1631" t="str">
        <f>CONCATENATE(Plantillas!Y251,Plantillas!Z251)</f>
        <v/>
      </c>
      <c r="AQ36" s="1617">
        <f>Plantillas!AE251</f>
        <v>0</v>
      </c>
      <c r="AR36" s="1633">
        <f>Plantillas!AF251</f>
        <v>0</v>
      </c>
      <c r="AS36" s="1631" t="str">
        <f>CONCATENATE(Plantillas!Y291,Plantillas!Z291)</f>
        <v/>
      </c>
      <c r="AT36" s="1617">
        <f>Plantillas!AE291</f>
        <v>0</v>
      </c>
      <c r="AU36" s="1633">
        <f>Plantillas!AF291</f>
        <v>0</v>
      </c>
      <c r="AV36" s="1631" t="str">
        <f>CONCATENATE(Plantillas!Y331,Plantillas!Z331)</f>
        <v/>
      </c>
      <c r="AW36" s="1617">
        <f>Plantillas!AE331</f>
        <v>0</v>
      </c>
      <c r="AX36" s="1633">
        <f>Plantillas!AF331</f>
        <v>0</v>
      </c>
      <c r="AY36" s="1631" t="str">
        <f>CONCATENATE(Plantillas!Y371,Plantillas!Z371)</f>
        <v/>
      </c>
      <c r="AZ36" s="1617">
        <f>Plantillas!AE371</f>
        <v>0</v>
      </c>
      <c r="BA36" s="1633">
        <f>Plantillas!AF371</f>
        <v>0</v>
      </c>
      <c r="BB36" s="1631" t="str">
        <f>CONCATENATE(Plantillas!Y411,Plantillas!Z411)</f>
        <v/>
      </c>
      <c r="BC36" s="1617">
        <f>Plantillas!AE411</f>
        <v>0</v>
      </c>
      <c r="BD36" s="1633">
        <f>Plantillas!AF411</f>
        <v>0</v>
      </c>
      <c r="BE36" s="1629" t="str">
        <f>CONCATENATE(Plantillas!Y451,Plantillas!Z451)</f>
        <v/>
      </c>
      <c r="BF36" s="1617">
        <f>Plantillas!AE451</f>
        <v>0</v>
      </c>
      <c r="BG36" s="1633">
        <f>Plantillas!AF451</f>
        <v>0</v>
      </c>
      <c r="BH36" s="1629" t="str">
        <f>CONCATENATE(Plantillas!Y491,Plantillas!Z491)</f>
        <v/>
      </c>
      <c r="BI36" s="1617">
        <f>Plantillas!AE491</f>
        <v>0</v>
      </c>
      <c r="BJ36" s="1633">
        <f>Plantillas!AF491</f>
        <v>0</v>
      </c>
      <c r="BK36" s="1629" t="str">
        <f>CONCATENATE(Plantillas!Y531,Plantillas!Z531)</f>
        <v/>
      </c>
      <c r="BL36" s="1617">
        <f>Plantillas!AE531</f>
        <v>0</v>
      </c>
      <c r="BM36" s="1633">
        <f>Plantillas!AF531</f>
        <v>0</v>
      </c>
      <c r="BN36" s="1629" t="str">
        <f>CONCATENATE(Plantillas!Y571,Plantillas!Z571)</f>
        <v/>
      </c>
      <c r="BO36" s="1617">
        <f>Plantillas!AE571</f>
        <v>0</v>
      </c>
      <c r="BP36" s="1633">
        <f>Plantillas!AF571</f>
        <v>0</v>
      </c>
      <c r="BQ36" s="1629" t="str">
        <f>CONCATENATE(Plantillas!Y611,Plantillas!Z611)</f>
        <v/>
      </c>
      <c r="BR36" s="1617">
        <f>Plantillas!AE611</f>
        <v>0</v>
      </c>
      <c r="BS36" s="1633">
        <f>Plantillas!AF611</f>
        <v>0</v>
      </c>
      <c r="BT36" s="1629" t="str">
        <f>CONCATENATE(Plantillas!Y651,Plantillas!Z651)</f>
        <v/>
      </c>
      <c r="BU36" s="1617">
        <f>Plantillas!AE651</f>
        <v>0</v>
      </c>
      <c r="BV36" s="1633">
        <f>Plantillas!AF651</f>
        <v>0</v>
      </c>
      <c r="BW36" s="1619"/>
    </row>
    <row r="37" spans="1:99" ht="20.25" customHeight="1">
      <c r="A37" s="1755">
        <v>0</v>
      </c>
      <c r="B37" s="5327" t="s">
        <v>270</v>
      </c>
      <c r="C37" s="5327"/>
      <c r="D37" s="5317" t="s">
        <v>2701</v>
      </c>
      <c r="E37" s="5317"/>
      <c r="F37" s="5317"/>
      <c r="G37" s="5317"/>
      <c r="H37" s="5317"/>
      <c r="I37" s="5317"/>
      <c r="J37" s="5317"/>
      <c r="K37" s="5317"/>
      <c r="L37" s="5317"/>
      <c r="M37" s="5317"/>
      <c r="N37" s="5317"/>
      <c r="O37" s="5317"/>
      <c r="P37" s="5317"/>
      <c r="Q37" s="5317"/>
      <c r="R37" s="5317"/>
      <c r="S37" s="5317"/>
      <c r="T37" s="5317"/>
      <c r="U37" s="1755">
        <v>0</v>
      </c>
      <c r="V37" s="1607">
        <v>15</v>
      </c>
      <c r="W37" s="1624" t="str">
        <f>HLOOKUP(W21,AA21:BV40,17)</f>
        <v/>
      </c>
      <c r="X37" s="1618">
        <f>HLOOKUP(X21,AA21:BV40,17)</f>
        <v>0</v>
      </c>
      <c r="Y37" s="1619">
        <f>HLOOKUP(Y21,AA21:BV40,17)</f>
        <v>0</v>
      </c>
      <c r="Z37" s="1612">
        <f t="shared" si="2"/>
        <v>0</v>
      </c>
      <c r="AA37" s="1632" t="str">
        <f>CONCATENATE(Plantillas!Y52,Plantillas!Z52)</f>
        <v/>
      </c>
      <c r="AB37" s="1617">
        <f>Plantillas!AE52</f>
        <v>0</v>
      </c>
      <c r="AC37" s="1633">
        <f>Plantillas!AF52</f>
        <v>0</v>
      </c>
      <c r="AD37" s="1631" t="str">
        <f>CONCATENATE(Plantillas!Y92,Plantillas!Z92)</f>
        <v/>
      </c>
      <c r="AE37" s="1617">
        <f>Plantillas!AE92</f>
        <v>0</v>
      </c>
      <c r="AF37" s="1633">
        <f>Plantillas!AF92</f>
        <v>0</v>
      </c>
      <c r="AG37" s="1631" t="str">
        <f>CONCATENATE(Plantillas!Y132,Plantillas!Z132)</f>
        <v/>
      </c>
      <c r="AH37" s="1617">
        <f>Plantillas!AE132</f>
        <v>0</v>
      </c>
      <c r="AI37" s="1633">
        <f>Plantillas!AF132</f>
        <v>0</v>
      </c>
      <c r="AJ37" s="1631" t="str">
        <f>CONCATENATE(Plantillas!Y172,Plantillas!Z172)</f>
        <v/>
      </c>
      <c r="AK37" s="1617">
        <f>Plantillas!AE172</f>
        <v>0</v>
      </c>
      <c r="AL37" s="1633">
        <f>Plantillas!AF172</f>
        <v>0</v>
      </c>
      <c r="AM37" s="1631" t="str">
        <f>CONCATENATE(Plantillas!Y212,Plantillas!Z212)</f>
        <v/>
      </c>
      <c r="AN37" s="1617">
        <f>Plantillas!AE212</f>
        <v>0</v>
      </c>
      <c r="AO37" s="1633">
        <f>Plantillas!AF212</f>
        <v>0</v>
      </c>
      <c r="AP37" s="1631" t="str">
        <f>CONCATENATE(Plantillas!Y252,Plantillas!Z252)</f>
        <v/>
      </c>
      <c r="AQ37" s="1617">
        <f>Plantillas!AE252</f>
        <v>0</v>
      </c>
      <c r="AR37" s="1633">
        <f>Plantillas!AF252</f>
        <v>0</v>
      </c>
      <c r="AS37" s="1631" t="str">
        <f>CONCATENATE(Plantillas!Y292,Plantillas!Z292)</f>
        <v/>
      </c>
      <c r="AT37" s="1617">
        <f>Plantillas!AE292</f>
        <v>0</v>
      </c>
      <c r="AU37" s="1633">
        <f>Plantillas!AF292</f>
        <v>0</v>
      </c>
      <c r="AV37" s="1631" t="str">
        <f>CONCATENATE(Plantillas!Y332,Plantillas!Z332)</f>
        <v/>
      </c>
      <c r="AW37" s="1617">
        <f>Plantillas!AE332</f>
        <v>0</v>
      </c>
      <c r="AX37" s="1633">
        <f>Plantillas!AF332</f>
        <v>0</v>
      </c>
      <c r="AY37" s="1631" t="str">
        <f>CONCATENATE(Plantillas!Y372,Plantillas!Z372)</f>
        <v/>
      </c>
      <c r="AZ37" s="1617">
        <f>Plantillas!AE372</f>
        <v>0</v>
      </c>
      <c r="BA37" s="1633">
        <f>Plantillas!AF372</f>
        <v>0</v>
      </c>
      <c r="BB37" s="1631" t="str">
        <f>CONCATENATE(Plantillas!Y412,Plantillas!Z412)</f>
        <v/>
      </c>
      <c r="BC37" s="1617">
        <f>Plantillas!AE412</f>
        <v>0</v>
      </c>
      <c r="BD37" s="1633">
        <f>Plantillas!AF412</f>
        <v>0</v>
      </c>
      <c r="BE37" s="1629" t="str">
        <f>CONCATENATE(Plantillas!Y452,Plantillas!Z452)</f>
        <v/>
      </c>
      <c r="BF37" s="1617">
        <f>Plantillas!AE452</f>
        <v>0</v>
      </c>
      <c r="BG37" s="1633">
        <f>Plantillas!AF452</f>
        <v>0</v>
      </c>
      <c r="BH37" s="1629" t="str">
        <f>CONCATENATE(Plantillas!Y492,Plantillas!Z492)</f>
        <v/>
      </c>
      <c r="BI37" s="1617">
        <f>Plantillas!AE492</f>
        <v>0</v>
      </c>
      <c r="BJ37" s="1633">
        <f>Plantillas!AF492</f>
        <v>0</v>
      </c>
      <c r="BK37" s="1629" t="str">
        <f>CONCATENATE(Plantillas!Y532,Plantillas!Z532)</f>
        <v/>
      </c>
      <c r="BL37" s="1617">
        <f>Plantillas!AE532</f>
        <v>0</v>
      </c>
      <c r="BM37" s="1633">
        <f>Plantillas!AF532</f>
        <v>0</v>
      </c>
      <c r="BN37" s="1629" t="str">
        <f>CONCATENATE(Plantillas!Y572,Plantillas!Z572)</f>
        <v/>
      </c>
      <c r="BO37" s="1617">
        <f>Plantillas!AE572</f>
        <v>0</v>
      </c>
      <c r="BP37" s="1633">
        <f>Plantillas!AF572</f>
        <v>0</v>
      </c>
      <c r="BQ37" s="1629" t="str">
        <f>CONCATENATE(Plantillas!Y612,Plantillas!Z612)</f>
        <v/>
      </c>
      <c r="BR37" s="1617">
        <f>Plantillas!AE612</f>
        <v>0</v>
      </c>
      <c r="BS37" s="1633">
        <f>Plantillas!AF612</f>
        <v>0</v>
      </c>
      <c r="BT37" s="1629" t="str">
        <f>CONCATENATE(Plantillas!Y652,Plantillas!Z652)</f>
        <v/>
      </c>
      <c r="BU37" s="1617">
        <f>Plantillas!AE652</f>
        <v>0</v>
      </c>
      <c r="BV37" s="1633">
        <f>Plantillas!AF652</f>
        <v>0</v>
      </c>
      <c r="BW37" s="1619"/>
      <c r="CU37" s="3441"/>
    </row>
    <row r="38" spans="1:99" ht="3.75" customHeight="1">
      <c r="A38" s="1755">
        <v>0</v>
      </c>
      <c r="B38" s="1395"/>
      <c r="C38" s="1395"/>
      <c r="D38" s="1395"/>
      <c r="E38" s="1395"/>
      <c r="F38" s="1395"/>
      <c r="G38" s="1395"/>
      <c r="H38" s="1395"/>
      <c r="I38" s="1395"/>
      <c r="J38" s="1395"/>
      <c r="K38" s="1395"/>
      <c r="L38" s="1395"/>
      <c r="M38" s="1395"/>
      <c r="N38" s="1395"/>
      <c r="O38" s="1395"/>
      <c r="P38" s="1395"/>
      <c r="Q38" s="1395"/>
      <c r="R38" s="1395"/>
      <c r="S38" s="1395"/>
      <c r="T38" s="1388"/>
      <c r="U38" s="1755">
        <v>0</v>
      </c>
      <c r="V38" s="1607">
        <v>16</v>
      </c>
      <c r="W38" s="1624" t="str">
        <f>HLOOKUP(W21,AA21:BV40,18)</f>
        <v/>
      </c>
      <c r="X38" s="1618">
        <f>HLOOKUP(X21,AA21:BV40,18)</f>
        <v>0</v>
      </c>
      <c r="Y38" s="1619">
        <f>HLOOKUP(Y21,AA21:BV40,18)</f>
        <v>0</v>
      </c>
      <c r="Z38" s="1612">
        <f t="shared" si="2"/>
        <v>0</v>
      </c>
      <c r="AA38" s="1632" t="str">
        <f>CONCATENATE(Plantillas!Y53,Plantillas!Z53)</f>
        <v/>
      </c>
      <c r="AB38" s="1617">
        <f>Plantillas!AE53</f>
        <v>0</v>
      </c>
      <c r="AC38" s="1633">
        <f>Plantillas!AF53</f>
        <v>0</v>
      </c>
      <c r="AD38" s="1631" t="str">
        <f>CONCATENATE(Plantillas!Y93,Plantillas!Z93)</f>
        <v/>
      </c>
      <c r="AE38" s="1617">
        <f>Plantillas!AE93</f>
        <v>0</v>
      </c>
      <c r="AF38" s="1633">
        <f>Plantillas!AF93</f>
        <v>0</v>
      </c>
      <c r="AG38" s="1631" t="str">
        <f>CONCATENATE(Plantillas!Y133,Plantillas!Z133)</f>
        <v/>
      </c>
      <c r="AH38" s="1617">
        <f>Plantillas!AE133</f>
        <v>0</v>
      </c>
      <c r="AI38" s="1633">
        <f>Plantillas!AF133</f>
        <v>0</v>
      </c>
      <c r="AJ38" s="1631" t="str">
        <f>CONCATENATE(Plantillas!Y173,Plantillas!Z173)</f>
        <v/>
      </c>
      <c r="AK38" s="1617">
        <f>Plantillas!AE173</f>
        <v>0</v>
      </c>
      <c r="AL38" s="1633">
        <f>Plantillas!AF173</f>
        <v>0</v>
      </c>
      <c r="AM38" s="1631" t="str">
        <f>CONCATENATE(Plantillas!Y213,Plantillas!Z213)</f>
        <v/>
      </c>
      <c r="AN38" s="1617">
        <f>Plantillas!AE213</f>
        <v>0</v>
      </c>
      <c r="AO38" s="1633">
        <f>Plantillas!AF213</f>
        <v>0</v>
      </c>
      <c r="AP38" s="1631" t="str">
        <f>CONCATENATE(Plantillas!Y253,Plantillas!Z253)</f>
        <v/>
      </c>
      <c r="AQ38" s="1617">
        <f>Plantillas!AE253</f>
        <v>0</v>
      </c>
      <c r="AR38" s="1633">
        <f>Plantillas!AF253</f>
        <v>0</v>
      </c>
      <c r="AS38" s="1631" t="str">
        <f>CONCATENATE(Plantillas!Y293,Plantillas!Z293)</f>
        <v/>
      </c>
      <c r="AT38" s="1617">
        <f>Plantillas!AE293</f>
        <v>0</v>
      </c>
      <c r="AU38" s="1633">
        <f>Plantillas!AF293</f>
        <v>0</v>
      </c>
      <c r="AV38" s="1631" t="str">
        <f>CONCATENATE(Plantillas!Y333,Plantillas!Z333)</f>
        <v/>
      </c>
      <c r="AW38" s="1617">
        <f>Plantillas!AE333</f>
        <v>0</v>
      </c>
      <c r="AX38" s="1633">
        <f>Plantillas!AF333</f>
        <v>0</v>
      </c>
      <c r="AY38" s="1631" t="str">
        <f>CONCATENATE(Plantillas!Y373,Plantillas!Z373)</f>
        <v/>
      </c>
      <c r="AZ38" s="1617">
        <f>Plantillas!AE373</f>
        <v>0</v>
      </c>
      <c r="BA38" s="1633">
        <f>Plantillas!AF373</f>
        <v>0</v>
      </c>
      <c r="BB38" s="1631" t="str">
        <f>CONCATENATE(Plantillas!Y413,Plantillas!Z413)</f>
        <v/>
      </c>
      <c r="BC38" s="1617">
        <f>Plantillas!AE413</f>
        <v>0</v>
      </c>
      <c r="BD38" s="1633">
        <f>Plantillas!AF413</f>
        <v>0</v>
      </c>
      <c r="BE38" s="1629" t="str">
        <f>CONCATENATE(Plantillas!Y453,Plantillas!Z453)</f>
        <v/>
      </c>
      <c r="BF38" s="1617">
        <f>Plantillas!AE453</f>
        <v>0</v>
      </c>
      <c r="BG38" s="1633">
        <f>Plantillas!AF453</f>
        <v>0</v>
      </c>
      <c r="BH38" s="1629" t="str">
        <f>CONCATENATE(Plantillas!Y493,Plantillas!Z493)</f>
        <v/>
      </c>
      <c r="BI38" s="1617">
        <f>Plantillas!AE493</f>
        <v>0</v>
      </c>
      <c r="BJ38" s="1633">
        <f>Plantillas!AF493</f>
        <v>0</v>
      </c>
      <c r="BK38" s="1629" t="str">
        <f>CONCATENATE(Plantillas!Y533,Plantillas!Z533)</f>
        <v/>
      </c>
      <c r="BL38" s="1617">
        <f>Plantillas!AE533</f>
        <v>0</v>
      </c>
      <c r="BM38" s="1633">
        <f>Plantillas!AF533</f>
        <v>0</v>
      </c>
      <c r="BN38" s="1629" t="str">
        <f>CONCATENATE(Plantillas!Y573,Plantillas!Z573)</f>
        <v/>
      </c>
      <c r="BO38" s="1617">
        <f>Plantillas!AE573</f>
        <v>0</v>
      </c>
      <c r="BP38" s="1633">
        <f>Plantillas!AF573</f>
        <v>0</v>
      </c>
      <c r="BQ38" s="1629" t="str">
        <f>CONCATENATE(Plantillas!Y613,Plantillas!Z613)</f>
        <v/>
      </c>
      <c r="BR38" s="1617">
        <f>Plantillas!AE613</f>
        <v>0</v>
      </c>
      <c r="BS38" s="1633">
        <f>Plantillas!AF613</f>
        <v>0</v>
      </c>
      <c r="BT38" s="1629" t="str">
        <f>CONCATENATE(Plantillas!Y653,Plantillas!Z653)</f>
        <v/>
      </c>
      <c r="BU38" s="1617">
        <f>Plantillas!AE653</f>
        <v>0</v>
      </c>
      <c r="BV38" s="1633">
        <f>Plantillas!AF653</f>
        <v>0</v>
      </c>
      <c r="BW38" s="1619"/>
    </row>
    <row r="39" spans="1:99" ht="12" customHeight="1">
      <c r="A39" s="1755">
        <v>0</v>
      </c>
      <c r="B39" s="2653"/>
      <c r="C39" s="2654"/>
      <c r="D39" s="5310" t="str">
        <f>VLOOKUP(C41,BW2:BX21,2,2)</f>
        <v>CERVANTES BENITEZ * ANTONIA</v>
      </c>
      <c r="E39" s="5310"/>
      <c r="F39" s="5310"/>
      <c r="G39" s="5310"/>
      <c r="H39" s="5310"/>
      <c r="I39" s="2653"/>
      <c r="J39" s="5316" t="str">
        <f>VLOOKUP(I41,BW2:BX21,2,2)</f>
        <v>ARANDA ESCALANTE * ARELI GUADALUPE</v>
      </c>
      <c r="K39" s="5316"/>
      <c r="L39" s="5316"/>
      <c r="M39" s="5316"/>
      <c r="N39" s="5316"/>
      <c r="O39" s="5316"/>
      <c r="P39" s="3220"/>
      <c r="Q39" s="5316" t="str">
        <f>VLOOKUP(P41,BW2:BX21,2,2)</f>
        <v>AKE QUEB * MARIANA DEL CONSUELO</v>
      </c>
      <c r="R39" s="5316"/>
      <c r="S39" s="5316"/>
      <c r="T39" s="5316"/>
      <c r="U39" s="1755">
        <v>0</v>
      </c>
      <c r="V39" s="1607">
        <v>17</v>
      </c>
      <c r="W39" s="1624" t="str">
        <f>HLOOKUP(W21,AA21:BV40,19)</f>
        <v/>
      </c>
      <c r="X39" s="1618">
        <f>HLOOKUP(X21,AA21:BV40,19)</f>
        <v>0</v>
      </c>
      <c r="Y39" s="1619">
        <f>HLOOKUP(Y21,AA21:BV40,19)</f>
        <v>0</v>
      </c>
      <c r="Z39" s="1612">
        <f t="shared" si="2"/>
        <v>0</v>
      </c>
      <c r="AA39" s="1632" t="str">
        <f>CONCATENATE(Plantillas!Y54,Plantillas!Z54)</f>
        <v/>
      </c>
      <c r="AB39" s="1617">
        <f>Plantillas!AE54</f>
        <v>0</v>
      </c>
      <c r="AC39" s="1633">
        <f>Plantillas!AF54</f>
        <v>0</v>
      </c>
      <c r="AD39" s="1631" t="str">
        <f>CONCATENATE(Plantillas!Y94,Plantillas!Z94)</f>
        <v/>
      </c>
      <c r="AE39" s="1617">
        <f>Plantillas!AE94</f>
        <v>0</v>
      </c>
      <c r="AF39" s="1633">
        <f>Plantillas!AF94</f>
        <v>0</v>
      </c>
      <c r="AG39" s="1631" t="str">
        <f>CONCATENATE(Plantillas!Y134,Plantillas!Z134)</f>
        <v/>
      </c>
      <c r="AH39" s="1617">
        <f>Plantillas!AE134</f>
        <v>0</v>
      </c>
      <c r="AI39" s="1633">
        <f>Plantillas!AF134</f>
        <v>0</v>
      </c>
      <c r="AJ39" s="1631" t="str">
        <f>CONCATENATE(Plantillas!Y174,Plantillas!Z174)</f>
        <v/>
      </c>
      <c r="AK39" s="1617">
        <f>Plantillas!AE174</f>
        <v>0</v>
      </c>
      <c r="AL39" s="1633">
        <f>Plantillas!AF174</f>
        <v>0</v>
      </c>
      <c r="AM39" s="1631" t="str">
        <f>CONCATENATE(Plantillas!Y214,Plantillas!Z214)</f>
        <v/>
      </c>
      <c r="AN39" s="1617">
        <f>Plantillas!AE214</f>
        <v>0</v>
      </c>
      <c r="AO39" s="1633">
        <f>Plantillas!AF214</f>
        <v>0</v>
      </c>
      <c r="AP39" s="1631" t="str">
        <f>CONCATENATE(Plantillas!Y254,Plantillas!Z254)</f>
        <v/>
      </c>
      <c r="AQ39" s="1617">
        <f>Plantillas!AE254</f>
        <v>0</v>
      </c>
      <c r="AR39" s="1633">
        <f>Plantillas!AF254</f>
        <v>0</v>
      </c>
      <c r="AS39" s="1631" t="str">
        <f>CONCATENATE(Plantillas!Y294,Plantillas!Z294)</f>
        <v/>
      </c>
      <c r="AT39" s="1617">
        <f>Plantillas!AE294</f>
        <v>0</v>
      </c>
      <c r="AU39" s="1633">
        <f>Plantillas!AF294</f>
        <v>0</v>
      </c>
      <c r="AV39" s="1631" t="str">
        <f>CONCATENATE(Plantillas!Y334,Plantillas!Z334)</f>
        <v/>
      </c>
      <c r="AW39" s="1617">
        <f>Plantillas!AE334</f>
        <v>0</v>
      </c>
      <c r="AX39" s="1633">
        <f>Plantillas!AF334</f>
        <v>0</v>
      </c>
      <c r="AY39" s="1631" t="str">
        <f>CONCATENATE(Plantillas!Y374,Plantillas!Z374)</f>
        <v/>
      </c>
      <c r="AZ39" s="1617">
        <f>Plantillas!AE374</f>
        <v>0</v>
      </c>
      <c r="BA39" s="1633">
        <f>Plantillas!AF374</f>
        <v>0</v>
      </c>
      <c r="BB39" s="1631" t="str">
        <f>CONCATENATE(Plantillas!Y414,Plantillas!Z414)</f>
        <v/>
      </c>
      <c r="BC39" s="1617">
        <f>Plantillas!AE414</f>
        <v>0</v>
      </c>
      <c r="BD39" s="1633">
        <f>Plantillas!AF414</f>
        <v>0</v>
      </c>
      <c r="BE39" s="1629" t="str">
        <f>CONCATENATE(Plantillas!Y454,Plantillas!Z454)</f>
        <v/>
      </c>
      <c r="BF39" s="1617">
        <f>Plantillas!AE454</f>
        <v>0</v>
      </c>
      <c r="BG39" s="1633">
        <f>Plantillas!AF454</f>
        <v>0</v>
      </c>
      <c r="BH39" s="1629" t="str">
        <f>CONCATENATE(Plantillas!Y494,Plantillas!Z494)</f>
        <v/>
      </c>
      <c r="BI39" s="1617">
        <f>Plantillas!AE494</f>
        <v>0</v>
      </c>
      <c r="BJ39" s="1633">
        <f>Plantillas!AF494</f>
        <v>0</v>
      </c>
      <c r="BK39" s="1629" t="str">
        <f>CONCATENATE(Plantillas!Y534,Plantillas!Z534)</f>
        <v/>
      </c>
      <c r="BL39" s="1617">
        <f>Plantillas!AE534</f>
        <v>0</v>
      </c>
      <c r="BM39" s="1633">
        <f>Plantillas!AF534</f>
        <v>0</v>
      </c>
      <c r="BN39" s="1629" t="str">
        <f>CONCATENATE(Plantillas!Y574,Plantillas!Z574)</f>
        <v/>
      </c>
      <c r="BO39" s="1617">
        <f>Plantillas!AE574</f>
        <v>0</v>
      </c>
      <c r="BP39" s="1633">
        <f>Plantillas!AF574</f>
        <v>0</v>
      </c>
      <c r="BQ39" s="1629" t="str">
        <f>CONCATENATE(Plantillas!Y614,Plantillas!Z614)</f>
        <v/>
      </c>
      <c r="BR39" s="1617">
        <f>Plantillas!AE614</f>
        <v>0</v>
      </c>
      <c r="BS39" s="1633">
        <f>Plantillas!AF614</f>
        <v>0</v>
      </c>
      <c r="BT39" s="1629" t="str">
        <f>CONCATENATE(Plantillas!Y654,Plantillas!Z654)</f>
        <v/>
      </c>
      <c r="BU39" s="1617">
        <f>Plantillas!AE654</f>
        <v>0</v>
      </c>
      <c r="BV39" s="1633">
        <f>Plantillas!AF654</f>
        <v>0</v>
      </c>
      <c r="BW39" s="1619"/>
    </row>
    <row r="40" spans="1:99" ht="12" customHeight="1">
      <c r="A40" s="1755">
        <v>0</v>
      </c>
      <c r="B40" s="1395" t="s">
        <v>491</v>
      </c>
      <c r="C40" s="1396"/>
      <c r="D40" s="5311">
        <f>J40-1</f>
        <v>0</v>
      </c>
      <c r="E40" s="5311"/>
      <c r="F40" s="5292" t="str">
        <f>R40</f>
        <v>2do. Informe</v>
      </c>
      <c r="G40" s="5292"/>
      <c r="H40" s="5292"/>
      <c r="I40" s="1395"/>
      <c r="J40" s="5311">
        <f>Q40-1</f>
        <v>1</v>
      </c>
      <c r="K40" s="5311"/>
      <c r="L40" s="5311"/>
      <c r="M40" s="5292" t="str">
        <f>R40</f>
        <v>2do. Informe</v>
      </c>
      <c r="N40" s="5292"/>
      <c r="O40" s="5292"/>
      <c r="P40" s="2602">
        <v>1</v>
      </c>
      <c r="Q40" s="3442">
        <v>2</v>
      </c>
      <c r="R40" s="5292" t="s">
        <v>2703</v>
      </c>
      <c r="S40" s="5292"/>
      <c r="T40" s="5292"/>
      <c r="U40" s="1755">
        <v>0</v>
      </c>
      <c r="V40" s="1607">
        <v>18</v>
      </c>
      <c r="W40" s="1625" t="str">
        <f>HLOOKUP(W21,AA21:BV40,20)</f>
        <v/>
      </c>
      <c r="X40" s="1621">
        <f>HLOOKUP(X21,AA21:BV40,20)</f>
        <v>0</v>
      </c>
      <c r="Y40" s="1622">
        <f>HLOOKUP(Y21,AA21:BV40,20)</f>
        <v>0</v>
      </c>
      <c r="Z40" s="1613">
        <f t="shared" si="2"/>
        <v>0</v>
      </c>
      <c r="AA40" s="1632" t="str">
        <f>CONCATENATE(Plantillas!Y55,Plantillas!Z55)</f>
        <v/>
      </c>
      <c r="AB40" s="1617">
        <f>Plantillas!AE55</f>
        <v>0</v>
      </c>
      <c r="AC40" s="1633">
        <f>Plantillas!AF55</f>
        <v>0</v>
      </c>
      <c r="AD40" s="1631" t="str">
        <f>CONCATENATE(Plantillas!Y95,Plantillas!Z95)</f>
        <v/>
      </c>
      <c r="AE40" s="1617">
        <f>Plantillas!AE95</f>
        <v>0</v>
      </c>
      <c r="AF40" s="1633">
        <f>Plantillas!AF95</f>
        <v>0</v>
      </c>
      <c r="AG40" s="1631" t="str">
        <f>CONCATENATE(Plantillas!Y135,Plantillas!Z135)</f>
        <v/>
      </c>
      <c r="AH40" s="1617">
        <f>Plantillas!AE135</f>
        <v>0</v>
      </c>
      <c r="AI40" s="1633">
        <f>Plantillas!AF135</f>
        <v>0</v>
      </c>
      <c r="AJ40" s="1631" t="str">
        <f>CONCATENATE(Plantillas!Y175,Plantillas!Z175)</f>
        <v/>
      </c>
      <c r="AK40" s="1617">
        <f>Plantillas!AE175</f>
        <v>0</v>
      </c>
      <c r="AL40" s="1633">
        <f>Plantillas!AF175</f>
        <v>0</v>
      </c>
      <c r="AM40" s="1631" t="str">
        <f>CONCATENATE(Plantillas!Y215,Plantillas!Z215)</f>
        <v/>
      </c>
      <c r="AN40" s="1617">
        <f>Plantillas!AE215</f>
        <v>0</v>
      </c>
      <c r="AO40" s="1633">
        <f>Plantillas!AF215</f>
        <v>0</v>
      </c>
      <c r="AP40" s="1631" t="str">
        <f>CONCATENATE(Plantillas!Y255,Plantillas!Z255)</f>
        <v/>
      </c>
      <c r="AQ40" s="1617">
        <f>Plantillas!AE255</f>
        <v>0</v>
      </c>
      <c r="AR40" s="1633">
        <f>Plantillas!AF255</f>
        <v>0</v>
      </c>
      <c r="AS40" s="1631" t="str">
        <f>CONCATENATE(Plantillas!Y295,Plantillas!Z295)</f>
        <v/>
      </c>
      <c r="AT40" s="1617">
        <f>Plantillas!AE295</f>
        <v>0</v>
      </c>
      <c r="AU40" s="1633">
        <f>Plantillas!AF295</f>
        <v>0</v>
      </c>
      <c r="AV40" s="1631" t="str">
        <f>CONCATENATE(Plantillas!Y335,Plantillas!Z335)</f>
        <v/>
      </c>
      <c r="AW40" s="1617">
        <f>Plantillas!AE335</f>
        <v>0</v>
      </c>
      <c r="AX40" s="1633">
        <f>Plantillas!AF335</f>
        <v>0</v>
      </c>
      <c r="AY40" s="1631" t="str">
        <f>CONCATENATE(Plantillas!X375,Plantillas!Y375)</f>
        <v/>
      </c>
      <c r="AZ40" s="1617">
        <f>Plantillas!AE375</f>
        <v>0</v>
      </c>
      <c r="BA40" s="1633">
        <f>Plantillas!AF375</f>
        <v>0</v>
      </c>
      <c r="BB40" s="1631" t="str">
        <f>CONCATENATE(Plantillas!Y415,Plantillas!Z415)</f>
        <v/>
      </c>
      <c r="BC40" s="1617">
        <f>Plantillas!AE415</f>
        <v>0</v>
      </c>
      <c r="BD40" s="1633">
        <f>Plantillas!AF415</f>
        <v>0</v>
      </c>
      <c r="BE40" s="1629" t="str">
        <f>CONCATENATE(Plantillas!Y455,Plantillas!Z455)</f>
        <v/>
      </c>
      <c r="BF40" s="1617">
        <f>Plantillas!AE455</f>
        <v>0</v>
      </c>
      <c r="BG40" s="1633">
        <f>Plantillas!AF455</f>
        <v>0</v>
      </c>
      <c r="BH40" s="1629" t="str">
        <f>CONCATENATE(Plantillas!Y495,Plantillas!Z495)</f>
        <v/>
      </c>
      <c r="BI40" s="1617">
        <f>Plantillas!AE495</f>
        <v>0</v>
      </c>
      <c r="BJ40" s="1633">
        <f>Plantillas!AF495</f>
        <v>0</v>
      </c>
      <c r="BK40" s="1629" t="str">
        <f>CONCATENATE(Plantillas!Y535,Plantillas!Z535)</f>
        <v/>
      </c>
      <c r="BL40" s="1617">
        <f>Plantillas!AE535</f>
        <v>0</v>
      </c>
      <c r="BM40" s="1633">
        <f>Plantillas!AF535</f>
        <v>0</v>
      </c>
      <c r="BN40" s="1629" t="str">
        <f>CONCATENATE(Plantillas!Y575,Plantillas!Z575)</f>
        <v/>
      </c>
      <c r="BO40" s="1617">
        <f>Plantillas!AE575</f>
        <v>0</v>
      </c>
      <c r="BP40" s="1633">
        <f>Plantillas!AF575</f>
        <v>0</v>
      </c>
      <c r="BQ40" s="1629" t="str">
        <f>CONCATENATE(Plantillas!Y615,Plantillas!Z615)</f>
        <v/>
      </c>
      <c r="BR40" s="1617">
        <f>Plantillas!AE615</f>
        <v>0</v>
      </c>
      <c r="BS40" s="1633">
        <f>Plantillas!AF615</f>
        <v>0</v>
      </c>
      <c r="BT40" s="1629" t="str">
        <f>CONCATENATE(Plantillas!Y655,Plantillas!Z655)</f>
        <v/>
      </c>
      <c r="BU40" s="1617">
        <f>Plantillas!AE655</f>
        <v>0</v>
      </c>
      <c r="BV40" s="1633">
        <f>Plantillas!AF655</f>
        <v>0</v>
      </c>
      <c r="BW40" s="1619"/>
    </row>
    <row r="41" spans="1:99" ht="12" customHeight="1">
      <c r="A41" s="1755">
        <v>0</v>
      </c>
      <c r="B41" s="1756"/>
      <c r="C41" s="1666">
        <f>D40</f>
        <v>0</v>
      </c>
      <c r="D41" s="5305" t="str">
        <f>VLOOKUP(C41,V22:Z40,2,5)</f>
        <v/>
      </c>
      <c r="E41" s="5306"/>
      <c r="F41" s="3226" t="s">
        <v>406</v>
      </c>
      <c r="G41" s="3227" t="s">
        <v>407</v>
      </c>
      <c r="H41" s="3228" t="s">
        <v>495</v>
      </c>
      <c r="I41" s="1666">
        <f>J40</f>
        <v>1</v>
      </c>
      <c r="J41" s="5297" t="str">
        <f>VLOOKUP(I41,V22:Z40,2,5)</f>
        <v>1ºA</v>
      </c>
      <c r="K41" s="5297"/>
      <c r="L41" s="5297"/>
      <c r="M41" s="3226" t="s">
        <v>406</v>
      </c>
      <c r="N41" s="3227" t="s">
        <v>407</v>
      </c>
      <c r="O41" s="3228" t="s">
        <v>495</v>
      </c>
      <c r="P41" s="1666">
        <f>Q40</f>
        <v>2</v>
      </c>
      <c r="Q41" s="3228" t="str">
        <f>VLOOKUP(Q40,V22:Z40,2,5)</f>
        <v>1ºB</v>
      </c>
      <c r="R41" s="3226" t="s">
        <v>406</v>
      </c>
      <c r="S41" s="3227" t="s">
        <v>407</v>
      </c>
      <c r="T41" s="3228" t="s">
        <v>495</v>
      </c>
      <c r="U41" s="1755">
        <v>0</v>
      </c>
      <c r="V41" s="1607"/>
      <c r="W41" s="1616">
        <f>VLOOKUP(P40,R49:S66,2)</f>
        <v>1</v>
      </c>
      <c r="X41" s="1615">
        <f>W41+1</f>
        <v>2</v>
      </c>
      <c r="Y41" s="1616">
        <f>W41+2</f>
        <v>3</v>
      </c>
      <c r="Z41" s="1611">
        <f>W41+3</f>
        <v>4</v>
      </c>
      <c r="AA41" s="1629">
        <v>1</v>
      </c>
      <c r="AB41" s="1615">
        <v>2</v>
      </c>
      <c r="AC41" s="1630">
        <v>3</v>
      </c>
      <c r="AD41" s="1631">
        <v>5</v>
      </c>
      <c r="AE41" s="1615">
        <v>6</v>
      </c>
      <c r="AF41" s="1630">
        <v>7</v>
      </c>
      <c r="AG41" s="1631">
        <v>9</v>
      </c>
      <c r="AH41" s="1615">
        <v>10</v>
      </c>
      <c r="AI41" s="1630">
        <v>11</v>
      </c>
      <c r="AJ41" s="1631">
        <v>13</v>
      </c>
      <c r="AK41" s="1615">
        <v>14</v>
      </c>
      <c r="AL41" s="1630">
        <v>15</v>
      </c>
      <c r="AM41" s="1631">
        <v>17</v>
      </c>
      <c r="AN41" s="1615">
        <v>18</v>
      </c>
      <c r="AO41" s="1630">
        <v>19</v>
      </c>
      <c r="AP41" s="1631">
        <v>21</v>
      </c>
      <c r="AQ41" s="1615">
        <v>22</v>
      </c>
      <c r="AR41" s="1630">
        <v>23</v>
      </c>
      <c r="AS41" s="1631">
        <v>25</v>
      </c>
      <c r="AT41" s="1615">
        <v>26</v>
      </c>
      <c r="AU41" s="1630">
        <v>27</v>
      </c>
      <c r="AV41" s="1631">
        <v>29</v>
      </c>
      <c r="AW41" s="1615">
        <v>30</v>
      </c>
      <c r="AX41" s="1630">
        <v>31</v>
      </c>
      <c r="AY41" s="1631">
        <v>33</v>
      </c>
      <c r="AZ41" s="1615">
        <v>34</v>
      </c>
      <c r="BA41" s="1630">
        <v>35</v>
      </c>
      <c r="BB41" s="1631">
        <v>37</v>
      </c>
      <c r="BC41" s="1615">
        <v>38</v>
      </c>
      <c r="BD41" s="1630">
        <v>39</v>
      </c>
      <c r="BE41" s="1629">
        <v>41</v>
      </c>
      <c r="BF41" s="1615">
        <v>42</v>
      </c>
      <c r="BG41" s="1630">
        <v>43</v>
      </c>
      <c r="BH41" s="1629">
        <v>45</v>
      </c>
      <c r="BI41" s="1615">
        <v>46</v>
      </c>
      <c r="BJ41" s="1630">
        <v>47</v>
      </c>
      <c r="BK41" s="1629">
        <v>49</v>
      </c>
      <c r="BL41" s="1615">
        <v>50</v>
      </c>
      <c r="BM41" s="1630">
        <v>51</v>
      </c>
      <c r="BN41" s="1629">
        <v>53</v>
      </c>
      <c r="BO41" s="1615">
        <v>54</v>
      </c>
      <c r="BP41" s="1630">
        <v>55</v>
      </c>
      <c r="BQ41" s="1629">
        <v>57</v>
      </c>
      <c r="BR41" s="1615">
        <v>58</v>
      </c>
      <c r="BS41" s="1630">
        <v>59</v>
      </c>
      <c r="BT41" s="1629">
        <v>61</v>
      </c>
      <c r="BU41" s="1615">
        <v>62</v>
      </c>
      <c r="BV41" s="1630">
        <v>63</v>
      </c>
      <c r="BW41" s="1619"/>
    </row>
    <row r="42" spans="1:99" ht="12" customHeight="1">
      <c r="A42" s="1755">
        <v>0</v>
      </c>
      <c r="B42" s="1757"/>
      <c r="C42" s="1608">
        <f>I42</f>
        <v>1</v>
      </c>
      <c r="D42" s="5298" t="s">
        <v>1126</v>
      </c>
      <c r="E42" s="5298"/>
      <c r="F42" s="3234">
        <f>VLOOKUP(C41,V2:Z20,3,5)</f>
        <v>0</v>
      </c>
      <c r="G42" s="3234">
        <f>VLOOKUP(C41,V2:Z20,4,5)</f>
        <v>0</v>
      </c>
      <c r="H42" s="3234">
        <f>SUM(F42:G42)</f>
        <v>0</v>
      </c>
      <c r="I42" s="1608">
        <f>P40</f>
        <v>1</v>
      </c>
      <c r="J42" s="5298" t="s">
        <v>1126</v>
      </c>
      <c r="K42" s="5298"/>
      <c r="L42" s="5298"/>
      <c r="M42" s="3236">
        <f>VLOOKUP(I41,V2:Z20,3,5)</f>
        <v>17</v>
      </c>
      <c r="N42" s="3236">
        <f>VLOOKUP(I41,V2:Z20,4,5)</f>
        <v>13</v>
      </c>
      <c r="O42" s="3236">
        <f>SUM(M42:N42)</f>
        <v>30</v>
      </c>
      <c r="Q42" s="3473" t="s">
        <v>1126</v>
      </c>
      <c r="R42" s="3236">
        <f>VLOOKUP(P41,V2:Z20,3,5)</f>
        <v>15</v>
      </c>
      <c r="S42" s="3236">
        <f>VLOOKUP(P41,V2:Z20,4,5)</f>
        <v>12</v>
      </c>
      <c r="T42" s="3236">
        <f>SUM(R42:S42)</f>
        <v>27</v>
      </c>
      <c r="U42" s="1755">
        <v>0</v>
      </c>
      <c r="V42" s="1607">
        <v>0</v>
      </c>
      <c r="W42" s="1626" t="str">
        <f>HLOOKUP(W41,AA41:BV60,2)</f>
        <v/>
      </c>
      <c r="X42" s="1618">
        <f>HLOOKUP(X41,AA41:BV60,2)</f>
        <v>0</v>
      </c>
      <c r="Y42" s="1619">
        <f>HLOOKUP(Y41,AA41:BV60,2)</f>
        <v>0</v>
      </c>
      <c r="Z42" s="1612">
        <f>X42+Y42</f>
        <v>0</v>
      </c>
      <c r="AA42" s="1632" t="str">
        <f>CONCATENATE(Plantillas!Y37,Plantillas!Z37)</f>
        <v/>
      </c>
      <c r="AB42" s="1617">
        <f>Plantillas!AG37</f>
        <v>0</v>
      </c>
      <c r="AC42" s="1633">
        <f>Plantillas!AH37</f>
        <v>0</v>
      </c>
      <c r="AD42" s="1631" t="str">
        <f>CONCATENATE(Plantillas!Y77,Plantillas!Z77)</f>
        <v/>
      </c>
      <c r="AE42" s="1617">
        <f>Plantillas!AG77</f>
        <v>0</v>
      </c>
      <c r="AF42" s="1633">
        <f>Plantillas!AH77</f>
        <v>0</v>
      </c>
      <c r="AG42" s="1631" t="str">
        <f>CONCATENATE(Plantillas!Y117,Plantillas!Z117)</f>
        <v/>
      </c>
      <c r="AH42" s="1634">
        <f>Plantillas!AG117</f>
        <v>0</v>
      </c>
      <c r="AI42" s="1635">
        <f>Plantillas!AH117</f>
        <v>0</v>
      </c>
      <c r="AJ42" s="1631" t="str">
        <f>CONCATENATE(Plantillas!Y157,Plantillas!Z157)</f>
        <v/>
      </c>
      <c r="AK42" s="1617">
        <f>Plantillas!AG157</f>
        <v>0</v>
      </c>
      <c r="AL42" s="1633">
        <f>Plantillas!AH157</f>
        <v>0</v>
      </c>
      <c r="AM42" s="1631" t="str">
        <f>CONCATENATE(Plantillas!Y197,Plantillas!Z197)</f>
        <v/>
      </c>
      <c r="AN42" s="1617">
        <f>Plantillas!AG197</f>
        <v>0</v>
      </c>
      <c r="AO42" s="1633">
        <f>Plantillas!AH197</f>
        <v>0</v>
      </c>
      <c r="AP42" s="1631" t="str">
        <f>CONCATENATE(Plantillas!Y237,Plantillas!Z237)</f>
        <v/>
      </c>
      <c r="AQ42" s="1617">
        <f>Plantillas!AG237</f>
        <v>0</v>
      </c>
      <c r="AR42" s="1633">
        <f>Plantillas!AH237</f>
        <v>0</v>
      </c>
      <c r="AS42" s="1631" t="str">
        <f>CONCATENATE(Plantillas!Y277,Plantillas!Z277)</f>
        <v/>
      </c>
      <c r="AT42" s="1617">
        <f>Plantillas!AG277</f>
        <v>0</v>
      </c>
      <c r="AU42" s="1633">
        <f>Plantillas!AH277</f>
        <v>0</v>
      </c>
      <c r="AV42" s="1631" t="str">
        <f>CONCATENATE(Plantillas!Y317,Plantillas!Z317)</f>
        <v>5ºA</v>
      </c>
      <c r="AW42" s="1617">
        <f>Plantillas!AG317</f>
        <v>1</v>
      </c>
      <c r="AX42" s="1633">
        <f>Plantillas!AH317</f>
        <v>1</v>
      </c>
      <c r="AY42" s="1631" t="str">
        <f>CONCATENATE(Plantillas!Y357,Plantillas!Z357)</f>
        <v/>
      </c>
      <c r="AZ42" s="1617">
        <f>Plantillas!AG357</f>
        <v>0</v>
      </c>
      <c r="BA42" s="1633">
        <f>Plantillas!AH357</f>
        <v>0</v>
      </c>
      <c r="BB42" s="1631" t="str">
        <f>CONCATENATE(Plantillas!Y397,Plantillas!Z397)</f>
        <v/>
      </c>
      <c r="BC42" s="1617">
        <f>Plantillas!AG397</f>
        <v>0</v>
      </c>
      <c r="BD42" s="1633">
        <f>Plantillas!AH397</f>
        <v>0</v>
      </c>
      <c r="BE42" s="1629" t="str">
        <f>CONCATENATE(Plantillas!Y437,Plantillas!Z437)</f>
        <v>6ºA</v>
      </c>
      <c r="BF42" s="1617">
        <f>Plantillas!AG437</f>
        <v>0</v>
      </c>
      <c r="BG42" s="1633">
        <f>Plantillas!AH437</f>
        <v>0</v>
      </c>
      <c r="BH42" s="1629" t="str">
        <f>CONCATENATE(Plantillas!Y477,Plantillas!Z477)</f>
        <v>1ºA</v>
      </c>
      <c r="BI42" s="1617">
        <f>Plantillas!AG477</f>
        <v>1</v>
      </c>
      <c r="BJ42" s="1633">
        <f>Plantillas!AH477</f>
        <v>0</v>
      </c>
      <c r="BK42" s="1629" t="str">
        <f>CONCATENATE(Plantillas!Y517,Plantillas!Z517)</f>
        <v/>
      </c>
      <c r="BL42" s="1617">
        <f>Plantillas!AG517</f>
        <v>0</v>
      </c>
      <c r="BM42" s="1633">
        <f>Plantillas!AH517</f>
        <v>0</v>
      </c>
      <c r="BN42" s="1629" t="str">
        <f>CONCATENATE(Plantillas!Y557,Plantillas!Z557)</f>
        <v/>
      </c>
      <c r="BO42" s="1617">
        <f>Plantillas!AG557</f>
        <v>0</v>
      </c>
      <c r="BP42" s="1633">
        <f>Plantillas!AH557</f>
        <v>0</v>
      </c>
      <c r="BQ42" s="1629" t="str">
        <f>CONCATENATE(Plantillas!Y597,Plantillas!Z597)</f>
        <v>1ºA</v>
      </c>
      <c r="BR42" s="1634">
        <f>Plantillas!AG597</f>
        <v>1</v>
      </c>
      <c r="BS42" s="1635">
        <f>Plantillas!AH597</f>
        <v>0</v>
      </c>
      <c r="BT42" s="1629" t="str">
        <f>CONCATENATE(Plantillas!Y637,Plantillas!Z637)</f>
        <v/>
      </c>
      <c r="BU42" s="1634">
        <f>Plantillas!AG637</f>
        <v>0</v>
      </c>
      <c r="BV42" s="1635">
        <f>Plantillas!AH637</f>
        <v>0</v>
      </c>
      <c r="BW42" s="1619"/>
    </row>
    <row r="43" spans="1:99" ht="12" customHeight="1">
      <c r="A43" s="1755">
        <v>0</v>
      </c>
      <c r="B43" s="1667"/>
      <c r="C43" s="1666" t="str">
        <f>CONCATENATE(C5,L5)</f>
        <v>KABAH</v>
      </c>
      <c r="D43" s="5293" t="s">
        <v>423</v>
      </c>
      <c r="E43" s="5293"/>
      <c r="F43" s="3234">
        <f>VLOOKUP(C41,V22:Z40,3,5)</f>
        <v>0</v>
      </c>
      <c r="G43" s="3234">
        <f>VLOOKUP(C41,V22:Z40,4,5)</f>
        <v>0</v>
      </c>
      <c r="H43" s="3234">
        <f>SUM(F43:G43)</f>
        <v>0</v>
      </c>
      <c r="I43" s="1666" t="str">
        <f>CONCATENATE(C5,L5)</f>
        <v>KABAH</v>
      </c>
      <c r="J43" s="5293" t="s">
        <v>423</v>
      </c>
      <c r="K43" s="5293"/>
      <c r="L43" s="5293"/>
      <c r="M43" s="3236">
        <f>VLOOKUP(I41,V22:Z40,3,5)</f>
        <v>1</v>
      </c>
      <c r="N43" s="3236">
        <f>VLOOKUP(I41,V22:Z40,4,5)</f>
        <v>1</v>
      </c>
      <c r="O43" s="3236">
        <f>SUM(M43:N43)</f>
        <v>2</v>
      </c>
      <c r="P43" s="1666" t="str">
        <f>CONCATENATE(C5,L5)</f>
        <v>KABAH</v>
      </c>
      <c r="Q43" s="3474" t="s">
        <v>423</v>
      </c>
      <c r="R43" s="3236">
        <f>VLOOKUP(P41,V22:Z40,3,5)</f>
        <v>0</v>
      </c>
      <c r="S43" s="3236">
        <f>VLOOKUP(P41,V22:Z40,4,5)</f>
        <v>3</v>
      </c>
      <c r="T43" s="3236">
        <f>SUM(R43:S43)</f>
        <v>3</v>
      </c>
      <c r="U43" s="1755">
        <v>0</v>
      </c>
      <c r="V43" s="1607">
        <v>1</v>
      </c>
      <c r="W43" s="1626" t="str">
        <f>HLOOKUP(W41,AA41:BV60,3)</f>
        <v>1ºA</v>
      </c>
      <c r="X43" s="1618">
        <f>HLOOKUP(X41,AA41:BV60,3)</f>
        <v>2</v>
      </c>
      <c r="Y43" s="1619">
        <f>HLOOKUP(Y41,AA41:BV60,3)</f>
        <v>1</v>
      </c>
      <c r="Z43" s="1612">
        <f>X43+Y43</f>
        <v>3</v>
      </c>
      <c r="AA43" s="1632" t="str">
        <f>CONCATENATE(Plantillas!Y38,Plantillas!Z38)</f>
        <v>1ºA</v>
      </c>
      <c r="AB43" s="1617">
        <f>Plantillas!AG38</f>
        <v>2</v>
      </c>
      <c r="AC43" s="1633">
        <f>Plantillas!AH38</f>
        <v>1</v>
      </c>
      <c r="AD43" s="1631" t="str">
        <f>CONCATENATE(Plantillas!Y78,Plantillas!Z78)</f>
        <v>1ºA</v>
      </c>
      <c r="AE43" s="1617">
        <f>Plantillas!AG78</f>
        <v>1</v>
      </c>
      <c r="AF43" s="1633">
        <f>Plantillas!AH78</f>
        <v>1</v>
      </c>
      <c r="AG43" s="1631" t="str">
        <f>CONCATENATE(Plantillas!Y118,Plantillas!Z118)</f>
        <v>1ºA</v>
      </c>
      <c r="AH43" s="1617">
        <f>Plantillas!AG118</f>
        <v>1</v>
      </c>
      <c r="AI43" s="1633">
        <f>Plantillas!AH118</f>
        <v>2</v>
      </c>
      <c r="AJ43" s="1631" t="str">
        <f>CONCATENATE(Plantillas!Y158,Plantillas!Z158)</f>
        <v>1ºA</v>
      </c>
      <c r="AK43" s="1617">
        <f>Plantillas!AG158</f>
        <v>0</v>
      </c>
      <c r="AL43" s="1633">
        <f>Plantillas!AH158</f>
        <v>4</v>
      </c>
      <c r="AM43" s="1631" t="str">
        <f>CONCATENATE(Plantillas!Y198,Plantillas!Z198)</f>
        <v>1ºA</v>
      </c>
      <c r="AN43" s="1617">
        <f>Plantillas!AG198</f>
        <v>2</v>
      </c>
      <c r="AO43" s="1633">
        <f>Plantillas!AH198</f>
        <v>0</v>
      </c>
      <c r="AP43" s="1631" t="str">
        <f>CONCATENATE(Plantillas!Y238,Plantillas!Z238)</f>
        <v>1ºA</v>
      </c>
      <c r="AQ43" s="1617">
        <f>Plantillas!AG238</f>
        <v>1</v>
      </c>
      <c r="AR43" s="1633">
        <f>Plantillas!AH238</f>
        <v>2</v>
      </c>
      <c r="AS43" s="1631" t="str">
        <f>CONCATENATE(Plantillas!Y278,Plantillas!Z278)</f>
        <v>3ºA</v>
      </c>
      <c r="AT43" s="1617">
        <f>Plantillas!AG278</f>
        <v>2</v>
      </c>
      <c r="AU43" s="1633">
        <f>Plantillas!AH278</f>
        <v>0</v>
      </c>
      <c r="AV43" s="1631" t="str">
        <f>CONCATENATE(Plantillas!Y318,Plantillas!Z318)</f>
        <v>6ºA</v>
      </c>
      <c r="AW43" s="1617">
        <f>Plantillas!AG318</f>
        <v>4</v>
      </c>
      <c r="AX43" s="1633">
        <f>Plantillas!AH318</f>
        <v>2</v>
      </c>
      <c r="AY43" s="1631" t="str">
        <f>CONCATENATE(Plantillas!Y358,Plantillas!Z358)</f>
        <v>1ºA</v>
      </c>
      <c r="AZ43" s="1617">
        <f>Plantillas!AG358</f>
        <v>0</v>
      </c>
      <c r="BA43" s="1633">
        <f>Plantillas!AH358</f>
        <v>3</v>
      </c>
      <c r="BB43" s="1631" t="str">
        <f>CONCATENATE(Plantillas!Y398,Plantillas!Z398)</f>
        <v>1ºA</v>
      </c>
      <c r="BC43" s="1617">
        <f>Plantillas!AG398</f>
        <v>0</v>
      </c>
      <c r="BD43" s="1633">
        <f>Plantillas!AH398</f>
        <v>0</v>
      </c>
      <c r="BE43" s="1629" t="str">
        <f>CONCATENATE(Plantillas!Y438,Plantillas!Z438)</f>
        <v>1ºA</v>
      </c>
      <c r="BF43" s="1617">
        <f>Plantillas!AG438</f>
        <v>0</v>
      </c>
      <c r="BG43" s="1633">
        <f>Plantillas!AH438</f>
        <v>1</v>
      </c>
      <c r="BH43" s="1629" t="str">
        <f>CONCATENATE(Plantillas!Y478,Plantillas!Z478)</f>
        <v>2ºA</v>
      </c>
      <c r="BI43" s="1617">
        <f>Plantillas!AG478</f>
        <v>0</v>
      </c>
      <c r="BJ43" s="1633">
        <f>Plantillas!AH478</f>
        <v>1</v>
      </c>
      <c r="BK43" s="1629" t="str">
        <f>CONCATENATE(Plantillas!Y518,Plantillas!Z518)</f>
        <v>1ºA</v>
      </c>
      <c r="BL43" s="1617">
        <f>Plantillas!AG518</f>
        <v>0</v>
      </c>
      <c r="BM43" s="1633">
        <f>Plantillas!AH518</f>
        <v>0</v>
      </c>
      <c r="BN43" s="1629" t="str">
        <f>CONCATENATE(Plantillas!Y558,Plantillas!Z558)</f>
        <v>1ºA</v>
      </c>
      <c r="BO43" s="1617">
        <f>Plantillas!AG558</f>
        <v>1</v>
      </c>
      <c r="BP43" s="1633">
        <f>Plantillas!AH558</f>
        <v>0</v>
      </c>
      <c r="BQ43" s="1629" t="str">
        <f>CONCATENATE(Plantillas!Y598,Plantillas!Z598)</f>
        <v>1ºB</v>
      </c>
      <c r="BR43" s="1617">
        <f>Plantillas!AG598</f>
        <v>1</v>
      </c>
      <c r="BS43" s="1633">
        <f>Plantillas!AH598</f>
        <v>0</v>
      </c>
      <c r="BT43" s="1629" t="str">
        <f>CONCATENATE(Plantillas!Y638,Plantillas!Z638)</f>
        <v/>
      </c>
      <c r="BU43" s="1617">
        <f>Plantillas!AG638</f>
        <v>0</v>
      </c>
      <c r="BV43" s="1633">
        <f>Plantillas!AH638</f>
        <v>0</v>
      </c>
      <c r="BW43" s="1619"/>
    </row>
    <row r="44" spans="1:99" ht="12" customHeight="1">
      <c r="A44" s="1755">
        <v>0</v>
      </c>
      <c r="C44" s="1666" t="str">
        <f>CONCATENATE(I5,L5,J5,L5)</f>
        <v>TURNOMATUTINO</v>
      </c>
      <c r="D44" s="5294" t="s">
        <v>434</v>
      </c>
      <c r="E44" s="5294"/>
      <c r="F44" s="3234">
        <f>VLOOKUP(C41,V42:Z60,3,5)</f>
        <v>0</v>
      </c>
      <c r="G44" s="3234">
        <f>VLOOKUP(C41,V42:Z60,4,5)</f>
        <v>0</v>
      </c>
      <c r="H44" s="3234">
        <f>SUM(F44:G44)</f>
        <v>0</v>
      </c>
      <c r="I44" s="1666" t="str">
        <f>CONCATENATE(I5,L5,J5,L5)</f>
        <v>TURNOMATUTINO</v>
      </c>
      <c r="J44" s="5294" t="s">
        <v>434</v>
      </c>
      <c r="K44" s="5294"/>
      <c r="L44" s="5294"/>
      <c r="M44" s="3236">
        <f>VLOOKUP(I41,V42:Z60,3,5)</f>
        <v>2</v>
      </c>
      <c r="N44" s="3236">
        <f>VLOOKUP(I41,V42:Z60,4,5)</f>
        <v>1</v>
      </c>
      <c r="O44" s="3236">
        <f>SUM(M44:N44)</f>
        <v>3</v>
      </c>
      <c r="P44" s="1666" t="str">
        <f>CONCATENATE(I5,L5,J5,L5)</f>
        <v>TURNOMATUTINO</v>
      </c>
      <c r="Q44" s="3475" t="s">
        <v>434</v>
      </c>
      <c r="R44" s="3236">
        <f>VLOOKUP(P41,V42:Z60,3,5)</f>
        <v>1</v>
      </c>
      <c r="S44" s="3236">
        <f>VLOOKUP(P41,V42:Z60,4,5)</f>
        <v>2</v>
      </c>
      <c r="T44" s="3236">
        <f>SUM(R44:S44)</f>
        <v>3</v>
      </c>
      <c r="U44" s="1755">
        <v>0</v>
      </c>
      <c r="V44" s="1607">
        <v>2</v>
      </c>
      <c r="W44" s="1626" t="str">
        <f>HLOOKUP(W41,AA41:BV60,4)</f>
        <v>1ºB</v>
      </c>
      <c r="X44" s="1618">
        <f>HLOOKUP(X41,AA41:BV60,4)</f>
        <v>1</v>
      </c>
      <c r="Y44" s="1619">
        <f>HLOOKUP(Y41,AA41:BV60,4)</f>
        <v>2</v>
      </c>
      <c r="Z44" s="1612">
        <f t="shared" ref="Z44:Z59" si="3">X44+Y44</f>
        <v>3</v>
      </c>
      <c r="AA44" s="1632" t="str">
        <f>CONCATENATE(Plantillas!Y39,Plantillas!Z39)</f>
        <v>1ºB</v>
      </c>
      <c r="AB44" s="1617">
        <f>Plantillas!AG39</f>
        <v>1</v>
      </c>
      <c r="AC44" s="1633">
        <f>Plantillas!AH39</f>
        <v>2</v>
      </c>
      <c r="AD44" s="1631" t="str">
        <f>CONCATENATE(Plantillas!Y79,Plantillas!Z79)</f>
        <v>1ºB</v>
      </c>
      <c r="AE44" s="1617">
        <f>Plantillas!AG79</f>
        <v>3</v>
      </c>
      <c r="AF44" s="1633">
        <f>Plantillas!AH79</f>
        <v>0</v>
      </c>
      <c r="AG44" s="1631" t="str">
        <f>CONCATENATE(Plantillas!Y119,Plantillas!Z119)</f>
        <v>2ºA</v>
      </c>
      <c r="AH44" s="1617">
        <f>Plantillas!AG119</f>
        <v>5</v>
      </c>
      <c r="AI44" s="1633">
        <f>Plantillas!AH119</f>
        <v>5</v>
      </c>
      <c r="AJ44" s="1631" t="str">
        <f>CONCATENATE(Plantillas!Y159,Plantillas!Z159)</f>
        <v>1ºB</v>
      </c>
      <c r="AK44" s="1617">
        <f>Plantillas!AG159</f>
        <v>3</v>
      </c>
      <c r="AL44" s="1633">
        <f>Plantillas!AH159</f>
        <v>1</v>
      </c>
      <c r="AM44" s="1631" t="str">
        <f>CONCATENATE(Plantillas!Y199,Plantillas!Z199)</f>
        <v>2ºA</v>
      </c>
      <c r="AN44" s="1617">
        <f>Plantillas!AG199</f>
        <v>3</v>
      </c>
      <c r="AO44" s="1633">
        <f>Plantillas!AH199</f>
        <v>3</v>
      </c>
      <c r="AP44" s="1631" t="str">
        <f>CONCATENATE(Plantillas!Y239,Plantillas!Z239)</f>
        <v>1ºB</v>
      </c>
      <c r="AQ44" s="1617">
        <f>Plantillas!AG239</f>
        <v>1</v>
      </c>
      <c r="AR44" s="1633">
        <f>Plantillas!AH239</f>
        <v>4</v>
      </c>
      <c r="AS44" s="1631" t="str">
        <f>CONCATENATE(Plantillas!Y279,Plantillas!Z279)</f>
        <v>4ºA</v>
      </c>
      <c r="AT44" s="1617">
        <f>Plantillas!AG279</f>
        <v>2</v>
      </c>
      <c r="AU44" s="1633">
        <f>Plantillas!AH279</f>
        <v>0</v>
      </c>
      <c r="AV44" s="1631" t="str">
        <f>CONCATENATE(Plantillas!Y319,Plantillas!Z319)</f>
        <v/>
      </c>
      <c r="AW44" s="1617">
        <f>Plantillas!AG319</f>
        <v>0</v>
      </c>
      <c r="AX44" s="1633">
        <f>Plantillas!AH319</f>
        <v>0</v>
      </c>
      <c r="AY44" s="1631" t="str">
        <f>CONCATENATE(Plantillas!Y359,Plantillas!Z359)</f>
        <v>1ºB</v>
      </c>
      <c r="AZ44" s="1617">
        <f>Plantillas!AG359</f>
        <v>3</v>
      </c>
      <c r="BA44" s="1633">
        <f>Plantillas!AH359</f>
        <v>5</v>
      </c>
      <c r="BB44" s="1631" t="str">
        <f>CONCATENATE(Plantillas!Y399,Plantillas!Z399)</f>
        <v>2ºA</v>
      </c>
      <c r="BC44" s="1617">
        <f>Plantillas!AG399</f>
        <v>0</v>
      </c>
      <c r="BD44" s="1633">
        <f>Plantillas!AH399</f>
        <v>2</v>
      </c>
      <c r="BE44" s="1629" t="str">
        <f>CONCATENATE(Plantillas!Y439,Plantillas!Z439)</f>
        <v>2ºA</v>
      </c>
      <c r="BF44" s="1617">
        <f>Plantillas!AG439</f>
        <v>1</v>
      </c>
      <c r="BG44" s="1633">
        <f>Plantillas!AH439</f>
        <v>1</v>
      </c>
      <c r="BH44" s="1629" t="str">
        <f>CONCATENATE(Plantillas!Y479,Plantillas!Z479)</f>
        <v>3ºA</v>
      </c>
      <c r="BI44" s="1617">
        <f>Plantillas!AG479</f>
        <v>0</v>
      </c>
      <c r="BJ44" s="1633">
        <f>Plantillas!AH479</f>
        <v>1</v>
      </c>
      <c r="BK44" s="1629" t="str">
        <f>CONCATENATE(Plantillas!Y519,Plantillas!Z519)</f>
        <v>2ºA</v>
      </c>
      <c r="BL44" s="1617">
        <f>Plantillas!AG519</f>
        <v>0</v>
      </c>
      <c r="BM44" s="1633">
        <f>Plantillas!AH519</f>
        <v>0</v>
      </c>
      <c r="BN44" s="1629" t="str">
        <f>CONCATENATE(Plantillas!Y559,Plantillas!Z559)</f>
        <v>2ºA</v>
      </c>
      <c r="BO44" s="1617">
        <f>Plantillas!AG559</f>
        <v>2</v>
      </c>
      <c r="BP44" s="1633">
        <f>Plantillas!AH559</f>
        <v>0</v>
      </c>
      <c r="BQ44" s="1629" t="str">
        <f>CONCATENATE(Plantillas!Y599,Plantillas!Z599)</f>
        <v>2ºA</v>
      </c>
      <c r="BR44" s="1617">
        <f>Plantillas!AG599</f>
        <v>0</v>
      </c>
      <c r="BS44" s="1633">
        <f>Plantillas!AH599</f>
        <v>0</v>
      </c>
      <c r="BT44" s="1629" t="str">
        <f>CONCATENATE(Plantillas!Y639,Plantillas!Z639)</f>
        <v/>
      </c>
      <c r="BU44" s="1617">
        <f>Plantillas!AG639</f>
        <v>0</v>
      </c>
      <c r="BV44" s="1633">
        <f>Plantillas!AH639</f>
        <v>0</v>
      </c>
      <c r="BW44" s="1619"/>
    </row>
    <row r="45" spans="1:99" s="1382" customFormat="1" ht="12" customHeight="1">
      <c r="A45" s="1755">
        <v>0</v>
      </c>
      <c r="B45" s="1755">
        <v>0</v>
      </c>
      <c r="C45" s="1666" t="str">
        <f>CONCATENATE(P5,L5)</f>
        <v>23DPR0055K</v>
      </c>
      <c r="D45" s="5295" t="s">
        <v>848</v>
      </c>
      <c r="E45" s="5295"/>
      <c r="F45" s="3234">
        <f>F42+F43-F44-F46</f>
        <v>0</v>
      </c>
      <c r="G45" s="3234">
        <f>G42+G43-G44-G46</f>
        <v>0</v>
      </c>
      <c r="H45" s="3234">
        <f>SUM(F45:G45)</f>
        <v>0</v>
      </c>
      <c r="I45" s="1666" t="str">
        <f>CONCATENATE(P5,L5)</f>
        <v>23DPR0055K</v>
      </c>
      <c r="J45" s="5295" t="s">
        <v>848</v>
      </c>
      <c r="K45" s="5295"/>
      <c r="L45" s="5295"/>
      <c r="M45" s="3236">
        <f>M42+M43-M44-M46</f>
        <v>16</v>
      </c>
      <c r="N45" s="3236">
        <f>N42+N43-N44-N46</f>
        <v>13</v>
      </c>
      <c r="O45" s="3236">
        <f>SUM(M45:N45)</f>
        <v>29</v>
      </c>
      <c r="P45" s="1666" t="str">
        <f>CONCATENATE(P5,L5)</f>
        <v>23DPR0055K</v>
      </c>
      <c r="Q45" s="3476" t="s">
        <v>848</v>
      </c>
      <c r="R45" s="3236">
        <f>R42+R43-R44-R46</f>
        <v>14</v>
      </c>
      <c r="S45" s="3236">
        <f>S42+S43-S44-S46</f>
        <v>13</v>
      </c>
      <c r="T45" s="3236">
        <f>SUM(R45:S45)</f>
        <v>27</v>
      </c>
      <c r="U45" s="1755">
        <v>0</v>
      </c>
      <c r="V45" s="1607">
        <v>3</v>
      </c>
      <c r="W45" s="1626" t="str">
        <f>HLOOKUP(W41,AA41:BV60,5)</f>
        <v>2ºA</v>
      </c>
      <c r="X45" s="1618">
        <f>HLOOKUP(X41,AA41:BV60,5)</f>
        <v>2</v>
      </c>
      <c r="Y45" s="1619">
        <f>HLOOKUP(Y41,AA41:BV60,5)</f>
        <v>2</v>
      </c>
      <c r="Z45" s="1612">
        <f t="shared" si="3"/>
        <v>4</v>
      </c>
      <c r="AA45" s="1632" t="str">
        <f>CONCATENATE(Plantillas!Y40,Plantillas!Z40)</f>
        <v>2ºA</v>
      </c>
      <c r="AB45" s="1617">
        <f>Plantillas!AG40</f>
        <v>2</v>
      </c>
      <c r="AC45" s="1633">
        <f>Plantillas!AH40</f>
        <v>2</v>
      </c>
      <c r="AD45" s="1631" t="str">
        <f>CONCATENATE(Plantillas!Y80,Plantillas!Z80)</f>
        <v>1ºC</v>
      </c>
      <c r="AE45" s="1617">
        <f>Plantillas!AG80</f>
        <v>2</v>
      </c>
      <c r="AF45" s="1633">
        <f>Plantillas!AH80</f>
        <v>0</v>
      </c>
      <c r="AG45" s="1631" t="str">
        <f>CONCATENATE(Plantillas!Y120,Plantillas!Z120)</f>
        <v>2ºB</v>
      </c>
      <c r="AH45" s="1617">
        <f>Plantillas!AG120</f>
        <v>3</v>
      </c>
      <c r="AI45" s="1633">
        <f>Plantillas!AH120</f>
        <v>1</v>
      </c>
      <c r="AJ45" s="1631" t="str">
        <f>CONCATENATE(Plantillas!Y160,Plantillas!Z160)</f>
        <v>2ºA</v>
      </c>
      <c r="AK45" s="1617">
        <f>Plantillas!AG160</f>
        <v>1</v>
      </c>
      <c r="AL45" s="1633">
        <f>Plantillas!AH160</f>
        <v>0</v>
      </c>
      <c r="AM45" s="1631" t="str">
        <f>CONCATENATE(Plantillas!Y200,Plantillas!Z200)</f>
        <v>3ºA</v>
      </c>
      <c r="AN45" s="1617">
        <f>Plantillas!AG200</f>
        <v>4</v>
      </c>
      <c r="AO45" s="1633">
        <f>Plantillas!AH200</f>
        <v>5</v>
      </c>
      <c r="AP45" s="1631" t="str">
        <f>CONCATENATE(Plantillas!Y240,Plantillas!Z240)</f>
        <v>1ºC</v>
      </c>
      <c r="AQ45" s="1617">
        <f>Plantillas!AG240</f>
        <v>1</v>
      </c>
      <c r="AR45" s="1633">
        <f>Plantillas!AH240</f>
        <v>0</v>
      </c>
      <c r="AS45" s="1631" t="str">
        <f>CONCATENATE(Plantillas!Y280,Plantillas!Z280)</f>
        <v>5ºA</v>
      </c>
      <c r="AT45" s="1617">
        <f>Plantillas!AG280</f>
        <v>0</v>
      </c>
      <c r="AU45" s="1633">
        <f>Plantillas!AH280</f>
        <v>3</v>
      </c>
      <c r="AV45" s="1631" t="str">
        <f>CONCATENATE(Plantillas!Y320,Plantillas!Z320)</f>
        <v/>
      </c>
      <c r="AW45" s="1617">
        <f>Plantillas!AG320</f>
        <v>0</v>
      </c>
      <c r="AX45" s="1633">
        <f>Plantillas!AH320</f>
        <v>0</v>
      </c>
      <c r="AY45" s="1631" t="str">
        <f>CONCATENATE(Plantillas!Y360,Plantillas!Z360)</f>
        <v>2ºA</v>
      </c>
      <c r="AZ45" s="1617">
        <f>Plantillas!AG360</f>
        <v>6</v>
      </c>
      <c r="BA45" s="1633">
        <f>Plantillas!AH360</f>
        <v>2</v>
      </c>
      <c r="BB45" s="1631" t="str">
        <f>CONCATENATE(Plantillas!Y400,Plantillas!Z400)</f>
        <v>3ºA</v>
      </c>
      <c r="BC45" s="1617">
        <f>Plantillas!AG400</f>
        <v>1</v>
      </c>
      <c r="BD45" s="1633">
        <f>Plantillas!AH400</f>
        <v>1</v>
      </c>
      <c r="BE45" s="1629" t="str">
        <f>CONCATENATE(Plantillas!Y440,Plantillas!Z440)</f>
        <v>3ºA</v>
      </c>
      <c r="BF45" s="1617">
        <f>Plantillas!AG440</f>
        <v>0</v>
      </c>
      <c r="BG45" s="1633">
        <f>Plantillas!AH440</f>
        <v>0</v>
      </c>
      <c r="BH45" s="1629" t="str">
        <f>CONCATENATE(Plantillas!Y480,Plantillas!Z480)</f>
        <v>4ºA</v>
      </c>
      <c r="BI45" s="1617">
        <f>Plantillas!AG480</f>
        <v>0</v>
      </c>
      <c r="BJ45" s="1633">
        <f>Plantillas!AH480</f>
        <v>0</v>
      </c>
      <c r="BK45" s="1629" t="str">
        <f>CONCATENATE(Plantillas!Y520,Plantillas!Z520)</f>
        <v>3ºA</v>
      </c>
      <c r="BL45" s="1617">
        <f>Plantillas!AG520</f>
        <v>0</v>
      </c>
      <c r="BM45" s="1633">
        <f>Plantillas!AH520</f>
        <v>0</v>
      </c>
      <c r="BN45" s="1629" t="str">
        <f>CONCATENATE(Plantillas!Y560,Plantillas!Z560)</f>
        <v>3ºA</v>
      </c>
      <c r="BO45" s="1617">
        <f>Plantillas!AG560</f>
        <v>0</v>
      </c>
      <c r="BP45" s="1633">
        <f>Plantillas!AH560</f>
        <v>0</v>
      </c>
      <c r="BQ45" s="1629" t="str">
        <f>CONCATENATE(Plantillas!Y600,Plantillas!Z600)</f>
        <v>2ºB</v>
      </c>
      <c r="BR45" s="1617">
        <f>Plantillas!AG600</f>
        <v>0</v>
      </c>
      <c r="BS45" s="1633">
        <f>Plantillas!AH600</f>
        <v>1</v>
      </c>
      <c r="BT45" s="1629" t="str">
        <f>CONCATENATE(Plantillas!Y640,Plantillas!Z640)</f>
        <v/>
      </c>
      <c r="BU45" s="1617">
        <f>Plantillas!AG640</f>
        <v>0</v>
      </c>
      <c r="BV45" s="1633">
        <f>Plantillas!AH640</f>
        <v>0</v>
      </c>
      <c r="BW45" s="1619"/>
      <c r="BZ45" s="1656"/>
      <c r="CA45" s="1656"/>
      <c r="CB45" s="1656"/>
      <c r="CC45" s="1656"/>
      <c r="CD45" s="1656"/>
      <c r="CE45" s="1656"/>
      <c r="CF45" s="1656"/>
      <c r="CG45" s="1656"/>
      <c r="CH45" s="1656"/>
      <c r="CI45" s="1656"/>
      <c r="CJ45" s="1656"/>
      <c r="CK45" s="1656"/>
      <c r="CL45" s="1656"/>
      <c r="CM45" s="1656"/>
      <c r="CN45" s="1656"/>
      <c r="CO45" s="1656"/>
      <c r="CP45" s="1656"/>
    </row>
    <row r="46" spans="1:99" ht="12" customHeight="1">
      <c r="B46" s="1388"/>
      <c r="C46" s="3444" t="str">
        <f>CONCATENATE(Q39,O42)</f>
        <v>AKE QUEB * MARIANA DEL CONSUELO30</v>
      </c>
      <c r="D46" s="5296" t="s">
        <v>1142</v>
      </c>
      <c r="E46" s="5296"/>
      <c r="F46" s="3234">
        <f>VLOOKUP(C41,V62:Z80,3,5)</f>
        <v>0</v>
      </c>
      <c r="G46" s="3234">
        <f>VLOOKUP(C41,V62:Z80,4,5)</f>
        <v>0</v>
      </c>
      <c r="H46" s="3234">
        <f>SUM(F46:G46)</f>
        <v>0</v>
      </c>
      <c r="I46" s="1758" t="str">
        <f>CONCATENATE(J39,O42)</f>
        <v>ARANDA ESCALANTE * ARELI GUADALUPE30</v>
      </c>
      <c r="J46" s="5296" t="s">
        <v>1142</v>
      </c>
      <c r="K46" s="5296"/>
      <c r="L46" s="5296"/>
      <c r="M46" s="3236">
        <f>VLOOKUP(I41,V62:Z80,3,5)</f>
        <v>0</v>
      </c>
      <c r="N46" s="3236">
        <f>VLOOKUP(I41,V62:Z80,4,5)</f>
        <v>0</v>
      </c>
      <c r="O46" s="3236">
        <f>SUM(M46:N46)</f>
        <v>0</v>
      </c>
      <c r="P46" s="1758" t="str">
        <f>CONCATENATE(Q39,T42)</f>
        <v>AKE QUEB * MARIANA DEL CONSUELO27</v>
      </c>
      <c r="Q46" s="3477" t="s">
        <v>1142</v>
      </c>
      <c r="R46" s="3236">
        <f>VLOOKUP(P41,V62:Z80,3,5)</f>
        <v>0</v>
      </c>
      <c r="S46" s="3236">
        <f>VLOOKUP(P41,V62:Z80,4,5)</f>
        <v>0</v>
      </c>
      <c r="T46" s="3236">
        <f>SUM(R46:S46)</f>
        <v>0</v>
      </c>
      <c r="U46" s="1655"/>
      <c r="V46" s="1607">
        <v>4</v>
      </c>
      <c r="W46" s="1626" t="str">
        <f>HLOOKUP(W41,AA41:BV60,6)</f>
        <v>2ºB</v>
      </c>
      <c r="X46" s="1618">
        <f>HLOOKUP(X41,AA41:BV60,6)</f>
        <v>2</v>
      </c>
      <c r="Y46" s="1619">
        <f>HLOOKUP(Y41,AA41:BV60,6)</f>
        <v>2</v>
      </c>
      <c r="Z46" s="1612">
        <f t="shared" si="3"/>
        <v>4</v>
      </c>
      <c r="AA46" s="1632" t="str">
        <f>CONCATENATE(Plantillas!Y41,Plantillas!Z41)</f>
        <v>2ºB</v>
      </c>
      <c r="AB46" s="1617">
        <f>Plantillas!AG41</f>
        <v>2</v>
      </c>
      <c r="AC46" s="1633">
        <f>Plantillas!AH41</f>
        <v>2</v>
      </c>
      <c r="AD46" s="1631" t="str">
        <f>CONCATENATE(Plantillas!Y81,Plantillas!Z81)</f>
        <v>2ºA</v>
      </c>
      <c r="AE46" s="1617">
        <f>Plantillas!AG81</f>
        <v>2</v>
      </c>
      <c r="AF46" s="1633">
        <f>Plantillas!AH81</f>
        <v>2</v>
      </c>
      <c r="AG46" s="1631" t="str">
        <f>CONCATENATE(Plantillas!Y121,Plantillas!Z121)</f>
        <v>3ºA</v>
      </c>
      <c r="AH46" s="1617">
        <f>Plantillas!AG121</f>
        <v>2</v>
      </c>
      <c r="AI46" s="1633">
        <f>Plantillas!AH121</f>
        <v>0</v>
      </c>
      <c r="AJ46" s="1631" t="str">
        <f>CONCATENATE(Plantillas!Y161,Plantillas!Z161)</f>
        <v>2ºB</v>
      </c>
      <c r="AK46" s="1617">
        <f>Plantillas!AG161</f>
        <v>1</v>
      </c>
      <c r="AL46" s="1633">
        <f>Plantillas!AH161</f>
        <v>1</v>
      </c>
      <c r="AM46" s="1631" t="str">
        <f>CONCATENATE(Plantillas!Y201,Plantillas!Z201)</f>
        <v>4ºA</v>
      </c>
      <c r="AN46" s="1617">
        <f>Plantillas!AG201</f>
        <v>3</v>
      </c>
      <c r="AO46" s="1633">
        <f>Plantillas!AH201</f>
        <v>0</v>
      </c>
      <c r="AP46" s="1631" t="str">
        <f>CONCATENATE(Plantillas!Y241,Plantillas!Z241)</f>
        <v>2ºA</v>
      </c>
      <c r="AQ46" s="1617">
        <f>Plantillas!AG241</f>
        <v>3</v>
      </c>
      <c r="AR46" s="1633">
        <f>Plantillas!AH241</f>
        <v>4</v>
      </c>
      <c r="AS46" s="1631" t="str">
        <f>CONCATENATE(Plantillas!Y281,Plantillas!Z281)</f>
        <v>6ºA</v>
      </c>
      <c r="AT46" s="1617">
        <f>Plantillas!AG281</f>
        <v>1</v>
      </c>
      <c r="AU46" s="1633">
        <f>Plantillas!AH281</f>
        <v>0</v>
      </c>
      <c r="AV46" s="1631" t="str">
        <f>CONCATENATE(Plantillas!Y321,Plantillas!Z321)</f>
        <v/>
      </c>
      <c r="AW46" s="1617">
        <f>Plantillas!AG321</f>
        <v>0</v>
      </c>
      <c r="AX46" s="1633">
        <f>Plantillas!AH321</f>
        <v>0</v>
      </c>
      <c r="AY46" s="1631" t="str">
        <f>CONCATENATE(Plantillas!Y361,Plantillas!Z361)</f>
        <v>2ºB</v>
      </c>
      <c r="AZ46" s="1617">
        <f>Plantillas!AG361</f>
        <v>4</v>
      </c>
      <c r="BA46" s="1633">
        <f>Plantillas!AH361</f>
        <v>1</v>
      </c>
      <c r="BB46" s="1631" t="str">
        <f>CONCATENATE(Plantillas!Y401,Plantillas!Z401)</f>
        <v>4ºA</v>
      </c>
      <c r="BC46" s="1617">
        <f>Plantillas!AG401</f>
        <v>1</v>
      </c>
      <c r="BD46" s="1633">
        <f>Plantillas!AH401</f>
        <v>1</v>
      </c>
      <c r="BE46" s="1629" t="str">
        <f>CONCATENATE(Plantillas!Y441,Plantillas!Z441)</f>
        <v>4ºA</v>
      </c>
      <c r="BF46" s="1617">
        <f>Plantillas!AG441</f>
        <v>1</v>
      </c>
      <c r="BG46" s="1633">
        <f>Plantillas!AH441</f>
        <v>0</v>
      </c>
      <c r="BH46" s="1629" t="str">
        <f>CONCATENATE(Plantillas!Y481,Plantillas!Z481)</f>
        <v>5ºA</v>
      </c>
      <c r="BI46" s="1617">
        <f>Plantillas!AG481</f>
        <v>1</v>
      </c>
      <c r="BJ46" s="1633">
        <f>Plantillas!AH481</f>
        <v>0</v>
      </c>
      <c r="BK46" s="1629" t="str">
        <f>CONCATENATE(Plantillas!Y521,Plantillas!Z521)</f>
        <v>4ºA</v>
      </c>
      <c r="BL46" s="1617">
        <f>Plantillas!AG521</f>
        <v>1</v>
      </c>
      <c r="BM46" s="1633">
        <f>Plantillas!AH521</f>
        <v>1</v>
      </c>
      <c r="BN46" s="1629" t="str">
        <f>CONCATENATE(Plantillas!Y561,Plantillas!Z561)</f>
        <v>4ºA</v>
      </c>
      <c r="BO46" s="1617">
        <f>Plantillas!AG561</f>
        <v>1</v>
      </c>
      <c r="BP46" s="1633">
        <f>Plantillas!AH561</f>
        <v>0</v>
      </c>
      <c r="BQ46" s="1629" t="str">
        <f>CONCATENATE(Plantillas!Y601,Plantillas!Z601)</f>
        <v>3ºA</v>
      </c>
      <c r="BR46" s="1617">
        <f>Plantillas!AG601</f>
        <v>0</v>
      </c>
      <c r="BS46" s="1633">
        <f>Plantillas!AH601</f>
        <v>1</v>
      </c>
      <c r="BT46" s="1629" t="str">
        <f>CONCATENATE(Plantillas!Y641,Plantillas!Z641)</f>
        <v/>
      </c>
      <c r="BU46" s="1617">
        <f>Plantillas!AG641</f>
        <v>0</v>
      </c>
      <c r="BV46" s="1633">
        <f>Plantillas!AH641</f>
        <v>0</v>
      </c>
      <c r="BW46" s="1619"/>
    </row>
    <row r="47" spans="1:99" ht="3" customHeight="1">
      <c r="B47" s="5299">
        <f ca="1">TODAY()</f>
        <v>41787</v>
      </c>
      <c r="C47" s="5299"/>
      <c r="D47" s="1774"/>
      <c r="E47" s="1774"/>
      <c r="F47" s="1388"/>
      <c r="G47" s="1388"/>
      <c r="H47" s="1388"/>
      <c r="I47" s="1388"/>
      <c r="K47" s="1388"/>
      <c r="L47" s="1385"/>
      <c r="M47" s="1388"/>
      <c r="N47" s="1388"/>
      <c r="O47" s="1388"/>
      <c r="P47" s="1388"/>
      <c r="Q47" s="1388"/>
      <c r="R47" s="1388"/>
      <c r="S47" s="1388"/>
      <c r="T47" s="1388"/>
      <c r="V47" s="1607">
        <v>5</v>
      </c>
      <c r="W47" s="1626" t="str">
        <f>HLOOKUP(W41,AA41:BV60,7)</f>
        <v>3ºA</v>
      </c>
      <c r="X47" s="1618">
        <f>HLOOKUP(X41,AA41:BV60,7)</f>
        <v>1</v>
      </c>
      <c r="Y47" s="1619">
        <f>HLOOKUP(Y41,AA41:BV60,7)</f>
        <v>4</v>
      </c>
      <c r="Z47" s="1612">
        <f t="shared" si="3"/>
        <v>5</v>
      </c>
      <c r="AA47" s="1632" t="str">
        <f>CONCATENATE(Plantillas!Y42,Plantillas!Z42)</f>
        <v>3ºA</v>
      </c>
      <c r="AB47" s="1617">
        <f>Plantillas!AG42</f>
        <v>1</v>
      </c>
      <c r="AC47" s="1633">
        <f>Plantillas!AH42</f>
        <v>4</v>
      </c>
      <c r="AD47" s="1631" t="str">
        <f>CONCATENATE(Plantillas!Y82,Plantillas!Z82)</f>
        <v>2ºB</v>
      </c>
      <c r="AE47" s="1617">
        <f>Plantillas!AG82</f>
        <v>1</v>
      </c>
      <c r="AF47" s="1633">
        <f>Plantillas!AH82</f>
        <v>1</v>
      </c>
      <c r="AG47" s="1631" t="str">
        <f>CONCATENATE(Plantillas!Y122,Plantillas!Z122)</f>
        <v>3ºB</v>
      </c>
      <c r="AH47" s="1617">
        <f>Plantillas!AG122</f>
        <v>3</v>
      </c>
      <c r="AI47" s="1633">
        <f>Plantillas!AH122</f>
        <v>3</v>
      </c>
      <c r="AJ47" s="1631" t="str">
        <f>CONCATENATE(Plantillas!Y162,Plantillas!Z162)</f>
        <v>3ºA</v>
      </c>
      <c r="AK47" s="1617">
        <f>Plantillas!AG162</f>
        <v>1</v>
      </c>
      <c r="AL47" s="1633">
        <f>Plantillas!AH162</f>
        <v>0</v>
      </c>
      <c r="AM47" s="1631" t="str">
        <f>CONCATENATE(Plantillas!Y202,Plantillas!Z202)</f>
        <v>5ºA</v>
      </c>
      <c r="AN47" s="1617">
        <f>Plantillas!AG202</f>
        <v>2</v>
      </c>
      <c r="AO47" s="1633">
        <f>Plantillas!AH202</f>
        <v>1</v>
      </c>
      <c r="AP47" s="1631" t="str">
        <f>CONCATENATE(Plantillas!Y242,Plantillas!Z242)</f>
        <v>2ºB</v>
      </c>
      <c r="AQ47" s="1617">
        <f>Plantillas!AG242</f>
        <v>1</v>
      </c>
      <c r="AR47" s="1633">
        <f>Plantillas!AH242</f>
        <v>1</v>
      </c>
      <c r="AS47" s="1631" t="str">
        <f>CONCATENATE(Plantillas!Y282,Plantillas!Z282)</f>
        <v>6ºB</v>
      </c>
      <c r="AT47" s="1617">
        <f>Plantillas!AG282</f>
        <v>0</v>
      </c>
      <c r="AU47" s="1633">
        <f>Plantillas!AH282</f>
        <v>1</v>
      </c>
      <c r="AV47" s="1631" t="str">
        <f>CONCATENATE(Plantillas!Y322,Plantillas!Z322)</f>
        <v/>
      </c>
      <c r="AW47" s="1617">
        <f>Plantillas!AG322</f>
        <v>0</v>
      </c>
      <c r="AX47" s="1633">
        <f>Plantillas!AH322</f>
        <v>0</v>
      </c>
      <c r="AY47" s="1631" t="str">
        <f>CONCATENATE(Plantillas!Y362,Plantillas!Z362)</f>
        <v>3ºA</v>
      </c>
      <c r="AZ47" s="1617">
        <f>Plantillas!AG362</f>
        <v>4</v>
      </c>
      <c r="BA47" s="1633">
        <f>Plantillas!AH362</f>
        <v>7</v>
      </c>
      <c r="BB47" s="1631" t="str">
        <f>CONCATENATE(Plantillas!Y402,Plantillas!Z402)</f>
        <v>5ºA</v>
      </c>
      <c r="BC47" s="1617">
        <f>Plantillas!AG402</f>
        <v>2</v>
      </c>
      <c r="BD47" s="1633">
        <f>Plantillas!AH402</f>
        <v>1</v>
      </c>
      <c r="BE47" s="1629" t="str">
        <f>CONCATENATE(Plantillas!Y442,Plantillas!Z442)</f>
        <v>5ºA</v>
      </c>
      <c r="BF47" s="1617">
        <f>Plantillas!AG442</f>
        <v>0</v>
      </c>
      <c r="BG47" s="1633">
        <f>Plantillas!AH442</f>
        <v>1</v>
      </c>
      <c r="BH47" s="1629" t="str">
        <f>CONCATENATE(Plantillas!Y482,Plantillas!Z482)</f>
        <v>6ºA</v>
      </c>
      <c r="BI47" s="1617">
        <f>Plantillas!AG482</f>
        <v>0</v>
      </c>
      <c r="BJ47" s="1633">
        <f>Plantillas!AH482</f>
        <v>0</v>
      </c>
      <c r="BK47" s="1629" t="str">
        <f>CONCATENATE(Plantillas!Y522,Plantillas!Z522)</f>
        <v>5ºA</v>
      </c>
      <c r="BL47" s="1617">
        <f>Plantillas!AG522</f>
        <v>2</v>
      </c>
      <c r="BM47" s="1633">
        <f>Plantillas!AH522</f>
        <v>0</v>
      </c>
      <c r="BN47" s="1629" t="str">
        <f>CONCATENATE(Plantillas!Y562,Plantillas!Z562)</f>
        <v/>
      </c>
      <c r="BO47" s="1617">
        <f>Plantillas!AG562</f>
        <v>0</v>
      </c>
      <c r="BP47" s="1633">
        <f>Plantillas!AH562</f>
        <v>0</v>
      </c>
      <c r="BQ47" s="1629" t="str">
        <f>CONCATENATE(Plantillas!Y602,Plantillas!Z602)</f>
        <v>3ºB</v>
      </c>
      <c r="BR47" s="1617">
        <f>Plantillas!AG602</f>
        <v>0</v>
      </c>
      <c r="BS47" s="1633">
        <f>Plantillas!AH602</f>
        <v>0</v>
      </c>
      <c r="BT47" s="1629" t="str">
        <f>CONCATENATE(Plantillas!Y642,Plantillas!Z642)</f>
        <v/>
      </c>
      <c r="BU47" s="1617">
        <f>Plantillas!AG642</f>
        <v>0</v>
      </c>
      <c r="BV47" s="1633">
        <f>Plantillas!AH642</f>
        <v>0</v>
      </c>
      <c r="BW47" s="1619"/>
    </row>
    <row r="48" spans="1:99" hidden="1">
      <c r="V48" s="1607">
        <v>6</v>
      </c>
      <c r="W48" s="1626" t="str">
        <f>HLOOKUP(W41,AA41:BV60,8)</f>
        <v>3ºB</v>
      </c>
      <c r="X48" s="1618">
        <f>HLOOKUP(X41,AA41:BV60,8)</f>
        <v>0</v>
      </c>
      <c r="Y48" s="1619">
        <f>HLOOKUP(Y41,AA41:BV60,8)</f>
        <v>1</v>
      </c>
      <c r="Z48" s="1612">
        <f t="shared" si="3"/>
        <v>1</v>
      </c>
      <c r="AA48" s="1632" t="str">
        <f>CONCATENATE(Plantillas!Y43,Plantillas!Z43)</f>
        <v>3ºB</v>
      </c>
      <c r="AB48" s="1617">
        <f>Plantillas!AG43</f>
        <v>0</v>
      </c>
      <c r="AC48" s="1633">
        <f>Plantillas!AH43</f>
        <v>1</v>
      </c>
      <c r="AD48" s="1631" t="str">
        <f>CONCATENATE(Plantillas!Y83,Plantillas!Z83)</f>
        <v>3ºA</v>
      </c>
      <c r="AE48" s="1617">
        <f>Plantillas!AG83</f>
        <v>2</v>
      </c>
      <c r="AF48" s="1633">
        <f>Plantillas!AH83</f>
        <v>1</v>
      </c>
      <c r="AG48" s="1631" t="str">
        <f>CONCATENATE(Plantillas!Y123,Plantillas!Z123)</f>
        <v>4ºA</v>
      </c>
      <c r="AH48" s="1617">
        <f>Plantillas!AG123</f>
        <v>0</v>
      </c>
      <c r="AI48" s="1633">
        <f>Plantillas!AH123</f>
        <v>2</v>
      </c>
      <c r="AJ48" s="1631" t="str">
        <f>CONCATENATE(Plantillas!Y163,Plantillas!Z163)</f>
        <v>3ºB</v>
      </c>
      <c r="AK48" s="1617">
        <f>Plantillas!AG163</f>
        <v>4</v>
      </c>
      <c r="AL48" s="1633">
        <f>Plantillas!AH163</f>
        <v>0</v>
      </c>
      <c r="AM48" s="1631" t="str">
        <f>CONCATENATE(Plantillas!Y203,Plantillas!Z203)</f>
        <v>6ºA</v>
      </c>
      <c r="AN48" s="1617">
        <f>Plantillas!AG203</f>
        <v>1</v>
      </c>
      <c r="AO48" s="1633">
        <f>Plantillas!AH203</f>
        <v>0</v>
      </c>
      <c r="AP48" s="1631" t="str">
        <f>CONCATENATE(Plantillas!Y243,Plantillas!Z243)</f>
        <v>3ºA</v>
      </c>
      <c r="AQ48" s="1617">
        <f>Plantillas!AG243</f>
        <v>1</v>
      </c>
      <c r="AR48" s="1633">
        <f>Plantillas!AH243</f>
        <v>2</v>
      </c>
      <c r="AS48" s="1631" t="str">
        <f>CONCATENATE(Plantillas!Y283,Plantillas!Z283)</f>
        <v/>
      </c>
      <c r="AT48" s="1617">
        <f>Plantillas!AG283</f>
        <v>0</v>
      </c>
      <c r="AU48" s="1633">
        <f>Plantillas!AH283</f>
        <v>0</v>
      </c>
      <c r="AV48" s="1631" t="str">
        <f>CONCATENATE(Plantillas!Y323,Plantillas!Z323)</f>
        <v/>
      </c>
      <c r="AW48" s="1617">
        <f>Plantillas!AG323</f>
        <v>0</v>
      </c>
      <c r="AX48" s="1633">
        <f>Plantillas!AH323</f>
        <v>0</v>
      </c>
      <c r="AY48" s="1631" t="str">
        <f>CONCATENATE(Plantillas!Y363,Plantillas!Z363)</f>
        <v>3ºB</v>
      </c>
      <c r="AZ48" s="1617">
        <f>Plantillas!AG363</f>
        <v>9</v>
      </c>
      <c r="BA48" s="1633">
        <f>Plantillas!AH363</f>
        <v>4</v>
      </c>
      <c r="BB48" s="1631" t="str">
        <f>CONCATENATE(Plantillas!Y403,Plantillas!Z403)</f>
        <v>5ºB</v>
      </c>
      <c r="BC48" s="1617">
        <f>Plantillas!AG403</f>
        <v>2</v>
      </c>
      <c r="BD48" s="1633">
        <f>Plantillas!AH403</f>
        <v>2</v>
      </c>
      <c r="BE48" s="1629" t="str">
        <f>CONCATENATE(Plantillas!Y443,Plantillas!Z443)</f>
        <v/>
      </c>
      <c r="BF48" s="1617">
        <f>Plantillas!AG443</f>
        <v>0</v>
      </c>
      <c r="BG48" s="1633">
        <f>Plantillas!AH443</f>
        <v>0</v>
      </c>
      <c r="BH48" s="1629" t="str">
        <f>CONCATENATE(Plantillas!Y483,Plantillas!Z483)</f>
        <v/>
      </c>
      <c r="BI48" s="1617">
        <f>Plantillas!AG483</f>
        <v>0</v>
      </c>
      <c r="BJ48" s="1633">
        <f>Plantillas!AH483</f>
        <v>0</v>
      </c>
      <c r="BK48" s="1629" t="str">
        <f>CONCATENATE(Plantillas!Y523,Plantillas!Z523)</f>
        <v>6ºA</v>
      </c>
      <c r="BL48" s="1617">
        <f>Plantillas!AG523</f>
        <v>1</v>
      </c>
      <c r="BM48" s="1633">
        <f>Plantillas!AH523</f>
        <v>0</v>
      </c>
      <c r="BN48" s="1629" t="str">
        <f>CONCATENATE(Plantillas!Y563,Plantillas!Z563)</f>
        <v/>
      </c>
      <c r="BO48" s="1617">
        <f>Plantillas!AG563</f>
        <v>0</v>
      </c>
      <c r="BP48" s="1633">
        <f>Plantillas!AH563</f>
        <v>0</v>
      </c>
      <c r="BQ48" s="1629" t="str">
        <f>CONCATENATE(Plantillas!Y603,Plantillas!Z603)</f>
        <v>4ºA</v>
      </c>
      <c r="BR48" s="1617">
        <f>Plantillas!AG603</f>
        <v>1</v>
      </c>
      <c r="BS48" s="1633">
        <f>Plantillas!AH603</f>
        <v>0</v>
      </c>
      <c r="BT48" s="1629" t="str">
        <f>CONCATENATE(Plantillas!Y643,Plantillas!Z643)</f>
        <v/>
      </c>
      <c r="BU48" s="1617">
        <f>Plantillas!AG643</f>
        <v>0</v>
      </c>
      <c r="BV48" s="1633">
        <f>Plantillas!AH643</f>
        <v>0</v>
      </c>
      <c r="BW48" s="1619"/>
    </row>
    <row r="49" spans="2:75" hidden="1">
      <c r="B49" s="3206">
        <v>1</v>
      </c>
      <c r="C49" s="3206">
        <v>2</v>
      </c>
      <c r="D49" s="3206"/>
      <c r="E49" s="3206">
        <v>3</v>
      </c>
      <c r="F49" s="3206">
        <v>4</v>
      </c>
      <c r="G49" s="3206"/>
      <c r="H49" s="3206">
        <v>5</v>
      </c>
      <c r="I49" s="3206">
        <v>6</v>
      </c>
      <c r="J49" s="3206">
        <v>7</v>
      </c>
      <c r="K49" s="3215"/>
      <c r="L49" s="3214" t="s">
        <v>79</v>
      </c>
      <c r="M49" s="3215"/>
      <c r="N49" s="3215"/>
      <c r="O49" s="3215"/>
      <c r="P49" s="3215"/>
      <c r="Q49" s="3215"/>
      <c r="R49" s="3205">
        <v>1</v>
      </c>
      <c r="S49" s="3208">
        <v>1</v>
      </c>
      <c r="V49" s="1607">
        <v>7</v>
      </c>
      <c r="W49" s="1626" t="str">
        <f>HLOOKUP(W41,AA41:BV60,9)</f>
        <v>4ºA</v>
      </c>
      <c r="X49" s="1618">
        <f>HLOOKUP(X41,AA41:BV60,9)</f>
        <v>3</v>
      </c>
      <c r="Y49" s="1619">
        <f>HLOOKUP(Y41,AA41:BV60,9)</f>
        <v>1</v>
      </c>
      <c r="Z49" s="1612">
        <f t="shared" si="3"/>
        <v>4</v>
      </c>
      <c r="AA49" s="1632" t="str">
        <f>CONCATENATE(Plantillas!Y44,Plantillas!Z44)</f>
        <v>4ºA</v>
      </c>
      <c r="AB49" s="1617">
        <f>Plantillas!AG44</f>
        <v>3</v>
      </c>
      <c r="AC49" s="1633">
        <f>Plantillas!AH44</f>
        <v>1</v>
      </c>
      <c r="AD49" s="1631" t="str">
        <f>CONCATENATE(Plantillas!Y84,Plantillas!Z84)</f>
        <v>3ºB</v>
      </c>
      <c r="AE49" s="1617">
        <f>Plantillas!AG84</f>
        <v>1</v>
      </c>
      <c r="AF49" s="1633">
        <f>Plantillas!AH84</f>
        <v>0</v>
      </c>
      <c r="AG49" s="1631" t="str">
        <f>CONCATENATE(Plantillas!Y124,Plantillas!Z124)</f>
        <v>5ºA</v>
      </c>
      <c r="AH49" s="1617">
        <f>Plantillas!AG124</f>
        <v>3</v>
      </c>
      <c r="AI49" s="1633">
        <f>Plantillas!AH124</f>
        <v>1</v>
      </c>
      <c r="AJ49" s="1631" t="str">
        <f>CONCATENATE(Plantillas!Y164,Plantillas!Z164)</f>
        <v>4ºA</v>
      </c>
      <c r="AK49" s="1617">
        <f>Plantillas!AG164</f>
        <v>1</v>
      </c>
      <c r="AL49" s="1633">
        <f>Plantillas!AH164</f>
        <v>1</v>
      </c>
      <c r="AM49" s="1631" t="str">
        <f>CONCATENATE(Plantillas!Y204,Plantillas!Z204)</f>
        <v>6ºB</v>
      </c>
      <c r="AN49" s="1617">
        <f>Plantillas!AG204</f>
        <v>2</v>
      </c>
      <c r="AO49" s="1633">
        <f>Plantillas!AH204</f>
        <v>0</v>
      </c>
      <c r="AP49" s="1631" t="str">
        <f>CONCATENATE(Plantillas!Y244,Plantillas!Z244)</f>
        <v>3ºB</v>
      </c>
      <c r="AQ49" s="1617">
        <f>Plantillas!AG244</f>
        <v>3</v>
      </c>
      <c r="AR49" s="1633">
        <f>Plantillas!AH244</f>
        <v>0</v>
      </c>
      <c r="AS49" s="1631" t="str">
        <f>CONCATENATE(Plantillas!Y284,Plantillas!Z284)</f>
        <v/>
      </c>
      <c r="AT49" s="1617">
        <f>Plantillas!AG284</f>
        <v>0</v>
      </c>
      <c r="AU49" s="1633">
        <f>Plantillas!AH284</f>
        <v>0</v>
      </c>
      <c r="AV49" s="1631" t="str">
        <f>CONCATENATE(Plantillas!Y324,Plantillas!Z324)</f>
        <v/>
      </c>
      <c r="AW49" s="1617">
        <f>Plantillas!AG324</f>
        <v>0</v>
      </c>
      <c r="AX49" s="1633">
        <f>Plantillas!AH324</f>
        <v>0</v>
      </c>
      <c r="AY49" s="1631" t="str">
        <f>CONCATENATE(Plantillas!Y364,Plantillas!Z364)</f>
        <v>4ºA</v>
      </c>
      <c r="AZ49" s="1617">
        <f>Plantillas!AG364</f>
        <v>1</v>
      </c>
      <c r="BA49" s="1633">
        <f>Plantillas!AH364</f>
        <v>1</v>
      </c>
      <c r="BB49" s="1631" t="str">
        <f>CONCATENATE(Plantillas!Y404,Plantillas!Z404)</f>
        <v>6ºA</v>
      </c>
      <c r="BC49" s="1617">
        <f>Plantillas!AG404</f>
        <v>2</v>
      </c>
      <c r="BD49" s="1633">
        <f>Plantillas!AH404</f>
        <v>0</v>
      </c>
      <c r="BE49" s="1629" t="str">
        <f>CONCATENATE(Plantillas!Y444,Plantillas!Z444)</f>
        <v/>
      </c>
      <c r="BF49" s="1617">
        <f>Plantillas!AG444</f>
        <v>0</v>
      </c>
      <c r="BG49" s="1633">
        <f>Plantillas!AH444</f>
        <v>0</v>
      </c>
      <c r="BH49" s="1629" t="str">
        <f>CONCATENATE(Plantillas!Y484,Plantillas!Z484)</f>
        <v/>
      </c>
      <c r="BI49" s="1617">
        <f>Plantillas!AG484</f>
        <v>0</v>
      </c>
      <c r="BJ49" s="1633">
        <f>Plantillas!AH484</f>
        <v>0</v>
      </c>
      <c r="BK49" s="1629" t="str">
        <f>CONCATENATE(Plantillas!Y524,Plantillas!Z524)</f>
        <v/>
      </c>
      <c r="BL49" s="1617">
        <f>Plantillas!AG524</f>
        <v>0</v>
      </c>
      <c r="BM49" s="1633">
        <f>Plantillas!AH524</f>
        <v>0</v>
      </c>
      <c r="BN49" s="1629" t="str">
        <f>CONCATENATE(Plantillas!Y564,Plantillas!Z564)</f>
        <v/>
      </c>
      <c r="BO49" s="1617">
        <f>Plantillas!AG564</f>
        <v>0</v>
      </c>
      <c r="BP49" s="1633">
        <f>Plantillas!AH564</f>
        <v>0</v>
      </c>
      <c r="BQ49" s="1629" t="str">
        <f>CONCATENATE(Plantillas!Y604,Plantillas!Z604)</f>
        <v>5ºA</v>
      </c>
      <c r="BR49" s="1617">
        <f>Plantillas!AG604</f>
        <v>0</v>
      </c>
      <c r="BS49" s="1633">
        <f>Plantillas!AH604</f>
        <v>0</v>
      </c>
      <c r="BT49" s="1629" t="str">
        <f>CONCATENATE(Plantillas!Y644,Plantillas!Z644)</f>
        <v/>
      </c>
      <c r="BU49" s="1617">
        <f>Plantillas!AG644</f>
        <v>0</v>
      </c>
      <c r="BV49" s="1633">
        <f>Plantillas!AH644</f>
        <v>0</v>
      </c>
      <c r="BW49" s="1619"/>
    </row>
    <row r="50" spans="2:75" hidden="1">
      <c r="B50" s="3206">
        <v>1</v>
      </c>
      <c r="C50" s="3206" t="str">
        <f>'VISITA DE INSP.'!AY2</f>
        <v>KABAH</v>
      </c>
      <c r="D50" s="3206"/>
      <c r="E50" s="3206" t="str">
        <f>'VISITA DE INSP.'!BA2</f>
        <v>MATUTINO</v>
      </c>
      <c r="F50" s="3206" t="s">
        <v>1119</v>
      </c>
      <c r="G50" s="3206"/>
      <c r="H50" s="3206" t="str">
        <f>'VISITA DE INSP.'!AZ2</f>
        <v>23DPR0055K</v>
      </c>
      <c r="I50" s="3203" t="str">
        <f>'VISITA DE INSP.'!BE2</f>
        <v>CERVANTES BENITEZ * ANTONIA</v>
      </c>
      <c r="J50" s="3204" t="str">
        <f>'VISITA DE INSP.'!K9</f>
        <v>042</v>
      </c>
      <c r="K50" s="3207"/>
      <c r="L50" s="3208"/>
      <c r="M50" s="3207"/>
      <c r="N50" s="3207"/>
      <c r="O50" s="3207"/>
      <c r="P50" s="3207"/>
      <c r="Q50" s="3207"/>
      <c r="R50" s="3205">
        <v>2</v>
      </c>
      <c r="S50" s="3208">
        <v>5</v>
      </c>
      <c r="V50" s="1607">
        <v>8</v>
      </c>
      <c r="W50" s="1626" t="str">
        <f>HLOOKUP(W41,AA41:BV60,10)</f>
        <v>4ºB</v>
      </c>
      <c r="X50" s="1618">
        <f>HLOOKUP(X41,AA41:BV60,10)</f>
        <v>3</v>
      </c>
      <c r="Y50" s="1619">
        <f>HLOOKUP(Y41,AA41:BV60,10)</f>
        <v>2</v>
      </c>
      <c r="Z50" s="1612">
        <f t="shared" si="3"/>
        <v>5</v>
      </c>
      <c r="AA50" s="1632" t="str">
        <f>CONCATENATE(Plantillas!Y45,Plantillas!Z45)</f>
        <v>4ºB</v>
      </c>
      <c r="AB50" s="1617">
        <f>Plantillas!AG45</f>
        <v>3</v>
      </c>
      <c r="AC50" s="1633">
        <f>Plantillas!AH45</f>
        <v>2</v>
      </c>
      <c r="AD50" s="1631" t="str">
        <f>CONCATENATE(Plantillas!Y85,Plantillas!Z85)</f>
        <v>4ºA</v>
      </c>
      <c r="AE50" s="1617">
        <f>Plantillas!AG85</f>
        <v>4</v>
      </c>
      <c r="AF50" s="1633">
        <f>Plantillas!AH85</f>
        <v>1</v>
      </c>
      <c r="AG50" s="1631" t="str">
        <f>CONCATENATE(Plantillas!Y125,Plantillas!Z125)</f>
        <v>5ºB</v>
      </c>
      <c r="AH50" s="1617">
        <f>Plantillas!AG125</f>
        <v>0</v>
      </c>
      <c r="AI50" s="1633">
        <f>Plantillas!AH125</f>
        <v>1</v>
      </c>
      <c r="AJ50" s="1631" t="str">
        <f>CONCATENATE(Plantillas!Y165,Plantillas!Z165)</f>
        <v>4ºB</v>
      </c>
      <c r="AK50" s="1617">
        <f>Plantillas!AG165</f>
        <v>1</v>
      </c>
      <c r="AL50" s="1633">
        <f>Plantillas!AH165</f>
        <v>0</v>
      </c>
      <c r="AM50" s="1631" t="str">
        <f>CONCATENATE(Plantillas!Y205,Plantillas!Z205)</f>
        <v/>
      </c>
      <c r="AN50" s="1617">
        <f>Plantillas!AG205</f>
        <v>0</v>
      </c>
      <c r="AO50" s="1633">
        <f>Plantillas!AH205</f>
        <v>0</v>
      </c>
      <c r="AP50" s="1631" t="str">
        <f>CONCATENATE(Plantillas!Y245,Plantillas!Z245)</f>
        <v>4ºA</v>
      </c>
      <c r="AQ50" s="1617">
        <f>Plantillas!AG245</f>
        <v>0</v>
      </c>
      <c r="AR50" s="1633">
        <f>Plantillas!AH245</f>
        <v>0</v>
      </c>
      <c r="AS50" s="1631" t="str">
        <f>CONCATENATE(Plantillas!Y285,Plantillas!Z285)</f>
        <v/>
      </c>
      <c r="AT50" s="1617">
        <f>Plantillas!AG285</f>
        <v>0</v>
      </c>
      <c r="AU50" s="1633">
        <f>Plantillas!AH285</f>
        <v>0</v>
      </c>
      <c r="AV50" s="1631" t="str">
        <f>CONCATENATE(Plantillas!Y325,Plantillas!Z325)</f>
        <v/>
      </c>
      <c r="AW50" s="1617">
        <f>Plantillas!AG325</f>
        <v>0</v>
      </c>
      <c r="AX50" s="1633">
        <f>Plantillas!AH325</f>
        <v>0</v>
      </c>
      <c r="AY50" s="1631" t="str">
        <f>CONCATENATE(Plantillas!Y365,Plantillas!Z365)</f>
        <v>4ºB</v>
      </c>
      <c r="AZ50" s="1617">
        <f>Plantillas!AG365</f>
        <v>0</v>
      </c>
      <c r="BA50" s="1633">
        <f>Plantillas!AH365</f>
        <v>3</v>
      </c>
      <c r="BB50" s="1631" t="str">
        <f>CONCATENATE(Plantillas!Y405,Plantillas!Z405)</f>
        <v/>
      </c>
      <c r="BC50" s="1617">
        <f>Plantillas!AG405</f>
        <v>0</v>
      </c>
      <c r="BD50" s="1633">
        <f>Plantillas!AH405</f>
        <v>0</v>
      </c>
      <c r="BE50" s="1629" t="str">
        <f>CONCATENATE(Plantillas!Y445,Plantillas!Z445)</f>
        <v/>
      </c>
      <c r="BF50" s="1617">
        <f>Plantillas!AG445</f>
        <v>0</v>
      </c>
      <c r="BG50" s="1633">
        <f>Plantillas!AH445</f>
        <v>0</v>
      </c>
      <c r="BH50" s="1629" t="str">
        <f>CONCATENATE(Plantillas!Y485,Plantillas!Z485)</f>
        <v/>
      </c>
      <c r="BI50" s="1617">
        <f>Plantillas!AG485</f>
        <v>0</v>
      </c>
      <c r="BJ50" s="1633">
        <f>Plantillas!AH485</f>
        <v>0</v>
      </c>
      <c r="BK50" s="1629" t="str">
        <f>CONCATENATE(Plantillas!Y525,Plantillas!Z525)</f>
        <v/>
      </c>
      <c r="BL50" s="1617">
        <f>Plantillas!AG525</f>
        <v>0</v>
      </c>
      <c r="BM50" s="1633">
        <f>Plantillas!AH525</f>
        <v>0</v>
      </c>
      <c r="BN50" s="1629" t="str">
        <f>CONCATENATE(Plantillas!Y565,Plantillas!Z565)</f>
        <v/>
      </c>
      <c r="BO50" s="1617">
        <f>Plantillas!AG565</f>
        <v>0</v>
      </c>
      <c r="BP50" s="1633">
        <f>Plantillas!AH565</f>
        <v>0</v>
      </c>
      <c r="BQ50" s="1629" t="str">
        <f>CONCATENATE(Plantillas!Y605,Plantillas!Z605)</f>
        <v>5ºB</v>
      </c>
      <c r="BR50" s="1617">
        <f>Plantillas!AG605</f>
        <v>0</v>
      </c>
      <c r="BS50" s="1633">
        <f>Plantillas!AH605</f>
        <v>1</v>
      </c>
      <c r="BT50" s="1629" t="str">
        <f>CONCATENATE(Plantillas!Y645,Plantillas!Z645)</f>
        <v/>
      </c>
      <c r="BU50" s="1617">
        <f>Plantillas!AG645</f>
        <v>0</v>
      </c>
      <c r="BV50" s="1633">
        <f>Plantillas!AH645</f>
        <v>0</v>
      </c>
      <c r="BW50" s="1619"/>
    </row>
    <row r="51" spans="2:75" hidden="1">
      <c r="B51" s="3206">
        <v>2</v>
      </c>
      <c r="C51" s="3206" t="str">
        <f>'VISITA DE INSP.'!AY3</f>
        <v>8 DE OCTUBRE</v>
      </c>
      <c r="D51" s="3206"/>
      <c r="E51" s="3206" t="str">
        <f>'VISITA DE INSP.'!BA3</f>
        <v>MATUTINO</v>
      </c>
      <c r="F51" s="3206" t="s">
        <v>1119</v>
      </c>
      <c r="G51" s="3206"/>
      <c r="H51" s="3206" t="str">
        <f>'VISITA DE INSP.'!AZ3</f>
        <v>23DPR0491L</v>
      </c>
      <c r="I51" s="3203" t="str">
        <f>'VISITA DE INSP.'!BE3</f>
        <v>BALAN XIU * MANUEL JESUS</v>
      </c>
      <c r="J51" s="3205" t="str">
        <f>J50</f>
        <v>042</v>
      </c>
      <c r="K51" s="3207"/>
      <c r="L51" s="3208"/>
      <c r="M51" s="3207"/>
      <c r="N51" s="3207"/>
      <c r="O51" s="3207"/>
      <c r="P51" s="3207"/>
      <c r="Q51" s="3207"/>
      <c r="R51" s="3205">
        <v>3</v>
      </c>
      <c r="S51" s="3208">
        <v>9</v>
      </c>
      <c r="V51" s="1607">
        <v>9</v>
      </c>
      <c r="W51" s="1626" t="str">
        <f>HLOOKUP(W41,AA41:BV60,11)</f>
        <v>5ºA</v>
      </c>
      <c r="X51" s="1618">
        <f>HLOOKUP(X41,AA41:BV60,11)</f>
        <v>4</v>
      </c>
      <c r="Y51" s="1619">
        <f>HLOOKUP(Y41,AA41:BV424,11)</f>
        <v>2</v>
      </c>
      <c r="Z51" s="1612">
        <f t="shared" si="3"/>
        <v>6</v>
      </c>
      <c r="AA51" s="1632" t="str">
        <f>CONCATENATE(Plantillas!Y46,Plantillas!Z46)</f>
        <v>5ºA</v>
      </c>
      <c r="AB51" s="1617">
        <f>Plantillas!AG46</f>
        <v>4</v>
      </c>
      <c r="AC51" s="1633">
        <f>Plantillas!AH46</f>
        <v>2</v>
      </c>
      <c r="AD51" s="1631" t="str">
        <f>CONCATENATE(Plantillas!Y86,Plantillas!Z86)</f>
        <v>4ºB</v>
      </c>
      <c r="AE51" s="1617">
        <f>Plantillas!AG86</f>
        <v>1</v>
      </c>
      <c r="AF51" s="1633">
        <f>Plantillas!AH86</f>
        <v>1</v>
      </c>
      <c r="AG51" s="1631" t="str">
        <f>CONCATENATE(Plantillas!Y126,Plantillas!Z126)</f>
        <v>6ºA</v>
      </c>
      <c r="AH51" s="1617">
        <f>Plantillas!AG126</f>
        <v>2</v>
      </c>
      <c r="AI51" s="1633">
        <f>Plantillas!AH126</f>
        <v>0</v>
      </c>
      <c r="AJ51" s="1631" t="str">
        <f>CONCATENATE(Plantillas!Y166,Plantillas!Z166)</f>
        <v>5ºA</v>
      </c>
      <c r="AK51" s="1617">
        <f>Plantillas!AG166</f>
        <v>1</v>
      </c>
      <c r="AL51" s="1633">
        <f>Plantillas!AH166</f>
        <v>1</v>
      </c>
      <c r="AM51" s="1631" t="str">
        <f>CONCATENATE(Plantillas!Y206,Plantillas!Z206)</f>
        <v/>
      </c>
      <c r="AN51" s="1617">
        <f>Plantillas!AG206</f>
        <v>0</v>
      </c>
      <c r="AO51" s="1633">
        <f>Plantillas!AH206</f>
        <v>0</v>
      </c>
      <c r="AP51" s="1631" t="str">
        <f>CONCATENATE(Plantillas!Y246,Plantillas!Z246)</f>
        <v>4ºB</v>
      </c>
      <c r="AQ51" s="1617">
        <f>Plantillas!AG246</f>
        <v>2</v>
      </c>
      <c r="AR51" s="1633">
        <f>Plantillas!AH246</f>
        <v>1</v>
      </c>
      <c r="AS51" s="1631" t="str">
        <f>CONCATENATE(Plantillas!Y286,Plantillas!Z286)</f>
        <v/>
      </c>
      <c r="AT51" s="1617">
        <f>Plantillas!AG286</f>
        <v>0</v>
      </c>
      <c r="AU51" s="1633">
        <f>Plantillas!AH286</f>
        <v>0</v>
      </c>
      <c r="AV51" s="1631" t="str">
        <f>CONCATENATE(Plantillas!Y326,Plantillas!Z326)</f>
        <v/>
      </c>
      <c r="AW51" s="1617">
        <f>Plantillas!AG326</f>
        <v>0</v>
      </c>
      <c r="AX51" s="1633">
        <f>Plantillas!AH326</f>
        <v>0</v>
      </c>
      <c r="AY51" s="1631" t="str">
        <f>CONCATENATE(Plantillas!Y366,Plantillas!Z366)</f>
        <v>5ºA</v>
      </c>
      <c r="AZ51" s="1617">
        <f>Plantillas!AG366</f>
        <v>1</v>
      </c>
      <c r="BA51" s="1633">
        <f>Plantillas!AH366</f>
        <v>4</v>
      </c>
      <c r="BB51" s="1631" t="str">
        <f>CONCATENATE(Plantillas!Y406,Plantillas!Z406)</f>
        <v/>
      </c>
      <c r="BC51" s="1617">
        <f>Plantillas!AG406</f>
        <v>0</v>
      </c>
      <c r="BD51" s="1633">
        <f>Plantillas!AH406</f>
        <v>0</v>
      </c>
      <c r="BE51" s="1629" t="str">
        <f>CONCATENATE(Plantillas!Y446,Plantillas!Z446)</f>
        <v/>
      </c>
      <c r="BF51" s="1617">
        <f>Plantillas!AG446</f>
        <v>0</v>
      </c>
      <c r="BG51" s="1633">
        <f>Plantillas!AH446</f>
        <v>0</v>
      </c>
      <c r="BH51" s="1629" t="str">
        <f>CONCATENATE(Plantillas!Y486,Plantillas!Z486)</f>
        <v/>
      </c>
      <c r="BI51" s="1617">
        <f>Plantillas!AG486</f>
        <v>0</v>
      </c>
      <c r="BJ51" s="1633">
        <f>Plantillas!AH486</f>
        <v>0</v>
      </c>
      <c r="BK51" s="1629" t="str">
        <f>CONCATENATE(Plantillas!Y526,Plantillas!Z526)</f>
        <v/>
      </c>
      <c r="BL51" s="1617">
        <f>Plantillas!AG526</f>
        <v>0</v>
      </c>
      <c r="BM51" s="1633">
        <f>Plantillas!AH526</f>
        <v>0</v>
      </c>
      <c r="BN51" s="1629" t="str">
        <f>CONCATENATE(Plantillas!Y566,Plantillas!Z566)</f>
        <v/>
      </c>
      <c r="BO51" s="1617">
        <f>Plantillas!AG566</f>
        <v>0</v>
      </c>
      <c r="BP51" s="1633">
        <f>Plantillas!AH566</f>
        <v>0</v>
      </c>
      <c r="BQ51" s="1629" t="str">
        <f>CONCATENATE(Plantillas!Y606,Plantillas!Z606)</f>
        <v>6ºA</v>
      </c>
      <c r="BR51" s="1617">
        <f>Plantillas!AG606</f>
        <v>0</v>
      </c>
      <c r="BS51" s="1633">
        <f>Plantillas!AH606</f>
        <v>0</v>
      </c>
      <c r="BT51" s="1629" t="str">
        <f>CONCATENATE(Plantillas!Y646,Plantillas!Z646)</f>
        <v/>
      </c>
      <c r="BU51" s="1617">
        <f>Plantillas!AG646</f>
        <v>0</v>
      </c>
      <c r="BV51" s="1633">
        <f>Plantillas!AH646</f>
        <v>0</v>
      </c>
      <c r="BW51" s="1619"/>
    </row>
    <row r="52" spans="2:75" hidden="1">
      <c r="B52" s="3206">
        <v>3</v>
      </c>
      <c r="C52" s="3206" t="str">
        <f>'VISITA DE INSP.'!AY4</f>
        <v>8 DE OCTUBRE</v>
      </c>
      <c r="D52" s="3206"/>
      <c r="E52" s="3206" t="str">
        <f>'VISITA DE INSP.'!BA4</f>
        <v>VESPERTINO</v>
      </c>
      <c r="F52" s="3206" t="s">
        <v>1141</v>
      </c>
      <c r="G52" s="3206"/>
      <c r="H52" s="3206" t="str">
        <f>'VISITA DE INSP.'!AZ4</f>
        <v>23DPR0492K</v>
      </c>
      <c r="I52" s="3203" t="str">
        <f>'VISITA DE INSP.'!BE4</f>
        <v>CARDEÑA BENITEZ * LIDIA ESMERALDA</v>
      </c>
      <c r="J52" s="3205" t="str">
        <f t="shared" ref="J52:J67" si="4">J51</f>
        <v>042</v>
      </c>
      <c r="K52" s="3207"/>
      <c r="L52" s="3208"/>
      <c r="M52" s="3207"/>
      <c r="N52" s="3207"/>
      <c r="O52" s="3207"/>
      <c r="P52" s="3207"/>
      <c r="Q52" s="3207"/>
      <c r="R52" s="3205">
        <v>4</v>
      </c>
      <c r="S52" s="3208">
        <v>13</v>
      </c>
      <c r="V52" s="1607">
        <v>10</v>
      </c>
      <c r="W52" s="1626" t="str">
        <f>HLOOKUP(W41,AA41:BV60,12)</f>
        <v>5ºB</v>
      </c>
      <c r="X52" s="1618">
        <f>HLOOKUP(X41,AA41:BV60,12)</f>
        <v>6</v>
      </c>
      <c r="Y52" s="1619">
        <f>HLOOKUP(Y41,AA41:BV60,12)</f>
        <v>2</v>
      </c>
      <c r="Z52" s="1612">
        <f t="shared" si="3"/>
        <v>8</v>
      </c>
      <c r="AA52" s="1632" t="str">
        <f>CONCATENATE(Plantillas!Y47,Plantillas!Z47)</f>
        <v>5ºB</v>
      </c>
      <c r="AB52" s="1617">
        <f>Plantillas!AG47</f>
        <v>6</v>
      </c>
      <c r="AC52" s="1633">
        <f>Plantillas!AH47</f>
        <v>2</v>
      </c>
      <c r="AD52" s="1631" t="str">
        <f>CONCATENATE(Plantillas!Y87,Plantillas!Z87)</f>
        <v>4ºC</v>
      </c>
      <c r="AE52" s="1617">
        <f>Plantillas!AG87</f>
        <v>0</v>
      </c>
      <c r="AF52" s="1633">
        <f>Plantillas!AH87</f>
        <v>0</v>
      </c>
      <c r="AG52" s="1631" t="str">
        <f>CONCATENATE(Plantillas!Y127,Plantillas!Z127)</f>
        <v>6ºB</v>
      </c>
      <c r="AH52" s="1617">
        <f>Plantillas!AG127</f>
        <v>2</v>
      </c>
      <c r="AI52" s="1633">
        <f>Plantillas!AH127</f>
        <v>1</v>
      </c>
      <c r="AJ52" s="1631" t="str">
        <f>CONCATENATE(Plantillas!Y167,Plantillas!Z167)</f>
        <v>5ºB</v>
      </c>
      <c r="AK52" s="1617">
        <f>Plantillas!AG167</f>
        <v>3</v>
      </c>
      <c r="AL52" s="1633">
        <f>Plantillas!AH167</f>
        <v>0</v>
      </c>
      <c r="AM52" s="1631" t="str">
        <f>CONCATENATE(Plantillas!Y207,Plantillas!Z207)</f>
        <v/>
      </c>
      <c r="AN52" s="1617">
        <f>Plantillas!AG207</f>
        <v>0</v>
      </c>
      <c r="AO52" s="1633">
        <f>Plantillas!AH207</f>
        <v>0</v>
      </c>
      <c r="AP52" s="1631" t="str">
        <f>CONCATENATE(Plantillas!Y247,Plantillas!Z247)</f>
        <v>5ºA</v>
      </c>
      <c r="AQ52" s="1617">
        <f>Plantillas!AG247</f>
        <v>0</v>
      </c>
      <c r="AR52" s="1633">
        <f>Plantillas!AH247</f>
        <v>1</v>
      </c>
      <c r="AS52" s="1631" t="str">
        <f>CONCATENATE(Plantillas!Y287,Plantillas!Z287)</f>
        <v/>
      </c>
      <c r="AT52" s="1617">
        <f>Plantillas!AG287</f>
        <v>0</v>
      </c>
      <c r="AU52" s="1633">
        <f>Plantillas!AH287</f>
        <v>0</v>
      </c>
      <c r="AV52" s="1631" t="str">
        <f>CONCATENATE(Plantillas!Y327,Plantillas!Z327)</f>
        <v/>
      </c>
      <c r="AW52" s="1617">
        <f>Plantillas!AG327</f>
        <v>0</v>
      </c>
      <c r="AX52" s="1633">
        <f>Plantillas!AH327</f>
        <v>0</v>
      </c>
      <c r="AY52" s="1631" t="str">
        <f>CONCATENATE(Plantillas!Y367,Plantillas!Z367)</f>
        <v>5ºB</v>
      </c>
      <c r="AZ52" s="1617">
        <f>Plantillas!AG367</f>
        <v>2</v>
      </c>
      <c r="BA52" s="1633">
        <f>Plantillas!AH367</f>
        <v>3</v>
      </c>
      <c r="BB52" s="1631" t="str">
        <f>CONCATENATE(Plantillas!Y407,Plantillas!Z407)</f>
        <v/>
      </c>
      <c r="BC52" s="1617">
        <f>Plantillas!AG407</f>
        <v>0</v>
      </c>
      <c r="BD52" s="1633">
        <f>Plantillas!AH407</f>
        <v>0</v>
      </c>
      <c r="BE52" s="1629" t="str">
        <f>CONCATENATE(Plantillas!Y447,Plantillas!Z447)</f>
        <v/>
      </c>
      <c r="BF52" s="1617">
        <f>Plantillas!AG447</f>
        <v>0</v>
      </c>
      <c r="BG52" s="1633">
        <f>Plantillas!AH447</f>
        <v>0</v>
      </c>
      <c r="BH52" s="1629" t="str">
        <f>CONCATENATE(Plantillas!Y487,Plantillas!Z487)</f>
        <v/>
      </c>
      <c r="BI52" s="1617">
        <f>Plantillas!AG487</f>
        <v>0</v>
      </c>
      <c r="BJ52" s="1633">
        <f>Plantillas!AH487</f>
        <v>0</v>
      </c>
      <c r="BK52" s="1629" t="str">
        <f>CONCATENATE(Plantillas!Y527,Plantillas!Z527)</f>
        <v/>
      </c>
      <c r="BL52" s="1617">
        <f>Plantillas!AG527</f>
        <v>0</v>
      </c>
      <c r="BM52" s="1633">
        <f>Plantillas!AH527</f>
        <v>0</v>
      </c>
      <c r="BN52" s="1629" t="str">
        <f>CONCATENATE(Plantillas!Y567,Plantillas!Z567)</f>
        <v/>
      </c>
      <c r="BO52" s="1617">
        <f>Plantillas!AG567</f>
        <v>0</v>
      </c>
      <c r="BP52" s="1633">
        <f>Plantillas!AH567</f>
        <v>0</v>
      </c>
      <c r="BQ52" s="1629" t="str">
        <f>CONCATENATE(Plantillas!Y607,Plantillas!Z607)</f>
        <v/>
      </c>
      <c r="BR52" s="1617">
        <f>Plantillas!AG607</f>
        <v>0</v>
      </c>
      <c r="BS52" s="1633">
        <f>Plantillas!AH607</f>
        <v>0</v>
      </c>
      <c r="BT52" s="1629" t="str">
        <f>CONCATENATE(Plantillas!Y647,Plantillas!Z647)</f>
        <v/>
      </c>
      <c r="BU52" s="1617">
        <f>Plantillas!AG647</f>
        <v>0</v>
      </c>
      <c r="BV52" s="1633">
        <f>Plantillas!AH647</f>
        <v>0</v>
      </c>
      <c r="BW52" s="1619"/>
    </row>
    <row r="53" spans="2:75" hidden="1">
      <c r="B53" s="3206">
        <v>4</v>
      </c>
      <c r="C53" s="3206" t="str">
        <f>'VISITA DE INSP.'!AY5</f>
        <v>DERECHOS DEL NIÑO</v>
      </c>
      <c r="D53" s="3206"/>
      <c r="E53" s="3206" t="str">
        <f>'VISITA DE INSP.'!BA5</f>
        <v>MATUTINO</v>
      </c>
      <c r="F53" s="3206" t="s">
        <v>1119</v>
      </c>
      <c r="G53" s="3206"/>
      <c r="H53" s="3206" t="str">
        <f>'VISITA DE INSP.'!AZ5</f>
        <v>23DPR0564N</v>
      </c>
      <c r="I53" s="3203" t="str">
        <f>'VISITA DE INSP.'!BE5</f>
        <v>CETINA CHAY * JUAN CARLOS</v>
      </c>
      <c r="J53" s="3205" t="str">
        <f t="shared" si="4"/>
        <v>042</v>
      </c>
      <c r="K53" s="3207"/>
      <c r="L53" s="3208"/>
      <c r="M53" s="3207"/>
      <c r="N53" s="3207"/>
      <c r="O53" s="3207"/>
      <c r="P53" s="3207"/>
      <c r="Q53" s="3207"/>
      <c r="R53" s="3205">
        <v>5</v>
      </c>
      <c r="S53" s="3208">
        <v>17</v>
      </c>
      <c r="V53" s="1607">
        <v>11</v>
      </c>
      <c r="W53" s="1626" t="str">
        <f>HLOOKUP(W41,AA41:BV60,13)</f>
        <v>6ºA</v>
      </c>
      <c r="X53" s="1618">
        <f>HLOOKUP(X41,AA41:BV60,13)</f>
        <v>5</v>
      </c>
      <c r="Y53" s="1619">
        <f>HLOOKUP(Y41,AA41:BV60,13)</f>
        <v>1</v>
      </c>
      <c r="Z53" s="1612">
        <f t="shared" si="3"/>
        <v>6</v>
      </c>
      <c r="AA53" s="1632" t="str">
        <f>CONCATENATE(Plantillas!Y48,Plantillas!Z48)</f>
        <v>6ºA</v>
      </c>
      <c r="AB53" s="1617">
        <f>Plantillas!AG48</f>
        <v>5</v>
      </c>
      <c r="AC53" s="1633">
        <f>Plantillas!AH48</f>
        <v>1</v>
      </c>
      <c r="AD53" s="1631" t="str">
        <f>CONCATENATE(Plantillas!Y88,Plantillas!Z88)</f>
        <v>5ºA</v>
      </c>
      <c r="AE53" s="1617">
        <f>Plantillas!AG88</f>
        <v>1</v>
      </c>
      <c r="AF53" s="1633">
        <f>Plantillas!AH88</f>
        <v>0</v>
      </c>
      <c r="AG53" s="1631" t="str">
        <f>CONCATENATE(Plantillas!Y128,Plantillas!Z128)</f>
        <v/>
      </c>
      <c r="AH53" s="1617">
        <f>Plantillas!AG128</f>
        <v>0</v>
      </c>
      <c r="AI53" s="1633">
        <f>Plantillas!AH128</f>
        <v>0</v>
      </c>
      <c r="AJ53" s="1631" t="str">
        <f>CONCATENATE(Plantillas!Y168,Plantillas!Z168)</f>
        <v>6ºA</v>
      </c>
      <c r="AK53" s="1617">
        <f>Plantillas!AG168</f>
        <v>0</v>
      </c>
      <c r="AL53" s="1633">
        <f>Plantillas!AH168</f>
        <v>2</v>
      </c>
      <c r="AM53" s="1631" t="str">
        <f>CONCATENATE(Plantillas!Y208,Plantillas!Z208)</f>
        <v/>
      </c>
      <c r="AN53" s="1617">
        <f>Plantillas!AG208</f>
        <v>0</v>
      </c>
      <c r="AO53" s="1633">
        <f>Plantillas!AH208</f>
        <v>0</v>
      </c>
      <c r="AP53" s="1631" t="str">
        <f>CONCATENATE(Plantillas!Y248,Plantillas!Z248)</f>
        <v>5ºB</v>
      </c>
      <c r="AQ53" s="1617">
        <f>Plantillas!AG248</f>
        <v>1</v>
      </c>
      <c r="AR53" s="1633">
        <f>Plantillas!AH248</f>
        <v>1</v>
      </c>
      <c r="AS53" s="1631" t="str">
        <f>CONCATENATE(Plantillas!Y288,Plantillas!Z288)</f>
        <v/>
      </c>
      <c r="AT53" s="1617">
        <f>Plantillas!AG288</f>
        <v>0</v>
      </c>
      <c r="AU53" s="1633">
        <f>Plantillas!AH288</f>
        <v>0</v>
      </c>
      <c r="AV53" s="1631" t="str">
        <f>CONCATENATE(Plantillas!Y328,Plantillas!Z328)</f>
        <v/>
      </c>
      <c r="AW53" s="1617">
        <f>Plantillas!AG328</f>
        <v>0</v>
      </c>
      <c r="AX53" s="1633">
        <f>Plantillas!AH328</f>
        <v>0</v>
      </c>
      <c r="AY53" s="1631" t="str">
        <f>CONCATENATE(Plantillas!Y368,Plantillas!Z368)</f>
        <v>6ºA</v>
      </c>
      <c r="AZ53" s="1617">
        <f>Plantillas!AG368</f>
        <v>6</v>
      </c>
      <c r="BA53" s="1633">
        <f>Plantillas!AH368</f>
        <v>0</v>
      </c>
      <c r="BB53" s="1631" t="str">
        <f>CONCATENATE(Plantillas!Y408,Plantillas!Z408)</f>
        <v/>
      </c>
      <c r="BC53" s="1617">
        <f>Plantillas!AG408</f>
        <v>0</v>
      </c>
      <c r="BD53" s="1633">
        <f>Plantillas!AH408</f>
        <v>0</v>
      </c>
      <c r="BE53" s="1629" t="str">
        <f>CONCATENATE(Plantillas!Y448,Plantillas!Z448)</f>
        <v/>
      </c>
      <c r="BF53" s="1617">
        <f>Plantillas!AG448</f>
        <v>0</v>
      </c>
      <c r="BG53" s="1633">
        <f>Plantillas!AH448</f>
        <v>0</v>
      </c>
      <c r="BH53" s="1629" t="str">
        <f>CONCATENATE(Plantillas!Y488,Plantillas!Z488)</f>
        <v/>
      </c>
      <c r="BI53" s="1617">
        <f>Plantillas!AG488</f>
        <v>0</v>
      </c>
      <c r="BJ53" s="1633">
        <f>Plantillas!AH488</f>
        <v>0</v>
      </c>
      <c r="BK53" s="1629" t="str">
        <f>CONCATENATE(Plantillas!Y528,Plantillas!Z528)</f>
        <v/>
      </c>
      <c r="BL53" s="1617">
        <f>Plantillas!AG528</f>
        <v>0</v>
      </c>
      <c r="BM53" s="1633">
        <f>Plantillas!AH528</f>
        <v>0</v>
      </c>
      <c r="BN53" s="1629" t="str">
        <f>CONCATENATE(Plantillas!Y568,Plantillas!Z568)</f>
        <v/>
      </c>
      <c r="BO53" s="1617">
        <f>Plantillas!AG568</f>
        <v>0</v>
      </c>
      <c r="BP53" s="1633">
        <f>Plantillas!AH568</f>
        <v>0</v>
      </c>
      <c r="BQ53" s="1629" t="str">
        <f>CONCATENATE(Plantillas!Y608,Plantillas!Z608)</f>
        <v/>
      </c>
      <c r="BR53" s="1617">
        <f>Plantillas!AG608</f>
        <v>0</v>
      </c>
      <c r="BS53" s="1633">
        <f>Plantillas!AH608</f>
        <v>0</v>
      </c>
      <c r="BT53" s="1629" t="str">
        <f>CONCATENATE(Plantillas!Y648,Plantillas!Z648)</f>
        <v/>
      </c>
      <c r="BU53" s="1617">
        <f>Plantillas!AG648</f>
        <v>0</v>
      </c>
      <c r="BV53" s="1633">
        <f>Plantillas!AH648</f>
        <v>0</v>
      </c>
      <c r="BW53" s="1619"/>
    </row>
    <row r="54" spans="2:75" hidden="1">
      <c r="B54" s="3206">
        <v>5</v>
      </c>
      <c r="C54" s="3206" t="str">
        <f>'VISITA DE INSP.'!AY6</f>
        <v>DERECHOS DEL NIÑO</v>
      </c>
      <c r="D54" s="3206"/>
      <c r="E54" s="3206" t="str">
        <f>'VISITA DE INSP.'!BA6</f>
        <v>VESPERTINO</v>
      </c>
      <c r="F54" s="3206" t="s">
        <v>1141</v>
      </c>
      <c r="G54" s="3206"/>
      <c r="H54" s="3206" t="str">
        <f>'VISITA DE INSP.'!AZ6</f>
        <v>23DPR0570Y</v>
      </c>
      <c r="I54" s="3203" t="str">
        <f>'VISITA DE INSP.'!BE6</f>
        <v>COOX YAH * CARLOS  ENRIQUE</v>
      </c>
      <c r="J54" s="3205" t="str">
        <f t="shared" si="4"/>
        <v>042</v>
      </c>
      <c r="K54" s="3207"/>
      <c r="L54" s="3208"/>
      <c r="M54" s="3207" t="s">
        <v>79</v>
      </c>
      <c r="N54" s="3207"/>
      <c r="O54" s="3207"/>
      <c r="P54" s="3207"/>
      <c r="Q54" s="3207"/>
      <c r="R54" s="3205">
        <v>6</v>
      </c>
      <c r="S54" s="3208">
        <v>21</v>
      </c>
      <c r="V54" s="1607">
        <v>12</v>
      </c>
      <c r="W54" s="1626" t="str">
        <f>HLOOKUP(W41,AA41:BV60,14)</f>
        <v>6ºB</v>
      </c>
      <c r="X54" s="1618">
        <f>HLOOKUP(X41,AA41:BV60,14)</f>
        <v>5</v>
      </c>
      <c r="Y54" s="1619">
        <f>HLOOKUP(Y41,AA41:BV60,14)</f>
        <v>2</v>
      </c>
      <c r="Z54" s="1612">
        <f t="shared" si="3"/>
        <v>7</v>
      </c>
      <c r="AA54" s="1632" t="str">
        <f>CONCATENATE(Plantillas!Y49,Plantillas!Z49)</f>
        <v>6ºB</v>
      </c>
      <c r="AB54" s="1617">
        <f>Plantillas!AG49</f>
        <v>5</v>
      </c>
      <c r="AC54" s="1633">
        <f>Plantillas!AH49</f>
        <v>2</v>
      </c>
      <c r="AD54" s="1631" t="str">
        <f>CONCATENATE(Plantillas!Y89,Plantillas!Z89)</f>
        <v>5ºB</v>
      </c>
      <c r="AE54" s="1617">
        <f>Plantillas!AG89</f>
        <v>0</v>
      </c>
      <c r="AF54" s="1633">
        <f>Plantillas!AH89</f>
        <v>0</v>
      </c>
      <c r="AG54" s="1631" t="str">
        <f>CONCATENATE(Plantillas!Y129,Plantillas!Z129)</f>
        <v/>
      </c>
      <c r="AH54" s="1617">
        <f>Plantillas!AG129</f>
        <v>0</v>
      </c>
      <c r="AI54" s="1633">
        <f>Plantillas!AH129</f>
        <v>0</v>
      </c>
      <c r="AJ54" s="1631" t="str">
        <f>CONCATENATE(Plantillas!Y169,Plantillas!Z169)</f>
        <v>6ºB</v>
      </c>
      <c r="AK54" s="1617">
        <f>Plantillas!AG169</f>
        <v>0</v>
      </c>
      <c r="AL54" s="1633">
        <f>Plantillas!AH169</f>
        <v>0</v>
      </c>
      <c r="AM54" s="1631" t="str">
        <f>CONCATENATE(Plantillas!Y209,Plantillas!Z209)</f>
        <v/>
      </c>
      <c r="AN54" s="1617">
        <f>Plantillas!AG209</f>
        <v>0</v>
      </c>
      <c r="AO54" s="1633">
        <f>Plantillas!AH209</f>
        <v>0</v>
      </c>
      <c r="AP54" s="1631" t="str">
        <f>CONCATENATE(Plantillas!Y249,Plantillas!Z249)</f>
        <v>6ºA</v>
      </c>
      <c r="AQ54" s="1617">
        <f>Plantillas!AG249</f>
        <v>0</v>
      </c>
      <c r="AR54" s="1633">
        <f>Plantillas!AH249</f>
        <v>0</v>
      </c>
      <c r="AS54" s="1631" t="str">
        <f>CONCATENATE(Plantillas!Y289,Plantillas!Z289)</f>
        <v/>
      </c>
      <c r="AT54" s="1617">
        <f>Plantillas!AG289</f>
        <v>0</v>
      </c>
      <c r="AU54" s="1633">
        <f>Plantillas!AH289</f>
        <v>0</v>
      </c>
      <c r="AV54" s="1631" t="str">
        <f>CONCATENATE(Plantillas!Y329,Plantillas!Z329)</f>
        <v/>
      </c>
      <c r="AW54" s="1617">
        <f>Plantillas!AG329</f>
        <v>0</v>
      </c>
      <c r="AX54" s="1633">
        <f>Plantillas!AH329</f>
        <v>0</v>
      </c>
      <c r="AY54" s="1631" t="str">
        <f>CONCATENATE(Plantillas!Y369,Plantillas!Z369)</f>
        <v>6ºB</v>
      </c>
      <c r="AZ54" s="1617">
        <f>Plantillas!AG369</f>
        <v>1</v>
      </c>
      <c r="BA54" s="1633">
        <f>Plantillas!AH369</f>
        <v>1</v>
      </c>
      <c r="BB54" s="1631" t="str">
        <f>CONCATENATE(Plantillas!Y409,Plantillas!Z409)</f>
        <v/>
      </c>
      <c r="BC54" s="1617">
        <f>Plantillas!AG409</f>
        <v>0</v>
      </c>
      <c r="BD54" s="1633">
        <f>Plantillas!AH409</f>
        <v>0</v>
      </c>
      <c r="BE54" s="1629" t="str">
        <f>CONCATENATE(Plantillas!Y449,Plantillas!Z449)</f>
        <v/>
      </c>
      <c r="BF54" s="1617">
        <f>Plantillas!AG449</f>
        <v>0</v>
      </c>
      <c r="BG54" s="1633">
        <f>Plantillas!AH449</f>
        <v>0</v>
      </c>
      <c r="BH54" s="1629" t="str">
        <f>CONCATENATE(Plantillas!Y489,Plantillas!Z489)</f>
        <v/>
      </c>
      <c r="BI54" s="1617">
        <f>Plantillas!AG489</f>
        <v>0</v>
      </c>
      <c r="BJ54" s="1633">
        <f>Plantillas!AH489</f>
        <v>0</v>
      </c>
      <c r="BK54" s="1629" t="str">
        <f>CONCATENATE(Plantillas!Y529,Plantillas!Z529)</f>
        <v/>
      </c>
      <c r="BL54" s="1617">
        <f>Plantillas!AG529</f>
        <v>0</v>
      </c>
      <c r="BM54" s="1633">
        <f>Plantillas!AH529</f>
        <v>0</v>
      </c>
      <c r="BN54" s="1629" t="str">
        <f>CONCATENATE(Plantillas!Y569,Plantillas!Z569)</f>
        <v/>
      </c>
      <c r="BO54" s="1617">
        <f>Plantillas!AG569</f>
        <v>0</v>
      </c>
      <c r="BP54" s="1633">
        <f>Plantillas!AH569</f>
        <v>0</v>
      </c>
      <c r="BQ54" s="1629" t="str">
        <f>CONCATENATE(Plantillas!Y609,Plantillas!Z609)</f>
        <v/>
      </c>
      <c r="BR54" s="1617">
        <f>Plantillas!AG609</f>
        <v>0</v>
      </c>
      <c r="BS54" s="1633">
        <f>Plantillas!AH609</f>
        <v>0</v>
      </c>
      <c r="BT54" s="1629" t="str">
        <f>CONCATENATE(Plantillas!Y649,Plantillas!Z649)</f>
        <v/>
      </c>
      <c r="BU54" s="1617">
        <f>Plantillas!AG649</f>
        <v>0</v>
      </c>
      <c r="BV54" s="1633">
        <f>Plantillas!AH649</f>
        <v>0</v>
      </c>
      <c r="BW54" s="1619"/>
    </row>
    <row r="55" spans="2:75" hidden="1">
      <c r="B55" s="3206">
        <v>6</v>
      </c>
      <c r="C55" s="3206" t="str">
        <f>'VISITA DE INSP.'!AY7</f>
        <v>CUITLAHUAC</v>
      </c>
      <c r="D55" s="3206"/>
      <c r="E55" s="3206" t="str">
        <f>'VISITA DE INSP.'!BA7</f>
        <v>MATUTINO</v>
      </c>
      <c r="F55" s="3206" t="s">
        <v>1119</v>
      </c>
      <c r="G55" s="3206"/>
      <c r="H55" s="3206" t="str">
        <f>'VISITA DE INSP.'!AZ7</f>
        <v>23DPR572W</v>
      </c>
      <c r="I55" s="3203" t="str">
        <f>'VISITA DE INSP.'!BE7</f>
        <v>DZIB TUZ * MANUEL JESUS</v>
      </c>
      <c r="J55" s="3205" t="str">
        <f t="shared" si="4"/>
        <v>042</v>
      </c>
      <c r="K55" s="3207"/>
      <c r="L55" s="3208"/>
      <c r="M55" s="3207"/>
      <c r="N55" s="3207"/>
      <c r="O55" s="3207"/>
      <c r="P55" s="3207"/>
      <c r="Q55" s="3207"/>
      <c r="R55" s="3205">
        <v>7</v>
      </c>
      <c r="S55" s="3208">
        <v>25</v>
      </c>
      <c r="V55" s="1607">
        <v>13</v>
      </c>
      <c r="W55" s="1626" t="str">
        <f>HLOOKUP(W41,AA41:BV60,15)</f>
        <v/>
      </c>
      <c r="X55" s="1618">
        <f>HLOOKUP(X41,AA41:BV60,15)</f>
        <v>0</v>
      </c>
      <c r="Y55" s="1619">
        <f>HLOOKUP(Y41,AA41:BV60,15)</f>
        <v>0</v>
      </c>
      <c r="Z55" s="1612">
        <f t="shared" si="3"/>
        <v>0</v>
      </c>
      <c r="AA55" s="1632" t="str">
        <f>CONCATENATE(Plantillas!Y50,Plantillas!Z50)</f>
        <v/>
      </c>
      <c r="AB55" s="1617">
        <f>Plantillas!AG50</f>
        <v>0</v>
      </c>
      <c r="AC55" s="1633">
        <f>Plantillas!AH50</f>
        <v>0</v>
      </c>
      <c r="AD55" s="1631" t="str">
        <f>CONCATENATE(Plantillas!Y90,Plantillas!Z90)</f>
        <v>6ºA</v>
      </c>
      <c r="AE55" s="1617">
        <f>Plantillas!AG90</f>
        <v>0</v>
      </c>
      <c r="AF55" s="1633">
        <f>Plantillas!AH90</f>
        <v>0</v>
      </c>
      <c r="AG55" s="1631" t="str">
        <f>CONCATENATE(Plantillas!Y130,Plantillas!Z130)</f>
        <v/>
      </c>
      <c r="AH55" s="1617">
        <f>Plantillas!AG130</f>
        <v>0</v>
      </c>
      <c r="AI55" s="1633">
        <f>Plantillas!AH130</f>
        <v>0</v>
      </c>
      <c r="AJ55" s="1631" t="str">
        <f>CONCATENATE(Plantillas!Y170,Plantillas!Z170)</f>
        <v/>
      </c>
      <c r="AK55" s="1617">
        <f>Plantillas!AG170</f>
        <v>0</v>
      </c>
      <c r="AL55" s="1633">
        <f>Plantillas!AH170</f>
        <v>0</v>
      </c>
      <c r="AM55" s="1631" t="str">
        <f>CONCATENATE(Plantillas!Y210,Plantillas!Z210)</f>
        <v/>
      </c>
      <c r="AN55" s="1617">
        <f>Plantillas!AG210</f>
        <v>0</v>
      </c>
      <c r="AO55" s="1633">
        <f>Plantillas!AH210</f>
        <v>0</v>
      </c>
      <c r="AP55" s="1631" t="str">
        <f>CONCATENATE(Plantillas!Y250,Plantillas!Z250)</f>
        <v>6ºB</v>
      </c>
      <c r="AQ55" s="1617">
        <f>Plantillas!AG250</f>
        <v>0</v>
      </c>
      <c r="AR55" s="1633">
        <f>Plantillas!AH250</f>
        <v>0</v>
      </c>
      <c r="AS55" s="1631" t="str">
        <f>CONCATENATE(Plantillas!Y290,Plantillas!Z290)</f>
        <v/>
      </c>
      <c r="AT55" s="1617">
        <f>Plantillas!AG290</f>
        <v>0</v>
      </c>
      <c r="AU55" s="1633">
        <f>Plantillas!AH290</f>
        <v>0</v>
      </c>
      <c r="AV55" s="1631" t="str">
        <f>CONCATENATE(Plantillas!Y330,Plantillas!Z330)</f>
        <v/>
      </c>
      <c r="AW55" s="1617">
        <f>Plantillas!AG330</f>
        <v>0</v>
      </c>
      <c r="AX55" s="1633">
        <f>Plantillas!AH330</f>
        <v>0</v>
      </c>
      <c r="AY55" s="1631" t="str">
        <f>CONCATENATE(Plantillas!Y370,Plantillas!Z370)</f>
        <v/>
      </c>
      <c r="AZ55" s="1617">
        <f>Plantillas!AG370</f>
        <v>0</v>
      </c>
      <c r="BA55" s="1633">
        <f>Plantillas!AH370</f>
        <v>0</v>
      </c>
      <c r="BB55" s="1631" t="str">
        <f>CONCATENATE(Plantillas!Y410,Plantillas!Z410)</f>
        <v/>
      </c>
      <c r="BC55" s="1617">
        <f>Plantillas!AG410</f>
        <v>0</v>
      </c>
      <c r="BD55" s="1633">
        <f>Plantillas!AH410</f>
        <v>0</v>
      </c>
      <c r="BE55" s="1629" t="str">
        <f>CONCATENATE(Plantillas!Y450,Plantillas!Z450)</f>
        <v/>
      </c>
      <c r="BF55" s="1617">
        <f>Plantillas!AG450</f>
        <v>0</v>
      </c>
      <c r="BG55" s="1633">
        <f>Plantillas!AH450</f>
        <v>0</v>
      </c>
      <c r="BH55" s="1629" t="str">
        <f>CONCATENATE(Plantillas!Y490,Plantillas!Z490)</f>
        <v/>
      </c>
      <c r="BI55" s="1617">
        <f>Plantillas!AG490</f>
        <v>0</v>
      </c>
      <c r="BJ55" s="1633">
        <f>Plantillas!AH490</f>
        <v>0</v>
      </c>
      <c r="BK55" s="1629" t="str">
        <f>CONCATENATE(Plantillas!Y530,Plantillas!Z530)</f>
        <v/>
      </c>
      <c r="BL55" s="1617">
        <f>Plantillas!AG530</f>
        <v>0</v>
      </c>
      <c r="BM55" s="1633">
        <f>Plantillas!AH530</f>
        <v>0</v>
      </c>
      <c r="BN55" s="1629" t="str">
        <f>CONCATENATE(Plantillas!Y570,Plantillas!Z570)</f>
        <v/>
      </c>
      <c r="BO55" s="1617">
        <f>Plantillas!AG570</f>
        <v>0</v>
      </c>
      <c r="BP55" s="1633">
        <f>Plantillas!AH570</f>
        <v>0</v>
      </c>
      <c r="BQ55" s="1629" t="str">
        <f>CONCATENATE(Plantillas!Y610,Plantillas!Z610)</f>
        <v/>
      </c>
      <c r="BR55" s="1617">
        <f>Plantillas!AG610</f>
        <v>0</v>
      </c>
      <c r="BS55" s="1633">
        <f>Plantillas!AH610</f>
        <v>0</v>
      </c>
      <c r="BT55" s="1629" t="str">
        <f>CONCATENATE(Plantillas!Y650,Plantillas!Z650)</f>
        <v/>
      </c>
      <c r="BU55" s="1617">
        <f>Plantillas!AG650</f>
        <v>0</v>
      </c>
      <c r="BV55" s="1633">
        <f>Plantillas!AH650</f>
        <v>0</v>
      </c>
      <c r="BW55" s="1619"/>
    </row>
    <row r="56" spans="2:75" hidden="1">
      <c r="B56" s="3206">
        <v>7</v>
      </c>
      <c r="C56" s="3206" t="str">
        <f>'VISITA DE INSP.'!AY8</f>
        <v>CUITLAHUAC</v>
      </c>
      <c r="D56" s="3206"/>
      <c r="E56" s="3206" t="str">
        <f>'VISITA DE INSP.'!BA8</f>
        <v>VESPERTINO</v>
      </c>
      <c r="F56" s="3206" t="s">
        <v>1141</v>
      </c>
      <c r="G56" s="3206"/>
      <c r="H56" s="3206" t="str">
        <f>'VISITA DE INSP.'!AZ8</f>
        <v>23DPR0581D</v>
      </c>
      <c r="I56" s="3203" t="str">
        <f>'VISITA DE INSP.'!BE8</f>
        <v>PUCH GOMEZ * MADAI ROXANA</v>
      </c>
      <c r="J56" s="3205" t="str">
        <f t="shared" si="4"/>
        <v>042</v>
      </c>
      <c r="K56" s="3207"/>
      <c r="L56" s="3208"/>
      <c r="M56" s="3207"/>
      <c r="N56" s="3207"/>
      <c r="O56" s="3207"/>
      <c r="P56" s="3207"/>
      <c r="Q56" s="3207"/>
      <c r="R56" s="3205">
        <v>8</v>
      </c>
      <c r="S56" s="3208">
        <v>29</v>
      </c>
      <c r="V56" s="1607">
        <v>14</v>
      </c>
      <c r="W56" s="1626" t="str">
        <f>HLOOKUP(W41,AA41:BV60,16)</f>
        <v/>
      </c>
      <c r="X56" s="1618">
        <f>HLOOKUP(X41,AA41:BV60,16)</f>
        <v>0</v>
      </c>
      <c r="Y56" s="1619">
        <f>HLOOKUP(Y41,AA41:BV60,16)</f>
        <v>0</v>
      </c>
      <c r="Z56" s="1612">
        <f t="shared" si="3"/>
        <v>0</v>
      </c>
      <c r="AA56" s="1632" t="str">
        <f>CONCATENATE(Plantillas!Y51,Plantillas!Z51)</f>
        <v/>
      </c>
      <c r="AB56" s="1617">
        <f>Plantillas!AG51</f>
        <v>0</v>
      </c>
      <c r="AC56" s="1633">
        <f>Plantillas!AH51</f>
        <v>0</v>
      </c>
      <c r="AD56" s="1631" t="str">
        <f>CONCATENATE(Plantillas!Y91,Plantillas!Z91)</f>
        <v>6ºB</v>
      </c>
      <c r="AE56" s="1617">
        <f>Plantillas!AG91</f>
        <v>0</v>
      </c>
      <c r="AF56" s="1633">
        <f>Plantillas!AH91</f>
        <v>0</v>
      </c>
      <c r="AG56" s="1631" t="str">
        <f>CONCATENATE(Plantillas!Y131,Plantillas!Z131)</f>
        <v/>
      </c>
      <c r="AH56" s="1617">
        <f>Plantillas!AG131</f>
        <v>0</v>
      </c>
      <c r="AI56" s="1633">
        <f>Plantillas!AH131</f>
        <v>0</v>
      </c>
      <c r="AJ56" s="1631" t="str">
        <f>CONCATENATE(Plantillas!Y171,Plantillas!Z171)</f>
        <v/>
      </c>
      <c r="AK56" s="1617">
        <f>Plantillas!AG171</f>
        <v>0</v>
      </c>
      <c r="AL56" s="1633">
        <f>Plantillas!AH171</f>
        <v>0</v>
      </c>
      <c r="AM56" s="1631" t="str">
        <f>CONCATENATE(Plantillas!Y211,Plantillas!Z211)</f>
        <v/>
      </c>
      <c r="AN56" s="1617">
        <f>Plantillas!AG211</f>
        <v>0</v>
      </c>
      <c r="AO56" s="1633">
        <f>Plantillas!AH211</f>
        <v>0</v>
      </c>
      <c r="AP56" s="1631" t="str">
        <f>CONCATENATE(Plantillas!Y251,Plantillas!Z251)</f>
        <v/>
      </c>
      <c r="AQ56" s="1617">
        <f>Plantillas!AG251</f>
        <v>0</v>
      </c>
      <c r="AR56" s="1633">
        <f>Plantillas!AH251</f>
        <v>0</v>
      </c>
      <c r="AS56" s="1631" t="str">
        <f>CONCATENATE(Plantillas!Y291,Plantillas!Z291)</f>
        <v/>
      </c>
      <c r="AT56" s="1617">
        <f>Plantillas!AG291</f>
        <v>0</v>
      </c>
      <c r="AU56" s="1633">
        <f>Plantillas!AH291</f>
        <v>0</v>
      </c>
      <c r="AV56" s="1631" t="str">
        <f>CONCATENATE(Plantillas!Y331,Plantillas!Z331)</f>
        <v/>
      </c>
      <c r="AW56" s="1617">
        <f>Plantillas!AG331</f>
        <v>0</v>
      </c>
      <c r="AX56" s="1633">
        <f>Plantillas!AH331</f>
        <v>0</v>
      </c>
      <c r="AY56" s="1631" t="str">
        <f>CONCATENATE(Plantillas!Y371,Plantillas!Z371)</f>
        <v/>
      </c>
      <c r="AZ56" s="1617">
        <f>Plantillas!AG371</f>
        <v>0</v>
      </c>
      <c r="BA56" s="1633">
        <f>Plantillas!AH371</f>
        <v>0</v>
      </c>
      <c r="BB56" s="1631" t="str">
        <f>CONCATENATE(Plantillas!Y411,Plantillas!Z411)</f>
        <v/>
      </c>
      <c r="BC56" s="1617">
        <f>Plantillas!AG411</f>
        <v>0</v>
      </c>
      <c r="BD56" s="1633">
        <f>Plantillas!AH411</f>
        <v>0</v>
      </c>
      <c r="BE56" s="1629" t="str">
        <f>CONCATENATE(Plantillas!Y451,Plantillas!Z451)</f>
        <v/>
      </c>
      <c r="BF56" s="1617">
        <f>Plantillas!AG451</f>
        <v>0</v>
      </c>
      <c r="BG56" s="1633">
        <f>Plantillas!AH451</f>
        <v>0</v>
      </c>
      <c r="BH56" s="1629" t="str">
        <f>CONCATENATE(Plantillas!Y491,Plantillas!Z491)</f>
        <v/>
      </c>
      <c r="BI56" s="1617">
        <f>Plantillas!AG491</f>
        <v>0</v>
      </c>
      <c r="BJ56" s="1633">
        <f>Plantillas!AH491</f>
        <v>0</v>
      </c>
      <c r="BK56" s="1629" t="str">
        <f>CONCATENATE(Plantillas!Y531,Plantillas!Z531)</f>
        <v/>
      </c>
      <c r="BL56" s="1617">
        <f>Plantillas!AG531</f>
        <v>0</v>
      </c>
      <c r="BM56" s="1633">
        <f>Plantillas!AH531</f>
        <v>0</v>
      </c>
      <c r="BN56" s="1629" t="str">
        <f>CONCATENATE(Plantillas!Y571,Plantillas!Z571)</f>
        <v/>
      </c>
      <c r="BO56" s="1617">
        <f>Plantillas!AG571</f>
        <v>0</v>
      </c>
      <c r="BP56" s="1633">
        <f>Plantillas!AH571</f>
        <v>0</v>
      </c>
      <c r="BQ56" s="1629" t="str">
        <f>CONCATENATE(Plantillas!Y611,Plantillas!Z611)</f>
        <v/>
      </c>
      <c r="BR56" s="1617">
        <f>Plantillas!AG611</f>
        <v>0</v>
      </c>
      <c r="BS56" s="1633">
        <f>Plantillas!AH611</f>
        <v>0</v>
      </c>
      <c r="BT56" s="1629" t="str">
        <f>CONCATENATE(Plantillas!Y651,Plantillas!Z651)</f>
        <v/>
      </c>
      <c r="BU56" s="1617">
        <f>Plantillas!AG651</f>
        <v>0</v>
      </c>
      <c r="BV56" s="1633">
        <f>Plantillas!AH651</f>
        <v>0</v>
      </c>
      <c r="BW56" s="1619"/>
    </row>
    <row r="57" spans="2:75" hidden="1">
      <c r="B57" s="3206">
        <v>8</v>
      </c>
      <c r="C57" s="3206" t="str">
        <f>'VISITA DE INSP.'!AY9</f>
        <v>KABAH</v>
      </c>
      <c r="D57" s="3206"/>
      <c r="E57" s="3206" t="str">
        <f>'VISITA DE INSP.'!BA9</f>
        <v>VESPERTINO</v>
      </c>
      <c r="F57" s="3206" t="s">
        <v>1141</v>
      </c>
      <c r="G57" s="3206"/>
      <c r="H57" s="3206" t="str">
        <f>'VISITA DE INSP.'!AZ9</f>
        <v>23DPR0593I</v>
      </c>
      <c r="I57" s="3203" t="str">
        <f>'VISITA DE INSP.'!BE9</f>
        <v>DZIB TUZ * MANUEL JESUS</v>
      </c>
      <c r="J57" s="3205" t="str">
        <f t="shared" si="4"/>
        <v>042</v>
      </c>
      <c r="K57" s="3207"/>
      <c r="L57" s="3208"/>
      <c r="M57" s="3207"/>
      <c r="N57" s="3207"/>
      <c r="O57" s="3207"/>
      <c r="P57" s="3207"/>
      <c r="Q57" s="3207"/>
      <c r="R57" s="3205">
        <v>9</v>
      </c>
      <c r="S57" s="3208">
        <v>33</v>
      </c>
      <c r="V57" s="1607">
        <v>15</v>
      </c>
      <c r="W57" s="1626" t="str">
        <f>HLOOKUP(W41,AA41:BV60,17)</f>
        <v/>
      </c>
      <c r="X57" s="1618">
        <f>HLOOKUP(X41,AA41:BV60,17)</f>
        <v>0</v>
      </c>
      <c r="Y57" s="1619">
        <f>HLOOKUP(Y41,AA41:BV60,17)</f>
        <v>0</v>
      </c>
      <c r="Z57" s="1612">
        <f t="shared" si="3"/>
        <v>0</v>
      </c>
      <c r="AA57" s="1632" t="str">
        <f>CONCATENATE(Plantillas!Y52,Plantillas!Z52)</f>
        <v/>
      </c>
      <c r="AB57" s="1617">
        <f>Plantillas!AG52</f>
        <v>0</v>
      </c>
      <c r="AC57" s="1633">
        <f>Plantillas!AH52</f>
        <v>0</v>
      </c>
      <c r="AD57" s="1631" t="str">
        <f>CONCATENATE(Plantillas!Y92,Plantillas!Z92)</f>
        <v/>
      </c>
      <c r="AE57" s="1617">
        <f>Plantillas!AG92</f>
        <v>0</v>
      </c>
      <c r="AF57" s="1633">
        <f>Plantillas!AH92</f>
        <v>0</v>
      </c>
      <c r="AG57" s="1631" t="str">
        <f>CONCATENATE(Plantillas!Y132,Plantillas!Z132)</f>
        <v/>
      </c>
      <c r="AH57" s="1617">
        <f>Plantillas!AG132</f>
        <v>0</v>
      </c>
      <c r="AI57" s="1633">
        <f>Plantillas!AH132</f>
        <v>0</v>
      </c>
      <c r="AJ57" s="1631" t="str">
        <f>CONCATENATE(Plantillas!Y172,Plantillas!Z172)</f>
        <v/>
      </c>
      <c r="AK57" s="1617">
        <f>Plantillas!AG172</f>
        <v>0</v>
      </c>
      <c r="AL57" s="1633">
        <f>Plantillas!AH172</f>
        <v>0</v>
      </c>
      <c r="AM57" s="1631" t="str">
        <f>CONCATENATE(Plantillas!Y212,Plantillas!Z212)</f>
        <v/>
      </c>
      <c r="AN57" s="1617">
        <f>Plantillas!AG212</f>
        <v>0</v>
      </c>
      <c r="AO57" s="1633">
        <f>Plantillas!AH212</f>
        <v>0</v>
      </c>
      <c r="AP57" s="1631" t="str">
        <f>CONCATENATE(Plantillas!Y252,Plantillas!Z252)</f>
        <v/>
      </c>
      <c r="AQ57" s="1617">
        <f>Plantillas!AG252</f>
        <v>0</v>
      </c>
      <c r="AR57" s="1633">
        <f>Plantillas!AH252</f>
        <v>0</v>
      </c>
      <c r="AS57" s="1631" t="str">
        <f>CONCATENATE(Plantillas!Y292,Plantillas!Z292)</f>
        <v/>
      </c>
      <c r="AT57" s="1617">
        <f>Plantillas!AG292</f>
        <v>0</v>
      </c>
      <c r="AU57" s="1633">
        <f>Plantillas!AH292</f>
        <v>0</v>
      </c>
      <c r="AV57" s="1631" t="str">
        <f>CONCATENATE(Plantillas!Y332,Plantillas!Z332)</f>
        <v/>
      </c>
      <c r="AW57" s="1617">
        <f>Plantillas!AG332</f>
        <v>0</v>
      </c>
      <c r="AX57" s="1633">
        <f>Plantillas!AH332</f>
        <v>0</v>
      </c>
      <c r="AY57" s="1631" t="str">
        <f>CONCATENATE(Plantillas!Y372,Plantillas!Z372)</f>
        <v/>
      </c>
      <c r="AZ57" s="1617">
        <f>Plantillas!AG372</f>
        <v>0</v>
      </c>
      <c r="BA57" s="1633">
        <f>Plantillas!AH372</f>
        <v>0</v>
      </c>
      <c r="BB57" s="1631" t="str">
        <f>CONCATENATE(Plantillas!Y412,Plantillas!Z412)</f>
        <v/>
      </c>
      <c r="BC57" s="1617">
        <f>Plantillas!AG412</f>
        <v>0</v>
      </c>
      <c r="BD57" s="1633">
        <f>Plantillas!AH412</f>
        <v>0</v>
      </c>
      <c r="BE57" s="1629" t="str">
        <f>CONCATENATE(Plantillas!Y452,Plantillas!Z452)</f>
        <v/>
      </c>
      <c r="BF57" s="1617">
        <f>Plantillas!AG452</f>
        <v>0</v>
      </c>
      <c r="BG57" s="1633">
        <f>Plantillas!AH452</f>
        <v>0</v>
      </c>
      <c r="BH57" s="1629" t="str">
        <f>CONCATENATE(Plantillas!Y492,Plantillas!Z492)</f>
        <v/>
      </c>
      <c r="BI57" s="1617">
        <f>Plantillas!AG492</f>
        <v>0</v>
      </c>
      <c r="BJ57" s="1633">
        <f>Plantillas!AH492</f>
        <v>0</v>
      </c>
      <c r="BK57" s="1629" t="str">
        <f>CONCATENATE(Plantillas!Y532,Plantillas!Z532)</f>
        <v/>
      </c>
      <c r="BL57" s="1617">
        <f>Plantillas!AG532</f>
        <v>0</v>
      </c>
      <c r="BM57" s="1633">
        <f>Plantillas!AH532</f>
        <v>0</v>
      </c>
      <c r="BN57" s="1629" t="str">
        <f>CONCATENATE(Plantillas!Y572,Plantillas!Z572)</f>
        <v/>
      </c>
      <c r="BO57" s="1617">
        <f>Plantillas!AG572</f>
        <v>0</v>
      </c>
      <c r="BP57" s="1633">
        <f>Plantillas!AH572</f>
        <v>0</v>
      </c>
      <c r="BQ57" s="1629" t="str">
        <f>CONCATENATE(Plantillas!Y612,Plantillas!Z612)</f>
        <v/>
      </c>
      <c r="BR57" s="1617">
        <f>Plantillas!AG612</f>
        <v>0</v>
      </c>
      <c r="BS57" s="1633">
        <f>Plantillas!AH612</f>
        <v>0</v>
      </c>
      <c r="BT57" s="1629" t="str">
        <f>CONCATENATE(Plantillas!Y652,Plantillas!Z652)</f>
        <v/>
      </c>
      <c r="BU57" s="1617">
        <f>Plantillas!AG652</f>
        <v>0</v>
      </c>
      <c r="BV57" s="1633">
        <f>Plantillas!AH652</f>
        <v>0</v>
      </c>
      <c r="BW57" s="1619"/>
    </row>
    <row r="58" spans="2:75" hidden="1">
      <c r="B58" s="3206">
        <v>9</v>
      </c>
      <c r="C58" s="3206" t="str">
        <f>'VISITA DE INSP.'!AY10</f>
        <v>ANTONIO MEDIZ BOLIO</v>
      </c>
      <c r="D58" s="3206"/>
      <c r="E58" s="3206" t="str">
        <f>'VISITA DE INSP.'!BA10</f>
        <v>MATUTINO</v>
      </c>
      <c r="F58" s="3206" t="s">
        <v>1119</v>
      </c>
      <c r="G58" s="3206"/>
      <c r="H58" s="3206" t="str">
        <f>'VISITA DE INSP.'!AZ10</f>
        <v>23DPR0640C</v>
      </c>
      <c r="I58" s="3203" t="str">
        <f>'VISITA DE INSP.'!BE10</f>
        <v>ARJONA SANTOYO * MARCO ANTONIO</v>
      </c>
      <c r="J58" s="3205" t="str">
        <f t="shared" si="4"/>
        <v>042</v>
      </c>
      <c r="K58" s="3207"/>
      <c r="L58" s="3208"/>
      <c r="M58" s="3207"/>
      <c r="N58" s="3207"/>
      <c r="O58" s="3207"/>
      <c r="P58" s="3207"/>
      <c r="Q58" s="3207"/>
      <c r="R58" s="3205">
        <v>10</v>
      </c>
      <c r="S58" s="3208">
        <v>37</v>
      </c>
      <c r="V58" s="1607">
        <v>16</v>
      </c>
      <c r="W58" s="1626" t="str">
        <f>HLOOKUP(W41,AA41:BV60,18)</f>
        <v/>
      </c>
      <c r="X58" s="1618">
        <f>HLOOKUP(X41,AA41:BV60,18)</f>
        <v>0</v>
      </c>
      <c r="Y58" s="1619">
        <f>HLOOKUP(Y41,AA41:BV60,18)</f>
        <v>0</v>
      </c>
      <c r="Z58" s="1612">
        <f t="shared" si="3"/>
        <v>0</v>
      </c>
      <c r="AA58" s="1632" t="str">
        <f>CONCATENATE(Plantillas!Y53,Plantillas!Z53)</f>
        <v/>
      </c>
      <c r="AB58" s="1617">
        <f>Plantillas!AG53</f>
        <v>0</v>
      </c>
      <c r="AC58" s="1633">
        <f>Plantillas!AH53</f>
        <v>0</v>
      </c>
      <c r="AD58" s="1631" t="str">
        <f>CONCATENATE(Plantillas!Y93,Plantillas!Z93)</f>
        <v/>
      </c>
      <c r="AE58" s="1617">
        <f>Plantillas!AG93</f>
        <v>0</v>
      </c>
      <c r="AF58" s="1633">
        <f>Plantillas!AH93</f>
        <v>0</v>
      </c>
      <c r="AG58" s="1631" t="str">
        <f>CONCATENATE(Plantillas!Y133,Plantillas!Z133)</f>
        <v/>
      </c>
      <c r="AH58" s="1617">
        <f>Plantillas!AG133</f>
        <v>0</v>
      </c>
      <c r="AI58" s="1633">
        <f>Plantillas!AH133</f>
        <v>0</v>
      </c>
      <c r="AJ58" s="1631" t="str">
        <f>CONCATENATE(Plantillas!Y173,Plantillas!Z173)</f>
        <v/>
      </c>
      <c r="AK58" s="1617">
        <f>Plantillas!AG173</f>
        <v>0</v>
      </c>
      <c r="AL58" s="1633">
        <f>Plantillas!AH173</f>
        <v>0</v>
      </c>
      <c r="AM58" s="1631" t="str">
        <f>CONCATENATE(Plantillas!Y213,Plantillas!Z213)</f>
        <v/>
      </c>
      <c r="AN58" s="1617">
        <f>Plantillas!AG213</f>
        <v>0</v>
      </c>
      <c r="AO58" s="1633">
        <f>Plantillas!AH213</f>
        <v>0</v>
      </c>
      <c r="AP58" s="1631" t="str">
        <f>CONCATENATE(Plantillas!Y253,Plantillas!Z253)</f>
        <v/>
      </c>
      <c r="AQ58" s="1617">
        <f>Plantillas!AG253</f>
        <v>0</v>
      </c>
      <c r="AR58" s="1633">
        <f>Plantillas!AH253</f>
        <v>0</v>
      </c>
      <c r="AS58" s="1631" t="str">
        <f>CONCATENATE(Plantillas!Y293,Plantillas!Z293)</f>
        <v/>
      </c>
      <c r="AT58" s="1617">
        <f>Plantillas!AG293</f>
        <v>0</v>
      </c>
      <c r="AU58" s="1633">
        <f>Plantillas!AH293</f>
        <v>0</v>
      </c>
      <c r="AV58" s="1631" t="str">
        <f>CONCATENATE(Plantillas!Y333,Plantillas!Z333)</f>
        <v/>
      </c>
      <c r="AW58" s="1617">
        <f>Plantillas!AG333</f>
        <v>0</v>
      </c>
      <c r="AX58" s="1633">
        <f>Plantillas!AH333</f>
        <v>0</v>
      </c>
      <c r="AY58" s="1631" t="str">
        <f>CONCATENATE(Plantillas!Y373,Plantillas!Z373)</f>
        <v/>
      </c>
      <c r="AZ58" s="1617">
        <f>Plantillas!AG373</f>
        <v>0</v>
      </c>
      <c r="BA58" s="1633">
        <f>Plantillas!AH373</f>
        <v>0</v>
      </c>
      <c r="BB58" s="1631" t="str">
        <f>CONCATENATE(Plantillas!Y413,Plantillas!Z413)</f>
        <v/>
      </c>
      <c r="BC58" s="1617">
        <f>Plantillas!AG413</f>
        <v>0</v>
      </c>
      <c r="BD58" s="1633">
        <f>Plantillas!AH413</f>
        <v>0</v>
      </c>
      <c r="BE58" s="1629" t="str">
        <f>CONCATENATE(Plantillas!Y453,Plantillas!Z453)</f>
        <v/>
      </c>
      <c r="BF58" s="1617">
        <f>Plantillas!AG453</f>
        <v>0</v>
      </c>
      <c r="BG58" s="1633">
        <f>Plantillas!AH453</f>
        <v>0</v>
      </c>
      <c r="BH58" s="1629" t="str">
        <f>CONCATENATE(Plantillas!Y493,Plantillas!Z493)</f>
        <v/>
      </c>
      <c r="BI58" s="1617">
        <f>Plantillas!AG493</f>
        <v>0</v>
      </c>
      <c r="BJ58" s="1633">
        <f>Plantillas!AH493</f>
        <v>0</v>
      </c>
      <c r="BK58" s="1629" t="str">
        <f>CONCATENATE(Plantillas!Y533,Plantillas!Z533)</f>
        <v/>
      </c>
      <c r="BL58" s="1617">
        <f>Plantillas!AG533</f>
        <v>0</v>
      </c>
      <c r="BM58" s="1633">
        <f>Plantillas!AH533</f>
        <v>0</v>
      </c>
      <c r="BN58" s="1629" t="str">
        <f>CONCATENATE(Plantillas!Y573,Plantillas!Z573)</f>
        <v/>
      </c>
      <c r="BO58" s="1617">
        <f>Plantillas!AG573</f>
        <v>0</v>
      </c>
      <c r="BP58" s="1633">
        <f>Plantillas!AH573</f>
        <v>0</v>
      </c>
      <c r="BQ58" s="1629" t="str">
        <f>CONCATENATE(Plantillas!Y613,Plantillas!Z613)</f>
        <v/>
      </c>
      <c r="BR58" s="1617">
        <f>Plantillas!AG613</f>
        <v>0</v>
      </c>
      <c r="BS58" s="1633">
        <f>Plantillas!AH613</f>
        <v>0</v>
      </c>
      <c r="BT58" s="1629" t="str">
        <f>CONCATENATE(Plantillas!Y653,Plantillas!Z653)</f>
        <v/>
      </c>
      <c r="BU58" s="1617">
        <f>Plantillas!AG653</f>
        <v>0</v>
      </c>
      <c r="BV58" s="1633">
        <f>Plantillas!AH653</f>
        <v>0</v>
      </c>
      <c r="BW58" s="1619"/>
    </row>
    <row r="59" spans="2:75" hidden="1">
      <c r="B59" s="3206">
        <v>10</v>
      </c>
      <c r="C59" s="3206" t="str">
        <f>'VISITA DE INSP.'!AY11</f>
        <v>MANUEL CRESCENCIO REJON</v>
      </c>
      <c r="D59" s="3206"/>
      <c r="E59" s="3206" t="str">
        <f>'VISITA DE INSP.'!BA11</f>
        <v>MATUTINO</v>
      </c>
      <c r="F59" s="3206" t="s">
        <v>1119</v>
      </c>
      <c r="G59" s="3206"/>
      <c r="H59" s="3206" t="str">
        <f>'VISITA DE INSP.'!AZ11</f>
        <v>23DPR0681C</v>
      </c>
      <c r="I59" s="3203" t="str">
        <f>'VISITA DE INSP.'!BE11</f>
        <v>CERVERA VIDAL * DULCE RUTH</v>
      </c>
      <c r="J59" s="3205" t="str">
        <f t="shared" si="4"/>
        <v>042</v>
      </c>
      <c r="K59" s="3207"/>
      <c r="L59" s="3208"/>
      <c r="M59" s="3207"/>
      <c r="N59" s="3207"/>
      <c r="O59" s="3207"/>
      <c r="P59" s="3207"/>
      <c r="Q59" s="3207"/>
      <c r="R59" s="3205">
        <v>11</v>
      </c>
      <c r="S59" s="3208">
        <v>41</v>
      </c>
      <c r="V59" s="1607">
        <v>17</v>
      </c>
      <c r="W59" s="1626" t="str">
        <f>HLOOKUP(W41,AA41:BV60,19)</f>
        <v/>
      </c>
      <c r="X59" s="1618">
        <f>HLOOKUP(X41,AA41:BV60,19)</f>
        <v>0</v>
      </c>
      <c r="Y59" s="1619">
        <f>HLOOKUP(Y41,AA41:BV60,19)</f>
        <v>0</v>
      </c>
      <c r="Z59" s="1612">
        <f t="shared" si="3"/>
        <v>0</v>
      </c>
      <c r="AA59" s="1632" t="str">
        <f>CONCATENATE(Plantillas!Y54,Plantillas!Z54)</f>
        <v/>
      </c>
      <c r="AB59" s="1617">
        <f>Plantillas!AG54</f>
        <v>0</v>
      </c>
      <c r="AC59" s="1633">
        <f>Plantillas!AH54</f>
        <v>0</v>
      </c>
      <c r="AD59" s="1631" t="str">
        <f>CONCATENATE(Plantillas!Y94,Plantillas!Z94)</f>
        <v/>
      </c>
      <c r="AE59" s="1617">
        <f>Plantillas!AG94</f>
        <v>0</v>
      </c>
      <c r="AF59" s="1633">
        <f>Plantillas!AH94</f>
        <v>0</v>
      </c>
      <c r="AG59" s="1631" t="str">
        <f>CONCATENATE(Plantillas!Y134,Plantillas!Z134)</f>
        <v/>
      </c>
      <c r="AH59" s="1617">
        <f>Plantillas!AG134</f>
        <v>0</v>
      </c>
      <c r="AI59" s="1633">
        <f>Plantillas!AH134</f>
        <v>0</v>
      </c>
      <c r="AJ59" s="1631" t="str">
        <f>CONCATENATE(Plantillas!Y174,Plantillas!Z174)</f>
        <v/>
      </c>
      <c r="AK59" s="1617">
        <f>Plantillas!AG174</f>
        <v>0</v>
      </c>
      <c r="AL59" s="1633">
        <f>Plantillas!AH174</f>
        <v>0</v>
      </c>
      <c r="AM59" s="1631" t="str">
        <f>CONCATENATE(Plantillas!Y214,Plantillas!Z214)</f>
        <v/>
      </c>
      <c r="AN59" s="1617">
        <f>Plantillas!AG214</f>
        <v>0</v>
      </c>
      <c r="AO59" s="1633">
        <f>Plantillas!AH214</f>
        <v>0</v>
      </c>
      <c r="AP59" s="1631" t="str">
        <f>CONCATENATE(Plantillas!Y254,Plantillas!Z254)</f>
        <v/>
      </c>
      <c r="AQ59" s="1617">
        <f>Plantillas!AG254</f>
        <v>0</v>
      </c>
      <c r="AR59" s="1633">
        <f>Plantillas!AH254</f>
        <v>0</v>
      </c>
      <c r="AS59" s="1631" t="str">
        <f>CONCATENATE(Plantillas!Y294,Plantillas!Z294)</f>
        <v/>
      </c>
      <c r="AT59" s="1617">
        <f>Plantillas!AG294</f>
        <v>0</v>
      </c>
      <c r="AU59" s="1633">
        <f>Plantillas!AH294</f>
        <v>0</v>
      </c>
      <c r="AV59" s="1631" t="str">
        <f>CONCATENATE(Plantillas!Y334,Plantillas!Z334)</f>
        <v/>
      </c>
      <c r="AW59" s="1617">
        <f>Plantillas!AG334</f>
        <v>0</v>
      </c>
      <c r="AX59" s="1633">
        <f>Plantillas!AH334</f>
        <v>0</v>
      </c>
      <c r="AY59" s="1631" t="str">
        <f>CONCATENATE(Plantillas!Y374,Plantillas!Z374)</f>
        <v/>
      </c>
      <c r="AZ59" s="1617">
        <f>Plantillas!AG374</f>
        <v>0</v>
      </c>
      <c r="BA59" s="1633">
        <f>Plantillas!AH374</f>
        <v>0</v>
      </c>
      <c r="BB59" s="1631" t="str">
        <f>CONCATENATE(Plantillas!Y414,Plantillas!Z414)</f>
        <v/>
      </c>
      <c r="BC59" s="1617">
        <f>Plantillas!AG414</f>
        <v>0</v>
      </c>
      <c r="BD59" s="1633">
        <f>Plantillas!AH414</f>
        <v>0</v>
      </c>
      <c r="BE59" s="1629" t="str">
        <f>CONCATENATE(Plantillas!Y454,Plantillas!Z454)</f>
        <v/>
      </c>
      <c r="BF59" s="1617">
        <f>Plantillas!AG454</f>
        <v>0</v>
      </c>
      <c r="BG59" s="1633">
        <f>Plantillas!AH454</f>
        <v>0</v>
      </c>
      <c r="BH59" s="1629" t="str">
        <f>CONCATENATE(Plantillas!Y494,Plantillas!Z494)</f>
        <v/>
      </c>
      <c r="BI59" s="1617">
        <f>Plantillas!AG494</f>
        <v>0</v>
      </c>
      <c r="BJ59" s="1633">
        <f>Plantillas!AH494</f>
        <v>0</v>
      </c>
      <c r="BK59" s="1629" t="str">
        <f>CONCATENATE(Plantillas!Y534,Plantillas!Z534)</f>
        <v/>
      </c>
      <c r="BL59" s="1617">
        <f>Plantillas!AG534</f>
        <v>0</v>
      </c>
      <c r="BM59" s="1633">
        <f>Plantillas!AH534</f>
        <v>0</v>
      </c>
      <c r="BN59" s="1629" t="str">
        <f>CONCATENATE(Plantillas!Y574,Plantillas!Z574)</f>
        <v/>
      </c>
      <c r="BO59" s="1617">
        <f>Plantillas!AG574</f>
        <v>0</v>
      </c>
      <c r="BP59" s="1633">
        <f>Plantillas!AH574</f>
        <v>0</v>
      </c>
      <c r="BQ59" s="1629" t="str">
        <f>CONCATENATE(Plantillas!Y614,Plantillas!Z614)</f>
        <v/>
      </c>
      <c r="BR59" s="1617">
        <f>Plantillas!AG614</f>
        <v>0</v>
      </c>
      <c r="BS59" s="1633">
        <f>Plantillas!AH614</f>
        <v>0</v>
      </c>
      <c r="BT59" s="1629" t="str">
        <f>CONCATENATE(Plantillas!Y654,Plantillas!Z654)</f>
        <v/>
      </c>
      <c r="BU59" s="1617">
        <f>Plantillas!AG654</f>
        <v>0</v>
      </c>
      <c r="BV59" s="1633">
        <f>Plantillas!AH654</f>
        <v>0</v>
      </c>
      <c r="BW59" s="1619"/>
    </row>
    <row r="60" spans="2:75" hidden="1">
      <c r="B60" s="3206">
        <v>11</v>
      </c>
      <c r="C60" s="3206" t="str">
        <f>'VISITA DE INSP.'!AY12</f>
        <v>CENTRO EDUCATIVO EL MANANTIAL</v>
      </c>
      <c r="D60" s="3206"/>
      <c r="E60" s="3206" t="str">
        <f>'VISITA DE INSP.'!BA12</f>
        <v>MATUTINO</v>
      </c>
      <c r="F60" s="3206" t="s">
        <v>1141</v>
      </c>
      <c r="G60" s="3206"/>
      <c r="H60" s="3206" t="str">
        <f>'VISITA DE INSP.'!AZ12</f>
        <v>23PPR0099M</v>
      </c>
      <c r="I60" s="3203" t="str">
        <f>'VISITA DE INSP.'!BE12</f>
        <v>TUCUCH SANTOS * AURORA LETICIA</v>
      </c>
      <c r="J60" s="3205" t="str">
        <f t="shared" si="4"/>
        <v>042</v>
      </c>
      <c r="K60" s="3209"/>
      <c r="L60" s="3210"/>
      <c r="M60" s="3209"/>
      <c r="N60" s="3209"/>
      <c r="O60" s="3209"/>
      <c r="P60" s="3209"/>
      <c r="Q60" s="3209"/>
      <c r="R60" s="3205">
        <v>12</v>
      </c>
      <c r="S60" s="3208">
        <v>45</v>
      </c>
      <c r="V60" s="1607">
        <v>18</v>
      </c>
      <c r="W60" s="1627" t="str">
        <f>HLOOKUP(W41,AA41:BV60,20)</f>
        <v/>
      </c>
      <c r="X60" s="1621">
        <f>HLOOKUP(X41,AA41:BV60,20)</f>
        <v>0</v>
      </c>
      <c r="Y60" s="1622">
        <f>HLOOKUP(Y41,AA41:BV60,20)</f>
        <v>0</v>
      </c>
      <c r="Z60" s="1613">
        <f>X60+Y60</f>
        <v>0</v>
      </c>
      <c r="AA60" s="1632" t="str">
        <f>CONCATENATE(Plantillas!Y55,Plantillas!Z55)</f>
        <v/>
      </c>
      <c r="AB60" s="1620">
        <f>Plantillas!AG55</f>
        <v>0</v>
      </c>
      <c r="AC60" s="1636">
        <f>Plantillas!AH55</f>
        <v>0</v>
      </c>
      <c r="AD60" s="1631" t="str">
        <f>CONCATENATE(Plantillas!Y95,Plantillas!Z95)</f>
        <v/>
      </c>
      <c r="AE60" s="1617">
        <f>Plantillas!AG95</f>
        <v>0</v>
      </c>
      <c r="AF60" s="1633">
        <f>Plantillas!AH95</f>
        <v>0</v>
      </c>
      <c r="AG60" s="1631" t="str">
        <f>CONCATENATE(Plantillas!Y135,Plantillas!Z135)</f>
        <v/>
      </c>
      <c r="AH60" s="1620">
        <f>Plantillas!AG135</f>
        <v>0</v>
      </c>
      <c r="AI60" s="1636">
        <f>Plantillas!AH135</f>
        <v>0</v>
      </c>
      <c r="AJ60" s="1631" t="str">
        <f>CONCATENATE(Plantillas!Y175,Plantillas!Z175)</f>
        <v/>
      </c>
      <c r="AK60" s="1620">
        <f>Plantillas!AG175</f>
        <v>0</v>
      </c>
      <c r="AL60" s="1636">
        <f>Plantillas!AH175</f>
        <v>0</v>
      </c>
      <c r="AM60" s="1631" t="str">
        <f>CONCATENATE(Plantillas!Y215,Plantillas!Z215)</f>
        <v/>
      </c>
      <c r="AN60" s="1620">
        <f>Plantillas!AG215</f>
        <v>0</v>
      </c>
      <c r="AO60" s="1636">
        <f>Plantillas!AH215</f>
        <v>0</v>
      </c>
      <c r="AP60" s="1631" t="str">
        <f>CONCATENATE(Plantillas!Y255,Plantillas!Z255)</f>
        <v/>
      </c>
      <c r="AQ60" s="1620">
        <f>Plantillas!AG255</f>
        <v>0</v>
      </c>
      <c r="AR60" s="1636">
        <f>Plantillas!AH255</f>
        <v>0</v>
      </c>
      <c r="AS60" s="1631" t="str">
        <f>CONCATENATE(Plantillas!Y295,Plantillas!Z295)</f>
        <v/>
      </c>
      <c r="AT60" s="1620">
        <f>Plantillas!AG295</f>
        <v>0</v>
      </c>
      <c r="AU60" s="1636">
        <f>Plantillas!AH295</f>
        <v>0</v>
      </c>
      <c r="AV60" s="1631" t="str">
        <f>CONCATENATE(Plantillas!Y335,Plantillas!Z335)</f>
        <v/>
      </c>
      <c r="AW60" s="1620">
        <f>Plantillas!AG335</f>
        <v>0</v>
      </c>
      <c r="AX60" s="1636">
        <f>Plantillas!AH335</f>
        <v>0</v>
      </c>
      <c r="AY60" s="1631" t="str">
        <f>CONCATENATE(Plantillas!Y375,Plantillas!Z375)</f>
        <v/>
      </c>
      <c r="AZ60" s="1620">
        <f>Plantillas!AG375</f>
        <v>0</v>
      </c>
      <c r="BA60" s="1636">
        <f>Plantillas!AH375</f>
        <v>0</v>
      </c>
      <c r="BB60" s="1631" t="str">
        <f>CONCATENATE(Plantillas!Y415,Plantillas!Z415)</f>
        <v/>
      </c>
      <c r="BC60" s="1620">
        <f>Plantillas!AG415</f>
        <v>0</v>
      </c>
      <c r="BD60" s="1636">
        <f>Plantillas!AH415</f>
        <v>0</v>
      </c>
      <c r="BE60" s="1629" t="str">
        <f>CONCATENATE(Plantillas!Y455,Plantillas!Z455)</f>
        <v/>
      </c>
      <c r="BF60" s="1620">
        <f>Plantillas!AG455</f>
        <v>0</v>
      </c>
      <c r="BG60" s="1636">
        <f>Plantillas!AH455</f>
        <v>0</v>
      </c>
      <c r="BH60" s="1629" t="str">
        <f>CONCATENATE(Plantillas!Y495,Plantillas!Z495)</f>
        <v/>
      </c>
      <c r="BI60" s="1620">
        <f>Plantillas!AG495</f>
        <v>0</v>
      </c>
      <c r="BJ60" s="1636">
        <f>Plantillas!AH495</f>
        <v>0</v>
      </c>
      <c r="BK60" s="1629" t="str">
        <f>CONCATENATE(Plantillas!Y535,Plantillas!Z535)</f>
        <v/>
      </c>
      <c r="BL60" s="1620">
        <f>Plantillas!AG535</f>
        <v>0</v>
      </c>
      <c r="BM60" s="1636">
        <f>Plantillas!AH535</f>
        <v>0</v>
      </c>
      <c r="BN60" s="1629" t="str">
        <f>CONCATENATE(Plantillas!Y575,Plantillas!Z575)</f>
        <v/>
      </c>
      <c r="BO60" s="1620">
        <f>Plantillas!AG575</f>
        <v>0</v>
      </c>
      <c r="BP60" s="1636">
        <f>Plantillas!AH575</f>
        <v>0</v>
      </c>
      <c r="BQ60" s="1629" t="str">
        <f>CONCATENATE(Plantillas!Y615,Plantillas!Z615)</f>
        <v/>
      </c>
      <c r="BR60" s="1620">
        <f>Plantillas!AG615</f>
        <v>0</v>
      </c>
      <c r="BS60" s="1636">
        <f>Plantillas!AH615</f>
        <v>0</v>
      </c>
      <c r="BT60" s="1629" t="str">
        <f>CONCATENATE(Plantillas!Y655,Plantillas!Z655)</f>
        <v/>
      </c>
      <c r="BU60" s="1620">
        <f>Plantillas!AG655</f>
        <v>0</v>
      </c>
      <c r="BV60" s="1636">
        <f>Plantillas!AH655</f>
        <v>0</v>
      </c>
      <c r="BW60" s="1619"/>
    </row>
    <row r="61" spans="2:75" hidden="1">
      <c r="B61" s="3206">
        <v>12</v>
      </c>
      <c r="C61" s="3206" t="str">
        <f>'VISITA DE INSP.'!AY13</f>
        <v>COLEGIO HISPANOAMERICANO LA LUNA</v>
      </c>
      <c r="D61" s="3206"/>
      <c r="E61" s="3206" t="str">
        <f>'VISITA DE INSP.'!BA13</f>
        <v>MATUTINO</v>
      </c>
      <c r="F61" s="3206" t="s">
        <v>1119</v>
      </c>
      <c r="G61" s="3206"/>
      <c r="H61" s="3206" t="str">
        <f>'VISITA DE INSP.'!AZ13</f>
        <v>23PPR0100L</v>
      </c>
      <c r="I61" s="3203" t="str">
        <f>'VISITA DE INSP.'!BE13</f>
        <v>CRUZ MARTINEZ * BELEM</v>
      </c>
      <c r="J61" s="3205" t="str">
        <f t="shared" si="4"/>
        <v>042</v>
      </c>
      <c r="K61" s="3209"/>
      <c r="L61" s="3210"/>
      <c r="M61" s="3209"/>
      <c r="N61" s="3209"/>
      <c r="O61" s="3209"/>
      <c r="P61" s="3209"/>
      <c r="Q61" s="3209"/>
      <c r="R61" s="3205">
        <v>13</v>
      </c>
      <c r="S61" s="3208">
        <v>49</v>
      </c>
      <c r="V61" s="1387"/>
      <c r="W61" s="1616">
        <f>VLOOKUP(P40,R49:S66,2)</f>
        <v>1</v>
      </c>
      <c r="X61" s="1615">
        <f>W61+1</f>
        <v>2</v>
      </c>
      <c r="Y61" s="1616">
        <f>W61+2</f>
        <v>3</v>
      </c>
      <c r="Z61" s="1611">
        <f>W61+3</f>
        <v>4</v>
      </c>
      <c r="AA61" s="1629">
        <v>1</v>
      </c>
      <c r="AB61" s="1615">
        <v>2</v>
      </c>
      <c r="AC61" s="1630">
        <v>3</v>
      </c>
      <c r="AD61" s="1631">
        <v>5</v>
      </c>
      <c r="AE61" s="1615">
        <v>6</v>
      </c>
      <c r="AF61" s="1630">
        <v>7</v>
      </c>
      <c r="AG61" s="1631">
        <v>9</v>
      </c>
      <c r="AH61" s="1615">
        <v>10</v>
      </c>
      <c r="AI61" s="1630">
        <v>11</v>
      </c>
      <c r="AJ61" s="1631">
        <v>13</v>
      </c>
      <c r="AK61" s="1615">
        <v>14</v>
      </c>
      <c r="AL61" s="1630">
        <v>15</v>
      </c>
      <c r="AM61" s="1631">
        <v>17</v>
      </c>
      <c r="AN61" s="1615">
        <v>18</v>
      </c>
      <c r="AO61" s="1630">
        <v>19</v>
      </c>
      <c r="AP61" s="1631">
        <v>21</v>
      </c>
      <c r="AQ61" s="1615">
        <v>22</v>
      </c>
      <c r="AR61" s="1630">
        <v>23</v>
      </c>
      <c r="AS61" s="1631">
        <v>25</v>
      </c>
      <c r="AT61" s="1615">
        <v>26</v>
      </c>
      <c r="AU61" s="1630">
        <v>27</v>
      </c>
      <c r="AV61" s="1631">
        <v>29</v>
      </c>
      <c r="AW61" s="1615">
        <v>30</v>
      </c>
      <c r="AX61" s="1630">
        <v>31</v>
      </c>
      <c r="AY61" s="1631">
        <v>33</v>
      </c>
      <c r="AZ61" s="1615">
        <v>34</v>
      </c>
      <c r="BA61" s="1630">
        <v>35</v>
      </c>
      <c r="BB61" s="1631">
        <v>37</v>
      </c>
      <c r="BC61" s="1615">
        <v>38</v>
      </c>
      <c r="BD61" s="1630">
        <v>39</v>
      </c>
      <c r="BE61" s="1629">
        <v>41</v>
      </c>
      <c r="BF61" s="1615">
        <v>42</v>
      </c>
      <c r="BG61" s="1630">
        <v>43</v>
      </c>
      <c r="BH61" s="1629">
        <v>45</v>
      </c>
      <c r="BI61" s="1615">
        <v>46</v>
      </c>
      <c r="BJ61" s="1630">
        <v>47</v>
      </c>
      <c r="BK61" s="1629">
        <v>49</v>
      </c>
      <c r="BL61" s="1615">
        <v>50</v>
      </c>
      <c r="BM61" s="1630">
        <v>51</v>
      </c>
      <c r="BN61" s="1629">
        <v>53</v>
      </c>
      <c r="BO61" s="1615">
        <v>54</v>
      </c>
      <c r="BP61" s="1630">
        <v>55</v>
      </c>
      <c r="BQ61" s="1629">
        <v>57</v>
      </c>
      <c r="BR61" s="1615">
        <v>58</v>
      </c>
      <c r="BS61" s="1630">
        <v>59</v>
      </c>
      <c r="BT61" s="1629">
        <v>61</v>
      </c>
      <c r="BU61" s="1634">
        <v>62</v>
      </c>
      <c r="BV61" s="1635">
        <v>63</v>
      </c>
      <c r="BW61" s="1619"/>
    </row>
    <row r="62" spans="2:75" hidden="1">
      <c r="B62" s="3206">
        <v>13</v>
      </c>
      <c r="C62" s="3206" t="str">
        <f>'VISITA DE INSP.'!AY14</f>
        <v>JOSE VASCONCELOS</v>
      </c>
      <c r="D62" s="3206"/>
      <c r="E62" s="3206" t="str">
        <f>'VISITA DE INSP.'!BA14</f>
        <v>MATUTINO</v>
      </c>
      <c r="F62" s="3206" t="s">
        <v>1119</v>
      </c>
      <c r="G62" s="3206"/>
      <c r="H62" s="3206" t="str">
        <f>'VISITA DE INSP.'!AZ14</f>
        <v>23PPR0125U</v>
      </c>
      <c r="I62" s="3203" t="str">
        <f>'VISITA DE INSP.'!BE14</f>
        <v>RUIZ VALLE * PATRICIA</v>
      </c>
      <c r="J62" s="3205" t="str">
        <f t="shared" si="4"/>
        <v>042</v>
      </c>
      <c r="K62" s="3209"/>
      <c r="L62" s="3210"/>
      <c r="M62" s="3209"/>
      <c r="N62" s="3209"/>
      <c r="O62" s="3209"/>
      <c r="P62" s="3209"/>
      <c r="Q62" s="3209"/>
      <c r="R62" s="3205">
        <v>14</v>
      </c>
      <c r="S62" s="3208">
        <v>53</v>
      </c>
      <c r="V62" s="1607">
        <v>0</v>
      </c>
      <c r="W62" s="1626" t="str">
        <f>HLOOKUP(W61,AA61:BV80,2)</f>
        <v/>
      </c>
      <c r="X62" s="1618">
        <f>HLOOKUP(X61,AA61:BV80,2)</f>
        <v>0</v>
      </c>
      <c r="Y62" s="1619">
        <f>HLOOKUP(Y61,AA61:BV80,2)</f>
        <v>0</v>
      </c>
      <c r="Z62" s="1612">
        <f>X62+Y62</f>
        <v>0</v>
      </c>
      <c r="AA62" s="1632" t="str">
        <f>CONCATENATE(Plantillas!Y37,Plantillas!Z37)</f>
        <v/>
      </c>
      <c r="AB62" s="1617">
        <f>Plantillas!AI37</f>
        <v>0</v>
      </c>
      <c r="AC62" s="1633">
        <f>Plantillas!AJ37</f>
        <v>0</v>
      </c>
      <c r="AD62" s="1631" t="str">
        <f>CONCATENATE(Plantillas!Y77,Plantillas!Z77)</f>
        <v/>
      </c>
      <c r="AE62" s="1617">
        <f>Plantillas!AI77</f>
        <v>0</v>
      </c>
      <c r="AF62" s="1633">
        <f>Plantillas!AJ77</f>
        <v>0</v>
      </c>
      <c r="AG62" s="1631" t="str">
        <f>CONCATENATE(Plantillas!Y117,Plantillas!Z117)</f>
        <v/>
      </c>
      <c r="AH62" s="1617">
        <f>Plantillas!AI117</f>
        <v>0</v>
      </c>
      <c r="AI62" s="1633">
        <f>Plantillas!AJ117</f>
        <v>0</v>
      </c>
      <c r="AJ62" s="1631" t="str">
        <f>CONCATENATE(Plantillas!Y157,Plantillas!Z157)</f>
        <v/>
      </c>
      <c r="AK62" s="1634">
        <f>Plantillas!AI157</f>
        <v>0</v>
      </c>
      <c r="AL62" s="1635">
        <f>Plantillas!AJ157</f>
        <v>0</v>
      </c>
      <c r="AM62" s="1631" t="str">
        <f>CONCATENATE(Plantillas!Y197,Plantillas!Z197)</f>
        <v/>
      </c>
      <c r="AN62" s="1634">
        <f>Plantillas!AI197</f>
        <v>0</v>
      </c>
      <c r="AO62" s="1635">
        <f>Plantillas!AJ197</f>
        <v>0</v>
      </c>
      <c r="AP62" s="1631" t="str">
        <f>CONCATENATE(Plantillas!Y237,Plantillas!Z237)</f>
        <v/>
      </c>
      <c r="AQ62" s="1634">
        <f>Plantillas!AI237</f>
        <v>0</v>
      </c>
      <c r="AR62" s="1635">
        <f>Plantillas!AJ237</f>
        <v>0</v>
      </c>
      <c r="AS62" s="1631" t="str">
        <f>CONCATENATE(Plantillas!Y277,Plantillas!Z277)</f>
        <v/>
      </c>
      <c r="AT62" s="1634">
        <f>Plantillas!AI277</f>
        <v>0</v>
      </c>
      <c r="AU62" s="1635">
        <f>Plantillas!AJ277</f>
        <v>0</v>
      </c>
      <c r="AV62" s="1631" t="str">
        <f>CONCATENATE(Plantillas!Y317,Plantillas!Z317)</f>
        <v>5ºA</v>
      </c>
      <c r="AW62" s="1634">
        <f>Plantillas!AI317</f>
        <v>0</v>
      </c>
      <c r="AX62" s="1635">
        <f>Plantillas!AJ317</f>
        <v>0</v>
      </c>
      <c r="AY62" s="1631" t="str">
        <f>CONCATENATE(Plantillas!Y357,Plantillas!Z357)</f>
        <v/>
      </c>
      <c r="AZ62" s="1634">
        <f>Plantillas!AI357</f>
        <v>0</v>
      </c>
      <c r="BA62" s="1635">
        <f>Plantillas!AJ357</f>
        <v>0</v>
      </c>
      <c r="BB62" s="1631" t="str">
        <f>CONCATENATE(Plantillas!Y397,Plantillas!Z397)</f>
        <v/>
      </c>
      <c r="BC62" s="1634">
        <f>Plantillas!AI397</f>
        <v>0</v>
      </c>
      <c r="BD62" s="1635">
        <f>Plantillas!AJ397</f>
        <v>0</v>
      </c>
      <c r="BE62" s="1629" t="str">
        <f>CONCATENATE(Plantillas!Y437,Plantillas!Z437)</f>
        <v>6ºA</v>
      </c>
      <c r="BF62" s="1634">
        <f>Plantillas!AI437</f>
        <v>0</v>
      </c>
      <c r="BG62" s="1635">
        <f>Plantillas!AJ437</f>
        <v>0</v>
      </c>
      <c r="BH62" s="1629" t="str">
        <f>CONCATENATE(Plantillas!Y477,Plantillas!Z477)</f>
        <v>1ºA</v>
      </c>
      <c r="BI62" s="1634">
        <f>Plantillas!AI477</f>
        <v>0</v>
      </c>
      <c r="BJ62" s="1635">
        <f>Plantillas!AJ477</f>
        <v>0</v>
      </c>
      <c r="BK62" s="1629" t="str">
        <f>CONCATENATE(Plantillas!Y517,Plantillas!Z517)</f>
        <v/>
      </c>
      <c r="BL62" s="1634">
        <f>Plantillas!AI517</f>
        <v>0</v>
      </c>
      <c r="BM62" s="1635">
        <f>Plantillas!AJ517</f>
        <v>0</v>
      </c>
      <c r="BN62" s="1629" t="str">
        <f>CONCATENATE(Plantillas!Y557,Plantillas!Z557)</f>
        <v/>
      </c>
      <c r="BO62" s="1634">
        <f>Plantillas!AI557</f>
        <v>0</v>
      </c>
      <c r="BP62" s="1635">
        <f>Plantillas!AJ557</f>
        <v>0</v>
      </c>
      <c r="BQ62" s="1629" t="str">
        <f>CONCATENATE(Plantillas!Y597,Plantillas!Z597)</f>
        <v>1ºA</v>
      </c>
      <c r="BR62" s="1634">
        <f>Plantillas!AI597</f>
        <v>0</v>
      </c>
      <c r="BS62" s="1635">
        <f>Plantillas!AJ597</f>
        <v>0</v>
      </c>
      <c r="BT62" s="1629" t="str">
        <f>CONCATENATE(Plantillas!Y637,Plantillas!Z637)</f>
        <v/>
      </c>
      <c r="BU62" s="1634">
        <f>Plantillas!AI637</f>
        <v>0</v>
      </c>
      <c r="BV62" s="1635">
        <f>Plantillas!AJ637</f>
        <v>0</v>
      </c>
      <c r="BW62" s="1619"/>
    </row>
    <row r="63" spans="2:75" hidden="1">
      <c r="B63" s="3206">
        <v>14</v>
      </c>
      <c r="C63" s="3206" t="str">
        <f>'VISITA DE INSP.'!AY15</f>
        <v>CENTRO INFANTIL LATINOAMERICANO</v>
      </c>
      <c r="D63" s="3206"/>
      <c r="E63" s="3206" t="str">
        <f>'VISITA DE INSP.'!BA15</f>
        <v>MATUTINO</v>
      </c>
      <c r="F63" s="3206" t="s">
        <v>1119</v>
      </c>
      <c r="G63" s="3206"/>
      <c r="H63" s="3206" t="str">
        <f>'VISITA DE INSP.'!AZ15</f>
        <v>23PPR0156N</v>
      </c>
      <c r="I63" s="3203" t="str">
        <f>'VISITA DE INSP.'!BE15</f>
        <v>G.CANTON PUERTO * REBECA</v>
      </c>
      <c r="J63" s="3205" t="str">
        <f t="shared" si="4"/>
        <v>042</v>
      </c>
      <c r="K63" s="3207"/>
      <c r="L63" s="3208"/>
      <c r="M63" s="3207"/>
      <c r="N63" s="3207"/>
      <c r="O63" s="3207"/>
      <c r="P63" s="3207"/>
      <c r="Q63" s="3207"/>
      <c r="R63" s="3205">
        <v>15</v>
      </c>
      <c r="S63" s="3208">
        <v>57</v>
      </c>
      <c r="V63" s="1607">
        <v>1</v>
      </c>
      <c r="W63" s="1626" t="str">
        <f>HLOOKUP(W61,AA61:BV80,3)</f>
        <v>1ºA</v>
      </c>
      <c r="X63" s="1618">
        <f>HLOOKUP(X61,AA61:BV80,3)</f>
        <v>0</v>
      </c>
      <c r="Y63" s="1619">
        <f>HLOOKUP(Y61,AA61:BV80,3)</f>
        <v>0</v>
      </c>
      <c r="Z63" s="1612">
        <f>X63+Y63</f>
        <v>0</v>
      </c>
      <c r="AA63" s="1632" t="str">
        <f>CONCATENATE(Plantillas!Y38,Plantillas!Z38)</f>
        <v>1ºA</v>
      </c>
      <c r="AB63" s="1617">
        <f>Plantillas!AI38</f>
        <v>0</v>
      </c>
      <c r="AC63" s="1633">
        <f>Plantillas!AJ38</f>
        <v>0</v>
      </c>
      <c r="AD63" s="1631" t="str">
        <f>CONCATENATE(Plantillas!Y78,Plantillas!Z78)</f>
        <v>1ºA</v>
      </c>
      <c r="AE63" s="1617">
        <f>Plantillas!AI78</f>
        <v>0</v>
      </c>
      <c r="AF63" s="1633">
        <f>Plantillas!AJ78</f>
        <v>0</v>
      </c>
      <c r="AG63" s="1631" t="str">
        <f>CONCATENATE(Plantillas!Y118,Plantillas!Z118)</f>
        <v>1ºA</v>
      </c>
      <c r="AH63" s="1617">
        <f>Plantillas!AI118</f>
        <v>0</v>
      </c>
      <c r="AI63" s="1633">
        <f>Plantillas!AJ118</f>
        <v>0</v>
      </c>
      <c r="AJ63" s="1631" t="str">
        <f>CONCATENATE(Plantillas!Y158,Plantillas!Z158)</f>
        <v>1ºA</v>
      </c>
      <c r="AK63" s="1617">
        <f>Plantillas!AI158</f>
        <v>0</v>
      </c>
      <c r="AL63" s="1633">
        <f>Plantillas!AJ158</f>
        <v>0</v>
      </c>
      <c r="AM63" s="1631" t="str">
        <f>CONCATENATE(Plantillas!Y198,Plantillas!Z198)</f>
        <v>1ºA</v>
      </c>
      <c r="AN63" s="1617">
        <f>Plantillas!AI198</f>
        <v>0</v>
      </c>
      <c r="AO63" s="1633">
        <f>Plantillas!AJ198</f>
        <v>0</v>
      </c>
      <c r="AP63" s="1631" t="str">
        <f>CONCATENATE(Plantillas!Y238,Plantillas!Z238)</f>
        <v>1ºA</v>
      </c>
      <c r="AQ63" s="1617">
        <f>Plantillas!AI238</f>
        <v>0</v>
      </c>
      <c r="AR63" s="1633">
        <f>Plantillas!AJ238</f>
        <v>0</v>
      </c>
      <c r="AS63" s="1631" t="str">
        <f>CONCATENATE(Plantillas!Y278,Plantillas!Z278)</f>
        <v>3ºA</v>
      </c>
      <c r="AT63" s="1617">
        <f>Plantillas!AI278</f>
        <v>0</v>
      </c>
      <c r="AU63" s="1633">
        <f>Plantillas!AJ278</f>
        <v>0</v>
      </c>
      <c r="AV63" s="1631" t="str">
        <f>CONCATENATE(Plantillas!Y318,Plantillas!Z318)</f>
        <v>6ºA</v>
      </c>
      <c r="AW63" s="1617">
        <f>Plantillas!AI318</f>
        <v>0</v>
      </c>
      <c r="AX63" s="1633">
        <f>Plantillas!AJ318</f>
        <v>0</v>
      </c>
      <c r="AY63" s="1631" t="str">
        <f>CONCATENATE(Plantillas!Y358,Plantillas!Z358)</f>
        <v>1ºA</v>
      </c>
      <c r="AZ63" s="1617">
        <f>Plantillas!AI358</f>
        <v>0</v>
      </c>
      <c r="BA63" s="1633">
        <f>Plantillas!AJ358</f>
        <v>0</v>
      </c>
      <c r="BB63" s="1631" t="str">
        <f>CONCATENATE(Plantillas!Y398,Plantillas!Z398)</f>
        <v>1ºA</v>
      </c>
      <c r="BC63" s="1617">
        <f>Plantillas!AI398</f>
        <v>0</v>
      </c>
      <c r="BD63" s="1633">
        <f>Plantillas!AJ398</f>
        <v>0</v>
      </c>
      <c r="BE63" s="1629" t="str">
        <f>CONCATENATE(Plantillas!Y438,Plantillas!Z438)</f>
        <v>1ºA</v>
      </c>
      <c r="BF63" s="1617">
        <f>Plantillas!AI438</f>
        <v>0</v>
      </c>
      <c r="BG63" s="1633">
        <f>Plantillas!AJ438</f>
        <v>0</v>
      </c>
      <c r="BH63" s="1629" t="str">
        <f>CONCATENATE(Plantillas!Y478,Plantillas!Z478)</f>
        <v>2ºA</v>
      </c>
      <c r="BI63" s="1617">
        <f>Plantillas!AI478</f>
        <v>0</v>
      </c>
      <c r="BJ63" s="1633">
        <f>Plantillas!AJ478</f>
        <v>0</v>
      </c>
      <c r="BK63" s="1629" t="str">
        <f>CONCATENATE(Plantillas!Y518,Plantillas!Z518)</f>
        <v>1ºA</v>
      </c>
      <c r="BL63" s="1617">
        <f>Plantillas!AI518</f>
        <v>0</v>
      </c>
      <c r="BM63" s="1633">
        <f>Plantillas!AJ518</f>
        <v>0</v>
      </c>
      <c r="BN63" s="1629" t="str">
        <f>CONCATENATE(Plantillas!Y558,Plantillas!Z558)</f>
        <v>1ºA</v>
      </c>
      <c r="BO63" s="1617">
        <f>Plantillas!AI558</f>
        <v>0</v>
      </c>
      <c r="BP63" s="1633">
        <f>Plantillas!AJ558</f>
        <v>0</v>
      </c>
      <c r="BQ63" s="1629" t="str">
        <f>CONCATENATE(Plantillas!Y598,Plantillas!Z598)</f>
        <v>1ºB</v>
      </c>
      <c r="BR63" s="1617">
        <f>Plantillas!AI598</f>
        <v>0</v>
      </c>
      <c r="BS63" s="1633">
        <f>Plantillas!AJ598</f>
        <v>0</v>
      </c>
      <c r="BT63" s="1629" t="str">
        <f>CONCATENATE(Plantillas!Y638,Plantillas!Z638)</f>
        <v/>
      </c>
      <c r="BU63" s="1617">
        <f>Plantillas!AI638</f>
        <v>0</v>
      </c>
      <c r="BV63" s="1633">
        <f>Plantillas!AJ638</f>
        <v>0</v>
      </c>
      <c r="BW63" s="1619"/>
    </row>
    <row r="64" spans="2:75" hidden="1">
      <c r="B64" s="3206">
        <v>15</v>
      </c>
      <c r="C64" s="3206" t="str">
        <f>'VISITA DE INSP.'!AY16</f>
        <v>COLEGIO KING DAVID</v>
      </c>
      <c r="D64" s="3206"/>
      <c r="E64" s="3206" t="str">
        <f>'VISITA DE INSP.'!BA16</f>
        <v>MATUTINO</v>
      </c>
      <c r="F64" s="3206" t="s">
        <v>1119</v>
      </c>
      <c r="G64" s="3206"/>
      <c r="H64" s="3206" t="str">
        <f>'VISITA DE INSP.'!AZ16</f>
        <v>23PPR0163X</v>
      </c>
      <c r="I64" s="3203" t="str">
        <f>'VISITA DE INSP.'!BE16</f>
        <v>MARIA ALMA MIRANDA VALDEZ</v>
      </c>
      <c r="J64" s="3205" t="str">
        <f t="shared" si="4"/>
        <v>042</v>
      </c>
      <c r="K64" s="3207"/>
      <c r="L64" s="3208"/>
      <c r="M64" s="3207"/>
      <c r="N64" s="3207"/>
      <c r="O64" s="3207"/>
      <c r="P64" s="3207"/>
      <c r="Q64" s="3207"/>
      <c r="R64" s="3205">
        <v>16</v>
      </c>
      <c r="S64" s="3208">
        <v>61</v>
      </c>
      <c r="V64" s="1607">
        <v>2</v>
      </c>
      <c r="W64" s="1626" t="str">
        <f>HLOOKUP(W61,AA61:BV80,4)</f>
        <v>1ºB</v>
      </c>
      <c r="X64" s="1618">
        <f>HLOOKUP(X61,AA61:BV80,4)</f>
        <v>0</v>
      </c>
      <c r="Y64" s="1619">
        <f>HLOOKUP(Y61,AA61:BV80,4)</f>
        <v>0</v>
      </c>
      <c r="Z64" s="1612">
        <f t="shared" ref="Z64:Z79" si="5">X64+Y64</f>
        <v>0</v>
      </c>
      <c r="AA64" s="1632" t="str">
        <f>CONCATENATE(Plantillas!Y39,Plantillas!Z39)</f>
        <v>1ºB</v>
      </c>
      <c r="AB64" s="1617">
        <f>Plantillas!AI39</f>
        <v>0</v>
      </c>
      <c r="AC64" s="1633">
        <f>Plantillas!AJ39</f>
        <v>0</v>
      </c>
      <c r="AD64" s="1631" t="str">
        <f>CONCATENATE(Plantillas!Y79,Plantillas!Z79)</f>
        <v>1ºB</v>
      </c>
      <c r="AE64" s="1617">
        <f>Plantillas!AI79</f>
        <v>0</v>
      </c>
      <c r="AF64" s="1633">
        <f>Plantillas!AJ79</f>
        <v>0</v>
      </c>
      <c r="AG64" s="1631" t="str">
        <f>CONCATENATE(Plantillas!Y119,Plantillas!Z119)</f>
        <v>2ºA</v>
      </c>
      <c r="AH64" s="1617">
        <f>Plantillas!AI119</f>
        <v>0</v>
      </c>
      <c r="AI64" s="1633">
        <f>Plantillas!AJ119</f>
        <v>0</v>
      </c>
      <c r="AJ64" s="1631" t="str">
        <f>CONCATENATE(Plantillas!Y159,Plantillas!Z159)</f>
        <v>1ºB</v>
      </c>
      <c r="AK64" s="1617">
        <f>Plantillas!AI159</f>
        <v>0</v>
      </c>
      <c r="AL64" s="1633">
        <f>Plantillas!AJ159</f>
        <v>0</v>
      </c>
      <c r="AM64" s="1631" t="str">
        <f>CONCATENATE(Plantillas!Y199,Plantillas!Z199)</f>
        <v>2ºA</v>
      </c>
      <c r="AN64" s="1617">
        <f>Plantillas!AI199</f>
        <v>0</v>
      </c>
      <c r="AO64" s="1633">
        <f>Plantillas!AJ199</f>
        <v>0</v>
      </c>
      <c r="AP64" s="1631" t="str">
        <f>CONCATENATE(Plantillas!Y239,Plantillas!Z239)</f>
        <v>1ºB</v>
      </c>
      <c r="AQ64" s="1617">
        <f>Plantillas!AI239</f>
        <v>0</v>
      </c>
      <c r="AR64" s="1633">
        <f>Plantillas!AJ239</f>
        <v>0</v>
      </c>
      <c r="AS64" s="1631" t="str">
        <f>CONCATENATE(Plantillas!Y279,Plantillas!Z279)</f>
        <v>4ºA</v>
      </c>
      <c r="AT64" s="1617">
        <f>Plantillas!AI279</f>
        <v>0</v>
      </c>
      <c r="AU64" s="1633">
        <f>Plantillas!AJ279</f>
        <v>0</v>
      </c>
      <c r="AV64" s="1631" t="str">
        <f>CONCATENATE(Plantillas!Y319,Plantillas!Z319)</f>
        <v/>
      </c>
      <c r="AW64" s="1617">
        <f>Plantillas!AI319</f>
        <v>0</v>
      </c>
      <c r="AX64" s="1633">
        <f>Plantillas!AJ319</f>
        <v>0</v>
      </c>
      <c r="AY64" s="1631" t="str">
        <f>CONCATENATE(Plantillas!Y359,Plantillas!Z359)</f>
        <v>1ºB</v>
      </c>
      <c r="AZ64" s="1617">
        <f>Plantillas!AI359</f>
        <v>0</v>
      </c>
      <c r="BA64" s="1633">
        <f>Plantillas!AJ359</f>
        <v>0</v>
      </c>
      <c r="BB64" s="1631" t="str">
        <f>CONCATENATE(Plantillas!Y399,Plantillas!Z399)</f>
        <v>2ºA</v>
      </c>
      <c r="BC64" s="1617">
        <f>Plantillas!AI399</f>
        <v>0</v>
      </c>
      <c r="BD64" s="1633">
        <f>Plantillas!AJ399</f>
        <v>0</v>
      </c>
      <c r="BE64" s="1629" t="str">
        <f>CONCATENATE(Plantillas!Y439,Plantillas!Z439)</f>
        <v>2ºA</v>
      </c>
      <c r="BF64" s="1617">
        <f>Plantillas!AI439</f>
        <v>0</v>
      </c>
      <c r="BG64" s="1633">
        <f>Plantillas!AJ439</f>
        <v>0</v>
      </c>
      <c r="BH64" s="1629" t="str">
        <f>CONCATENATE(Plantillas!Y479,Plantillas!Z479)</f>
        <v>3ºA</v>
      </c>
      <c r="BI64" s="1617">
        <f>Plantillas!AI479</f>
        <v>0</v>
      </c>
      <c r="BJ64" s="1633">
        <f>Plantillas!AJ479</f>
        <v>0</v>
      </c>
      <c r="BK64" s="1629" t="str">
        <f>CONCATENATE(Plantillas!Y519,Plantillas!Z519)</f>
        <v>2ºA</v>
      </c>
      <c r="BL64" s="1617">
        <f>Plantillas!AI519</f>
        <v>0</v>
      </c>
      <c r="BM64" s="1633">
        <f>Plantillas!AJ519</f>
        <v>0</v>
      </c>
      <c r="BN64" s="1629" t="str">
        <f>CONCATENATE(Plantillas!Y559,Plantillas!Z559)</f>
        <v>2ºA</v>
      </c>
      <c r="BO64" s="1617">
        <f>Plantillas!AI559</f>
        <v>0</v>
      </c>
      <c r="BP64" s="1633">
        <f>Plantillas!AJ559</f>
        <v>0</v>
      </c>
      <c r="BQ64" s="1629" t="str">
        <f>CONCATENATE(Plantillas!Y599,Plantillas!Z599)</f>
        <v>2ºA</v>
      </c>
      <c r="BR64" s="1617">
        <f>Plantillas!AI599</f>
        <v>0</v>
      </c>
      <c r="BS64" s="1633">
        <f>Plantillas!AJ599</f>
        <v>0</v>
      </c>
      <c r="BT64" s="1629" t="str">
        <f>CONCATENATE(Plantillas!Y639,Plantillas!Z639)</f>
        <v/>
      </c>
      <c r="BU64" s="1617">
        <f>Plantillas!AI639</f>
        <v>0</v>
      </c>
      <c r="BV64" s="1633">
        <f>Plantillas!AJ639</f>
        <v>0</v>
      </c>
      <c r="BW64" s="1619"/>
    </row>
    <row r="65" spans="2:75" hidden="1">
      <c r="B65" s="3206">
        <v>16</v>
      </c>
      <c r="C65" s="3206">
        <f>'VISITA DE INSP.'!AY17</f>
        <v>0</v>
      </c>
      <c r="D65" s="3206"/>
      <c r="E65" s="3206">
        <f>'VISITA DE INSP.'!BA17</f>
        <v>0</v>
      </c>
      <c r="F65" s="3206" t="s">
        <v>1119</v>
      </c>
      <c r="G65" s="3206"/>
      <c r="H65" s="3206">
        <f>'VISITA DE INSP.'!AZ17</f>
        <v>0</v>
      </c>
      <c r="I65" s="3203">
        <f>'VISITA DE INSP.'!BE17</f>
        <v>0</v>
      </c>
      <c r="J65" s="3205" t="str">
        <f t="shared" si="4"/>
        <v>042</v>
      </c>
      <c r="K65" s="3207"/>
      <c r="L65" s="3208"/>
      <c r="M65" s="3207"/>
      <c r="N65" s="3207"/>
      <c r="O65" s="3207"/>
      <c r="P65" s="3207"/>
      <c r="Q65" s="3207"/>
      <c r="R65" s="3205">
        <v>17</v>
      </c>
      <c r="S65" s="3208">
        <v>65</v>
      </c>
      <c r="V65" s="1607">
        <v>3</v>
      </c>
      <c r="W65" s="1626" t="str">
        <f>HLOOKUP(W61,AA61:BV80,5)</f>
        <v>2ºA</v>
      </c>
      <c r="X65" s="1618">
        <f>HLOOKUP(X61,AA61:BV80,5)</f>
        <v>0</v>
      </c>
      <c r="Y65" s="1619">
        <f>HLOOKUP(Y61,AA61:BV80,5)</f>
        <v>0</v>
      </c>
      <c r="Z65" s="1612">
        <f t="shared" si="5"/>
        <v>0</v>
      </c>
      <c r="AA65" s="1632" t="str">
        <f>CONCATENATE(Plantillas!Y40,Plantillas!Z40)</f>
        <v>2ºA</v>
      </c>
      <c r="AB65" s="1617">
        <f>Plantillas!AI40</f>
        <v>0</v>
      </c>
      <c r="AC65" s="1633">
        <f>Plantillas!AJ40</f>
        <v>0</v>
      </c>
      <c r="AD65" s="1631" t="str">
        <f>CONCATENATE(Plantillas!Y80,Plantillas!Z80)</f>
        <v>1ºC</v>
      </c>
      <c r="AE65" s="1617">
        <f>Plantillas!AI80</f>
        <v>0</v>
      </c>
      <c r="AF65" s="1633">
        <f>Plantillas!AJ80</f>
        <v>0</v>
      </c>
      <c r="AG65" s="1631" t="str">
        <f>CONCATENATE(Plantillas!Y120,Plantillas!Z120)</f>
        <v>2ºB</v>
      </c>
      <c r="AH65" s="1617">
        <f>Plantillas!AI120</f>
        <v>0</v>
      </c>
      <c r="AI65" s="1633">
        <f>Plantillas!AJ120</f>
        <v>0</v>
      </c>
      <c r="AJ65" s="1631" t="str">
        <f>CONCATENATE(Plantillas!Y160,Plantillas!Z160)</f>
        <v>2ºA</v>
      </c>
      <c r="AK65" s="1617">
        <f>Plantillas!AI160</f>
        <v>0</v>
      </c>
      <c r="AL65" s="1633">
        <f>Plantillas!AJ160</f>
        <v>0</v>
      </c>
      <c r="AM65" s="1631" t="str">
        <f>CONCATENATE(Plantillas!Y200,Plantillas!Z200)</f>
        <v>3ºA</v>
      </c>
      <c r="AN65" s="1617">
        <f>Plantillas!AI200</f>
        <v>0</v>
      </c>
      <c r="AO65" s="1633">
        <f>Plantillas!AJ200</f>
        <v>0</v>
      </c>
      <c r="AP65" s="1631" t="str">
        <f>CONCATENATE(Plantillas!Y240,Plantillas!Z240)</f>
        <v>1ºC</v>
      </c>
      <c r="AQ65" s="1617">
        <f>Plantillas!AI240</f>
        <v>0</v>
      </c>
      <c r="AR65" s="1633">
        <f>Plantillas!AJ240</f>
        <v>0</v>
      </c>
      <c r="AS65" s="1631" t="str">
        <f>CONCATENATE(Plantillas!Y280,Plantillas!Z280)</f>
        <v>5ºA</v>
      </c>
      <c r="AT65" s="1617">
        <f>Plantillas!AI280</f>
        <v>0</v>
      </c>
      <c r="AU65" s="1633">
        <f>Plantillas!AJ280</f>
        <v>0</v>
      </c>
      <c r="AV65" s="1631" t="str">
        <f>CONCATENATE(Plantillas!Y320,Plantillas!Z320)</f>
        <v/>
      </c>
      <c r="AW65" s="1617">
        <f>Plantillas!AI320</f>
        <v>0</v>
      </c>
      <c r="AX65" s="1633">
        <f>Plantillas!AJ320</f>
        <v>0</v>
      </c>
      <c r="AY65" s="1631" t="str">
        <f>CONCATENATE(Plantillas!Y360,Plantillas!Z360)</f>
        <v>2ºA</v>
      </c>
      <c r="AZ65" s="1617">
        <f>Plantillas!AI360</f>
        <v>0</v>
      </c>
      <c r="BA65" s="1633">
        <f>Plantillas!AJ360</f>
        <v>0</v>
      </c>
      <c r="BB65" s="1631" t="str">
        <f>CONCATENATE(Plantillas!Y400,Plantillas!Z400)</f>
        <v>3ºA</v>
      </c>
      <c r="BC65" s="1617">
        <f>Plantillas!AI400</f>
        <v>0</v>
      </c>
      <c r="BD65" s="1633">
        <f>Plantillas!AJ400</f>
        <v>0</v>
      </c>
      <c r="BE65" s="1629" t="str">
        <f>CONCATENATE(Plantillas!Y440,Plantillas!Z440)</f>
        <v>3ºA</v>
      </c>
      <c r="BF65" s="1617">
        <f>Plantillas!AI440</f>
        <v>0</v>
      </c>
      <c r="BG65" s="1633">
        <f>Plantillas!AJ440</f>
        <v>0</v>
      </c>
      <c r="BH65" s="1629" t="str">
        <f>CONCATENATE(Plantillas!Y480,Plantillas!Z480)</f>
        <v>4ºA</v>
      </c>
      <c r="BI65" s="1617">
        <f>Plantillas!AI480</f>
        <v>0</v>
      </c>
      <c r="BJ65" s="1633">
        <f>Plantillas!AJ480</f>
        <v>0</v>
      </c>
      <c r="BK65" s="1629" t="str">
        <f>CONCATENATE(Plantillas!Y520,Plantillas!Z520)</f>
        <v>3ºA</v>
      </c>
      <c r="BL65" s="1617">
        <f>Plantillas!AI520</f>
        <v>0</v>
      </c>
      <c r="BM65" s="1633">
        <f>Plantillas!AJ520</f>
        <v>0</v>
      </c>
      <c r="BN65" s="1629" t="str">
        <f>CONCATENATE(Plantillas!Y560,Plantillas!Z560)</f>
        <v>3ºA</v>
      </c>
      <c r="BO65" s="1617">
        <f>Plantillas!AI560</f>
        <v>0</v>
      </c>
      <c r="BP65" s="1633">
        <f>Plantillas!AJ560</f>
        <v>0</v>
      </c>
      <c r="BQ65" s="1629" t="str">
        <f>CONCATENATE(Plantillas!Y600,Plantillas!Z600)</f>
        <v>2ºB</v>
      </c>
      <c r="BR65" s="1617">
        <f>Plantillas!AI600</f>
        <v>0</v>
      </c>
      <c r="BS65" s="1633">
        <f>Plantillas!AJ600</f>
        <v>0</v>
      </c>
      <c r="BT65" s="1629" t="str">
        <f>CONCATENATE(Plantillas!Y640,Plantillas!Z640)</f>
        <v/>
      </c>
      <c r="BU65" s="1617">
        <f>Plantillas!AI640</f>
        <v>0</v>
      </c>
      <c r="BV65" s="1633">
        <f>Plantillas!AJ640</f>
        <v>0</v>
      </c>
      <c r="BW65" s="1619"/>
    </row>
    <row r="66" spans="2:75" hidden="1">
      <c r="B66" s="3206">
        <v>17</v>
      </c>
      <c r="C66" s="3206"/>
      <c r="D66" s="3206"/>
      <c r="E66" s="3206"/>
      <c r="F66" s="3206"/>
      <c r="G66" s="3206"/>
      <c r="H66" s="3206"/>
      <c r="I66" s="3206"/>
      <c r="J66" s="3205" t="str">
        <f t="shared" si="4"/>
        <v>042</v>
      </c>
      <c r="K66" s="3211"/>
      <c r="L66" s="3210"/>
      <c r="M66" s="3211"/>
      <c r="N66" s="3211"/>
      <c r="O66" s="3211"/>
      <c r="P66" s="3211"/>
      <c r="Q66" s="3211"/>
      <c r="R66" s="3205">
        <v>18</v>
      </c>
      <c r="S66" s="3208">
        <v>69</v>
      </c>
      <c r="V66" s="1607">
        <v>4</v>
      </c>
      <c r="W66" s="1626" t="str">
        <f>HLOOKUP(W61,AA61:BV80,6)</f>
        <v>2ºB</v>
      </c>
      <c r="X66" s="1618">
        <f>HLOOKUP(X61,AA61:BV80,6)</f>
        <v>0</v>
      </c>
      <c r="Y66" s="1619">
        <f>HLOOKUP(Y61,AA61:BV80,6)</f>
        <v>0</v>
      </c>
      <c r="Z66" s="1612">
        <f t="shared" si="5"/>
        <v>0</v>
      </c>
      <c r="AA66" s="1632" t="str">
        <f>CONCATENATE(Plantillas!Y41,Plantillas!Z41)</f>
        <v>2ºB</v>
      </c>
      <c r="AB66" s="1617">
        <f>Plantillas!AI42</f>
        <v>0</v>
      </c>
      <c r="AC66" s="1633">
        <f>Plantillas!AJ42</f>
        <v>0</v>
      </c>
      <c r="AD66" s="1631" t="str">
        <f>CONCATENATE(Plantillas!Y81,Plantillas!Z81)</f>
        <v>2ºA</v>
      </c>
      <c r="AE66" s="1617">
        <f>Plantillas!AI81</f>
        <v>0</v>
      </c>
      <c r="AF66" s="1633">
        <f>Plantillas!AJ81</f>
        <v>0</v>
      </c>
      <c r="AG66" s="1631" t="str">
        <f>CONCATENATE(Plantillas!Y121,Plantillas!Z121)</f>
        <v>3ºA</v>
      </c>
      <c r="AH66" s="1617">
        <f>Plantillas!AI121</f>
        <v>0</v>
      </c>
      <c r="AI66" s="1633">
        <f>Plantillas!AJ121</f>
        <v>0</v>
      </c>
      <c r="AJ66" s="1631" t="str">
        <f>CONCATENATE(Plantillas!Y161,Plantillas!Z161)</f>
        <v>2ºB</v>
      </c>
      <c r="AK66" s="1617">
        <f>Plantillas!AI161</f>
        <v>0</v>
      </c>
      <c r="AL66" s="1633">
        <f>Plantillas!AJ161</f>
        <v>0</v>
      </c>
      <c r="AM66" s="1631" t="str">
        <f>CONCATENATE(Plantillas!Y201,Plantillas!Z201)</f>
        <v>4ºA</v>
      </c>
      <c r="AN66" s="1617">
        <f>Plantillas!AI201</f>
        <v>0</v>
      </c>
      <c r="AO66" s="1633">
        <f>Plantillas!AJ201</f>
        <v>0</v>
      </c>
      <c r="AP66" s="1631" t="str">
        <f>CONCATENATE(Plantillas!Y241,Plantillas!Z241)</f>
        <v>2ºA</v>
      </c>
      <c r="AQ66" s="1617">
        <f>Plantillas!AI241</f>
        <v>0</v>
      </c>
      <c r="AR66" s="1633">
        <f>Plantillas!AJ241</f>
        <v>0</v>
      </c>
      <c r="AS66" s="1631" t="str">
        <f>CONCATENATE(Plantillas!Y281,Plantillas!Z281)</f>
        <v>6ºA</v>
      </c>
      <c r="AT66" s="1617">
        <f>Plantillas!AI281</f>
        <v>0</v>
      </c>
      <c r="AU66" s="1633">
        <f>Plantillas!AJ281</f>
        <v>0</v>
      </c>
      <c r="AV66" s="1631" t="str">
        <f>CONCATENATE(Plantillas!Y321,Plantillas!Z321)</f>
        <v/>
      </c>
      <c r="AW66" s="1617">
        <f>Plantillas!AI321</f>
        <v>0</v>
      </c>
      <c r="AX66" s="1633">
        <f>Plantillas!AJ321</f>
        <v>0</v>
      </c>
      <c r="AY66" s="1631" t="str">
        <f>CONCATENATE(Plantillas!Y361,Plantillas!Z361)</f>
        <v>2ºB</v>
      </c>
      <c r="AZ66" s="1617">
        <f>Plantillas!AI361</f>
        <v>0</v>
      </c>
      <c r="BA66" s="1633">
        <f>Plantillas!AJ361</f>
        <v>0</v>
      </c>
      <c r="BB66" s="1631" t="str">
        <f>CONCATENATE(Plantillas!Y401,Plantillas!Z401)</f>
        <v>4ºA</v>
      </c>
      <c r="BC66" s="1617">
        <f>Plantillas!AI401</f>
        <v>0</v>
      </c>
      <c r="BD66" s="1633">
        <f>Plantillas!AJ401</f>
        <v>0</v>
      </c>
      <c r="BE66" s="1629" t="str">
        <f>CONCATENATE(Plantillas!Y441,Plantillas!Z441)</f>
        <v>4ºA</v>
      </c>
      <c r="BF66" s="1617">
        <f>Plantillas!AI441</f>
        <v>0</v>
      </c>
      <c r="BG66" s="1633">
        <f>Plantillas!AJ441</f>
        <v>0</v>
      </c>
      <c r="BH66" s="1629" t="str">
        <f>CONCATENATE(Plantillas!Y481,Plantillas!Z481)</f>
        <v>5ºA</v>
      </c>
      <c r="BI66" s="1617">
        <f>Plantillas!AI481</f>
        <v>0</v>
      </c>
      <c r="BJ66" s="1633">
        <f>Plantillas!AJ481</f>
        <v>0</v>
      </c>
      <c r="BK66" s="1629" t="str">
        <f>CONCATENATE(Plantillas!Y521,Plantillas!Z521)</f>
        <v>4ºA</v>
      </c>
      <c r="BL66" s="1617">
        <f>Plantillas!AI521</f>
        <v>0</v>
      </c>
      <c r="BM66" s="1633">
        <f>Plantillas!AJ521</f>
        <v>0</v>
      </c>
      <c r="BN66" s="1629" t="str">
        <f>CONCATENATE(Plantillas!Y561,Plantillas!Z561)</f>
        <v>4ºA</v>
      </c>
      <c r="BO66" s="1617">
        <f>Plantillas!AI561</f>
        <v>0</v>
      </c>
      <c r="BP66" s="1633">
        <f>Plantillas!AJ561</f>
        <v>0</v>
      </c>
      <c r="BQ66" s="1629" t="str">
        <f>CONCATENATE(Plantillas!Y601,Plantillas!Z601)</f>
        <v>3ºA</v>
      </c>
      <c r="BR66" s="1617">
        <f>Plantillas!AI601</f>
        <v>0</v>
      </c>
      <c r="BS66" s="1633">
        <f>Plantillas!AJ601</f>
        <v>0</v>
      </c>
      <c r="BT66" s="1629" t="str">
        <f>CONCATENATE(Plantillas!Y641,Plantillas!Z641)</f>
        <v/>
      </c>
      <c r="BU66" s="1617">
        <f>Plantillas!AI641</f>
        <v>0</v>
      </c>
      <c r="BV66" s="1633">
        <f>Plantillas!AJ641</f>
        <v>0</v>
      </c>
    </row>
    <row r="67" spans="2:75" hidden="1">
      <c r="B67" s="3206">
        <v>18</v>
      </c>
      <c r="C67" s="3206"/>
      <c r="D67" s="3206"/>
      <c r="E67" s="3206"/>
      <c r="F67" s="3206"/>
      <c r="G67" s="3206"/>
      <c r="H67" s="3206"/>
      <c r="I67" s="3206"/>
      <c r="J67" s="3205" t="str">
        <f t="shared" si="4"/>
        <v>042</v>
      </c>
      <c r="K67" s="3212"/>
      <c r="L67" s="3213"/>
      <c r="M67" s="3212"/>
      <c r="N67" s="3212"/>
      <c r="O67" s="3212"/>
      <c r="P67" s="3212"/>
      <c r="Q67" s="3212"/>
      <c r="R67" s="3205">
        <v>19</v>
      </c>
      <c r="S67" s="3214">
        <v>73</v>
      </c>
      <c r="V67" s="1607">
        <v>5</v>
      </c>
      <c r="W67" s="1626" t="str">
        <f>HLOOKUP(W61,AA61:BV80,7)</f>
        <v>3ºA</v>
      </c>
      <c r="X67" s="1618">
        <f>HLOOKUP(X61,AA61:BV80,7)</f>
        <v>0</v>
      </c>
      <c r="Y67" s="1619">
        <f>HLOOKUP(Y61,AA61:BV80,7)</f>
        <v>0</v>
      </c>
      <c r="Z67" s="1612">
        <f t="shared" si="5"/>
        <v>0</v>
      </c>
      <c r="AA67" s="1632" t="str">
        <f>CONCATENATE(Plantillas!Y42,Plantillas!Z42)</f>
        <v>3ºA</v>
      </c>
      <c r="AB67" s="1617">
        <f>Plantillas!AI43</f>
        <v>0</v>
      </c>
      <c r="AC67" s="1633">
        <f>Plantillas!AJ43</f>
        <v>0</v>
      </c>
      <c r="AD67" s="1631" t="str">
        <f>CONCATENATE(Plantillas!Y82,Plantillas!Z82)</f>
        <v>2ºB</v>
      </c>
      <c r="AE67" s="1617">
        <f>Plantillas!AI82</f>
        <v>0</v>
      </c>
      <c r="AF67" s="1633">
        <f>Plantillas!AJ82</f>
        <v>0</v>
      </c>
      <c r="AG67" s="1631" t="str">
        <f>CONCATENATE(Plantillas!Y122,Plantillas!Z122)</f>
        <v>3ºB</v>
      </c>
      <c r="AH67" s="1617">
        <f>Plantillas!AI122</f>
        <v>0</v>
      </c>
      <c r="AI67" s="1633">
        <f>Plantillas!AJ122</f>
        <v>0</v>
      </c>
      <c r="AJ67" s="1631" t="str">
        <f>CONCATENATE(Plantillas!Y162,Plantillas!Z162)</f>
        <v>3ºA</v>
      </c>
      <c r="AK67" s="1617">
        <f>Plantillas!AI162</f>
        <v>0</v>
      </c>
      <c r="AL67" s="1633">
        <f>Plantillas!AJ162</f>
        <v>0</v>
      </c>
      <c r="AM67" s="1631" t="str">
        <f>CONCATENATE(Plantillas!Y202,Plantillas!Z202)</f>
        <v>5ºA</v>
      </c>
      <c r="AN67" s="1617">
        <f>Plantillas!AI202</f>
        <v>0</v>
      </c>
      <c r="AO67" s="1633">
        <f>Plantillas!AJ202</f>
        <v>0</v>
      </c>
      <c r="AP67" s="1631" t="str">
        <f>CONCATENATE(Plantillas!Y242,Plantillas!Z242)</f>
        <v>2ºB</v>
      </c>
      <c r="AQ67" s="1617">
        <f>Plantillas!AI242</f>
        <v>0</v>
      </c>
      <c r="AR67" s="1633">
        <f>Plantillas!AJ242</f>
        <v>0</v>
      </c>
      <c r="AS67" s="1631" t="str">
        <f>CONCATENATE(Plantillas!Y282,Plantillas!Z282)</f>
        <v>6ºB</v>
      </c>
      <c r="AT67" s="1617">
        <f>Plantillas!AI282</f>
        <v>0</v>
      </c>
      <c r="AU67" s="1633">
        <f>Plantillas!AJ282</f>
        <v>0</v>
      </c>
      <c r="AV67" s="1631" t="str">
        <f>CONCATENATE(Plantillas!Y322,Plantillas!Z322)</f>
        <v/>
      </c>
      <c r="AW67" s="1617">
        <f>Plantillas!AI322</f>
        <v>0</v>
      </c>
      <c r="AX67" s="1633">
        <f>Plantillas!AJ322</f>
        <v>0</v>
      </c>
      <c r="AY67" s="1631" t="str">
        <f>CONCATENATE(Plantillas!Y362,Plantillas!Z362)</f>
        <v>3ºA</v>
      </c>
      <c r="AZ67" s="1617">
        <f>Plantillas!AI362</f>
        <v>0</v>
      </c>
      <c r="BA67" s="1633">
        <f>Plantillas!AJ362</f>
        <v>0</v>
      </c>
      <c r="BB67" s="1631" t="str">
        <f>CONCATENATE(Plantillas!Y402,Plantillas!Z402)</f>
        <v>5ºA</v>
      </c>
      <c r="BC67" s="1617">
        <f>Plantillas!AI402</f>
        <v>0</v>
      </c>
      <c r="BD67" s="1633">
        <f>Plantillas!AJ402</f>
        <v>0</v>
      </c>
      <c r="BE67" s="1629" t="str">
        <f>CONCATENATE(Plantillas!Y442,Plantillas!Z442)</f>
        <v>5ºA</v>
      </c>
      <c r="BF67" s="1617">
        <f>Plantillas!AI442</f>
        <v>0</v>
      </c>
      <c r="BG67" s="1633">
        <f>Plantillas!AJ442</f>
        <v>0</v>
      </c>
      <c r="BH67" s="1629" t="str">
        <f>CONCATENATE(Plantillas!Y482,Plantillas!Z482)</f>
        <v>6ºA</v>
      </c>
      <c r="BI67" s="1617">
        <f>Plantillas!AI482</f>
        <v>0</v>
      </c>
      <c r="BJ67" s="1633">
        <f>Plantillas!AJ482</f>
        <v>0</v>
      </c>
      <c r="BK67" s="1629" t="str">
        <f>CONCATENATE(Plantillas!Y522,Plantillas!Z522)</f>
        <v>5ºA</v>
      </c>
      <c r="BL67" s="1617">
        <f>Plantillas!AI522</f>
        <v>0</v>
      </c>
      <c r="BM67" s="1633">
        <f>Plantillas!AJ522</f>
        <v>0</v>
      </c>
      <c r="BN67" s="1629" t="str">
        <f>CONCATENATE(Plantillas!Y562,Plantillas!Z562)</f>
        <v/>
      </c>
      <c r="BO67" s="1617">
        <f>Plantillas!AI562</f>
        <v>0</v>
      </c>
      <c r="BP67" s="1633">
        <f>Plantillas!AJ562</f>
        <v>0</v>
      </c>
      <c r="BQ67" s="1629" t="str">
        <f>CONCATENATE(Plantillas!Y602,Plantillas!Z602)</f>
        <v>3ºB</v>
      </c>
      <c r="BR67" s="1617">
        <f>Plantillas!AI602</f>
        <v>0</v>
      </c>
      <c r="BS67" s="1633">
        <f>Plantillas!AJ602</f>
        <v>0</v>
      </c>
      <c r="BT67" s="1629" t="str">
        <f>CONCATENATE(Plantillas!Y642,Plantillas!Z642)</f>
        <v/>
      </c>
      <c r="BU67" s="1617">
        <f>Plantillas!AI642</f>
        <v>0</v>
      </c>
      <c r="BV67" s="1633">
        <f>Plantillas!AJ642</f>
        <v>0</v>
      </c>
    </row>
    <row r="68" spans="2:75" hidden="1">
      <c r="B68" s="3209"/>
      <c r="C68" s="3210"/>
      <c r="D68" s="3210"/>
      <c r="E68" s="3209"/>
      <c r="F68" s="3209"/>
      <c r="G68" s="3209"/>
      <c r="H68" s="3209"/>
      <c r="I68" s="3209"/>
      <c r="J68" s="3209"/>
      <c r="K68" s="3209"/>
      <c r="L68" s="3210"/>
      <c r="M68" s="3209"/>
      <c r="N68" s="3209"/>
      <c r="O68" s="3209"/>
      <c r="P68" s="3209"/>
      <c r="Q68" s="3209"/>
      <c r="R68" s="3205">
        <v>20</v>
      </c>
      <c r="S68" s="3214">
        <v>81</v>
      </c>
      <c r="V68" s="1607">
        <v>6</v>
      </c>
      <c r="W68" s="1626" t="str">
        <f>HLOOKUP(W61,AA61:BV80,8)</f>
        <v>3ºB</v>
      </c>
      <c r="X68" s="1618">
        <f>HLOOKUP(X61,AA61:BV80,8)</f>
        <v>0</v>
      </c>
      <c r="Y68" s="1619">
        <f>HLOOKUP(Y61,AA61:BV80,8)</f>
        <v>0</v>
      </c>
      <c r="Z68" s="1612">
        <f t="shared" si="5"/>
        <v>0</v>
      </c>
      <c r="AA68" s="1632" t="str">
        <f>CONCATENATE(Plantillas!Y43,Plantillas!Z43)</f>
        <v>3ºB</v>
      </c>
      <c r="AB68" s="1617">
        <f>Plantillas!AI44</f>
        <v>0</v>
      </c>
      <c r="AC68" s="1633">
        <f>Plantillas!AJ44</f>
        <v>0</v>
      </c>
      <c r="AD68" s="1631" t="str">
        <f>CONCATENATE(Plantillas!Y83,Plantillas!Z83)</f>
        <v>3ºA</v>
      </c>
      <c r="AE68" s="1617">
        <f>Plantillas!AI83</f>
        <v>0</v>
      </c>
      <c r="AF68" s="1633">
        <f>Plantillas!AJ83</f>
        <v>0</v>
      </c>
      <c r="AG68" s="1631" t="str">
        <f>CONCATENATE(Plantillas!Y123,Plantillas!Z123)</f>
        <v>4ºA</v>
      </c>
      <c r="AH68" s="1617">
        <f>Plantillas!AI123</f>
        <v>0</v>
      </c>
      <c r="AI68" s="1633">
        <f>Plantillas!AJ123</f>
        <v>0</v>
      </c>
      <c r="AJ68" s="1631" t="str">
        <f>CONCATENATE(Plantillas!Y163,Plantillas!Z163)</f>
        <v>3ºB</v>
      </c>
      <c r="AK68" s="1617">
        <f>Plantillas!AI163</f>
        <v>0</v>
      </c>
      <c r="AL68" s="1633">
        <f>Plantillas!AJ163</f>
        <v>0</v>
      </c>
      <c r="AM68" s="1631" t="str">
        <f>CONCATENATE(Plantillas!Y203,Plantillas!Z203)</f>
        <v>6ºA</v>
      </c>
      <c r="AN68" s="1617">
        <f>Plantillas!AI203</f>
        <v>0</v>
      </c>
      <c r="AO68" s="1633">
        <f>Plantillas!AJ203</f>
        <v>0</v>
      </c>
      <c r="AP68" s="1631" t="str">
        <f>CONCATENATE(Plantillas!Y243,Plantillas!Z243)</f>
        <v>3ºA</v>
      </c>
      <c r="AQ68" s="1617">
        <f>Plantillas!AI243</f>
        <v>0</v>
      </c>
      <c r="AR68" s="1633">
        <f>Plantillas!AJ243</f>
        <v>0</v>
      </c>
      <c r="AS68" s="1631" t="str">
        <f>CONCATENATE(Plantillas!Y283,Plantillas!Z283)</f>
        <v/>
      </c>
      <c r="AT68" s="1617">
        <f>Plantillas!AI283</f>
        <v>0</v>
      </c>
      <c r="AU68" s="1633">
        <f>Plantillas!AJ283</f>
        <v>0</v>
      </c>
      <c r="AV68" s="1631" t="str">
        <f>CONCATENATE(Plantillas!Y323,Plantillas!Z323)</f>
        <v/>
      </c>
      <c r="AW68" s="1617">
        <f>Plantillas!AI323</f>
        <v>0</v>
      </c>
      <c r="AX68" s="1633">
        <f>Plantillas!AJ323</f>
        <v>0</v>
      </c>
      <c r="AY68" s="1631" t="str">
        <f>CONCATENATE(Plantillas!Y363,Plantillas!Z363)</f>
        <v>3ºB</v>
      </c>
      <c r="AZ68" s="1617">
        <f>Plantillas!AI363</f>
        <v>0</v>
      </c>
      <c r="BA68" s="1633">
        <f>Plantillas!AJ363</f>
        <v>0</v>
      </c>
      <c r="BB68" s="1631" t="str">
        <f>CONCATENATE(Plantillas!Y403,Plantillas!Z403)</f>
        <v>5ºB</v>
      </c>
      <c r="BC68" s="1617">
        <f>Plantillas!AI403</f>
        <v>0</v>
      </c>
      <c r="BD68" s="1633">
        <f>Plantillas!AJ403</f>
        <v>0</v>
      </c>
      <c r="BE68" s="1629" t="str">
        <f>CONCATENATE(Plantillas!Y443,Plantillas!Z443)</f>
        <v/>
      </c>
      <c r="BF68" s="1617">
        <f>Plantillas!AI443</f>
        <v>0</v>
      </c>
      <c r="BG68" s="1633">
        <f>Plantillas!AJ443</f>
        <v>0</v>
      </c>
      <c r="BH68" s="1629" t="str">
        <f>CONCATENATE(Plantillas!Y483,Plantillas!Z483)</f>
        <v/>
      </c>
      <c r="BI68" s="1617">
        <f>Plantillas!AI483</f>
        <v>0</v>
      </c>
      <c r="BJ68" s="1633">
        <f>Plantillas!AJ483</f>
        <v>0</v>
      </c>
      <c r="BK68" s="1629" t="str">
        <f>CONCATENATE(Plantillas!Y523,Plantillas!Z523)</f>
        <v>6ºA</v>
      </c>
      <c r="BL68" s="1617">
        <f>Plantillas!AI523</f>
        <v>0</v>
      </c>
      <c r="BM68" s="1633">
        <f>Plantillas!AJ523</f>
        <v>0</v>
      </c>
      <c r="BN68" s="1629" t="str">
        <f>CONCATENATE(Plantillas!Y563,Plantillas!Z563)</f>
        <v/>
      </c>
      <c r="BO68" s="1617">
        <f>Plantillas!AI563</f>
        <v>0</v>
      </c>
      <c r="BP68" s="1633">
        <f>Plantillas!AJ563</f>
        <v>0</v>
      </c>
      <c r="BQ68" s="1629" t="str">
        <f>CONCATENATE(Plantillas!Y603,Plantillas!Z603)</f>
        <v>4ºA</v>
      </c>
      <c r="BR68" s="1617">
        <f>Plantillas!AI603</f>
        <v>0</v>
      </c>
      <c r="BS68" s="1633">
        <f>Plantillas!AJ603</f>
        <v>0</v>
      </c>
      <c r="BT68" s="1629" t="str">
        <f>CONCATENATE(Plantillas!Y643,Plantillas!Z643)</f>
        <v/>
      </c>
      <c r="BU68" s="1617">
        <f>Plantillas!AI643</f>
        <v>0</v>
      </c>
      <c r="BV68" s="1633">
        <f>Plantillas!AJ643</f>
        <v>0</v>
      </c>
    </row>
    <row r="69" spans="2:75">
      <c r="V69" s="1607">
        <v>7</v>
      </c>
      <c r="W69" s="1626" t="str">
        <f>HLOOKUP(W61,AA61:BV80,9)</f>
        <v>4ºA</v>
      </c>
      <c r="X69" s="1618">
        <f>HLOOKUP(X61,AA61:BV80,9)</f>
        <v>0</v>
      </c>
      <c r="Y69" s="1619">
        <f>HLOOKUP(Y61,AA61:BV80,9)</f>
        <v>0</v>
      </c>
      <c r="Z69" s="1612">
        <f t="shared" si="5"/>
        <v>0</v>
      </c>
      <c r="AA69" s="1632" t="str">
        <f>CONCATENATE(Plantillas!Y44,Plantillas!Z44)</f>
        <v>4ºA</v>
      </c>
      <c r="AB69" s="1617">
        <f>Plantillas!AI45</f>
        <v>0</v>
      </c>
      <c r="AC69" s="1633">
        <f>Plantillas!AJ45</f>
        <v>0</v>
      </c>
      <c r="AD69" s="1631" t="str">
        <f>CONCATENATE(Plantillas!Y84,Plantillas!Z84)</f>
        <v>3ºB</v>
      </c>
      <c r="AE69" s="1617">
        <f>Plantillas!AI84</f>
        <v>0</v>
      </c>
      <c r="AF69" s="1633">
        <f>Plantillas!AJ84</f>
        <v>0</v>
      </c>
      <c r="AG69" s="1631" t="str">
        <f>CONCATENATE(Plantillas!Y124,Plantillas!Z124)</f>
        <v>5ºA</v>
      </c>
      <c r="AH69" s="1617">
        <f>Plantillas!AI124</f>
        <v>0</v>
      </c>
      <c r="AI69" s="1633">
        <f>Plantillas!AJ124</f>
        <v>0</v>
      </c>
      <c r="AJ69" s="1631" t="str">
        <f>CONCATENATE(Plantillas!Y164,Plantillas!Z164)</f>
        <v>4ºA</v>
      </c>
      <c r="AK69" s="1617">
        <f>Plantillas!AI164</f>
        <v>0</v>
      </c>
      <c r="AL69" s="1633">
        <f>Plantillas!AJ164</f>
        <v>0</v>
      </c>
      <c r="AM69" s="1631" t="str">
        <f>CONCATENATE(Plantillas!Y204,Plantillas!Z204)</f>
        <v>6ºB</v>
      </c>
      <c r="AN69" s="1617">
        <f>Plantillas!AI204</f>
        <v>0</v>
      </c>
      <c r="AO69" s="1633">
        <f>Plantillas!AJ204</f>
        <v>0</v>
      </c>
      <c r="AP69" s="1631" t="str">
        <f>CONCATENATE(Plantillas!Y244,Plantillas!Z244)</f>
        <v>3ºB</v>
      </c>
      <c r="AQ69" s="1617">
        <f>Plantillas!AI244</f>
        <v>0</v>
      </c>
      <c r="AR69" s="1633">
        <f>Plantillas!AJ244</f>
        <v>0</v>
      </c>
      <c r="AS69" s="1631" t="str">
        <f>CONCATENATE(Plantillas!Y284,Plantillas!Z284)</f>
        <v/>
      </c>
      <c r="AT69" s="1617">
        <f>Plantillas!AI284</f>
        <v>0</v>
      </c>
      <c r="AU69" s="1633">
        <f>Plantillas!AJ284</f>
        <v>0</v>
      </c>
      <c r="AV69" s="1631" t="str">
        <f>CONCATENATE(Plantillas!Y324,Plantillas!Z324)</f>
        <v/>
      </c>
      <c r="AW69" s="1617">
        <f>Plantillas!AI324</f>
        <v>0</v>
      </c>
      <c r="AX69" s="1633">
        <f>Plantillas!AJ324</f>
        <v>0</v>
      </c>
      <c r="AY69" s="1631" t="str">
        <f>CONCATENATE(Plantillas!Y364,Plantillas!Z364)</f>
        <v>4ºA</v>
      </c>
      <c r="AZ69" s="1617">
        <f>Plantillas!AI364</f>
        <v>0</v>
      </c>
      <c r="BA69" s="1633">
        <f>Plantillas!AJ364</f>
        <v>0</v>
      </c>
      <c r="BB69" s="1631" t="str">
        <f>CONCATENATE(Plantillas!Y404,Plantillas!Z404)</f>
        <v>6ºA</v>
      </c>
      <c r="BC69" s="1617">
        <f>Plantillas!AI404</f>
        <v>0</v>
      </c>
      <c r="BD69" s="1633">
        <f>Plantillas!AJ404</f>
        <v>0</v>
      </c>
      <c r="BE69" s="1629" t="str">
        <f>CONCATENATE(Plantillas!Y444,Plantillas!Z444)</f>
        <v/>
      </c>
      <c r="BF69" s="1617">
        <f>Plantillas!AI444</f>
        <v>0</v>
      </c>
      <c r="BG69" s="1633">
        <f>Plantillas!AJ444</f>
        <v>0</v>
      </c>
      <c r="BH69" s="1629" t="str">
        <f>CONCATENATE(Plantillas!Y484,Plantillas!Z484)</f>
        <v/>
      </c>
      <c r="BI69" s="1617">
        <f>Plantillas!AI484</f>
        <v>0</v>
      </c>
      <c r="BJ69" s="1633">
        <f>Plantillas!AJ484</f>
        <v>0</v>
      </c>
      <c r="BK69" s="1629" t="str">
        <f>CONCATENATE(Plantillas!Y524,Plantillas!Z524)</f>
        <v/>
      </c>
      <c r="BL69" s="1617">
        <f>Plantillas!AI524</f>
        <v>0</v>
      </c>
      <c r="BM69" s="1633">
        <f>Plantillas!AJ524</f>
        <v>0</v>
      </c>
      <c r="BN69" s="1629" t="str">
        <f>CONCATENATE(Plantillas!Y564,Plantillas!Z564)</f>
        <v/>
      </c>
      <c r="BO69" s="1617">
        <f>Plantillas!AI564</f>
        <v>0</v>
      </c>
      <c r="BP69" s="1633">
        <f>Plantillas!AJ564</f>
        <v>0</v>
      </c>
      <c r="BQ69" s="1629" t="str">
        <f>CONCATENATE(Plantillas!Y604,Plantillas!Z604)</f>
        <v>5ºA</v>
      </c>
      <c r="BR69" s="1617">
        <f>Plantillas!AI604</f>
        <v>0</v>
      </c>
      <c r="BS69" s="1633">
        <f>Plantillas!AJ604</f>
        <v>0</v>
      </c>
      <c r="BT69" s="1629" t="str">
        <f>CONCATENATE(Plantillas!Y644,Plantillas!Z644)</f>
        <v/>
      </c>
      <c r="BU69" s="1617">
        <f>Plantillas!AI644</f>
        <v>0</v>
      </c>
      <c r="BV69" s="1633">
        <f>Plantillas!AJ644</f>
        <v>0</v>
      </c>
    </row>
    <row r="70" spans="2:75">
      <c r="V70" s="1607">
        <v>8</v>
      </c>
      <c r="W70" s="1626" t="str">
        <f>HLOOKUP(W61,AA61:BV80,10)</f>
        <v>4ºB</v>
      </c>
      <c r="X70" s="1618">
        <f>HLOOKUP(X61,AA61:BV80,10)</f>
        <v>0</v>
      </c>
      <c r="Y70" s="1619">
        <f>HLOOKUP(Y61,AA61:BV80,10)</f>
        <v>0</v>
      </c>
      <c r="Z70" s="1612">
        <f t="shared" si="5"/>
        <v>0</v>
      </c>
      <c r="AA70" s="1632" t="str">
        <f>CONCATENATE(Plantillas!Y45,Plantillas!Z45)</f>
        <v>4ºB</v>
      </c>
      <c r="AB70" s="1617">
        <f>Plantillas!AI46</f>
        <v>0</v>
      </c>
      <c r="AC70" s="1633">
        <f>Plantillas!AJ46</f>
        <v>0</v>
      </c>
      <c r="AD70" s="1631" t="str">
        <f>CONCATENATE(Plantillas!Y85,Plantillas!Z85)</f>
        <v>4ºA</v>
      </c>
      <c r="AE70" s="1617">
        <f>Plantillas!AI85</f>
        <v>0</v>
      </c>
      <c r="AF70" s="1633">
        <f>Plantillas!AJ85</f>
        <v>0</v>
      </c>
      <c r="AG70" s="1631" t="str">
        <f>CONCATENATE(Plantillas!Y125,Plantillas!Z125)</f>
        <v>5ºB</v>
      </c>
      <c r="AH70" s="1617">
        <f>Plantillas!AI125</f>
        <v>0</v>
      </c>
      <c r="AI70" s="1633">
        <f>Plantillas!AJ125</f>
        <v>0</v>
      </c>
      <c r="AJ70" s="1631" t="str">
        <f>CONCATENATE(Plantillas!Y165,Plantillas!Z165)</f>
        <v>4ºB</v>
      </c>
      <c r="AK70" s="1617">
        <f>Plantillas!AI165</f>
        <v>0</v>
      </c>
      <c r="AL70" s="1633">
        <f>Plantillas!AJ165</f>
        <v>0</v>
      </c>
      <c r="AM70" s="1631" t="str">
        <f>CONCATENATE(Plantillas!Y205,Plantillas!Z205)</f>
        <v/>
      </c>
      <c r="AN70" s="1617">
        <f>Plantillas!AI205</f>
        <v>0</v>
      </c>
      <c r="AO70" s="1633">
        <f>Plantillas!AJ205</f>
        <v>0</v>
      </c>
      <c r="AP70" s="1631" t="str">
        <f>CONCATENATE(Plantillas!Y245,Plantillas!Z245)</f>
        <v>4ºA</v>
      </c>
      <c r="AQ70" s="1617">
        <f>Plantillas!AI245</f>
        <v>0</v>
      </c>
      <c r="AR70" s="1633">
        <f>Plantillas!AJ245</f>
        <v>0</v>
      </c>
      <c r="AS70" s="1631" t="str">
        <f>CONCATENATE(Plantillas!Y285,Plantillas!Z285)</f>
        <v/>
      </c>
      <c r="AT70" s="1617">
        <f>Plantillas!AI285</f>
        <v>0</v>
      </c>
      <c r="AU70" s="1633">
        <f>Plantillas!AJ285</f>
        <v>0</v>
      </c>
      <c r="AV70" s="1631" t="str">
        <f>CONCATENATE(Plantillas!Y325,Plantillas!Z325)</f>
        <v/>
      </c>
      <c r="AW70" s="1617">
        <f>Plantillas!AI325</f>
        <v>0</v>
      </c>
      <c r="AX70" s="1633">
        <f>Plantillas!AJ325</f>
        <v>0</v>
      </c>
      <c r="AY70" s="1631" t="str">
        <f>CONCATENATE(Plantillas!Y365,Plantillas!Z365)</f>
        <v>4ºB</v>
      </c>
      <c r="AZ70" s="1617">
        <f>Plantillas!AI365</f>
        <v>0</v>
      </c>
      <c r="BA70" s="1633">
        <f>Plantillas!AJ365</f>
        <v>0</v>
      </c>
      <c r="BB70" s="1631" t="str">
        <f>CONCATENATE(Plantillas!Y405,Plantillas!Z405)</f>
        <v/>
      </c>
      <c r="BC70" s="1617">
        <f>Plantillas!AI405</f>
        <v>0</v>
      </c>
      <c r="BD70" s="1633">
        <f>Plantillas!AJ405</f>
        <v>0</v>
      </c>
      <c r="BE70" s="1629" t="str">
        <f>CONCATENATE(Plantillas!Y445,Plantillas!Z445)</f>
        <v/>
      </c>
      <c r="BF70" s="1617">
        <f>Plantillas!AI445</f>
        <v>0</v>
      </c>
      <c r="BG70" s="1633">
        <f>Plantillas!AJ445</f>
        <v>0</v>
      </c>
      <c r="BH70" s="1629" t="str">
        <f>CONCATENATE(Plantillas!Y485,Plantillas!Z485)</f>
        <v/>
      </c>
      <c r="BI70" s="1617">
        <f>Plantillas!AI485</f>
        <v>0</v>
      </c>
      <c r="BJ70" s="1633">
        <f>Plantillas!AJ485</f>
        <v>0</v>
      </c>
      <c r="BK70" s="1629" t="str">
        <f>CONCATENATE(Plantillas!Y525,Plantillas!Z525)</f>
        <v/>
      </c>
      <c r="BL70" s="1617">
        <f>Plantillas!AI525</f>
        <v>0</v>
      </c>
      <c r="BM70" s="1633">
        <f>Plantillas!AJ525</f>
        <v>0</v>
      </c>
      <c r="BN70" s="1629" t="str">
        <f>CONCATENATE(Plantillas!Y565,Plantillas!Z565)</f>
        <v/>
      </c>
      <c r="BO70" s="1617">
        <f>Plantillas!AI565</f>
        <v>0</v>
      </c>
      <c r="BP70" s="1633">
        <f>Plantillas!AJ565</f>
        <v>0</v>
      </c>
      <c r="BQ70" s="1629" t="str">
        <f>CONCATENATE(Plantillas!Y605,Plantillas!Z605)</f>
        <v>5ºB</v>
      </c>
      <c r="BR70" s="1617">
        <f>Plantillas!AI605</f>
        <v>0</v>
      </c>
      <c r="BS70" s="1633">
        <f>Plantillas!AJ605</f>
        <v>0</v>
      </c>
      <c r="BT70" s="1629" t="str">
        <f>CONCATENATE(Plantillas!Y645,Plantillas!Z645)</f>
        <v/>
      </c>
      <c r="BU70" s="1617">
        <f>Plantillas!AI645</f>
        <v>0</v>
      </c>
      <c r="BV70" s="1633">
        <f>Plantillas!AJ645</f>
        <v>0</v>
      </c>
    </row>
    <row r="71" spans="2:75">
      <c r="V71" s="1607">
        <v>9</v>
      </c>
      <c r="W71" s="1626" t="str">
        <f>HLOOKUP(W61,AA61:BV80,11)</f>
        <v>5ºA</v>
      </c>
      <c r="X71" s="1618">
        <f>HLOOKUP(X61,AA61:BV80,11)</f>
        <v>0</v>
      </c>
      <c r="Y71" s="1619">
        <f>HLOOKUP(Y61,AA61:BV444,11)</f>
        <v>0</v>
      </c>
      <c r="Z71" s="1612">
        <f t="shared" si="5"/>
        <v>0</v>
      </c>
      <c r="AA71" s="1632" t="str">
        <f>CONCATENATE(Plantillas!Y46,Plantillas!Z46)</f>
        <v>5ºA</v>
      </c>
      <c r="AB71" s="1617">
        <f>Plantillas!AI47</f>
        <v>0</v>
      </c>
      <c r="AC71" s="1633">
        <f>Plantillas!AJ47</f>
        <v>0</v>
      </c>
      <c r="AD71" s="1631" t="str">
        <f>CONCATENATE(Plantillas!Y86,Plantillas!Z86)</f>
        <v>4ºB</v>
      </c>
      <c r="AE71" s="1617">
        <f>Plantillas!AI86</f>
        <v>0</v>
      </c>
      <c r="AF71" s="1633">
        <f>Plantillas!AJ86</f>
        <v>0</v>
      </c>
      <c r="AG71" s="1631" t="str">
        <f>CONCATENATE(Plantillas!Y126,Plantillas!Z126)</f>
        <v>6ºA</v>
      </c>
      <c r="AH71" s="1617">
        <f>Plantillas!AI126</f>
        <v>0</v>
      </c>
      <c r="AI71" s="1633">
        <f>Plantillas!AJ126</f>
        <v>0</v>
      </c>
      <c r="AJ71" s="1631" t="str">
        <f>CONCATENATE(Plantillas!Y166,Plantillas!Z166)</f>
        <v>5ºA</v>
      </c>
      <c r="AK71" s="1617">
        <f>Plantillas!AI166</f>
        <v>0</v>
      </c>
      <c r="AL71" s="1633">
        <f>Plantillas!AJ166</f>
        <v>0</v>
      </c>
      <c r="AM71" s="1631" t="str">
        <f>CONCATENATE(Plantillas!Y206,Plantillas!Z206)</f>
        <v/>
      </c>
      <c r="AN71" s="1617">
        <f>Plantillas!AI206</f>
        <v>0</v>
      </c>
      <c r="AO71" s="1633">
        <f>Plantillas!AJ206</f>
        <v>0</v>
      </c>
      <c r="AP71" s="1631" t="str">
        <f>CONCATENATE(Plantillas!Y246,Plantillas!Z246)</f>
        <v>4ºB</v>
      </c>
      <c r="AQ71" s="1617">
        <f>Plantillas!AI246</f>
        <v>0</v>
      </c>
      <c r="AR71" s="1633">
        <f>Plantillas!AJ246</f>
        <v>0</v>
      </c>
      <c r="AS71" s="1631" t="str">
        <f>CONCATENATE(Plantillas!Y286,Plantillas!Z286)</f>
        <v/>
      </c>
      <c r="AT71" s="1617">
        <f>Plantillas!AI286</f>
        <v>0</v>
      </c>
      <c r="AU71" s="1633">
        <f>Plantillas!AJ286</f>
        <v>0</v>
      </c>
      <c r="AV71" s="1631" t="str">
        <f>CONCATENATE(Plantillas!Y326,Plantillas!Z326)</f>
        <v/>
      </c>
      <c r="AW71" s="1617">
        <f>Plantillas!AI326</f>
        <v>0</v>
      </c>
      <c r="AX71" s="1633">
        <f>Plantillas!AJ326</f>
        <v>0</v>
      </c>
      <c r="AY71" s="1631" t="str">
        <f>CONCATENATE(Plantillas!Y366,Plantillas!Z366)</f>
        <v>5ºA</v>
      </c>
      <c r="AZ71" s="1617">
        <f>Plantillas!AI366</f>
        <v>0</v>
      </c>
      <c r="BA71" s="1633">
        <f>Plantillas!AJ366</f>
        <v>0</v>
      </c>
      <c r="BB71" s="1631" t="str">
        <f>CONCATENATE(Plantillas!Y406,Plantillas!Z406)</f>
        <v/>
      </c>
      <c r="BC71" s="1617">
        <f>Plantillas!AI406</f>
        <v>0</v>
      </c>
      <c r="BD71" s="1633">
        <f>Plantillas!AJ406</f>
        <v>0</v>
      </c>
      <c r="BE71" s="1629" t="str">
        <f>CONCATENATE(Plantillas!Y446,Plantillas!Z446)</f>
        <v/>
      </c>
      <c r="BF71" s="1617">
        <f>Plantillas!AI446</f>
        <v>0</v>
      </c>
      <c r="BG71" s="1633">
        <f>Plantillas!AJ446</f>
        <v>0</v>
      </c>
      <c r="BH71" s="1629" t="str">
        <f>CONCATENATE(Plantillas!Y486,Plantillas!Z486)</f>
        <v/>
      </c>
      <c r="BI71" s="1617">
        <f>Plantillas!AI486</f>
        <v>0</v>
      </c>
      <c r="BJ71" s="1633">
        <f>Plantillas!AJ486</f>
        <v>0</v>
      </c>
      <c r="BK71" s="1629" t="str">
        <f>CONCATENATE(Plantillas!Y526,Plantillas!Z526)</f>
        <v/>
      </c>
      <c r="BL71" s="1617">
        <f>Plantillas!AI526</f>
        <v>0</v>
      </c>
      <c r="BM71" s="1633">
        <f>Plantillas!AJ526</f>
        <v>0</v>
      </c>
      <c r="BN71" s="1629" t="str">
        <f>CONCATENATE(Plantillas!Y566,Plantillas!Z566)</f>
        <v/>
      </c>
      <c r="BO71" s="1617">
        <f>Plantillas!AI566</f>
        <v>0</v>
      </c>
      <c r="BP71" s="1633">
        <f>Plantillas!AJ566</f>
        <v>0</v>
      </c>
      <c r="BQ71" s="1629" t="str">
        <f>CONCATENATE(Plantillas!Y606,Plantillas!Z606)</f>
        <v>6ºA</v>
      </c>
      <c r="BR71" s="1617">
        <f>Plantillas!AI606</f>
        <v>0</v>
      </c>
      <c r="BS71" s="1633">
        <f>Plantillas!AJ606</f>
        <v>0</v>
      </c>
      <c r="BT71" s="1629" t="str">
        <f>CONCATENATE(Plantillas!Y646,Plantillas!Z646)</f>
        <v/>
      </c>
      <c r="BU71" s="1617">
        <f>Plantillas!AI646</f>
        <v>0</v>
      </c>
      <c r="BV71" s="1633">
        <f>Plantillas!AJ646</f>
        <v>0</v>
      </c>
    </row>
    <row r="72" spans="2:75">
      <c r="V72" s="1607">
        <v>10</v>
      </c>
      <c r="W72" s="1626" t="str">
        <f>HLOOKUP(W61,AA61:BV80,12)</f>
        <v>5ºB</v>
      </c>
      <c r="X72" s="1618">
        <f>HLOOKUP(X61,AA61:BV80,12)</f>
        <v>0</v>
      </c>
      <c r="Y72" s="1619">
        <f>HLOOKUP(Y61,AA61:BV80,12)</f>
        <v>0</v>
      </c>
      <c r="Z72" s="1612">
        <f t="shared" si="5"/>
        <v>0</v>
      </c>
      <c r="AA72" s="1632" t="str">
        <f>CONCATENATE(Plantillas!Y47,Plantillas!Z47)</f>
        <v>5ºB</v>
      </c>
      <c r="AB72" s="1617">
        <f>Plantillas!AI48</f>
        <v>0</v>
      </c>
      <c r="AC72" s="1633">
        <f>Plantillas!AJ48</f>
        <v>0</v>
      </c>
      <c r="AD72" s="1631" t="str">
        <f>CONCATENATE(Plantillas!Y87,Plantillas!Z87)</f>
        <v>4ºC</v>
      </c>
      <c r="AE72" s="1617">
        <f>Plantillas!AI87</f>
        <v>0</v>
      </c>
      <c r="AF72" s="1633">
        <f>Plantillas!AJ87</f>
        <v>0</v>
      </c>
      <c r="AG72" s="1631" t="str">
        <f>CONCATENATE(Plantillas!Y127,Plantillas!Z127)</f>
        <v>6ºB</v>
      </c>
      <c r="AH72" s="1617">
        <f>Plantillas!AI127</f>
        <v>0</v>
      </c>
      <c r="AI72" s="1633">
        <f>Plantillas!AJ127</f>
        <v>0</v>
      </c>
      <c r="AJ72" s="1631" t="str">
        <f>CONCATENATE(Plantillas!Y167,Plantillas!Z167)</f>
        <v>5ºB</v>
      </c>
      <c r="AK72" s="1617">
        <f>Plantillas!AI167</f>
        <v>0</v>
      </c>
      <c r="AL72" s="1633">
        <f>Plantillas!AJ167</f>
        <v>0</v>
      </c>
      <c r="AM72" s="1631" t="str">
        <f>CONCATENATE(Plantillas!Y207,Plantillas!Z207)</f>
        <v/>
      </c>
      <c r="AN72" s="1617">
        <f>Plantillas!AI207</f>
        <v>0</v>
      </c>
      <c r="AO72" s="1633">
        <f>Plantillas!AJ207</f>
        <v>0</v>
      </c>
      <c r="AP72" s="1631" t="str">
        <f>CONCATENATE(Plantillas!Y247,Plantillas!Z247)</f>
        <v>5ºA</v>
      </c>
      <c r="AQ72" s="1617">
        <f>Plantillas!AI247</f>
        <v>0</v>
      </c>
      <c r="AR72" s="1633">
        <f>Plantillas!AJ247</f>
        <v>0</v>
      </c>
      <c r="AS72" s="1631" t="str">
        <f>CONCATENATE(Plantillas!Y287,Plantillas!Z287)</f>
        <v/>
      </c>
      <c r="AT72" s="1617">
        <f>Plantillas!AI287</f>
        <v>0</v>
      </c>
      <c r="AU72" s="1633">
        <f>Plantillas!AJ287</f>
        <v>0</v>
      </c>
      <c r="AV72" s="1631" t="str">
        <f>CONCATENATE(Plantillas!Y327,Plantillas!Z327)</f>
        <v/>
      </c>
      <c r="AW72" s="1617">
        <f>Plantillas!AI327</f>
        <v>0</v>
      </c>
      <c r="AX72" s="1633">
        <f>Plantillas!AJ327</f>
        <v>0</v>
      </c>
      <c r="AY72" s="1631" t="str">
        <f>CONCATENATE(Plantillas!Y367,Plantillas!Z367)</f>
        <v>5ºB</v>
      </c>
      <c r="AZ72" s="1617">
        <f>Plantillas!AI367</f>
        <v>0</v>
      </c>
      <c r="BA72" s="1633">
        <f>Plantillas!AJ367</f>
        <v>0</v>
      </c>
      <c r="BB72" s="1631" t="str">
        <f>CONCATENATE(Plantillas!Y407,Plantillas!Z407)</f>
        <v/>
      </c>
      <c r="BC72" s="1617">
        <f>Plantillas!AI407</f>
        <v>0</v>
      </c>
      <c r="BD72" s="1633">
        <f>Plantillas!AJ407</f>
        <v>0</v>
      </c>
      <c r="BE72" s="1629" t="str">
        <f>CONCATENATE(Plantillas!Y447,Plantillas!Z447)</f>
        <v/>
      </c>
      <c r="BF72" s="1617">
        <f>Plantillas!AI447</f>
        <v>0</v>
      </c>
      <c r="BG72" s="1633">
        <f>Plantillas!AJ447</f>
        <v>0</v>
      </c>
      <c r="BH72" s="1629" t="str">
        <f>CONCATENATE(Plantillas!Y487,Plantillas!Z487)</f>
        <v/>
      </c>
      <c r="BI72" s="1617">
        <f>Plantillas!AI487</f>
        <v>0</v>
      </c>
      <c r="BJ72" s="1633">
        <f>Plantillas!AJ487</f>
        <v>0</v>
      </c>
      <c r="BK72" s="1629" t="str">
        <f>CONCATENATE(Plantillas!Y527,Plantillas!Z527)</f>
        <v/>
      </c>
      <c r="BL72" s="1617">
        <f>Plantillas!AI527</f>
        <v>0</v>
      </c>
      <c r="BM72" s="1633">
        <f>Plantillas!AJ527</f>
        <v>0</v>
      </c>
      <c r="BN72" s="1629" t="str">
        <f>CONCATENATE(Plantillas!Y567,Plantillas!Z567)</f>
        <v/>
      </c>
      <c r="BO72" s="1617">
        <f>Plantillas!AI567</f>
        <v>0</v>
      </c>
      <c r="BP72" s="1633">
        <f>Plantillas!AJ567</f>
        <v>0</v>
      </c>
      <c r="BQ72" s="1629" t="str">
        <f>CONCATENATE(Plantillas!Y607,Plantillas!Z607)</f>
        <v/>
      </c>
      <c r="BR72" s="1617">
        <f>Plantillas!AI607</f>
        <v>0</v>
      </c>
      <c r="BS72" s="1633">
        <f>Plantillas!AJ607</f>
        <v>0</v>
      </c>
      <c r="BT72" s="1629" t="str">
        <f>CONCATENATE(Plantillas!Y647,Plantillas!Z647)</f>
        <v/>
      </c>
      <c r="BU72" s="1617">
        <f>Plantillas!AI647</f>
        <v>0</v>
      </c>
      <c r="BV72" s="1633">
        <f>Plantillas!AJ647</f>
        <v>0</v>
      </c>
    </row>
    <row r="73" spans="2:75">
      <c r="V73" s="1607">
        <v>11</v>
      </c>
      <c r="W73" s="1626" t="str">
        <f>HLOOKUP(W61,AA61:BV80,13)</f>
        <v>6ºA</v>
      </c>
      <c r="X73" s="1618">
        <f>HLOOKUP(X61,AA61:BV80,13)</f>
        <v>0</v>
      </c>
      <c r="Y73" s="1619">
        <f>HLOOKUP(Y61,AA61:BV80,13)</f>
        <v>0</v>
      </c>
      <c r="Z73" s="1612">
        <f t="shared" si="5"/>
        <v>0</v>
      </c>
      <c r="AA73" s="1632" t="str">
        <f>CONCATENATE(Plantillas!Y48,Plantillas!Z48)</f>
        <v>6ºA</v>
      </c>
      <c r="AB73" s="1617">
        <f>Plantillas!AI49</f>
        <v>0</v>
      </c>
      <c r="AC73" s="1633">
        <f>Plantillas!AJ49</f>
        <v>0</v>
      </c>
      <c r="AD73" s="1631" t="str">
        <f>CONCATENATE(Plantillas!Y88,Plantillas!Z88)</f>
        <v>5ºA</v>
      </c>
      <c r="AE73" s="1617">
        <f>Plantillas!AI88</f>
        <v>0</v>
      </c>
      <c r="AF73" s="1633">
        <f>Plantillas!AJ88</f>
        <v>0</v>
      </c>
      <c r="AG73" s="1631" t="str">
        <f>CONCATENATE(Plantillas!Y128,Plantillas!Z128)</f>
        <v/>
      </c>
      <c r="AH73" s="1617">
        <f>Plantillas!AI128</f>
        <v>0</v>
      </c>
      <c r="AI73" s="1633">
        <f>Plantillas!AJ128</f>
        <v>0</v>
      </c>
      <c r="AJ73" s="1631" t="str">
        <f>CONCATENATE(Plantillas!Y168,Plantillas!Z168)</f>
        <v>6ºA</v>
      </c>
      <c r="AK73" s="1617">
        <f>Plantillas!AI168</f>
        <v>0</v>
      </c>
      <c r="AL73" s="1633">
        <f>Plantillas!AJ168</f>
        <v>0</v>
      </c>
      <c r="AM73" s="1631" t="str">
        <f>CONCATENATE(Plantillas!Y208,Plantillas!Z208)</f>
        <v/>
      </c>
      <c r="AN73" s="1617">
        <f>Plantillas!AI208</f>
        <v>0</v>
      </c>
      <c r="AO73" s="1633">
        <f>Plantillas!AJ208</f>
        <v>0</v>
      </c>
      <c r="AP73" s="1631" t="str">
        <f>CONCATENATE(Plantillas!Y248,Plantillas!Z248)</f>
        <v>5ºB</v>
      </c>
      <c r="AQ73" s="1617">
        <f>Plantillas!AI248</f>
        <v>0</v>
      </c>
      <c r="AR73" s="1633">
        <f>Plantillas!AJ248</f>
        <v>0</v>
      </c>
      <c r="AS73" s="1631" t="str">
        <f>CONCATENATE(Plantillas!Y288,Plantillas!Z288)</f>
        <v/>
      </c>
      <c r="AT73" s="1617">
        <f>Plantillas!AI288</f>
        <v>0</v>
      </c>
      <c r="AU73" s="1633">
        <f>Plantillas!AJ288</f>
        <v>0</v>
      </c>
      <c r="AV73" s="1631" t="str">
        <f>CONCATENATE(Plantillas!Y328,Plantillas!Z328)</f>
        <v/>
      </c>
      <c r="AW73" s="1617">
        <f>Plantillas!AI328</f>
        <v>0</v>
      </c>
      <c r="AX73" s="1633">
        <f>Plantillas!AJ328</f>
        <v>0</v>
      </c>
      <c r="AY73" s="1631" t="str">
        <f>CONCATENATE(Plantillas!Y368,Plantillas!Z368)</f>
        <v>6ºA</v>
      </c>
      <c r="AZ73" s="1617">
        <f>Plantillas!AI368</f>
        <v>0</v>
      </c>
      <c r="BA73" s="1633">
        <f>Plantillas!AJ368</f>
        <v>0</v>
      </c>
      <c r="BB73" s="1631" t="str">
        <f>CONCATENATE(Plantillas!Y408,Plantillas!Z408)</f>
        <v/>
      </c>
      <c r="BC73" s="1617">
        <f>Plantillas!AI408</f>
        <v>0</v>
      </c>
      <c r="BD73" s="1633">
        <f>Plantillas!AJ408</f>
        <v>0</v>
      </c>
      <c r="BE73" s="1629" t="str">
        <f>CONCATENATE(Plantillas!Y448,Plantillas!Z448)</f>
        <v/>
      </c>
      <c r="BF73" s="1617">
        <f>Plantillas!AI448</f>
        <v>0</v>
      </c>
      <c r="BG73" s="1633">
        <f>Plantillas!AJ448</f>
        <v>0</v>
      </c>
      <c r="BH73" s="1629" t="str">
        <f>CONCATENATE(Plantillas!Y488,Plantillas!Z488)</f>
        <v/>
      </c>
      <c r="BI73" s="1617">
        <f>Plantillas!AI488</f>
        <v>0</v>
      </c>
      <c r="BJ73" s="1633">
        <f>Plantillas!AJ488</f>
        <v>0</v>
      </c>
      <c r="BK73" s="1629" t="str">
        <f>CONCATENATE(Plantillas!Y528,Plantillas!Z528)</f>
        <v/>
      </c>
      <c r="BL73" s="1617">
        <f>Plantillas!AI528</f>
        <v>0</v>
      </c>
      <c r="BM73" s="1633">
        <f>Plantillas!AJ528</f>
        <v>0</v>
      </c>
      <c r="BN73" s="1629" t="str">
        <f>CONCATENATE(Plantillas!Y568,Plantillas!Z568)</f>
        <v/>
      </c>
      <c r="BO73" s="1617">
        <f>Plantillas!AI568</f>
        <v>0</v>
      </c>
      <c r="BP73" s="1633">
        <f>Plantillas!AJ568</f>
        <v>0</v>
      </c>
      <c r="BQ73" s="1629" t="str">
        <f>CONCATENATE(Plantillas!Y608,Plantillas!Z608)</f>
        <v/>
      </c>
      <c r="BR73" s="1617">
        <f>Plantillas!AI608</f>
        <v>0</v>
      </c>
      <c r="BS73" s="1633">
        <f>Plantillas!AJ608</f>
        <v>0</v>
      </c>
      <c r="BT73" s="1629" t="str">
        <f>CONCATENATE(Plantillas!Y648,Plantillas!Z648)</f>
        <v/>
      </c>
      <c r="BU73" s="1617">
        <f>Plantillas!AI648</f>
        <v>0</v>
      </c>
      <c r="BV73" s="1633">
        <f>Plantillas!AJ648</f>
        <v>0</v>
      </c>
    </row>
    <row r="74" spans="2:75">
      <c r="V74" s="1607">
        <v>12</v>
      </c>
      <c r="W74" s="1626" t="str">
        <f>HLOOKUP(W61,AA61:BV80,14)</f>
        <v>6ºB</v>
      </c>
      <c r="X74" s="1618">
        <f>HLOOKUP(X61,AA61:BV80,14)</f>
        <v>0</v>
      </c>
      <c r="Y74" s="1619">
        <f>HLOOKUP(Y61,AA61:BV80,14)</f>
        <v>0</v>
      </c>
      <c r="Z74" s="1612">
        <f t="shared" si="5"/>
        <v>0</v>
      </c>
      <c r="AA74" s="1632" t="str">
        <f>CONCATENATE(Plantillas!Y49,Plantillas!Z49)</f>
        <v>6ºB</v>
      </c>
      <c r="AB74" s="1617">
        <f>Plantillas!AI50</f>
        <v>0</v>
      </c>
      <c r="AC74" s="1633">
        <f>Plantillas!AJ50</f>
        <v>0</v>
      </c>
      <c r="AD74" s="1631" t="str">
        <f>CONCATENATE(Plantillas!Y89,Plantillas!Z89)</f>
        <v>5ºB</v>
      </c>
      <c r="AE74" s="1617">
        <f>Plantillas!AI89</f>
        <v>0</v>
      </c>
      <c r="AF74" s="1633">
        <f>Plantillas!AJ89</f>
        <v>0</v>
      </c>
      <c r="AG74" s="1631" t="str">
        <f>CONCATENATE(Plantillas!Y129,Plantillas!Z129)</f>
        <v/>
      </c>
      <c r="AH74" s="1617">
        <f>Plantillas!AI129</f>
        <v>0</v>
      </c>
      <c r="AI74" s="1633">
        <f>Plantillas!AJ129</f>
        <v>0</v>
      </c>
      <c r="AJ74" s="1631" t="str">
        <f>CONCATENATE(Plantillas!Y169,Plantillas!Z169)</f>
        <v>6ºB</v>
      </c>
      <c r="AK74" s="1617">
        <f>Plantillas!AI169</f>
        <v>0</v>
      </c>
      <c r="AL74" s="1633">
        <f>Plantillas!AJ169</f>
        <v>0</v>
      </c>
      <c r="AM74" s="1631" t="str">
        <f>CONCATENATE(Plantillas!Y209,Plantillas!Z209)</f>
        <v/>
      </c>
      <c r="AN74" s="1617">
        <f>Plantillas!AI209</f>
        <v>0</v>
      </c>
      <c r="AO74" s="1633">
        <f>Plantillas!AJ209</f>
        <v>0</v>
      </c>
      <c r="AP74" s="1631" t="str">
        <f>CONCATENATE(Plantillas!Y249,Plantillas!Z249)</f>
        <v>6ºA</v>
      </c>
      <c r="AQ74" s="1617">
        <f>Plantillas!AI249</f>
        <v>0</v>
      </c>
      <c r="AR74" s="1633">
        <f>Plantillas!AJ249</f>
        <v>0</v>
      </c>
      <c r="AS74" s="1631" t="str">
        <f>CONCATENATE(Plantillas!Y289,Plantillas!Z289)</f>
        <v/>
      </c>
      <c r="AT74" s="1617">
        <f>Plantillas!AI289</f>
        <v>0</v>
      </c>
      <c r="AU74" s="1633">
        <f>Plantillas!AJ289</f>
        <v>0</v>
      </c>
      <c r="AV74" s="1631" t="str">
        <f>CONCATENATE(Plantillas!Y329,Plantillas!Z329)</f>
        <v/>
      </c>
      <c r="AW74" s="1617">
        <f>Plantillas!AI329</f>
        <v>0</v>
      </c>
      <c r="AX74" s="1633">
        <f>Plantillas!AJ329</f>
        <v>0</v>
      </c>
      <c r="AY74" s="1631" t="str">
        <f>CONCATENATE(Plantillas!Y369,Plantillas!Z369)</f>
        <v>6ºB</v>
      </c>
      <c r="AZ74" s="1617">
        <f>Plantillas!AI369</f>
        <v>0</v>
      </c>
      <c r="BA74" s="1633">
        <f>Plantillas!AJ369</f>
        <v>0</v>
      </c>
      <c r="BB74" s="1631" t="str">
        <f>CONCATENATE(Plantillas!Y409,Plantillas!Z409)</f>
        <v/>
      </c>
      <c r="BC74" s="1617">
        <f>Plantillas!AI409</f>
        <v>0</v>
      </c>
      <c r="BD74" s="1633">
        <f>Plantillas!AJ409</f>
        <v>0</v>
      </c>
      <c r="BE74" s="1629" t="str">
        <f>CONCATENATE(Plantillas!Y449,Plantillas!Z449)</f>
        <v/>
      </c>
      <c r="BF74" s="1617">
        <f>Plantillas!AI449</f>
        <v>0</v>
      </c>
      <c r="BG74" s="1633">
        <f>Plantillas!AJ449</f>
        <v>0</v>
      </c>
      <c r="BH74" s="1629" t="str">
        <f>CONCATENATE(Plantillas!Y489,Plantillas!Z489)</f>
        <v/>
      </c>
      <c r="BI74" s="1617">
        <f>Plantillas!AI489</f>
        <v>0</v>
      </c>
      <c r="BJ74" s="1633">
        <f>Plantillas!AJ489</f>
        <v>0</v>
      </c>
      <c r="BK74" s="1629" t="str">
        <f>CONCATENATE(Plantillas!Y529,Plantillas!Z529)</f>
        <v/>
      </c>
      <c r="BL74" s="1617">
        <f>Plantillas!AI529</f>
        <v>0</v>
      </c>
      <c r="BM74" s="1633">
        <f>Plantillas!AJ529</f>
        <v>0</v>
      </c>
      <c r="BN74" s="1629" t="str">
        <f>CONCATENATE(Plantillas!Y569,Plantillas!Z569)</f>
        <v/>
      </c>
      <c r="BO74" s="1617">
        <f>Plantillas!AI569</f>
        <v>0</v>
      </c>
      <c r="BP74" s="1633">
        <f>Plantillas!AJ569</f>
        <v>0</v>
      </c>
      <c r="BQ74" s="1629" t="str">
        <f>CONCATENATE(Plantillas!Y609,Plantillas!Z609)</f>
        <v/>
      </c>
      <c r="BR74" s="1617">
        <f>Plantillas!AI609</f>
        <v>0</v>
      </c>
      <c r="BS74" s="1633">
        <f>Plantillas!AJ609</f>
        <v>0</v>
      </c>
      <c r="BT74" s="1629" t="str">
        <f>CONCATENATE(Plantillas!Y649,Plantillas!Z649)</f>
        <v/>
      </c>
      <c r="BU74" s="1617">
        <f>Plantillas!AI649</f>
        <v>0</v>
      </c>
      <c r="BV74" s="1633">
        <f>Plantillas!AJ649</f>
        <v>0</v>
      </c>
    </row>
    <row r="75" spans="2:75">
      <c r="V75" s="1607">
        <v>13</v>
      </c>
      <c r="W75" s="1626" t="str">
        <f>HLOOKUP(W61,AA61:BV80,15)</f>
        <v/>
      </c>
      <c r="X75" s="1618">
        <f>HLOOKUP(X61,AA61:BV80,15)</f>
        <v>0</v>
      </c>
      <c r="Y75" s="1619">
        <f>HLOOKUP(Y61,AA61:BV80,15)</f>
        <v>0</v>
      </c>
      <c r="Z75" s="1612">
        <f t="shared" si="5"/>
        <v>0</v>
      </c>
      <c r="AA75" s="1632" t="str">
        <f>CONCATENATE(Plantillas!Y50,Plantillas!Z50)</f>
        <v/>
      </c>
      <c r="AB75" s="1617">
        <f>Plantillas!AI51</f>
        <v>0</v>
      </c>
      <c r="AC75" s="1633">
        <f>Plantillas!AJ51</f>
        <v>0</v>
      </c>
      <c r="AD75" s="1631" t="str">
        <f>CONCATENATE(Plantillas!Y90,Plantillas!Z90)</f>
        <v>6ºA</v>
      </c>
      <c r="AE75" s="1617">
        <f>Plantillas!AI90</f>
        <v>0</v>
      </c>
      <c r="AF75" s="1633">
        <f>Plantillas!AJ90</f>
        <v>0</v>
      </c>
      <c r="AG75" s="1631" t="str">
        <f>CONCATENATE(Plantillas!Y130,Plantillas!Z130)</f>
        <v/>
      </c>
      <c r="AH75" s="1617">
        <f>Plantillas!AI130</f>
        <v>0</v>
      </c>
      <c r="AI75" s="1633">
        <f>Plantillas!AJ130</f>
        <v>0</v>
      </c>
      <c r="AJ75" s="1631" t="str">
        <f>CONCATENATE(Plantillas!Y170,Plantillas!Z170)</f>
        <v/>
      </c>
      <c r="AK75" s="1617">
        <f>Plantillas!AI170</f>
        <v>0</v>
      </c>
      <c r="AL75" s="1633">
        <f>Plantillas!AJ170</f>
        <v>0</v>
      </c>
      <c r="AM75" s="1631" t="str">
        <f>CONCATENATE(Plantillas!Y210,Plantillas!Z210)</f>
        <v/>
      </c>
      <c r="AN75" s="1617">
        <f>Plantillas!AI210</f>
        <v>0</v>
      </c>
      <c r="AO75" s="1633">
        <f>Plantillas!AJ210</f>
        <v>0</v>
      </c>
      <c r="AP75" s="1631" t="str">
        <f>CONCATENATE(Plantillas!Y250,Plantillas!Z250)</f>
        <v>6ºB</v>
      </c>
      <c r="AQ75" s="1617">
        <f>Plantillas!AI250</f>
        <v>0</v>
      </c>
      <c r="AR75" s="1633">
        <f>Plantillas!AJ250</f>
        <v>0</v>
      </c>
      <c r="AS75" s="1631" t="str">
        <f>CONCATENATE(Plantillas!Y290,Plantillas!Z290)</f>
        <v/>
      </c>
      <c r="AT75" s="1617">
        <f>Plantillas!AI290</f>
        <v>0</v>
      </c>
      <c r="AU75" s="1633">
        <f>Plantillas!AJ290</f>
        <v>0</v>
      </c>
      <c r="AV75" s="1631" t="str">
        <f>CONCATENATE(Plantillas!Y330,Plantillas!Z330)</f>
        <v/>
      </c>
      <c r="AW75" s="1617">
        <f>Plantillas!AI330</f>
        <v>0</v>
      </c>
      <c r="AX75" s="1633">
        <f>Plantillas!AJ330</f>
        <v>0</v>
      </c>
      <c r="AY75" s="1631" t="str">
        <f>CONCATENATE(Plantillas!Y370,Plantillas!Z370)</f>
        <v/>
      </c>
      <c r="AZ75" s="1617">
        <f>Plantillas!AI370</f>
        <v>0</v>
      </c>
      <c r="BA75" s="1633">
        <f>Plantillas!AJ370</f>
        <v>0</v>
      </c>
      <c r="BB75" s="1631" t="str">
        <f>CONCATENATE(Plantillas!Y410,Plantillas!Z410)</f>
        <v/>
      </c>
      <c r="BC75" s="1617">
        <f>Plantillas!AI410</f>
        <v>0</v>
      </c>
      <c r="BD75" s="1633">
        <f>Plantillas!AJ410</f>
        <v>0</v>
      </c>
      <c r="BE75" s="1629" t="str">
        <f>CONCATENATE(Plantillas!Y450,Plantillas!Z450)</f>
        <v/>
      </c>
      <c r="BF75" s="1617">
        <f>Plantillas!AI450</f>
        <v>0</v>
      </c>
      <c r="BG75" s="1633">
        <f>Plantillas!AJ450</f>
        <v>0</v>
      </c>
      <c r="BH75" s="1629" t="str">
        <f>CONCATENATE(Plantillas!Y490,Plantillas!Z490)</f>
        <v/>
      </c>
      <c r="BI75" s="1617">
        <f>Plantillas!AI490</f>
        <v>0</v>
      </c>
      <c r="BJ75" s="1633">
        <f>Plantillas!AJ490</f>
        <v>0</v>
      </c>
      <c r="BK75" s="1629" t="str">
        <f>CONCATENATE(Plantillas!Y530,Plantillas!Z530)</f>
        <v/>
      </c>
      <c r="BL75" s="1617">
        <f>Plantillas!AI530</f>
        <v>0</v>
      </c>
      <c r="BM75" s="1633">
        <f>Plantillas!AJ530</f>
        <v>0</v>
      </c>
      <c r="BN75" s="1629" t="str">
        <f>CONCATENATE(Plantillas!Y570,Plantillas!Z570)</f>
        <v/>
      </c>
      <c r="BO75" s="1617">
        <f>Plantillas!AI570</f>
        <v>0</v>
      </c>
      <c r="BP75" s="1633">
        <f>Plantillas!AJ570</f>
        <v>0</v>
      </c>
      <c r="BQ75" s="1629" t="str">
        <f>CONCATENATE(Plantillas!Y610,Plantillas!Z610)</f>
        <v/>
      </c>
      <c r="BR75" s="1617">
        <f>Plantillas!AI610</f>
        <v>0</v>
      </c>
      <c r="BS75" s="1633">
        <f>Plantillas!AJ610</f>
        <v>0</v>
      </c>
      <c r="BT75" s="1629" t="str">
        <f>CONCATENATE(Plantillas!Y650,Plantillas!Z650)</f>
        <v/>
      </c>
      <c r="BU75" s="1617">
        <f>Plantillas!AI650</f>
        <v>0</v>
      </c>
      <c r="BV75" s="1633">
        <f>Plantillas!AJ650</f>
        <v>0</v>
      </c>
    </row>
    <row r="76" spans="2:75">
      <c r="V76" s="1607">
        <v>14</v>
      </c>
      <c r="W76" s="1626" t="str">
        <f>HLOOKUP(W61,AA61:BV80,16)</f>
        <v/>
      </c>
      <c r="X76" s="1618">
        <f>HLOOKUP(X61,AA61:BV80,16)</f>
        <v>0</v>
      </c>
      <c r="Y76" s="1619">
        <f>HLOOKUP(Y61,AA61:BV80,16)</f>
        <v>0</v>
      </c>
      <c r="Z76" s="1612">
        <f t="shared" si="5"/>
        <v>0</v>
      </c>
      <c r="AA76" s="1632" t="str">
        <f>CONCATENATE(Plantillas!Y51,Plantillas!Z51)</f>
        <v/>
      </c>
      <c r="AB76" s="1617">
        <f>Plantillas!AI52</f>
        <v>0</v>
      </c>
      <c r="AC76" s="1633">
        <f>Plantillas!AJ52</f>
        <v>0</v>
      </c>
      <c r="AD76" s="1631" t="str">
        <f>CONCATENATE(Plantillas!Y91,Plantillas!Z91)</f>
        <v>6ºB</v>
      </c>
      <c r="AE76" s="1617">
        <f>Plantillas!AI91</f>
        <v>0</v>
      </c>
      <c r="AF76" s="1633">
        <f>Plantillas!AJ91</f>
        <v>0</v>
      </c>
      <c r="AG76" s="1631" t="str">
        <f>CONCATENATE(Plantillas!Y131,Plantillas!Z131)</f>
        <v/>
      </c>
      <c r="AH76" s="1617">
        <f>Plantillas!AI131</f>
        <v>0</v>
      </c>
      <c r="AI76" s="1633">
        <f>Plantillas!AJ131</f>
        <v>0</v>
      </c>
      <c r="AJ76" s="1631" t="str">
        <f>CONCATENATE(Plantillas!Y171,Plantillas!Z171)</f>
        <v/>
      </c>
      <c r="AK76" s="1617">
        <f>Plantillas!AI171</f>
        <v>0</v>
      </c>
      <c r="AL76" s="1633">
        <f>Plantillas!AJ171</f>
        <v>0</v>
      </c>
      <c r="AM76" s="1631" t="str">
        <f>CONCATENATE(Plantillas!Y211,Plantillas!Z211)</f>
        <v/>
      </c>
      <c r="AN76" s="1617">
        <f>Plantillas!AI211</f>
        <v>0</v>
      </c>
      <c r="AO76" s="1633">
        <f>Plantillas!AJ211</f>
        <v>0</v>
      </c>
      <c r="AP76" s="1631" t="str">
        <f>CONCATENATE(Plantillas!Y251,Plantillas!Z251)</f>
        <v/>
      </c>
      <c r="AQ76" s="1617">
        <f>Plantillas!AI251</f>
        <v>0</v>
      </c>
      <c r="AR76" s="1633">
        <f>Plantillas!AJ251</f>
        <v>0</v>
      </c>
      <c r="AS76" s="1631" t="str">
        <f>CONCATENATE(Plantillas!Y291,Plantillas!Z291)</f>
        <v/>
      </c>
      <c r="AT76" s="1617">
        <f>Plantillas!AI291</f>
        <v>0</v>
      </c>
      <c r="AU76" s="1633">
        <f>Plantillas!AJ291</f>
        <v>0</v>
      </c>
      <c r="AV76" s="1631" t="str">
        <f>CONCATENATE(Plantillas!Y331,Plantillas!Z331)</f>
        <v/>
      </c>
      <c r="AW76" s="1617">
        <f>Plantillas!AI331</f>
        <v>0</v>
      </c>
      <c r="AX76" s="1633">
        <f>Plantillas!AJ331</f>
        <v>0</v>
      </c>
      <c r="AY76" s="1631" t="str">
        <f>CONCATENATE(Plantillas!Y371,Plantillas!Z371)</f>
        <v/>
      </c>
      <c r="AZ76" s="1617">
        <f>Plantillas!AI371</f>
        <v>0</v>
      </c>
      <c r="BA76" s="1633">
        <f>Plantillas!AJ371</f>
        <v>0</v>
      </c>
      <c r="BB76" s="1631" t="str">
        <f>CONCATENATE(Plantillas!Y411,Plantillas!Z411)</f>
        <v/>
      </c>
      <c r="BC76" s="1617">
        <f>Plantillas!AI411</f>
        <v>0</v>
      </c>
      <c r="BD76" s="1633">
        <f>Plantillas!AJ411</f>
        <v>0</v>
      </c>
      <c r="BE76" s="1629" t="str">
        <f>CONCATENATE(Plantillas!Y451,Plantillas!Z451)</f>
        <v/>
      </c>
      <c r="BF76" s="1617">
        <f>Plantillas!AI451</f>
        <v>0</v>
      </c>
      <c r="BG76" s="1633">
        <f>Plantillas!AJ451</f>
        <v>0</v>
      </c>
      <c r="BH76" s="1629" t="str">
        <f>CONCATENATE(Plantillas!Y491,Plantillas!Z491)</f>
        <v/>
      </c>
      <c r="BI76" s="1617">
        <f>Plantillas!AI491</f>
        <v>0</v>
      </c>
      <c r="BJ76" s="1633">
        <f>Plantillas!AJ491</f>
        <v>0</v>
      </c>
      <c r="BK76" s="1629" t="str">
        <f>CONCATENATE(Plantillas!Y531,Plantillas!Z531)</f>
        <v/>
      </c>
      <c r="BL76" s="1617">
        <f>Plantillas!AI531</f>
        <v>0</v>
      </c>
      <c r="BM76" s="1633">
        <f>Plantillas!AJ531</f>
        <v>0</v>
      </c>
      <c r="BN76" s="1629" t="str">
        <f>CONCATENATE(Plantillas!Y571,Plantillas!Z571)</f>
        <v/>
      </c>
      <c r="BO76" s="1617">
        <f>Plantillas!AI571</f>
        <v>0</v>
      </c>
      <c r="BP76" s="1633">
        <f>Plantillas!AJ571</f>
        <v>0</v>
      </c>
      <c r="BQ76" s="1629" t="str">
        <f>CONCATENATE(Plantillas!Y611,Plantillas!Z611)</f>
        <v/>
      </c>
      <c r="BR76" s="1617">
        <f>Plantillas!AI611</f>
        <v>0</v>
      </c>
      <c r="BS76" s="1633">
        <f>Plantillas!AJ611</f>
        <v>0</v>
      </c>
      <c r="BT76" s="1629" t="str">
        <f>CONCATENATE(Plantillas!Y651,Plantillas!Z651)</f>
        <v/>
      </c>
      <c r="BU76" s="1617">
        <f>Plantillas!AI651</f>
        <v>0</v>
      </c>
      <c r="BV76" s="1633">
        <f>Plantillas!AJ651</f>
        <v>0</v>
      </c>
    </row>
    <row r="77" spans="2:75">
      <c r="V77" s="1607">
        <v>15</v>
      </c>
      <c r="W77" s="1626" t="str">
        <f>HLOOKUP(W61,AA61:BV80,17)</f>
        <v/>
      </c>
      <c r="X77" s="1618">
        <f>HLOOKUP(X61,AA61:BV80,17)</f>
        <v>0</v>
      </c>
      <c r="Y77" s="1619">
        <f>HLOOKUP(Y61,AA61:BV80,17)</f>
        <v>0</v>
      </c>
      <c r="Z77" s="1612">
        <f t="shared" si="5"/>
        <v>0</v>
      </c>
      <c r="AA77" s="1632" t="str">
        <f>CONCATENATE(Plantillas!Y52,Plantillas!Z52)</f>
        <v/>
      </c>
      <c r="AB77" s="1617">
        <f>Plantillas!AI53</f>
        <v>0</v>
      </c>
      <c r="AC77" s="1633">
        <f>Plantillas!AJ53</f>
        <v>0</v>
      </c>
      <c r="AD77" s="1631" t="str">
        <f>CONCATENATE(Plantillas!Y92,Plantillas!Z92)</f>
        <v/>
      </c>
      <c r="AE77" s="1617">
        <f>Plantillas!AI92</f>
        <v>0</v>
      </c>
      <c r="AF77" s="1633">
        <f>Plantillas!AJ92</f>
        <v>0</v>
      </c>
      <c r="AG77" s="1631" t="str">
        <f>CONCATENATE(Plantillas!Y132,Plantillas!Z132)</f>
        <v/>
      </c>
      <c r="AH77" s="1617">
        <f>Plantillas!AI132</f>
        <v>0</v>
      </c>
      <c r="AI77" s="1633">
        <f>Plantillas!AJ132</f>
        <v>0</v>
      </c>
      <c r="AJ77" s="1631" t="str">
        <f>CONCATENATE(Plantillas!Y172,Plantillas!Z172)</f>
        <v/>
      </c>
      <c r="AK77" s="1617">
        <f>Plantillas!AI172</f>
        <v>0</v>
      </c>
      <c r="AL77" s="1633">
        <f>Plantillas!AJ172</f>
        <v>0</v>
      </c>
      <c r="AM77" s="1631" t="str">
        <f>CONCATENATE(Plantillas!Y212,Plantillas!Z212)</f>
        <v/>
      </c>
      <c r="AN77" s="1617">
        <f>Plantillas!AI212</f>
        <v>0</v>
      </c>
      <c r="AO77" s="1633">
        <f>Plantillas!AJ212</f>
        <v>0</v>
      </c>
      <c r="AP77" s="1631" t="str">
        <f>CONCATENATE(Plantillas!Y252,Plantillas!Z252)</f>
        <v/>
      </c>
      <c r="AQ77" s="1617">
        <f>Plantillas!AI252</f>
        <v>0</v>
      </c>
      <c r="AR77" s="1633">
        <f>Plantillas!AJ252</f>
        <v>0</v>
      </c>
      <c r="AS77" s="1631" t="str">
        <f>CONCATENATE(Plantillas!Y292,Plantillas!Z292)</f>
        <v/>
      </c>
      <c r="AT77" s="1617">
        <f>Plantillas!AI292</f>
        <v>0</v>
      </c>
      <c r="AU77" s="1633">
        <f>Plantillas!AJ292</f>
        <v>0</v>
      </c>
      <c r="AV77" s="1631" t="str">
        <f>CONCATENATE(Plantillas!Y332,Plantillas!Z332)</f>
        <v/>
      </c>
      <c r="AW77" s="1617">
        <f>Plantillas!AI332</f>
        <v>0</v>
      </c>
      <c r="AX77" s="1633">
        <f>Plantillas!AJ332</f>
        <v>0</v>
      </c>
      <c r="AY77" s="1631" t="str">
        <f>CONCATENATE(Plantillas!Y372,Plantillas!Z372)</f>
        <v/>
      </c>
      <c r="AZ77" s="1617">
        <f>Plantillas!AI372</f>
        <v>0</v>
      </c>
      <c r="BA77" s="1633">
        <f>Plantillas!AJ372</f>
        <v>0</v>
      </c>
      <c r="BB77" s="1631" t="str">
        <f>CONCATENATE(Plantillas!Y412,Plantillas!Z412)</f>
        <v/>
      </c>
      <c r="BC77" s="1617">
        <f>Plantillas!AI412</f>
        <v>0</v>
      </c>
      <c r="BD77" s="1633">
        <f>Plantillas!AJ412</f>
        <v>0</v>
      </c>
      <c r="BE77" s="1629" t="str">
        <f>CONCATENATE(Plantillas!Y452,Plantillas!Z452)</f>
        <v/>
      </c>
      <c r="BF77" s="1617">
        <f>Plantillas!AI452</f>
        <v>0</v>
      </c>
      <c r="BG77" s="1633">
        <f>Plantillas!AJ452</f>
        <v>0</v>
      </c>
      <c r="BH77" s="1629" t="str">
        <f>CONCATENATE(Plantillas!Y492,Plantillas!Z492)</f>
        <v/>
      </c>
      <c r="BI77" s="1617">
        <f>Plantillas!AI492</f>
        <v>0</v>
      </c>
      <c r="BJ77" s="1633">
        <f>Plantillas!AJ492</f>
        <v>0</v>
      </c>
      <c r="BK77" s="1629" t="str">
        <f>CONCATENATE(Plantillas!Y532,Plantillas!Z532)</f>
        <v/>
      </c>
      <c r="BL77" s="1617">
        <f>Plantillas!AI532</f>
        <v>0</v>
      </c>
      <c r="BM77" s="1633">
        <f>Plantillas!AJ532</f>
        <v>0</v>
      </c>
      <c r="BN77" s="1629" t="str">
        <f>CONCATENATE(Plantillas!Y572,Plantillas!Z572)</f>
        <v/>
      </c>
      <c r="BO77" s="1617">
        <f>Plantillas!AI572</f>
        <v>0</v>
      </c>
      <c r="BP77" s="1633">
        <f>Plantillas!AJ572</f>
        <v>0</v>
      </c>
      <c r="BQ77" s="1629" t="str">
        <f>CONCATENATE(Plantillas!Y612,Plantillas!Z612)</f>
        <v/>
      </c>
      <c r="BR77" s="1617">
        <f>Plantillas!AI612</f>
        <v>0</v>
      </c>
      <c r="BS77" s="1633">
        <f>Plantillas!AJ612</f>
        <v>0</v>
      </c>
      <c r="BT77" s="1629" t="str">
        <f>CONCATENATE(Plantillas!Y652,Plantillas!Z652)</f>
        <v/>
      </c>
      <c r="BU77" s="1617">
        <f>Plantillas!AI652</f>
        <v>0</v>
      </c>
      <c r="BV77" s="1633">
        <f>Plantillas!AJ652</f>
        <v>0</v>
      </c>
    </row>
    <row r="78" spans="2:75">
      <c r="V78" s="1607">
        <v>16</v>
      </c>
      <c r="W78" s="1626" t="str">
        <f>HLOOKUP(W61,AA61:BV80,18)</f>
        <v/>
      </c>
      <c r="X78" s="1618">
        <f>HLOOKUP(X61,AA61:BV80,18)</f>
        <v>0</v>
      </c>
      <c r="Y78" s="1619">
        <f>HLOOKUP(Y61,AA61:BV80,18)</f>
        <v>0</v>
      </c>
      <c r="Z78" s="1612">
        <f t="shared" si="5"/>
        <v>0</v>
      </c>
      <c r="AA78" s="1632" t="str">
        <f>CONCATENATE(Plantillas!Y53,Plantillas!Z53)</f>
        <v/>
      </c>
      <c r="AB78" s="1617">
        <f>Plantillas!AI54</f>
        <v>0</v>
      </c>
      <c r="AC78" s="1633">
        <f>Plantillas!AJ54</f>
        <v>0</v>
      </c>
      <c r="AD78" s="1631" t="str">
        <f>CONCATENATE(Plantillas!Y93,Plantillas!Z93)</f>
        <v/>
      </c>
      <c r="AE78" s="1617">
        <f>Plantillas!AI93</f>
        <v>0</v>
      </c>
      <c r="AF78" s="1633">
        <f>Plantillas!AJ93</f>
        <v>0</v>
      </c>
      <c r="AG78" s="1631" t="str">
        <f>CONCATENATE(Plantillas!Y133,Plantillas!Z133)</f>
        <v/>
      </c>
      <c r="AH78" s="1617">
        <f>Plantillas!AI133</f>
        <v>0</v>
      </c>
      <c r="AI78" s="1633">
        <f>Plantillas!AJ133</f>
        <v>0</v>
      </c>
      <c r="AJ78" s="1631" t="str">
        <f>CONCATENATE(Plantillas!Y173,Plantillas!Z173)</f>
        <v/>
      </c>
      <c r="AK78" s="1617">
        <f>Plantillas!AI173</f>
        <v>0</v>
      </c>
      <c r="AL78" s="1633">
        <f>Plantillas!AJ173</f>
        <v>0</v>
      </c>
      <c r="AM78" s="1631" t="str">
        <f>CONCATENATE(Plantillas!Y213,Plantillas!Z213)</f>
        <v/>
      </c>
      <c r="AN78" s="1617">
        <f>Plantillas!AI213</f>
        <v>0</v>
      </c>
      <c r="AO78" s="1633">
        <f>Plantillas!AJ213</f>
        <v>0</v>
      </c>
      <c r="AP78" s="1631" t="str">
        <f>CONCATENATE(Plantillas!Y253,Plantillas!Z253)</f>
        <v/>
      </c>
      <c r="AQ78" s="1617">
        <f>Plantillas!AI253</f>
        <v>0</v>
      </c>
      <c r="AR78" s="1633">
        <f>Plantillas!AJ253</f>
        <v>0</v>
      </c>
      <c r="AS78" s="1631" t="str">
        <f>CONCATENATE(Plantillas!Y293,Plantillas!Z293)</f>
        <v/>
      </c>
      <c r="AT78" s="1617">
        <f>Plantillas!AI293</f>
        <v>0</v>
      </c>
      <c r="AU78" s="1633">
        <f>Plantillas!AJ293</f>
        <v>0</v>
      </c>
      <c r="AV78" s="1631" t="str">
        <f>CONCATENATE(Plantillas!Y333,Plantillas!Z333)</f>
        <v/>
      </c>
      <c r="AW78" s="1617">
        <f>Plantillas!AI333</f>
        <v>0</v>
      </c>
      <c r="AX78" s="1633">
        <f>Plantillas!AJ333</f>
        <v>0</v>
      </c>
      <c r="AY78" s="1631" t="str">
        <f>CONCATENATE(Plantillas!Y373,Plantillas!Z373)</f>
        <v/>
      </c>
      <c r="AZ78" s="1617">
        <f>Plantillas!AI373</f>
        <v>0</v>
      </c>
      <c r="BA78" s="1633">
        <f>Plantillas!AJ373</f>
        <v>0</v>
      </c>
      <c r="BB78" s="1631" t="str">
        <f>CONCATENATE(Plantillas!Y413,Plantillas!Z413)</f>
        <v/>
      </c>
      <c r="BC78" s="1617">
        <f>Plantillas!AI413</f>
        <v>0</v>
      </c>
      <c r="BD78" s="1633">
        <f>Plantillas!AJ413</f>
        <v>0</v>
      </c>
      <c r="BE78" s="1629" t="str">
        <f>CONCATENATE(Plantillas!Y453,Plantillas!Z453)</f>
        <v/>
      </c>
      <c r="BF78" s="1617">
        <f>Plantillas!AI453</f>
        <v>0</v>
      </c>
      <c r="BG78" s="1633">
        <f>Plantillas!AJ453</f>
        <v>0</v>
      </c>
      <c r="BH78" s="1629" t="str">
        <f>CONCATENATE(Plantillas!Y493,Plantillas!Z493)</f>
        <v/>
      </c>
      <c r="BI78" s="1617">
        <f>Plantillas!AI493</f>
        <v>0</v>
      </c>
      <c r="BJ78" s="1633">
        <f>Plantillas!AJ493</f>
        <v>0</v>
      </c>
      <c r="BK78" s="1629" t="str">
        <f>CONCATENATE(Plantillas!Y533,Plantillas!Z533)</f>
        <v/>
      </c>
      <c r="BL78" s="1617">
        <f>Plantillas!AI533</f>
        <v>0</v>
      </c>
      <c r="BM78" s="1633">
        <f>Plantillas!AJ533</f>
        <v>0</v>
      </c>
      <c r="BN78" s="1629" t="str">
        <f>CONCATENATE(Plantillas!Y573,Plantillas!Z573)</f>
        <v/>
      </c>
      <c r="BO78" s="1617">
        <f>Plantillas!AI573</f>
        <v>0</v>
      </c>
      <c r="BP78" s="1633">
        <f>Plantillas!AJ573</f>
        <v>0</v>
      </c>
      <c r="BQ78" s="1629" t="str">
        <f>CONCATENATE(Plantillas!Y613,Plantillas!Z613)</f>
        <v/>
      </c>
      <c r="BR78" s="1617">
        <f>Plantillas!AI613</f>
        <v>0</v>
      </c>
      <c r="BS78" s="1633">
        <f>Plantillas!AJ613</f>
        <v>0</v>
      </c>
      <c r="BT78" s="1629" t="str">
        <f>CONCATENATE(Plantillas!Y653,Plantillas!Z653)</f>
        <v/>
      </c>
      <c r="BU78" s="1617">
        <f>Plantillas!AI653</f>
        <v>0</v>
      </c>
      <c r="BV78" s="1633">
        <f>Plantillas!AJ653</f>
        <v>0</v>
      </c>
    </row>
    <row r="79" spans="2:75">
      <c r="V79" s="1607">
        <v>17</v>
      </c>
      <c r="W79" s="1626" t="str">
        <f>HLOOKUP(W61,AA61:BV80,19)</f>
        <v/>
      </c>
      <c r="X79" s="1618">
        <f>HLOOKUP(X61,AA61:BV80,19)</f>
        <v>0</v>
      </c>
      <c r="Y79" s="1619">
        <f>HLOOKUP(Y61,AA61:BV80,19)</f>
        <v>0</v>
      </c>
      <c r="Z79" s="1612">
        <f t="shared" si="5"/>
        <v>0</v>
      </c>
      <c r="AA79" s="1632" t="str">
        <f>CONCATENATE(Plantillas!Y54,Plantillas!Z54)</f>
        <v/>
      </c>
      <c r="AB79" s="1617">
        <f>Plantillas!AI55</f>
        <v>0</v>
      </c>
      <c r="AC79" s="1633">
        <f>Plantillas!AJ55</f>
        <v>0</v>
      </c>
      <c r="AD79" s="1631" t="str">
        <f>CONCATENATE(Plantillas!Y94,Plantillas!Z94)</f>
        <v/>
      </c>
      <c r="AE79" s="1617">
        <f>Plantillas!AI94</f>
        <v>0</v>
      </c>
      <c r="AF79" s="1633">
        <f>Plantillas!AJ94</f>
        <v>0</v>
      </c>
      <c r="AG79" s="1631" t="str">
        <f>CONCATENATE(Plantillas!Y134,Plantillas!Z134)</f>
        <v/>
      </c>
      <c r="AH79" s="1617">
        <f>Plantillas!AI134</f>
        <v>0</v>
      </c>
      <c r="AI79" s="1633">
        <f>Plantillas!AJ134</f>
        <v>0</v>
      </c>
      <c r="AJ79" s="1631" t="str">
        <f>CONCATENATE(Plantillas!Y174,Plantillas!Z174)</f>
        <v/>
      </c>
      <c r="AK79" s="1617">
        <f>Plantillas!AI174</f>
        <v>0</v>
      </c>
      <c r="AL79" s="1633">
        <f>Plantillas!AJ174</f>
        <v>0</v>
      </c>
      <c r="AM79" s="1631" t="str">
        <f>CONCATENATE(Plantillas!Y214,Plantillas!Z214)</f>
        <v/>
      </c>
      <c r="AN79" s="1617">
        <f>Plantillas!AI214</f>
        <v>0</v>
      </c>
      <c r="AO79" s="1633">
        <f>Plantillas!AJ214</f>
        <v>0</v>
      </c>
      <c r="AP79" s="1631" t="str">
        <f>CONCATENATE(Plantillas!Y254,Plantillas!Z254)</f>
        <v/>
      </c>
      <c r="AQ79" s="1617">
        <f>Plantillas!AI254</f>
        <v>0</v>
      </c>
      <c r="AR79" s="1633">
        <f>Plantillas!AJ254</f>
        <v>0</v>
      </c>
      <c r="AS79" s="1631" t="str">
        <f>CONCATENATE(Plantillas!Y294,Plantillas!Z294)</f>
        <v/>
      </c>
      <c r="AT79" s="1617">
        <f>Plantillas!AI294</f>
        <v>0</v>
      </c>
      <c r="AU79" s="1633">
        <f>Plantillas!AJ294</f>
        <v>0</v>
      </c>
      <c r="AV79" s="1631" t="str">
        <f>CONCATENATE(Plantillas!Y334,Plantillas!Z334)</f>
        <v/>
      </c>
      <c r="AW79" s="1617">
        <f>Plantillas!AI334</f>
        <v>0</v>
      </c>
      <c r="AX79" s="1633">
        <f>Plantillas!AJ334</f>
        <v>0</v>
      </c>
      <c r="AY79" s="1631" t="str">
        <f>CONCATENATE(Plantillas!Y374,Plantillas!Z374)</f>
        <v/>
      </c>
      <c r="AZ79" s="1617">
        <f>Plantillas!AI374</f>
        <v>0</v>
      </c>
      <c r="BA79" s="1633">
        <f>Plantillas!AJ374</f>
        <v>0</v>
      </c>
      <c r="BB79" s="1631" t="str">
        <f>CONCATENATE(Plantillas!Y414,Plantillas!Z414)</f>
        <v/>
      </c>
      <c r="BC79" s="1617">
        <f>Plantillas!AI414</f>
        <v>0</v>
      </c>
      <c r="BD79" s="1633">
        <f>Plantillas!AJ414</f>
        <v>0</v>
      </c>
      <c r="BE79" s="1629" t="str">
        <f>CONCATENATE(Plantillas!Y454,Plantillas!Z454)</f>
        <v/>
      </c>
      <c r="BF79" s="1617">
        <f>Plantillas!AI454</f>
        <v>0</v>
      </c>
      <c r="BG79" s="1633">
        <f>Plantillas!AJ454</f>
        <v>0</v>
      </c>
      <c r="BH79" s="1629" t="str">
        <f>CONCATENATE(Plantillas!Y494,Plantillas!Z494)</f>
        <v/>
      </c>
      <c r="BI79" s="1617">
        <f>Plantillas!AI494</f>
        <v>0</v>
      </c>
      <c r="BJ79" s="1633">
        <f>Plantillas!AJ494</f>
        <v>0</v>
      </c>
      <c r="BK79" s="1629" t="str">
        <f>CONCATENATE(Plantillas!Y534,Plantillas!Z534)</f>
        <v/>
      </c>
      <c r="BL79" s="1617">
        <f>Plantillas!AI534</f>
        <v>0</v>
      </c>
      <c r="BM79" s="1633">
        <f>Plantillas!AJ534</f>
        <v>0</v>
      </c>
      <c r="BN79" s="1629" t="str">
        <f>CONCATENATE(Plantillas!Y574,Plantillas!Z574)</f>
        <v/>
      </c>
      <c r="BO79" s="1617">
        <f>Plantillas!AI574</f>
        <v>0</v>
      </c>
      <c r="BP79" s="1633">
        <f>Plantillas!AJ574</f>
        <v>0</v>
      </c>
      <c r="BQ79" s="1629" t="str">
        <f>CONCATENATE(Plantillas!Y614,Plantillas!Z614)</f>
        <v/>
      </c>
      <c r="BR79" s="1617">
        <f>Plantillas!AI614</f>
        <v>0</v>
      </c>
      <c r="BS79" s="1633">
        <f>Plantillas!AJ614</f>
        <v>0</v>
      </c>
      <c r="BT79" s="1629" t="str">
        <f>CONCATENATE(Plantillas!Y654,Plantillas!Z654)</f>
        <v/>
      </c>
      <c r="BU79" s="1617">
        <f>Plantillas!AI654</f>
        <v>0</v>
      </c>
      <c r="BV79" s="1633">
        <f>Plantillas!AJ654</f>
        <v>0</v>
      </c>
    </row>
    <row r="80" spans="2:75">
      <c r="V80" s="1607">
        <v>18</v>
      </c>
      <c r="W80" s="1627" t="str">
        <f>HLOOKUP(W61,AA61:BV80,20)</f>
        <v/>
      </c>
      <c r="X80" s="1621">
        <f>HLOOKUP(X61,AA61:BV80,20)</f>
        <v>0</v>
      </c>
      <c r="Y80" s="1622">
        <f>HLOOKUP(Y61,AA61:BV80,20)</f>
        <v>0</v>
      </c>
      <c r="Z80" s="1613">
        <f>X80+Y80</f>
        <v>0</v>
      </c>
      <c r="AA80" s="1632" t="str">
        <f>CONCATENATE(Plantillas!Y55,Plantillas!Z55)</f>
        <v/>
      </c>
      <c r="AB80" s="1620">
        <f>Plantillas!AI56</f>
        <v>0</v>
      </c>
      <c r="AC80" s="1636">
        <f>Plantillas!AJ56</f>
        <v>0</v>
      </c>
      <c r="AD80" s="1631" t="str">
        <f>CONCATENATE(Plantillas!Y95,Plantillas!Z95)</f>
        <v/>
      </c>
      <c r="AE80" s="1620">
        <f>Plantillas!AI95</f>
        <v>0</v>
      </c>
      <c r="AF80" s="1636">
        <f>Plantillas!AJ95</f>
        <v>0</v>
      </c>
      <c r="AG80" s="1631" t="str">
        <f>CONCATENATE(Plantillas!Y135,Plantillas!Z135)</f>
        <v/>
      </c>
      <c r="AH80" s="1620">
        <f>Plantillas!AI135</f>
        <v>0</v>
      </c>
      <c r="AI80" s="1636">
        <f>Plantillas!AJ135</f>
        <v>0</v>
      </c>
      <c r="AJ80" s="1631" t="str">
        <f>CONCATENATE(Plantillas!Y175,Plantillas!Z175)</f>
        <v/>
      </c>
      <c r="AK80" s="1620">
        <f>Plantillas!AI175</f>
        <v>0</v>
      </c>
      <c r="AL80" s="1636">
        <f>Plantillas!AJ175</f>
        <v>0</v>
      </c>
      <c r="AM80" s="1631" t="str">
        <f>CONCATENATE(Plantillas!Y215,Plantillas!Z215)</f>
        <v/>
      </c>
      <c r="AN80" s="1620">
        <f>Plantillas!AI215</f>
        <v>0</v>
      </c>
      <c r="AO80" s="1636">
        <f>Plantillas!AJ215</f>
        <v>0</v>
      </c>
      <c r="AP80" s="1631" t="str">
        <f>CONCATENATE(Plantillas!Y255,Plantillas!Z255)</f>
        <v/>
      </c>
      <c r="AQ80" s="1620">
        <f>Plantillas!AI255</f>
        <v>0</v>
      </c>
      <c r="AR80" s="1636">
        <f>Plantillas!AJ255</f>
        <v>0</v>
      </c>
      <c r="AS80" s="1631" t="str">
        <f>CONCATENATE(Plantillas!Y295,Plantillas!Z295)</f>
        <v/>
      </c>
      <c r="AT80" s="1620">
        <f>Plantillas!AI295</f>
        <v>0</v>
      </c>
      <c r="AU80" s="1636">
        <f>Plantillas!AJ295</f>
        <v>0</v>
      </c>
      <c r="AV80" s="1631" t="str">
        <f>CONCATENATE(Plantillas!Y335,Plantillas!Z335)</f>
        <v/>
      </c>
      <c r="AW80" s="1620">
        <f>Plantillas!AI335</f>
        <v>0</v>
      </c>
      <c r="AX80" s="1636">
        <f>Plantillas!AJ335</f>
        <v>0</v>
      </c>
      <c r="AY80" s="1631" t="str">
        <f>CONCATENATE(Plantillas!Y375,Plantillas!Z375)</f>
        <v/>
      </c>
      <c r="AZ80" s="1620">
        <f>Plantillas!AI375</f>
        <v>0</v>
      </c>
      <c r="BA80" s="1636">
        <f>Plantillas!AJ375</f>
        <v>0</v>
      </c>
      <c r="BB80" s="1631" t="str">
        <f>CONCATENATE(Plantillas!Y415,Plantillas!Z415)</f>
        <v/>
      </c>
      <c r="BC80" s="1620">
        <f>Plantillas!AI415</f>
        <v>0</v>
      </c>
      <c r="BD80" s="1636">
        <f>Plantillas!AJ415</f>
        <v>0</v>
      </c>
      <c r="BE80" s="1629" t="str">
        <f>CONCATENATE(Plantillas!Y455,Plantillas!Z455)</f>
        <v/>
      </c>
      <c r="BF80" s="1620">
        <f>Plantillas!AI455</f>
        <v>0</v>
      </c>
      <c r="BG80" s="1636">
        <f>Plantillas!AJ455</f>
        <v>0</v>
      </c>
      <c r="BH80" s="1629" t="str">
        <f>CONCATENATE(Plantillas!Y495,Plantillas!Z495)</f>
        <v/>
      </c>
      <c r="BI80" s="1620">
        <f>Plantillas!AI495</f>
        <v>0</v>
      </c>
      <c r="BJ80" s="1636">
        <f>Plantillas!AJ495</f>
        <v>0</v>
      </c>
      <c r="BK80" s="1629" t="str">
        <f>CONCATENATE(Plantillas!Y535,Plantillas!Z535)</f>
        <v/>
      </c>
      <c r="BL80" s="1620">
        <f>Plantillas!AI535</f>
        <v>0</v>
      </c>
      <c r="BM80" s="1636">
        <f>Plantillas!AJ535</f>
        <v>0</v>
      </c>
      <c r="BN80" s="1629" t="str">
        <f>CONCATENATE(Plantillas!Y575,Plantillas!Z575)</f>
        <v/>
      </c>
      <c r="BO80" s="1620">
        <f>Plantillas!AI575</f>
        <v>0</v>
      </c>
      <c r="BP80" s="1636">
        <f>Plantillas!AJ575</f>
        <v>0</v>
      </c>
      <c r="BQ80" s="1629" t="str">
        <f>CONCATENATE(Plantillas!Y615,Plantillas!Z615)</f>
        <v/>
      </c>
      <c r="BR80" s="1620">
        <f>Plantillas!AI615</f>
        <v>0</v>
      </c>
      <c r="BS80" s="1636">
        <f>Plantillas!AJ615</f>
        <v>0</v>
      </c>
      <c r="BT80" s="1629" t="str">
        <f>CONCATENATE(Plantillas!Y655,Plantillas!Z655)</f>
        <v/>
      </c>
      <c r="BU80" s="1620">
        <f>Plantillas!AI655</f>
        <v>0</v>
      </c>
      <c r="BV80" s="1636">
        <f>Plantillas!AJ655</f>
        <v>0</v>
      </c>
    </row>
    <row r="81" spans="22:74">
      <c r="V81" s="1387"/>
      <c r="W81" s="1387"/>
      <c r="X81" s="1387"/>
      <c r="Y81" s="1387"/>
      <c r="Z81" s="1387"/>
      <c r="AA81" s="1387"/>
      <c r="AB81" s="1387"/>
      <c r="AC81" s="1387"/>
      <c r="AD81" s="1387"/>
      <c r="AE81" s="1387"/>
      <c r="AF81" s="1387"/>
      <c r="AG81" s="1387"/>
      <c r="AH81" s="1387"/>
      <c r="AI81" s="1387"/>
      <c r="AJ81" s="1387"/>
      <c r="AK81" s="1387"/>
      <c r="AL81" s="1387"/>
      <c r="AM81" s="1387"/>
      <c r="AN81" s="1387"/>
      <c r="AO81" s="1387"/>
      <c r="AP81" s="1387"/>
      <c r="AQ81" s="1387"/>
      <c r="AR81" s="1387"/>
      <c r="AS81" s="1387"/>
      <c r="AT81" s="1387"/>
      <c r="AU81" s="1387"/>
      <c r="AV81" s="1387"/>
      <c r="AW81" s="1387"/>
      <c r="AX81" s="1387"/>
      <c r="AY81" s="1387"/>
      <c r="AZ81" s="1387"/>
      <c r="BA81" s="1387"/>
      <c r="BB81" s="1387"/>
      <c r="BC81" s="1387"/>
      <c r="BD81" s="1387"/>
      <c r="BE81" s="1387"/>
      <c r="BF81" s="1387"/>
      <c r="BG81" s="1387"/>
      <c r="BH81" s="1387"/>
      <c r="BI81" s="1387"/>
      <c r="BJ81" s="1387"/>
      <c r="BK81" s="1387"/>
      <c r="BL81" s="1387"/>
      <c r="BM81" s="1387"/>
      <c r="BN81" s="1387"/>
      <c r="BO81" s="1387"/>
      <c r="BP81" s="1387"/>
      <c r="BQ81" s="1387"/>
      <c r="BR81" s="1387"/>
      <c r="BS81" s="1387"/>
      <c r="BT81" s="1387"/>
      <c r="BU81" s="1387"/>
      <c r="BV81" s="1387"/>
    </row>
    <row r="82" spans="22:74">
      <c r="V82" s="1387"/>
      <c r="W82" s="1387"/>
      <c r="X82" s="1387"/>
      <c r="Y82" s="1387"/>
      <c r="Z82" s="1387"/>
      <c r="AA82" s="1387"/>
      <c r="AB82" s="1387"/>
      <c r="AC82" s="1387"/>
      <c r="AD82" s="1387"/>
      <c r="AE82" s="1387"/>
      <c r="AF82" s="1387"/>
      <c r="AG82" s="1387"/>
      <c r="AH82" s="1387"/>
      <c r="AI82" s="1387"/>
      <c r="AJ82" s="1387"/>
      <c r="AK82" s="1387"/>
      <c r="AL82" s="1387"/>
      <c r="AM82" s="1387"/>
      <c r="AN82" s="1387"/>
      <c r="AO82" s="1387"/>
      <c r="AP82" s="1387"/>
      <c r="AQ82" s="1387"/>
      <c r="AR82" s="1387"/>
      <c r="AS82" s="1387"/>
      <c r="AT82" s="1387"/>
      <c r="AU82" s="1387"/>
      <c r="AV82" s="1387"/>
      <c r="AW82" s="1387"/>
      <c r="AX82" s="1387"/>
      <c r="AY82" s="1387"/>
      <c r="AZ82" s="1387"/>
      <c r="BA82" s="1387"/>
      <c r="BB82" s="1387"/>
      <c r="BC82" s="1387"/>
      <c r="BD82" s="1387"/>
      <c r="BE82" s="1387"/>
      <c r="BF82" s="1387"/>
      <c r="BG82" s="1387"/>
      <c r="BH82" s="1387"/>
      <c r="BI82" s="1387"/>
      <c r="BJ82" s="1387"/>
      <c r="BK82" s="1387"/>
      <c r="BL82" s="1387"/>
      <c r="BM82" s="1387"/>
      <c r="BN82" s="1387"/>
      <c r="BO82" s="1387"/>
      <c r="BP82" s="1387"/>
      <c r="BQ82" s="1387"/>
      <c r="BR82" s="1387"/>
      <c r="BS82" s="1387"/>
      <c r="BT82" s="1387"/>
      <c r="BU82" s="1387"/>
      <c r="BV82" s="1387"/>
    </row>
    <row r="83" spans="22:74">
      <c r="V83" s="1387"/>
      <c r="W83" s="1387"/>
      <c r="X83" s="1387"/>
      <c r="Y83" s="1387"/>
      <c r="Z83" s="1387"/>
      <c r="AA83" s="1387"/>
      <c r="AB83" s="1387"/>
      <c r="AC83" s="1387"/>
      <c r="AD83" s="1387"/>
      <c r="AE83" s="1387"/>
      <c r="AF83" s="1387"/>
      <c r="AG83" s="1387"/>
      <c r="AH83" s="1387"/>
      <c r="AI83" s="1387"/>
      <c r="AJ83" s="1387"/>
      <c r="AK83" s="1387"/>
      <c r="AL83" s="1387"/>
      <c r="AM83" s="1387"/>
      <c r="AN83" s="1387"/>
      <c r="AO83" s="1387"/>
      <c r="AP83" s="1387"/>
      <c r="AQ83" s="1387"/>
      <c r="AR83" s="1387"/>
      <c r="AS83" s="1387"/>
      <c r="AT83" s="1387"/>
      <c r="AU83" s="1387"/>
      <c r="AV83" s="1387"/>
      <c r="AW83" s="1387"/>
      <c r="AX83" s="1387"/>
      <c r="AY83" s="1387"/>
      <c r="AZ83" s="1387"/>
      <c r="BA83" s="1387"/>
      <c r="BB83" s="1387"/>
      <c r="BC83" s="1387"/>
      <c r="BD83" s="1387"/>
      <c r="BE83" s="1387"/>
      <c r="BF83" s="1387"/>
      <c r="BG83" s="1387"/>
      <c r="BH83" s="1387"/>
      <c r="BI83" s="1387"/>
      <c r="BJ83" s="1387"/>
      <c r="BK83" s="1387"/>
      <c r="BL83" s="1387"/>
      <c r="BM83" s="1387"/>
      <c r="BN83" s="1387"/>
      <c r="BO83" s="1387"/>
      <c r="BP83" s="1387"/>
      <c r="BQ83" s="1387"/>
      <c r="BR83" s="1387"/>
      <c r="BS83" s="1387"/>
      <c r="BT83" s="1387"/>
      <c r="BU83" s="1387"/>
      <c r="BV83" s="1387"/>
    </row>
    <row r="84" spans="22:74">
      <c r="V84" s="1387"/>
      <c r="W84" s="1387"/>
      <c r="X84" s="1387"/>
      <c r="Y84" s="1387"/>
      <c r="Z84" s="1387"/>
      <c r="AA84" s="1387"/>
      <c r="AB84" s="1387"/>
      <c r="AC84" s="1387"/>
      <c r="AD84" s="1387"/>
      <c r="AE84" s="1387"/>
      <c r="AF84" s="1387"/>
      <c r="AG84" s="1387"/>
      <c r="AH84" s="1387"/>
      <c r="AI84" s="1387"/>
      <c r="AJ84" s="1387"/>
      <c r="AK84" s="1387"/>
      <c r="AL84" s="1387"/>
      <c r="AM84" s="1387"/>
      <c r="AN84" s="1387"/>
      <c r="AO84" s="1387"/>
      <c r="AP84" s="1387"/>
      <c r="AQ84" s="1387"/>
      <c r="AR84" s="1387"/>
      <c r="AS84" s="1387"/>
      <c r="AT84" s="1387"/>
      <c r="AU84" s="1387"/>
      <c r="AV84" s="1387"/>
      <c r="AW84" s="1387"/>
      <c r="AX84" s="1387"/>
      <c r="AY84" s="1387"/>
      <c r="AZ84" s="1387"/>
      <c r="BA84" s="1387"/>
      <c r="BB84" s="1387"/>
      <c r="BC84" s="1387"/>
      <c r="BD84" s="1387"/>
      <c r="BE84" s="1387"/>
      <c r="BF84" s="1387"/>
      <c r="BG84" s="1387"/>
      <c r="BH84" s="1387"/>
      <c r="BI84" s="1387"/>
      <c r="BJ84" s="1387"/>
      <c r="BK84" s="1387"/>
      <c r="BL84" s="1387"/>
      <c r="BM84" s="1387"/>
      <c r="BN84" s="1387"/>
      <c r="BO84" s="1387"/>
      <c r="BP84" s="1387"/>
      <c r="BQ84" s="1387"/>
      <c r="BR84" s="1387"/>
      <c r="BS84" s="1387"/>
      <c r="BT84" s="1387"/>
      <c r="BU84" s="1387"/>
      <c r="BV84" s="1387"/>
    </row>
    <row r="85" spans="22:74">
      <c r="V85" s="1387"/>
      <c r="W85" s="1387"/>
      <c r="X85" s="1387"/>
      <c r="Y85" s="1387"/>
      <c r="Z85" s="1387"/>
      <c r="AA85" s="1387"/>
      <c r="AB85" s="1387"/>
      <c r="AC85" s="1387"/>
      <c r="AD85" s="1387"/>
      <c r="AE85" s="1387"/>
      <c r="AF85" s="1387"/>
      <c r="AG85" s="1387"/>
      <c r="AH85" s="1387"/>
      <c r="AI85" s="1387"/>
      <c r="AJ85" s="1387"/>
      <c r="AK85" s="1387"/>
      <c r="AL85" s="1387"/>
      <c r="AM85" s="1387"/>
      <c r="AN85" s="1387"/>
      <c r="AO85" s="1387"/>
      <c r="AP85" s="1387"/>
      <c r="AQ85" s="1387"/>
      <c r="AR85" s="1387"/>
      <c r="AS85" s="1387"/>
      <c r="AT85" s="1387"/>
      <c r="AU85" s="1387"/>
      <c r="AV85" s="1387"/>
      <c r="AW85" s="1387"/>
      <c r="AX85" s="1387"/>
      <c r="AY85" s="1387"/>
      <c r="AZ85" s="1387"/>
      <c r="BA85" s="1387"/>
      <c r="BB85" s="1387"/>
      <c r="BC85" s="1387"/>
      <c r="BD85" s="1387"/>
      <c r="BE85" s="1387"/>
      <c r="BF85" s="1387"/>
      <c r="BG85" s="1387"/>
      <c r="BH85" s="1387"/>
      <c r="BI85" s="1387"/>
      <c r="BJ85" s="1387"/>
      <c r="BK85" s="1387"/>
      <c r="BL85" s="1387"/>
      <c r="BM85" s="1387"/>
      <c r="BN85" s="1387"/>
      <c r="BO85" s="1387"/>
      <c r="BP85" s="1387"/>
      <c r="BQ85" s="1387"/>
      <c r="BR85" s="1387"/>
      <c r="BS85" s="1387"/>
      <c r="BT85" s="1387"/>
      <c r="BU85" s="1387"/>
      <c r="BV85" s="1387"/>
    </row>
  </sheetData>
  <sheetProtection selectLockedCells="1"/>
  <mergeCells count="97">
    <mergeCell ref="B37:C37"/>
    <mergeCell ref="D42:E42"/>
    <mergeCell ref="J40:L40"/>
    <mergeCell ref="F40:H40"/>
    <mergeCell ref="J39:O39"/>
    <mergeCell ref="Q9:T9"/>
    <mergeCell ref="D20:E20"/>
    <mergeCell ref="D19:E19"/>
    <mergeCell ref="J17:O17"/>
    <mergeCell ref="J18:L18"/>
    <mergeCell ref="M18:O18"/>
    <mergeCell ref="J19:L19"/>
    <mergeCell ref="G2:O2"/>
    <mergeCell ref="J12:L12"/>
    <mergeCell ref="J13:L13"/>
    <mergeCell ref="J15:L15"/>
    <mergeCell ref="J16:L16"/>
    <mergeCell ref="J11:L11"/>
    <mergeCell ref="G3:O3"/>
    <mergeCell ref="Q39:T39"/>
    <mergeCell ref="R40:T40"/>
    <mergeCell ref="D37:T37"/>
    <mergeCell ref="D43:E43"/>
    <mergeCell ref="J10:L10"/>
    <mergeCell ref="D14:E14"/>
    <mergeCell ref="D13:E13"/>
    <mergeCell ref="D12:E12"/>
    <mergeCell ref="D11:E11"/>
    <mergeCell ref="Q17:T17"/>
    <mergeCell ref="D21:E21"/>
    <mergeCell ref="D22:E22"/>
    <mergeCell ref="D23:E23"/>
    <mergeCell ref="D24:E24"/>
    <mergeCell ref="J20:L20"/>
    <mergeCell ref="D31:E31"/>
    <mergeCell ref="G1:O1"/>
    <mergeCell ref="R35:S35"/>
    <mergeCell ref="J41:L41"/>
    <mergeCell ref="R34:S34"/>
    <mergeCell ref="J5:L5"/>
    <mergeCell ref="L35:P35"/>
    <mergeCell ref="H4:N4"/>
    <mergeCell ref="L34:P34"/>
    <mergeCell ref="D39:H39"/>
    <mergeCell ref="M40:O40"/>
    <mergeCell ref="D40:E40"/>
    <mergeCell ref="D16:E16"/>
    <mergeCell ref="D15:E15"/>
    <mergeCell ref="J14:L14"/>
    <mergeCell ref="M10:O10"/>
    <mergeCell ref="J9:O9"/>
    <mergeCell ref="B47:C47"/>
    <mergeCell ref="H6:I6"/>
    <mergeCell ref="E6:F6"/>
    <mergeCell ref="C6:D6"/>
    <mergeCell ref="J46:L46"/>
    <mergeCell ref="J45:L45"/>
    <mergeCell ref="J44:L44"/>
    <mergeCell ref="J43:L43"/>
    <mergeCell ref="J42:L42"/>
    <mergeCell ref="B35:E35"/>
    <mergeCell ref="B34:E34"/>
    <mergeCell ref="D41:E41"/>
    <mergeCell ref="D46:E46"/>
    <mergeCell ref="D45:E45"/>
    <mergeCell ref="D44:E44"/>
    <mergeCell ref="D9:H9"/>
    <mergeCell ref="D32:E32"/>
    <mergeCell ref="J25:O25"/>
    <mergeCell ref="J26:L26"/>
    <mergeCell ref="M26:O26"/>
    <mergeCell ref="J27:L27"/>
    <mergeCell ref="J28:L28"/>
    <mergeCell ref="J29:L29"/>
    <mergeCell ref="J30:L30"/>
    <mergeCell ref="J31:L31"/>
    <mergeCell ref="J32:L32"/>
    <mergeCell ref="D27:E27"/>
    <mergeCell ref="D28:E28"/>
    <mergeCell ref="D29:E29"/>
    <mergeCell ref="D30:E30"/>
    <mergeCell ref="Q25:T25"/>
    <mergeCell ref="D10:E10"/>
    <mergeCell ref="D26:E26"/>
    <mergeCell ref="D18:E18"/>
    <mergeCell ref="D25:H25"/>
    <mergeCell ref="D17:H17"/>
    <mergeCell ref="F10:H10"/>
    <mergeCell ref="F18:H18"/>
    <mergeCell ref="F26:H26"/>
    <mergeCell ref="R26:T26"/>
    <mergeCell ref="R18:T18"/>
    <mergeCell ref="R10:T10"/>
    <mergeCell ref="J21:L21"/>
    <mergeCell ref="J22:L22"/>
    <mergeCell ref="J23:L23"/>
    <mergeCell ref="J24:L24"/>
  </mergeCells>
  <conditionalFormatting sqref="C41:C46 F41:I46 P5 B34:E34 S5 B42 C5:D5 J5:J6 M41:Q41 M43:P46 M42:O42 P40 R41:T46">
    <cfRule type="cellIs" dxfId="658" priority="52" operator="equal">
      <formula>0</formula>
    </cfRule>
  </conditionalFormatting>
  <conditionalFormatting sqref="BX1:BX45 V1:BW24 BW25:BW65 V25:BV60 V62:V80 W61:BV80">
    <cfRule type="cellIs" dxfId="657" priority="51" operator="equal">
      <formula>0</formula>
    </cfRule>
  </conditionalFormatting>
  <conditionalFormatting sqref="BY2:CS21">
    <cfRule type="cellIs" dxfId="656" priority="48" stopIfTrue="1" operator="equal">
      <formula>0</formula>
    </cfRule>
  </conditionalFormatting>
  <conditionalFormatting sqref="D39:O39 D40:E40 J40:L40 Q39:T39">
    <cfRule type="cellIs" dxfId="655" priority="34" operator="equal">
      <formula>0</formula>
    </cfRule>
  </conditionalFormatting>
  <conditionalFormatting sqref="D39:H39">
    <cfRule type="cellIs" dxfId="654" priority="33" operator="equal">
      <formula>$B$34</formula>
    </cfRule>
  </conditionalFormatting>
  <conditionalFormatting sqref="J39:O39">
    <cfRule type="cellIs" dxfId="653" priority="32" operator="equal">
      <formula>$B$34</formula>
    </cfRule>
  </conditionalFormatting>
  <conditionalFormatting sqref="Q39:T39">
    <cfRule type="cellIs" dxfId="652" priority="31" operator="equal">
      <formula>$B$34</formula>
    </cfRule>
  </conditionalFormatting>
  <conditionalFormatting sqref="D11 F11:H16">
    <cfRule type="cellIs" dxfId="651" priority="30" operator="equal">
      <formula>0</formula>
    </cfRule>
  </conditionalFormatting>
  <conditionalFormatting sqref="D9">
    <cfRule type="cellIs" dxfId="650" priority="29" operator="equal">
      <formula>0</formula>
    </cfRule>
  </conditionalFormatting>
  <conditionalFormatting sqref="D9">
    <cfRule type="cellIs" dxfId="649" priority="28" operator="equal">
      <formula>$B$34</formula>
    </cfRule>
  </conditionalFormatting>
  <conditionalFormatting sqref="M11:O16">
    <cfRule type="cellIs" dxfId="648" priority="27" operator="equal">
      <formula>0</formula>
    </cfRule>
  </conditionalFormatting>
  <conditionalFormatting sqref="J9:O9 J10:L10">
    <cfRule type="cellIs" dxfId="647" priority="26" operator="equal">
      <formula>0</formula>
    </cfRule>
  </conditionalFormatting>
  <conditionalFormatting sqref="J9:O9">
    <cfRule type="cellIs" dxfId="646" priority="25" operator="equal">
      <formula>$B$34</formula>
    </cfRule>
  </conditionalFormatting>
  <conditionalFormatting sqref="Q11 R11:T16">
    <cfRule type="cellIs" dxfId="645" priority="24" operator="equal">
      <formula>0</formula>
    </cfRule>
  </conditionalFormatting>
  <conditionalFormatting sqref="Q9:T9">
    <cfRule type="cellIs" dxfId="644" priority="23" operator="equal">
      <formula>0</formula>
    </cfRule>
  </conditionalFormatting>
  <conditionalFormatting sqref="Q9:T9">
    <cfRule type="cellIs" dxfId="643" priority="22" operator="equal">
      <formula>$B$34</formula>
    </cfRule>
  </conditionalFormatting>
  <conditionalFormatting sqref="D19 F19:H24">
    <cfRule type="cellIs" dxfId="642" priority="21" operator="equal">
      <formula>0</formula>
    </cfRule>
  </conditionalFormatting>
  <conditionalFormatting sqref="D17">
    <cfRule type="cellIs" dxfId="641" priority="20" operator="equal">
      <formula>0</formula>
    </cfRule>
  </conditionalFormatting>
  <conditionalFormatting sqref="D17">
    <cfRule type="cellIs" dxfId="640" priority="19" operator="equal">
      <formula>$B$34</formula>
    </cfRule>
  </conditionalFormatting>
  <conditionalFormatting sqref="M19:O24">
    <cfRule type="cellIs" dxfId="639" priority="18" operator="equal">
      <formula>0</formula>
    </cfRule>
  </conditionalFormatting>
  <conditionalFormatting sqref="J17:O17 J18:L18">
    <cfRule type="cellIs" dxfId="638" priority="17" operator="equal">
      <formula>0</formula>
    </cfRule>
  </conditionalFormatting>
  <conditionalFormatting sqref="J17:O17">
    <cfRule type="cellIs" dxfId="637" priority="16" operator="equal">
      <formula>$B$34</formula>
    </cfRule>
  </conditionalFormatting>
  <conditionalFormatting sqref="Q19 R19:T24">
    <cfRule type="cellIs" dxfId="636" priority="15" operator="equal">
      <formula>0</formula>
    </cfRule>
  </conditionalFormatting>
  <conditionalFormatting sqref="Q17:T17">
    <cfRule type="cellIs" dxfId="635" priority="14" operator="equal">
      <formula>0</formula>
    </cfRule>
  </conditionalFormatting>
  <conditionalFormatting sqref="Q17:T17">
    <cfRule type="cellIs" dxfId="634" priority="13" operator="equal">
      <formula>$B$34</formula>
    </cfRule>
  </conditionalFormatting>
  <conditionalFormatting sqref="D27 F27:H32">
    <cfRule type="cellIs" dxfId="633" priority="12" operator="equal">
      <formula>0</formula>
    </cfRule>
  </conditionalFormatting>
  <conditionalFormatting sqref="D25">
    <cfRule type="cellIs" dxfId="632" priority="11" operator="equal">
      <formula>0</formula>
    </cfRule>
  </conditionalFormatting>
  <conditionalFormatting sqref="D25">
    <cfRule type="cellIs" dxfId="631" priority="10" operator="equal">
      <formula>$B$34</formula>
    </cfRule>
  </conditionalFormatting>
  <conditionalFormatting sqref="M27:O32">
    <cfRule type="cellIs" dxfId="630" priority="9" operator="equal">
      <formula>0</formula>
    </cfRule>
  </conditionalFormatting>
  <conditionalFormatting sqref="J25:O25 J26:L26">
    <cfRule type="cellIs" dxfId="629" priority="8" operator="equal">
      <formula>0</formula>
    </cfRule>
  </conditionalFormatting>
  <conditionalFormatting sqref="J25:O25">
    <cfRule type="cellIs" dxfId="628" priority="7" operator="equal">
      <formula>$B$34</formula>
    </cfRule>
  </conditionalFormatting>
  <conditionalFormatting sqref="Q27 R27:T32">
    <cfRule type="cellIs" dxfId="627" priority="6" operator="equal">
      <formula>0</formula>
    </cfRule>
  </conditionalFormatting>
  <conditionalFormatting sqref="Q25:T25">
    <cfRule type="cellIs" dxfId="626" priority="5" operator="equal">
      <formula>0</formula>
    </cfRule>
  </conditionalFormatting>
  <conditionalFormatting sqref="Q25:T25">
    <cfRule type="cellIs" dxfId="625" priority="4" operator="equal">
      <formula>$B$34</formula>
    </cfRule>
  </conditionalFormatting>
  <conditionalFormatting sqref="F12:F16 M12:M16 R12:R16 R20:R24 M20:M24 F20:F24 F28:F32 M28:M32 R28:R32 F42:F46 M42:M46 R42:R46">
    <cfRule type="cellIs" dxfId="624" priority="3" operator="greaterThan">
      <formula>0</formula>
    </cfRule>
  </conditionalFormatting>
  <conditionalFormatting sqref="G42:G46 N42:N46 S42:S46 S28:S32 N28:N32 G28:G32 G20:G24 N20:N24 S20:S23 S12:S15 N12:N16 G12:G16">
    <cfRule type="cellIs" dxfId="623" priority="2" operator="greaterThan">
      <formula>0</formula>
    </cfRule>
  </conditionalFormatting>
  <conditionalFormatting sqref="H12:H16 O12:O16 T12:T16 H20:H24 O20:O24 T20:T24 T28:T32 O28:O32 H28:H32 H42:H46 O42:O46 T42:T46">
    <cfRule type="cellIs" dxfId="622" priority="1" operator="greaterThan">
      <formula>0</formula>
    </cfRule>
  </conditionalFormatting>
  <pageMargins left="0.23622047244094491" right="0" top="0.11811023622047245" bottom="0" header="0" footer="0"/>
  <pageSetup orientation="landscape" r:id="rId1"/>
  <colBreaks count="1" manualBreakCount="1">
    <brk id="21" max="41" man="1"/>
  </colBreaks>
  <ignoredErrors>
    <ignoredError sqref="Z21" formula="1"/>
    <ignoredError sqref="F42:H46 C46" evalError="1"/>
  </ignoredErrors>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6">
    <tabColor theme="1" tint="0.14999847407452621"/>
  </sheetPr>
  <dimension ref="A1:AS828"/>
  <sheetViews>
    <sheetView view="pageBreakPreview" topLeftCell="A646" zoomScale="60" zoomScaleNormal="62" workbookViewId="0">
      <selection activeCell="N21" sqref="N21:O21"/>
    </sheetView>
  </sheetViews>
  <sheetFormatPr baseColWidth="10" defaultRowHeight="17.100000000000001" customHeight="1"/>
  <cols>
    <col min="1" max="1" width="4.7109375" style="108" customWidth="1"/>
    <col min="2" max="2" width="11.7109375" style="27" customWidth="1"/>
    <col min="3" max="3" width="11.42578125" style="27" customWidth="1"/>
    <col min="4" max="4" width="8.85546875" style="27" customWidth="1"/>
    <col min="5" max="5" width="9.42578125" style="27" customWidth="1"/>
    <col min="6" max="6" width="10.42578125" style="27" customWidth="1"/>
    <col min="7" max="7" width="6.85546875" style="27" customWidth="1"/>
    <col min="8" max="9" width="4.5703125" style="27" customWidth="1"/>
    <col min="10" max="10" width="23.140625" style="27" customWidth="1"/>
    <col min="11" max="11" width="29.7109375" style="27" customWidth="1"/>
    <col min="12" max="12" width="12.7109375" style="27" customWidth="1"/>
    <col min="13" max="13" width="8.5703125" style="27" customWidth="1"/>
    <col min="14" max="14" width="6" style="27" customWidth="1"/>
    <col min="15" max="15" width="11.7109375" style="27" customWidth="1"/>
    <col min="16" max="17" width="8.5703125" style="27" hidden="1" customWidth="1"/>
    <col min="18" max="18" width="8.5703125" style="27" customWidth="1"/>
    <col min="19" max="19" width="12.42578125" style="27" customWidth="1"/>
    <col min="20" max="20" width="11.28515625" style="27" customWidth="1"/>
    <col min="21" max="22" width="7.140625" style="27" customWidth="1"/>
    <col min="23" max="23" width="6.7109375" style="27" customWidth="1"/>
    <col min="24" max="24" width="7.85546875" style="27" customWidth="1"/>
    <col min="25" max="26" width="11.28515625" style="27" customWidth="1"/>
    <col min="27" max="27" width="11.140625" style="27" customWidth="1"/>
    <col min="28" max="28" width="6.140625" style="27" customWidth="1"/>
    <col min="29" max="29" width="5.5703125" style="2682" customWidth="1"/>
    <col min="30" max="30" width="5.5703125" style="3289" customWidth="1"/>
    <col min="31" max="31" width="5.5703125" style="2618" customWidth="1"/>
    <col min="32" max="32" width="5.5703125" style="2641" customWidth="1"/>
    <col min="33" max="33" width="5.5703125" style="2642" customWidth="1"/>
    <col min="34" max="34" width="5.5703125" style="2641" customWidth="1"/>
    <col min="35" max="36" width="5.5703125" style="1443" customWidth="1"/>
    <col min="37" max="37" width="7.5703125" style="3257" customWidth="1"/>
    <col min="38" max="43" width="7" style="3445" customWidth="1"/>
    <col min="44" max="44" width="7.5703125" style="27" customWidth="1"/>
    <col min="45" max="45" width="4" style="108" customWidth="1"/>
    <col min="46" max="16384" width="11.42578125" style="27"/>
  </cols>
  <sheetData>
    <row r="1" spans="1:45" ht="24.95" customHeight="1">
      <c r="A1" s="1670"/>
      <c r="B1" s="1401"/>
      <c r="C1" s="1401"/>
      <c r="D1" s="1401"/>
      <c r="E1" s="1401"/>
      <c r="F1" s="1401"/>
      <c r="G1" s="1402"/>
      <c r="H1" s="1402"/>
      <c r="I1" s="1402"/>
      <c r="J1" s="1402"/>
      <c r="M1" s="1403" t="s">
        <v>196</v>
      </c>
      <c r="N1" s="1402"/>
      <c r="O1" s="1402"/>
      <c r="P1" s="1402"/>
      <c r="Q1" s="1402"/>
      <c r="R1" s="1402"/>
      <c r="S1" s="1402"/>
      <c r="T1" s="1404"/>
      <c r="U1" s="911"/>
      <c r="V1" s="1405" t="s">
        <v>764</v>
      </c>
      <c r="W1" s="5370" t="str">
        <f>'VISITA DE INSP.'!E9</f>
        <v>BENITO JUAREZ</v>
      </c>
      <c r="X1" s="5370"/>
      <c r="Y1" s="5370"/>
      <c r="Z1" s="5370"/>
      <c r="AA1" s="1644"/>
      <c r="AB1" s="1644"/>
      <c r="AF1" s="2619"/>
      <c r="AG1" s="2618"/>
      <c r="AH1" s="2619"/>
    </row>
    <row r="2" spans="1:45" ht="24.95" customHeight="1">
      <c r="A2" s="1663"/>
      <c r="B2" s="1406"/>
      <c r="C2" s="1406"/>
      <c r="D2" s="1406"/>
      <c r="E2" s="1406"/>
      <c r="F2" s="1406"/>
      <c r="G2" s="1407"/>
      <c r="H2" s="1407"/>
      <c r="I2" s="1407"/>
      <c r="J2" s="1407"/>
      <c r="K2" s="1407"/>
      <c r="L2" s="1407"/>
      <c r="M2" s="1408" t="s">
        <v>1148</v>
      </c>
      <c r="N2" s="1407"/>
      <c r="O2" s="1407"/>
      <c r="P2" s="1407"/>
      <c r="Q2" s="1407"/>
      <c r="R2" s="1407"/>
      <c r="S2" s="1407"/>
      <c r="T2" s="1409"/>
      <c r="U2" s="911"/>
      <c r="V2" s="1405" t="s">
        <v>1149</v>
      </c>
      <c r="W2" s="5221" t="str">
        <f>'VISITA DE INSP.'!AT9</f>
        <v>2012 / 2013</v>
      </c>
      <c r="X2" s="5370"/>
      <c r="Y2" s="5370"/>
      <c r="Z2" s="5370"/>
      <c r="AA2" s="1644"/>
      <c r="AB2" s="1644"/>
      <c r="AF2" s="2619"/>
      <c r="AG2" s="2618"/>
      <c r="AH2" s="2619"/>
    </row>
    <row r="3" spans="1:45" ht="24.95" customHeight="1">
      <c r="A3" s="1663"/>
      <c r="B3" s="1410"/>
      <c r="C3" s="1410"/>
      <c r="D3" s="1410"/>
      <c r="E3" s="1410"/>
      <c r="F3" s="1406"/>
      <c r="G3" s="1407"/>
      <c r="H3" s="1407"/>
      <c r="I3" s="1407"/>
      <c r="J3" s="1407"/>
      <c r="K3" s="1407"/>
      <c r="M3" s="1408" t="s">
        <v>1150</v>
      </c>
      <c r="N3" s="1407"/>
      <c r="O3" s="1407"/>
      <c r="Q3" s="1407" t="s">
        <v>491</v>
      </c>
      <c r="R3" s="1407"/>
      <c r="S3" s="1407"/>
      <c r="T3" s="1411"/>
      <c r="U3" s="911"/>
      <c r="V3" s="1412" t="s">
        <v>42</v>
      </c>
      <c r="W3" s="5223" t="str">
        <f>'VISITA DE INSP.'!K9</f>
        <v>042</v>
      </c>
      <c r="X3" s="5223"/>
      <c r="Y3" s="5223"/>
      <c r="Z3" s="5223"/>
      <c r="AA3" s="1644"/>
      <c r="AB3" s="1644"/>
      <c r="AF3" s="2619"/>
      <c r="AG3" s="2618"/>
      <c r="AH3" s="2619"/>
    </row>
    <row r="4" spans="1:45" ht="24.95" customHeight="1">
      <c r="A4" s="1663"/>
      <c r="B4" s="1410"/>
      <c r="C4" s="1410"/>
      <c r="D4" s="1410"/>
      <c r="E4" s="1410"/>
      <c r="F4" s="1406"/>
      <c r="H4" s="1413"/>
      <c r="I4" s="1413"/>
      <c r="J4" s="1414"/>
      <c r="K4" s="1414"/>
      <c r="L4" s="1415" t="s">
        <v>1151</v>
      </c>
      <c r="M4" s="3271">
        <v>8</v>
      </c>
      <c r="N4" s="3271" t="s">
        <v>1152</v>
      </c>
      <c r="O4" s="1414" t="s">
        <v>1827</v>
      </c>
      <c r="P4" s="1414"/>
      <c r="Q4" s="1415" t="s">
        <v>1152</v>
      </c>
      <c r="R4" s="5371">
        <v>2012</v>
      </c>
      <c r="S4" s="5371"/>
      <c r="T4" s="1406"/>
      <c r="U4" s="5372" t="s">
        <v>246</v>
      </c>
      <c r="V4" s="5372"/>
      <c r="W4" s="5372"/>
      <c r="X4" s="5372"/>
      <c r="Y4" s="1416" t="s">
        <v>245</v>
      </c>
      <c r="Z4" s="1417"/>
      <c r="AA4" s="1417"/>
      <c r="AB4" s="1417"/>
      <c r="AF4" s="2619"/>
      <c r="AG4" s="2618"/>
      <c r="AH4" s="2619"/>
    </row>
    <row r="5" spans="1:45" s="174" customFormat="1" ht="24.95" customHeight="1">
      <c r="A5" s="5356" t="s">
        <v>1153</v>
      </c>
      <c r="B5" s="5356"/>
      <c r="C5" s="5356"/>
      <c r="D5" s="5373" t="s">
        <v>1154</v>
      </c>
      <c r="E5" s="5373"/>
      <c r="F5" s="5373"/>
      <c r="G5" s="5373"/>
      <c r="H5" s="5373"/>
      <c r="I5" s="5373"/>
      <c r="J5" s="5373"/>
      <c r="K5" s="5373"/>
      <c r="L5" s="3281" t="s">
        <v>19</v>
      </c>
      <c r="M5" s="5222" t="s">
        <v>1155</v>
      </c>
      <c r="N5" s="5222"/>
      <c r="P5" s="3281" t="s">
        <v>13</v>
      </c>
      <c r="Q5" s="5221" t="s">
        <v>1156</v>
      </c>
      <c r="R5" s="5221"/>
      <c r="S5" s="5221"/>
      <c r="U5" s="1418" t="s">
        <v>1157</v>
      </c>
      <c r="V5" s="5370" t="str">
        <f>CONCATENATE('VISITA DE INSP.'!B9,'VISITA DE INSP.'!D9,'VISITA DE INSP.'!E9)</f>
        <v>2  BENITO JUAREZ</v>
      </c>
      <c r="W5" s="5370"/>
      <c r="X5" s="5370"/>
      <c r="Y5" s="5370"/>
      <c r="Z5" s="5370"/>
      <c r="AA5" s="5370"/>
      <c r="AB5" s="5370"/>
      <c r="AC5" s="2683"/>
      <c r="AD5" s="3238"/>
      <c r="AE5" s="2620"/>
      <c r="AF5" s="2621"/>
      <c r="AG5" s="2620"/>
      <c r="AH5" s="2621"/>
      <c r="AK5" s="3265"/>
      <c r="AL5" s="3446"/>
      <c r="AM5" s="3446"/>
      <c r="AN5" s="3446"/>
      <c r="AO5" s="3446"/>
      <c r="AP5" s="3446"/>
      <c r="AQ5" s="3446"/>
      <c r="AS5" s="2166"/>
    </row>
    <row r="6" spans="1:45" s="1645" customFormat="1" ht="24.95" customHeight="1">
      <c r="A6" s="5356" t="s">
        <v>437</v>
      </c>
      <c r="B6" s="5356"/>
      <c r="C6" s="5357" t="s">
        <v>1158</v>
      </c>
      <c r="D6" s="5357"/>
      <c r="E6" s="5357"/>
      <c r="F6" s="5357"/>
      <c r="G6" s="5357"/>
      <c r="H6" s="5357"/>
      <c r="I6" s="5357"/>
      <c r="J6" s="5357"/>
      <c r="K6" s="5357"/>
      <c r="L6" s="5357"/>
      <c r="M6" s="5357"/>
      <c r="N6" s="1419"/>
      <c r="O6" s="3281" t="s">
        <v>863</v>
      </c>
      <c r="P6" s="5222" t="str">
        <f>'[1]0055K'!$I$8</f>
        <v>9981 49 34 04</v>
      </c>
      <c r="Q6" s="5222"/>
      <c r="R6" s="5222"/>
      <c r="S6" s="5222"/>
      <c r="T6" s="5222"/>
      <c r="U6" s="1420"/>
      <c r="V6" s="3281"/>
      <c r="W6" s="3281" t="s">
        <v>1159</v>
      </c>
      <c r="X6" s="5358" t="str">
        <f>CONCATENATE(M4,Q3,N4,Q3,O4,Q3,Q4,Q3,R4)</f>
        <v>8  DE  AGOSTO  DE  2012</v>
      </c>
      <c r="Y6" s="5358"/>
      <c r="Z6" s="5358"/>
      <c r="AA6" s="5358"/>
      <c r="AB6" s="5358"/>
      <c r="AC6" s="2682"/>
      <c r="AD6" s="3289"/>
      <c r="AE6" s="2618"/>
      <c r="AF6" s="2619"/>
      <c r="AG6" s="2618"/>
      <c r="AH6" s="2619"/>
      <c r="AI6" s="2163"/>
      <c r="AJ6" s="2163"/>
      <c r="AK6" s="3257"/>
      <c r="AL6" s="3445"/>
      <c r="AM6" s="3445"/>
      <c r="AN6" s="3445"/>
      <c r="AO6" s="3445"/>
      <c r="AP6" s="3445"/>
      <c r="AQ6" s="3445"/>
      <c r="AS6" s="108"/>
    </row>
    <row r="7" spans="1:45" s="1442" customFormat="1" ht="24.95" customHeight="1">
      <c r="A7" s="1460"/>
      <c r="B7" s="1461"/>
      <c r="C7" s="1461"/>
      <c r="D7" s="1462"/>
      <c r="E7" s="1462"/>
      <c r="F7" s="1462"/>
      <c r="G7" s="1462"/>
      <c r="H7" s="1462"/>
      <c r="I7" s="1462"/>
      <c r="J7" s="1462"/>
      <c r="K7" s="1462"/>
      <c r="L7" s="1462"/>
      <c r="M7" s="1460"/>
      <c r="N7" s="3264"/>
      <c r="O7" s="3264"/>
      <c r="P7" s="3264"/>
      <c r="Q7" s="1464"/>
      <c r="R7" s="3264"/>
      <c r="S7" s="3264"/>
      <c r="T7" s="1461"/>
      <c r="U7" s="1461"/>
      <c r="V7" s="1462"/>
      <c r="W7" s="1462"/>
      <c r="X7" s="1462"/>
      <c r="Y7" s="1462"/>
      <c r="Z7" s="1461"/>
      <c r="AA7" s="1461"/>
      <c r="AB7" s="1461"/>
      <c r="AC7" s="2684"/>
      <c r="AD7" s="2685"/>
      <c r="AE7" s="2622"/>
      <c r="AF7" s="2623"/>
      <c r="AG7" s="2622"/>
      <c r="AH7" s="2623"/>
      <c r="AL7" s="3447"/>
      <c r="AM7" s="3447"/>
      <c r="AN7" s="3447"/>
      <c r="AO7" s="3447"/>
      <c r="AP7" s="3447"/>
      <c r="AQ7" s="3447"/>
    </row>
    <row r="8" spans="1:45" s="1442" customFormat="1" ht="24.95" customHeight="1">
      <c r="A8" s="5359" t="s">
        <v>1160</v>
      </c>
      <c r="B8" s="5374" t="s">
        <v>1504</v>
      </c>
      <c r="C8" s="5375"/>
      <c r="D8" s="5375"/>
      <c r="E8" s="5375"/>
      <c r="F8" s="5375"/>
      <c r="G8" s="5376"/>
      <c r="H8" s="5359" t="s">
        <v>1161</v>
      </c>
      <c r="I8" s="5359"/>
      <c r="J8" s="5359" t="s">
        <v>212</v>
      </c>
      <c r="K8" s="1591" t="s">
        <v>374</v>
      </c>
      <c r="L8" s="5380" t="s">
        <v>1506</v>
      </c>
      <c r="M8" s="5381"/>
      <c r="N8" s="5386" t="s">
        <v>1826</v>
      </c>
      <c r="O8" s="5386"/>
      <c r="P8" s="5359" t="s">
        <v>1165</v>
      </c>
      <c r="Q8" s="5359"/>
      <c r="R8" s="5359" t="s">
        <v>1166</v>
      </c>
      <c r="S8" s="5359"/>
      <c r="T8" s="5359" t="s">
        <v>1167</v>
      </c>
      <c r="U8" s="5359" t="s">
        <v>1168</v>
      </c>
      <c r="V8" s="5359"/>
      <c r="W8" s="5359"/>
      <c r="X8" s="5359" t="s">
        <v>1169</v>
      </c>
      <c r="Y8" s="5359"/>
      <c r="Z8" s="5359"/>
      <c r="AA8" s="5359"/>
      <c r="AB8" s="5359"/>
      <c r="AC8" s="2684"/>
      <c r="AD8" s="2685"/>
      <c r="AE8" s="2622"/>
      <c r="AF8" s="2623"/>
      <c r="AG8" s="2622"/>
      <c r="AH8" s="2623"/>
      <c r="AL8" s="3447"/>
      <c r="AM8" s="3447"/>
      <c r="AN8" s="3447"/>
      <c r="AO8" s="3447"/>
      <c r="AP8" s="3447"/>
      <c r="AQ8" s="3447"/>
    </row>
    <row r="9" spans="1:45" s="1443" customFormat="1" ht="24.95" customHeight="1">
      <c r="A9" s="5359"/>
      <c r="B9" s="5377" t="s">
        <v>1503</v>
      </c>
      <c r="C9" s="5378"/>
      <c r="D9" s="5378"/>
      <c r="E9" s="5378"/>
      <c r="F9" s="5378"/>
      <c r="G9" s="5379"/>
      <c r="H9" s="3294" t="s">
        <v>407</v>
      </c>
      <c r="I9" s="3294" t="s">
        <v>403</v>
      </c>
      <c r="J9" s="5359"/>
      <c r="K9" s="1592" t="s">
        <v>1505</v>
      </c>
      <c r="L9" s="5382" t="s">
        <v>1507</v>
      </c>
      <c r="M9" s="5383"/>
      <c r="N9" s="5386"/>
      <c r="O9" s="5386"/>
      <c r="P9" s="3294" t="s">
        <v>1170</v>
      </c>
      <c r="Q9" s="3294" t="s">
        <v>1171</v>
      </c>
      <c r="R9" s="3294" t="s">
        <v>1172</v>
      </c>
      <c r="S9" s="3294" t="s">
        <v>1173</v>
      </c>
      <c r="T9" s="5359"/>
      <c r="U9" s="5359"/>
      <c r="V9" s="5359"/>
      <c r="W9" s="5359"/>
      <c r="X9" s="5359"/>
      <c r="Y9" s="5359"/>
      <c r="Z9" s="5359"/>
      <c r="AA9" s="5359"/>
      <c r="AB9" s="5359"/>
      <c r="AC9" s="2682"/>
      <c r="AD9" s="3289"/>
      <c r="AE9" s="2618"/>
      <c r="AF9" s="2619"/>
      <c r="AG9" s="2618"/>
      <c r="AH9" s="2619"/>
      <c r="AK9" s="3257"/>
      <c r="AL9" s="3448"/>
      <c r="AM9" s="3448"/>
      <c r="AN9" s="3448"/>
      <c r="AO9" s="3448"/>
      <c r="AP9" s="3448"/>
      <c r="AQ9" s="3448"/>
      <c r="AS9" s="1446"/>
    </row>
    <row r="10" spans="1:45" s="1443" customFormat="1" ht="32.25" customHeight="1">
      <c r="A10" s="3386">
        <v>1</v>
      </c>
      <c r="B10" s="2145" t="s">
        <v>2557</v>
      </c>
      <c r="C10" s="3395"/>
      <c r="D10" s="3395"/>
      <c r="E10" s="3395"/>
      <c r="F10" s="3395"/>
      <c r="G10" s="3396"/>
      <c r="H10" s="3386" t="s">
        <v>78</v>
      </c>
      <c r="I10" s="3386"/>
      <c r="J10" s="3391" t="s">
        <v>1175</v>
      </c>
      <c r="K10" s="3397" t="s">
        <v>1846</v>
      </c>
      <c r="L10" s="5384" t="s">
        <v>1176</v>
      </c>
      <c r="M10" s="5385"/>
      <c r="N10" s="5362"/>
      <c r="O10" s="5362"/>
      <c r="P10" s="3293"/>
      <c r="Q10" s="3293" t="s">
        <v>79</v>
      </c>
      <c r="R10" s="3293" t="s">
        <v>79</v>
      </c>
      <c r="S10" s="2871" t="s">
        <v>2105</v>
      </c>
      <c r="T10" s="3386" t="s">
        <v>683</v>
      </c>
      <c r="U10" s="5350">
        <v>10</v>
      </c>
      <c r="V10" s="5350"/>
      <c r="W10" s="5350"/>
      <c r="X10" s="5363">
        <v>30195</v>
      </c>
      <c r="Y10" s="5363"/>
      <c r="Z10" s="5363"/>
      <c r="AA10" s="5363"/>
      <c r="AB10" s="5363"/>
      <c r="AC10" s="2682"/>
      <c r="AD10" s="3289"/>
      <c r="AE10" s="2618"/>
      <c r="AF10" s="2619"/>
      <c r="AG10" s="2618"/>
      <c r="AH10" s="2619"/>
      <c r="AK10" s="3257"/>
      <c r="AL10" s="3448"/>
      <c r="AM10" s="3448"/>
      <c r="AN10" s="3448"/>
      <c r="AO10" s="3448"/>
      <c r="AP10" s="3448"/>
      <c r="AQ10" s="3448"/>
      <c r="AS10" s="1446"/>
    </row>
    <row r="11" spans="1:45" s="1443" customFormat="1" ht="36" customHeight="1">
      <c r="A11" s="3386">
        <v>2</v>
      </c>
      <c r="B11" s="2145" t="s">
        <v>2558</v>
      </c>
      <c r="C11" s="3395"/>
      <c r="D11" s="3395"/>
      <c r="E11" s="3395"/>
      <c r="F11" s="3395"/>
      <c r="G11" s="3396"/>
      <c r="H11" s="3386" t="s">
        <v>78</v>
      </c>
      <c r="I11" s="3386"/>
      <c r="J11" s="3391" t="s">
        <v>1177</v>
      </c>
      <c r="K11" s="3397" t="s">
        <v>1847</v>
      </c>
      <c r="L11" s="5360" t="s">
        <v>2002</v>
      </c>
      <c r="M11" s="5361"/>
      <c r="N11" s="5362"/>
      <c r="O11" s="5362"/>
      <c r="P11" s="3293"/>
      <c r="Q11" s="3293" t="s">
        <v>79</v>
      </c>
      <c r="R11" s="3293" t="s">
        <v>79</v>
      </c>
      <c r="S11" s="2871" t="s">
        <v>2106</v>
      </c>
      <c r="T11" s="3386" t="s">
        <v>680</v>
      </c>
      <c r="U11" s="5350">
        <v>10</v>
      </c>
      <c r="V11" s="5350"/>
      <c r="W11" s="5350"/>
      <c r="X11" s="5363">
        <v>30195</v>
      </c>
      <c r="Y11" s="5363"/>
      <c r="Z11" s="5363"/>
      <c r="AA11" s="5363"/>
      <c r="AB11" s="5363"/>
      <c r="AC11" s="2682"/>
      <c r="AD11" s="3289"/>
      <c r="AE11" s="2618"/>
      <c r="AF11" s="2619"/>
      <c r="AG11" s="2618"/>
      <c r="AH11" s="2619"/>
      <c r="AK11" s="3257"/>
      <c r="AL11" s="3448"/>
      <c r="AM11" s="3448"/>
      <c r="AN11" s="3448"/>
      <c r="AO11" s="3448"/>
      <c r="AP11" s="3448"/>
      <c r="AQ11" s="3448"/>
      <c r="AS11" s="1446"/>
    </row>
    <row r="12" spans="1:45" s="1443" customFormat="1" ht="32.25" customHeight="1">
      <c r="A12" s="3386"/>
      <c r="B12" s="3398" t="s">
        <v>2559</v>
      </c>
      <c r="C12" s="3399"/>
      <c r="D12" s="3399"/>
      <c r="E12" s="3399"/>
      <c r="F12" s="3399"/>
      <c r="G12" s="3400"/>
      <c r="H12" s="3401"/>
      <c r="I12" s="3401"/>
      <c r="J12" s="3402" t="s">
        <v>1177</v>
      </c>
      <c r="K12" s="3397" t="s">
        <v>1848</v>
      </c>
      <c r="L12" s="5368" t="s">
        <v>2002</v>
      </c>
      <c r="M12" s="5369"/>
      <c r="N12" s="5362"/>
      <c r="O12" s="5362"/>
      <c r="P12" s="3293"/>
      <c r="Q12" s="3293" t="s">
        <v>79</v>
      </c>
      <c r="R12" s="3293" t="s">
        <v>79</v>
      </c>
      <c r="S12" s="2872"/>
      <c r="T12" s="3386"/>
      <c r="U12" s="5350">
        <v>10</v>
      </c>
      <c r="V12" s="5350"/>
      <c r="W12" s="5350"/>
      <c r="X12" s="5363">
        <v>30195</v>
      </c>
      <c r="Y12" s="5363"/>
      <c r="Z12" s="5363"/>
      <c r="AA12" s="5363"/>
      <c r="AB12" s="5363"/>
      <c r="AC12" s="2682"/>
      <c r="AD12" s="3289"/>
      <c r="AE12" s="2618"/>
      <c r="AF12" s="2619"/>
      <c r="AG12" s="2618"/>
      <c r="AH12" s="2619"/>
      <c r="AK12" s="3257"/>
      <c r="AL12" s="3448"/>
      <c r="AM12" s="3448"/>
      <c r="AN12" s="3448"/>
      <c r="AO12" s="3448"/>
      <c r="AP12" s="3448"/>
      <c r="AQ12" s="3448"/>
      <c r="AS12" s="1446"/>
    </row>
    <row r="13" spans="1:45" s="1443" customFormat="1" ht="36" customHeight="1">
      <c r="A13" s="3386">
        <v>3</v>
      </c>
      <c r="B13" s="2145" t="s">
        <v>2560</v>
      </c>
      <c r="C13" s="3395"/>
      <c r="D13" s="3395"/>
      <c r="E13" s="3395"/>
      <c r="F13" s="3395"/>
      <c r="G13" s="3396"/>
      <c r="H13" s="3386" t="s">
        <v>78</v>
      </c>
      <c r="I13" s="3386"/>
      <c r="J13" s="3391" t="s">
        <v>1178</v>
      </c>
      <c r="K13" s="3397" t="s">
        <v>1849</v>
      </c>
      <c r="L13" s="5360" t="s">
        <v>2002</v>
      </c>
      <c r="M13" s="5361"/>
      <c r="N13" s="5362"/>
      <c r="O13" s="5362"/>
      <c r="P13" s="3293"/>
      <c r="Q13" s="3293" t="s">
        <v>79</v>
      </c>
      <c r="R13" s="3293" t="s">
        <v>79</v>
      </c>
      <c r="S13" s="2872" t="s">
        <v>2107</v>
      </c>
      <c r="T13" s="3386" t="s">
        <v>680</v>
      </c>
      <c r="U13" s="5350">
        <v>10</v>
      </c>
      <c r="V13" s="5350"/>
      <c r="W13" s="5350"/>
      <c r="X13" s="5363">
        <v>29468</v>
      </c>
      <c r="Y13" s="5363"/>
      <c r="Z13" s="5363"/>
      <c r="AA13" s="5363"/>
      <c r="AB13" s="5363"/>
      <c r="AC13" s="2682"/>
      <c r="AD13" s="3289"/>
      <c r="AE13" s="2618"/>
      <c r="AF13" s="2619"/>
      <c r="AG13" s="2618"/>
      <c r="AH13" s="2619"/>
      <c r="AK13" s="3257"/>
      <c r="AL13" s="3448"/>
      <c r="AM13" s="3448"/>
      <c r="AN13" s="3448"/>
      <c r="AO13" s="3448"/>
      <c r="AP13" s="3448"/>
      <c r="AQ13" s="3448"/>
      <c r="AS13" s="1446"/>
    </row>
    <row r="14" spans="1:45" s="1443" customFormat="1" ht="32.25" customHeight="1">
      <c r="A14" s="3386"/>
      <c r="B14" s="3398" t="s">
        <v>2560</v>
      </c>
      <c r="C14" s="3399"/>
      <c r="D14" s="3399"/>
      <c r="E14" s="3399"/>
      <c r="F14" s="3399"/>
      <c r="G14" s="3400"/>
      <c r="H14" s="3401"/>
      <c r="I14" s="3401"/>
      <c r="J14" s="3402" t="s">
        <v>1178</v>
      </c>
      <c r="K14" s="3397" t="s">
        <v>1850</v>
      </c>
      <c r="L14" s="5368" t="s">
        <v>2003</v>
      </c>
      <c r="M14" s="5369"/>
      <c r="N14" s="5365"/>
      <c r="O14" s="5365"/>
      <c r="P14" s="3293"/>
      <c r="Q14" s="3293" t="s">
        <v>79</v>
      </c>
      <c r="R14" s="3293" t="s">
        <v>79</v>
      </c>
      <c r="S14" s="2872"/>
      <c r="T14" s="3386" t="s">
        <v>689</v>
      </c>
      <c r="U14" s="5350">
        <v>10</v>
      </c>
      <c r="V14" s="5350"/>
      <c r="W14" s="5350"/>
      <c r="X14" s="5363">
        <v>29468</v>
      </c>
      <c r="Y14" s="5363"/>
      <c r="Z14" s="5363"/>
      <c r="AA14" s="5363"/>
      <c r="AB14" s="5363"/>
      <c r="AC14" s="2682"/>
      <c r="AD14" s="3289"/>
      <c r="AE14" s="2618"/>
      <c r="AF14" s="2619"/>
      <c r="AG14" s="2618"/>
      <c r="AH14" s="2619"/>
      <c r="AK14" s="3257"/>
      <c r="AL14" s="3448"/>
      <c r="AM14" s="3448"/>
      <c r="AN14" s="3448"/>
      <c r="AO14" s="3448"/>
      <c r="AP14" s="3448"/>
      <c r="AQ14" s="3448"/>
      <c r="AS14" s="1446"/>
    </row>
    <row r="15" spans="1:45" s="1443" customFormat="1" ht="32.25" customHeight="1">
      <c r="A15" s="3386"/>
      <c r="B15" s="3398" t="s">
        <v>1179</v>
      </c>
      <c r="C15" s="3399"/>
      <c r="D15" s="3399"/>
      <c r="E15" s="3399"/>
      <c r="F15" s="3399"/>
      <c r="G15" s="3400"/>
      <c r="H15" s="3401"/>
      <c r="I15" s="3401"/>
      <c r="J15" s="3402" t="s">
        <v>1180</v>
      </c>
      <c r="K15" s="3402" t="s">
        <v>1181</v>
      </c>
      <c r="L15" s="5368" t="s">
        <v>447</v>
      </c>
      <c r="M15" s="5369"/>
      <c r="N15" s="5365"/>
      <c r="O15" s="5365"/>
      <c r="P15" s="3293"/>
      <c r="Q15" s="3293" t="s">
        <v>79</v>
      </c>
      <c r="R15" s="3293" t="s">
        <v>79</v>
      </c>
      <c r="S15" s="2872"/>
      <c r="T15" s="3293"/>
      <c r="U15" s="5362"/>
      <c r="V15" s="5362"/>
      <c r="W15" s="5362"/>
      <c r="X15" s="5366"/>
      <c r="Y15" s="5366"/>
      <c r="Z15" s="5366"/>
      <c r="AA15" s="5366"/>
      <c r="AB15" s="5366"/>
      <c r="AC15" s="2682"/>
      <c r="AD15" s="3289"/>
      <c r="AE15" s="2618"/>
      <c r="AF15" s="2619"/>
      <c r="AG15" s="2618"/>
      <c r="AH15" s="2619"/>
      <c r="AK15" s="3257"/>
      <c r="AL15" s="3448"/>
      <c r="AM15" s="3448"/>
      <c r="AN15" s="3448"/>
      <c r="AO15" s="3448"/>
      <c r="AP15" s="3448"/>
      <c r="AQ15" s="3448"/>
      <c r="AS15" s="1446"/>
    </row>
    <row r="16" spans="1:45" s="1444" customFormat="1" ht="28.5" customHeight="1">
      <c r="A16" s="3386"/>
      <c r="B16" s="3403" t="s">
        <v>1182</v>
      </c>
      <c r="C16" s="3399"/>
      <c r="D16" s="3399"/>
      <c r="E16" s="3399"/>
      <c r="F16" s="3399"/>
      <c r="G16" s="3400"/>
      <c r="H16" s="3401"/>
      <c r="I16" s="3401"/>
      <c r="J16" s="3401"/>
      <c r="K16" s="3401"/>
      <c r="L16" s="5367"/>
      <c r="M16" s="5367"/>
      <c r="N16" s="5365"/>
      <c r="O16" s="5365"/>
      <c r="P16" s="3293"/>
      <c r="Q16" s="3293" t="s">
        <v>79</v>
      </c>
      <c r="R16" s="3293" t="s">
        <v>79</v>
      </c>
      <c r="S16" s="2872"/>
      <c r="T16" s="3293"/>
      <c r="U16" s="5362"/>
      <c r="V16" s="5362"/>
      <c r="W16" s="5362"/>
      <c r="X16" s="5366"/>
      <c r="Y16" s="5366"/>
      <c r="Z16" s="5366"/>
      <c r="AA16" s="5366"/>
      <c r="AB16" s="5366"/>
      <c r="AC16" s="2682"/>
      <c r="AD16" s="3289"/>
      <c r="AE16" s="2618"/>
      <c r="AF16" s="2619"/>
      <c r="AG16" s="2618"/>
      <c r="AH16" s="2619"/>
      <c r="AK16" s="2636"/>
      <c r="AL16" s="3448"/>
      <c r="AM16" s="3448"/>
      <c r="AN16" s="3448"/>
      <c r="AO16" s="3448"/>
      <c r="AP16" s="3448"/>
      <c r="AQ16" s="3448"/>
      <c r="AS16" s="1446"/>
    </row>
    <row r="17" spans="1:45" s="1444" customFormat="1" ht="28.5" customHeight="1">
      <c r="A17" s="3386"/>
      <c r="B17" s="3403" t="s">
        <v>1183</v>
      </c>
      <c r="C17" s="3399"/>
      <c r="D17" s="3399"/>
      <c r="E17" s="3399"/>
      <c r="F17" s="3399"/>
      <c r="G17" s="3400"/>
      <c r="H17" s="3401"/>
      <c r="I17" s="3401"/>
      <c r="J17" s="3401"/>
      <c r="K17" s="3401"/>
      <c r="L17" s="5367"/>
      <c r="M17" s="5367"/>
      <c r="N17" s="5365"/>
      <c r="O17" s="5365"/>
      <c r="P17" s="3293"/>
      <c r="Q17" s="3293" t="s">
        <v>79</v>
      </c>
      <c r="R17" s="3293" t="s">
        <v>79</v>
      </c>
      <c r="S17" s="2872"/>
      <c r="T17" s="3293"/>
      <c r="U17" s="5362"/>
      <c r="V17" s="5362"/>
      <c r="W17" s="5362"/>
      <c r="X17" s="5366"/>
      <c r="Y17" s="5366"/>
      <c r="Z17" s="5366"/>
      <c r="AA17" s="5366"/>
      <c r="AB17" s="5366"/>
      <c r="AC17" s="2682"/>
      <c r="AD17" s="3289"/>
      <c r="AE17" s="2618"/>
      <c r="AF17" s="2619"/>
      <c r="AG17" s="2618"/>
      <c r="AH17" s="2619"/>
      <c r="AK17" s="2636"/>
      <c r="AL17" s="3448"/>
      <c r="AM17" s="3448"/>
      <c r="AN17" s="3448"/>
      <c r="AO17" s="3448"/>
      <c r="AP17" s="3448"/>
      <c r="AQ17" s="3448"/>
      <c r="AS17" s="1446"/>
    </row>
    <row r="18" spans="1:45" s="1444" customFormat="1" ht="28.5" customHeight="1">
      <c r="A18" s="3386"/>
      <c r="B18" s="3403" t="s">
        <v>1184</v>
      </c>
      <c r="C18" s="3399"/>
      <c r="D18" s="3399"/>
      <c r="E18" s="3399"/>
      <c r="F18" s="3399"/>
      <c r="G18" s="3400"/>
      <c r="H18" s="3401"/>
      <c r="I18" s="3401"/>
      <c r="J18" s="3401"/>
      <c r="K18" s="3401"/>
      <c r="L18" s="5364"/>
      <c r="M18" s="5364"/>
      <c r="N18" s="5365"/>
      <c r="O18" s="5365"/>
      <c r="P18" s="3293"/>
      <c r="Q18" s="3293" t="s">
        <v>79</v>
      </c>
      <c r="R18" s="3293"/>
      <c r="S18" s="2872"/>
      <c r="T18" s="3293"/>
      <c r="U18" s="5362"/>
      <c r="V18" s="5362"/>
      <c r="W18" s="5362"/>
      <c r="X18" s="5366"/>
      <c r="Y18" s="5366"/>
      <c r="Z18" s="5366"/>
      <c r="AA18" s="5366"/>
      <c r="AB18" s="5366"/>
      <c r="AC18" s="2682"/>
      <c r="AD18" s="3289"/>
      <c r="AE18" s="2618"/>
      <c r="AF18" s="2619"/>
      <c r="AG18" s="2618"/>
      <c r="AH18" s="2619"/>
      <c r="AK18" s="2636"/>
      <c r="AL18" s="3448"/>
      <c r="AM18" s="3448"/>
      <c r="AN18" s="3448"/>
      <c r="AO18" s="3448"/>
      <c r="AP18" s="3448"/>
      <c r="AQ18" s="3448"/>
      <c r="AS18" s="1446"/>
    </row>
    <row r="19" spans="1:45" s="1444" customFormat="1" ht="28.5" customHeight="1">
      <c r="A19" s="3386"/>
      <c r="B19" s="3403" t="s">
        <v>1185</v>
      </c>
      <c r="C19" s="3399"/>
      <c r="D19" s="3399"/>
      <c r="E19" s="3399"/>
      <c r="F19" s="3399"/>
      <c r="G19" s="3400"/>
      <c r="H19" s="3401"/>
      <c r="I19" s="3401"/>
      <c r="J19" s="3401"/>
      <c r="K19" s="3401"/>
      <c r="L19" s="5364"/>
      <c r="M19" s="5364"/>
      <c r="N19" s="5365"/>
      <c r="O19" s="5365"/>
      <c r="P19" s="3293"/>
      <c r="Q19" s="3293" t="s">
        <v>79</v>
      </c>
      <c r="R19" s="3293"/>
      <c r="S19" s="2872"/>
      <c r="T19" s="3293"/>
      <c r="U19" s="5362"/>
      <c r="V19" s="5362"/>
      <c r="W19" s="5362"/>
      <c r="X19" s="5366"/>
      <c r="Y19" s="5366"/>
      <c r="Z19" s="5366"/>
      <c r="AA19" s="5366"/>
      <c r="AB19" s="5366"/>
      <c r="AC19" s="2682"/>
      <c r="AD19" s="3289"/>
      <c r="AE19" s="2618"/>
      <c r="AF19" s="2619"/>
      <c r="AG19" s="2618"/>
      <c r="AH19" s="2619"/>
      <c r="AK19" s="2636"/>
      <c r="AL19" s="3448"/>
      <c r="AM19" s="3448"/>
      <c r="AN19" s="3448"/>
      <c r="AO19" s="3448"/>
      <c r="AP19" s="3448"/>
      <c r="AQ19" s="3448"/>
      <c r="AS19" s="1446"/>
    </row>
    <row r="20" spans="1:45" s="1444" customFormat="1" ht="28.5" customHeight="1">
      <c r="A20" s="3386"/>
      <c r="B20" s="3403" t="s">
        <v>1186</v>
      </c>
      <c r="C20" s="3399"/>
      <c r="D20" s="3399"/>
      <c r="E20" s="3399"/>
      <c r="F20" s="3399"/>
      <c r="G20" s="3400"/>
      <c r="H20" s="3401"/>
      <c r="I20" s="3401"/>
      <c r="J20" s="3401"/>
      <c r="K20" s="3401"/>
      <c r="L20" s="5364"/>
      <c r="M20" s="5364"/>
      <c r="N20" s="5365"/>
      <c r="O20" s="5365"/>
      <c r="P20" s="3293"/>
      <c r="Q20" s="3293" t="s">
        <v>79</v>
      </c>
      <c r="R20" s="3293"/>
      <c r="S20" s="2872"/>
      <c r="T20" s="3293"/>
      <c r="U20" s="5362"/>
      <c r="V20" s="5362"/>
      <c r="W20" s="5362"/>
      <c r="X20" s="5366"/>
      <c r="Y20" s="5366"/>
      <c r="Z20" s="5366"/>
      <c r="AA20" s="5366"/>
      <c r="AB20" s="5366"/>
      <c r="AC20" s="2682"/>
      <c r="AD20" s="3289"/>
      <c r="AE20" s="2618"/>
      <c r="AF20" s="2619"/>
      <c r="AG20" s="2618"/>
      <c r="AH20" s="2619"/>
      <c r="AK20" s="2636"/>
      <c r="AL20" s="3448"/>
      <c r="AM20" s="3448"/>
      <c r="AN20" s="3448"/>
      <c r="AO20" s="3448"/>
      <c r="AP20" s="3448"/>
      <c r="AQ20" s="3448"/>
      <c r="AS20" s="1446"/>
    </row>
    <row r="21" spans="1:45" s="1444" customFormat="1" ht="28.5" customHeight="1">
      <c r="A21" s="3386"/>
      <c r="B21" s="3403" t="s">
        <v>1187</v>
      </c>
      <c r="C21" s="3399"/>
      <c r="D21" s="3399"/>
      <c r="E21" s="3399"/>
      <c r="F21" s="3399"/>
      <c r="G21" s="3400"/>
      <c r="H21" s="3401"/>
      <c r="I21" s="3401"/>
      <c r="J21" s="3401"/>
      <c r="K21" s="3401"/>
      <c r="L21" s="5364"/>
      <c r="M21" s="5364"/>
      <c r="N21" s="5365"/>
      <c r="O21" s="5365"/>
      <c r="P21" s="3293"/>
      <c r="Q21" s="3293" t="s">
        <v>79</v>
      </c>
      <c r="R21" s="3293"/>
      <c r="S21" s="2872"/>
      <c r="T21" s="3293"/>
      <c r="U21" s="5362"/>
      <c r="V21" s="5362"/>
      <c r="W21" s="5362"/>
      <c r="X21" s="5366"/>
      <c r="Y21" s="5366"/>
      <c r="Z21" s="5366"/>
      <c r="AA21" s="5366"/>
      <c r="AB21" s="5366"/>
      <c r="AC21" s="2682"/>
      <c r="AD21" s="3289"/>
      <c r="AE21" s="2618"/>
      <c r="AF21" s="2619"/>
      <c r="AG21" s="2618"/>
      <c r="AH21" s="2619"/>
      <c r="AK21" s="2636"/>
      <c r="AL21" s="3448"/>
      <c r="AM21" s="3448"/>
      <c r="AN21" s="3448"/>
      <c r="AO21" s="3448"/>
      <c r="AP21" s="3448"/>
      <c r="AQ21" s="3448"/>
      <c r="AS21" s="1446"/>
    </row>
    <row r="22" spans="1:45" s="1444" customFormat="1" ht="28.5" customHeight="1">
      <c r="A22" s="3386"/>
      <c r="B22" s="3403" t="s">
        <v>1188</v>
      </c>
      <c r="C22" s="3399"/>
      <c r="D22" s="3399"/>
      <c r="E22" s="3399"/>
      <c r="F22" s="3399"/>
      <c r="G22" s="3400"/>
      <c r="H22" s="3401"/>
      <c r="I22" s="3401"/>
      <c r="J22" s="3401"/>
      <c r="K22" s="3401"/>
      <c r="L22" s="5364"/>
      <c r="M22" s="5364"/>
      <c r="N22" s="5365"/>
      <c r="O22" s="5365"/>
      <c r="P22" s="3293"/>
      <c r="Q22" s="3293" t="s">
        <v>79</v>
      </c>
      <c r="R22" s="3293"/>
      <c r="S22" s="2872"/>
      <c r="T22" s="3293"/>
      <c r="U22" s="5362"/>
      <c r="V22" s="5362"/>
      <c r="W22" s="5362"/>
      <c r="X22" s="5366"/>
      <c r="Y22" s="5366"/>
      <c r="Z22" s="5366"/>
      <c r="AA22" s="5366"/>
      <c r="AB22" s="5366"/>
      <c r="AC22" s="2682"/>
      <c r="AD22" s="3289"/>
      <c r="AE22" s="2618"/>
      <c r="AF22" s="2619"/>
      <c r="AG22" s="2618"/>
      <c r="AH22" s="2619"/>
      <c r="AK22" s="2636"/>
      <c r="AL22" s="3448"/>
      <c r="AM22" s="3448"/>
      <c r="AN22" s="3448"/>
      <c r="AO22" s="3448"/>
      <c r="AP22" s="3448"/>
      <c r="AQ22" s="3448"/>
      <c r="AS22" s="1446"/>
    </row>
    <row r="23" spans="1:45" s="1444" customFormat="1" ht="28.5" customHeight="1">
      <c r="A23" s="3386"/>
      <c r="B23" s="3403" t="s">
        <v>1189</v>
      </c>
      <c r="C23" s="3399"/>
      <c r="D23" s="3399"/>
      <c r="E23" s="3399"/>
      <c r="F23" s="3399"/>
      <c r="G23" s="3400"/>
      <c r="H23" s="3401"/>
      <c r="I23" s="3401"/>
      <c r="J23" s="3401"/>
      <c r="K23" s="3401"/>
      <c r="L23" s="5364"/>
      <c r="M23" s="5364"/>
      <c r="N23" s="5365"/>
      <c r="O23" s="5365"/>
      <c r="P23" s="3293"/>
      <c r="Q23" s="3293"/>
      <c r="R23" s="3293"/>
      <c r="S23" s="2872"/>
      <c r="T23" s="3293"/>
      <c r="U23" s="5362"/>
      <c r="V23" s="5362"/>
      <c r="W23" s="5362"/>
      <c r="X23" s="5366"/>
      <c r="Y23" s="5366"/>
      <c r="Z23" s="5366"/>
      <c r="AA23" s="5366"/>
      <c r="AB23" s="5366"/>
      <c r="AC23" s="2682"/>
      <c r="AD23" s="3289"/>
      <c r="AE23" s="2618"/>
      <c r="AF23" s="2619"/>
      <c r="AG23" s="2618"/>
      <c r="AH23" s="2619"/>
      <c r="AK23" s="2636"/>
      <c r="AL23" s="3448"/>
      <c r="AM23" s="3448"/>
      <c r="AN23" s="3448"/>
      <c r="AO23" s="3448"/>
      <c r="AP23" s="3448"/>
      <c r="AQ23" s="3448"/>
      <c r="AS23" s="1446"/>
    </row>
    <row r="24" spans="1:45" s="1444" customFormat="1" ht="28.5" customHeight="1">
      <c r="A24" s="3386"/>
      <c r="B24" s="3403" t="s">
        <v>1190</v>
      </c>
      <c r="C24" s="3399"/>
      <c r="D24" s="3399"/>
      <c r="E24" s="3399"/>
      <c r="F24" s="3399"/>
      <c r="G24" s="3400"/>
      <c r="H24" s="3401"/>
      <c r="I24" s="3401"/>
      <c r="J24" s="3404"/>
      <c r="K24" s="3401"/>
      <c r="L24" s="5364"/>
      <c r="M24" s="5364"/>
      <c r="N24" s="5365"/>
      <c r="O24" s="5365"/>
      <c r="P24" s="3293"/>
      <c r="Q24" s="3293"/>
      <c r="R24" s="3293"/>
      <c r="S24" s="2872"/>
      <c r="T24" s="3293"/>
      <c r="U24" s="5362"/>
      <c r="V24" s="5362"/>
      <c r="W24" s="5362"/>
      <c r="X24" s="5366"/>
      <c r="Y24" s="5366"/>
      <c r="Z24" s="5366"/>
      <c r="AA24" s="5366"/>
      <c r="AB24" s="5366"/>
      <c r="AC24" s="2682"/>
      <c r="AD24" s="3289"/>
      <c r="AE24" s="2618"/>
      <c r="AF24" s="2619"/>
      <c r="AG24" s="2618"/>
      <c r="AH24" s="2619"/>
      <c r="AK24" s="2636"/>
      <c r="AL24" s="3448"/>
      <c r="AM24" s="3448"/>
      <c r="AN24" s="3448"/>
      <c r="AO24" s="3448"/>
      <c r="AP24" s="3448"/>
      <c r="AQ24" s="3448"/>
      <c r="AS24" s="1446"/>
    </row>
    <row r="25" spans="1:45" s="1444" customFormat="1" ht="24.95" customHeight="1">
      <c r="A25" s="1505"/>
      <c r="B25" s="1593" t="s">
        <v>1191</v>
      </c>
      <c r="C25" s="1593"/>
      <c r="D25" s="1593"/>
      <c r="E25" s="1593"/>
      <c r="F25" s="1593"/>
      <c r="G25" s="1593"/>
      <c r="H25" s="1505"/>
      <c r="I25" s="1505"/>
      <c r="J25" s="1505"/>
      <c r="K25" s="1505"/>
      <c r="L25" s="1505"/>
      <c r="M25" s="1505"/>
      <c r="N25" s="1505"/>
      <c r="O25" s="5387"/>
      <c r="P25" s="5387"/>
      <c r="Q25" s="5387"/>
      <c r="R25" s="5387"/>
      <c r="S25" s="5387"/>
      <c r="T25" s="1505">
        <f>COUNTA(T10:T24)</f>
        <v>4</v>
      </c>
      <c r="U25" s="1425"/>
      <c r="V25" s="1425"/>
      <c r="W25" s="1425"/>
      <c r="X25" s="1425"/>
      <c r="Y25" s="1425"/>
      <c r="Z25" s="1425"/>
      <c r="AA25" s="1425"/>
      <c r="AB25" s="1425"/>
      <c r="AC25" s="2682"/>
      <c r="AD25" s="3289"/>
      <c r="AE25" s="2618"/>
      <c r="AF25" s="2619"/>
      <c r="AG25" s="2618"/>
      <c r="AH25" s="2619"/>
      <c r="AK25" s="2636"/>
      <c r="AL25" s="3448"/>
      <c r="AM25" s="3448"/>
      <c r="AN25" s="3448"/>
      <c r="AO25" s="3448"/>
      <c r="AP25" s="3448"/>
      <c r="AR25" s="3448"/>
      <c r="AS25" s="1446"/>
    </row>
    <row r="26" spans="1:45" s="1441" customFormat="1" ht="24.95" customHeight="1">
      <c r="A26" s="1506"/>
      <c r="B26" s="1604" t="s">
        <v>2549</v>
      </c>
      <c r="C26" s="1604"/>
      <c r="D26" s="1604"/>
      <c r="E26" s="1604"/>
      <c r="F26" s="1604"/>
      <c r="G26" s="1604"/>
      <c r="H26" s="1604"/>
      <c r="I26" s="1605"/>
      <c r="J26" s="1605" t="s">
        <v>1192</v>
      </c>
      <c r="K26" s="1605"/>
      <c r="L26" s="1605"/>
      <c r="M26" s="1605"/>
      <c r="N26" s="1605"/>
      <c r="O26" s="1605"/>
      <c r="P26" s="1605"/>
      <c r="Q26" s="1604"/>
      <c r="R26" s="1604"/>
      <c r="S26" s="1604"/>
      <c r="T26" s="1506">
        <f>'[4]E OFICIALES'!$V$23</f>
        <v>4</v>
      </c>
      <c r="U26" s="1426"/>
      <c r="V26" s="1426"/>
      <c r="W26" s="1426"/>
      <c r="X26" s="1426"/>
      <c r="Y26" s="1426"/>
      <c r="Z26" s="1426"/>
      <c r="AA26" s="1426"/>
      <c r="AB26" s="1426"/>
      <c r="AC26" s="2682"/>
      <c r="AD26" s="3289"/>
      <c r="AE26" s="2618"/>
      <c r="AF26" s="2619"/>
      <c r="AG26" s="2618"/>
      <c r="AH26" s="2619"/>
      <c r="AI26" s="1444"/>
      <c r="AJ26" s="1444"/>
      <c r="AK26" s="2636"/>
      <c r="AL26" s="3445"/>
      <c r="AM26" s="3445"/>
      <c r="AN26" s="3445"/>
      <c r="AO26" s="3445"/>
      <c r="AP26" s="3445"/>
      <c r="AR26" s="3445"/>
      <c r="AS26" s="108"/>
    </row>
    <row r="27" spans="1:45" s="1448" customFormat="1" ht="24.95" customHeight="1">
      <c r="A27" s="175"/>
      <c r="B27" s="1427"/>
      <c r="C27" s="173"/>
      <c r="D27" s="3262" t="s">
        <v>1193</v>
      </c>
      <c r="E27" s="5388"/>
      <c r="F27" s="5388"/>
      <c r="G27" s="5388"/>
      <c r="H27" s="5388"/>
      <c r="I27" s="5388"/>
      <c r="J27" s="5388"/>
      <c r="K27" s="2135" t="s">
        <v>241</v>
      </c>
      <c r="L27" s="1428"/>
      <c r="M27" s="3262" t="s">
        <v>1194</v>
      </c>
      <c r="N27" s="5388" t="s">
        <v>1174</v>
      </c>
      <c r="O27" s="5388"/>
      <c r="P27" s="5388"/>
      <c r="Q27" s="5388"/>
      <c r="R27" s="5388"/>
      <c r="S27" s="5388"/>
      <c r="T27" s="1603"/>
      <c r="U27" s="1603"/>
      <c r="V27" s="3262" t="s">
        <v>1195</v>
      </c>
      <c r="W27" s="5388" t="s">
        <v>1196</v>
      </c>
      <c r="X27" s="5388"/>
      <c r="Y27" s="5388"/>
      <c r="Z27" s="5388"/>
      <c r="AA27" s="5388"/>
      <c r="AB27" s="5388"/>
      <c r="AC27" s="2682"/>
      <c r="AD27" s="3289"/>
      <c r="AE27" s="2618"/>
      <c r="AF27" s="2619"/>
      <c r="AG27" s="2618"/>
      <c r="AH27" s="2619"/>
      <c r="AI27" s="2624"/>
      <c r="AJ27" s="2624"/>
      <c r="AK27" s="2636"/>
      <c r="AL27" s="3449"/>
      <c r="AM27" s="3449"/>
      <c r="AN27" s="3449"/>
      <c r="AO27" s="3449"/>
      <c r="AP27" s="3449"/>
      <c r="AR27" s="3449"/>
      <c r="AS27" s="3450"/>
    </row>
    <row r="28" spans="1:45" s="1430" customFormat="1" ht="27.95" customHeight="1">
      <c r="A28" s="1670"/>
      <c r="B28" s="1401"/>
      <c r="C28" s="1401"/>
      <c r="D28" s="1401"/>
      <c r="E28" s="1401"/>
      <c r="F28" s="1402"/>
      <c r="G28" s="1402"/>
      <c r="H28" s="1402"/>
      <c r="I28" s="1402"/>
      <c r="J28" s="1402"/>
      <c r="K28" s="27"/>
      <c r="M28" s="1403" t="s">
        <v>196</v>
      </c>
      <c r="N28" s="1402"/>
      <c r="O28" s="1402"/>
      <c r="P28" s="1402"/>
      <c r="Q28" s="1402"/>
      <c r="R28" s="1402"/>
      <c r="S28" s="1402"/>
      <c r="T28" s="1425"/>
      <c r="V28" s="3263"/>
      <c r="W28" s="1432" t="s">
        <v>764</v>
      </c>
      <c r="X28" s="5221" t="s">
        <v>247</v>
      </c>
      <c r="Y28" s="5221"/>
      <c r="Z28" s="5221"/>
      <c r="AA28" s="5221"/>
      <c r="AB28" s="1644"/>
      <c r="AC28" s="2682"/>
      <c r="AD28" s="2682"/>
      <c r="AE28" s="2682"/>
      <c r="AF28" s="2682"/>
      <c r="AG28" s="2682"/>
      <c r="AH28" s="2682"/>
      <c r="AI28" s="2682"/>
      <c r="AJ28" s="2682"/>
      <c r="AK28" s="2682"/>
      <c r="AL28" s="3451"/>
      <c r="AM28" s="3451"/>
      <c r="AN28" s="3451"/>
      <c r="AO28" s="3451"/>
      <c r="AP28" s="3451"/>
      <c r="AR28" s="3451"/>
      <c r="AS28" s="3452"/>
    </row>
    <row r="29" spans="1:45" ht="27.95" customHeight="1">
      <c r="A29" s="1663"/>
      <c r="B29" s="1406"/>
      <c r="C29" s="1406"/>
      <c r="D29" s="1406"/>
      <c r="E29" s="1406"/>
      <c r="F29" s="1407"/>
      <c r="G29" s="1407"/>
      <c r="H29" s="1407"/>
      <c r="I29" s="1407"/>
      <c r="J29" s="1407"/>
      <c r="K29" s="1407"/>
      <c r="L29" s="1407"/>
      <c r="M29" s="3260" t="s">
        <v>1148</v>
      </c>
      <c r="N29" s="1407"/>
      <c r="O29" s="1407"/>
      <c r="P29" s="1407"/>
      <c r="Q29" s="1407"/>
      <c r="R29" s="1407"/>
      <c r="S29" s="1407"/>
      <c r="T29" s="1408"/>
      <c r="U29" s="1408"/>
      <c r="V29" s="3263"/>
      <c r="W29" s="1432" t="s">
        <v>1149</v>
      </c>
      <c r="X29" s="5221" t="str">
        <f>W2</f>
        <v>2012 / 2013</v>
      </c>
      <c r="Y29" s="5370"/>
      <c r="Z29" s="5370"/>
      <c r="AA29" s="5370"/>
      <c r="AB29" s="1417"/>
      <c r="AC29" s="3258" t="s">
        <v>228</v>
      </c>
      <c r="AD29" s="2682"/>
      <c r="AE29" s="2682"/>
      <c r="AF29" s="2682"/>
      <c r="AG29" s="2682"/>
      <c r="AH29" s="2682"/>
      <c r="AR29" s="3445"/>
    </row>
    <row r="30" spans="1:45" ht="27.95" customHeight="1">
      <c r="A30" s="1663"/>
      <c r="B30" s="1410"/>
      <c r="C30" s="1410"/>
      <c r="D30" s="1410"/>
      <c r="E30" s="1410"/>
      <c r="F30" s="1407"/>
      <c r="G30" s="1407"/>
      <c r="H30" s="1407"/>
      <c r="I30" s="1407"/>
      <c r="J30" s="1407"/>
      <c r="K30" s="1407"/>
      <c r="M30" s="3260" t="s">
        <v>1150</v>
      </c>
      <c r="N30" s="1407"/>
      <c r="O30" s="1407"/>
      <c r="P30" s="1407"/>
      <c r="Q30" s="1407"/>
      <c r="R30" s="1407"/>
      <c r="S30" s="1407"/>
      <c r="T30" s="1433"/>
      <c r="U30" s="1433"/>
      <c r="V30" s="1434"/>
      <c r="W30" s="3281" t="s">
        <v>1523</v>
      </c>
      <c r="X30" s="5391" t="str">
        <f>W3</f>
        <v>042</v>
      </c>
      <c r="Y30" s="5223"/>
      <c r="Z30" s="5223"/>
      <c r="AA30" s="5223"/>
      <c r="AB30" s="1417"/>
      <c r="AC30" s="3258" t="s">
        <v>230</v>
      </c>
      <c r="AF30" s="2619"/>
      <c r="AG30" s="2618"/>
      <c r="AH30" s="2619"/>
      <c r="AL30" s="3453"/>
      <c r="AR30" s="3445"/>
    </row>
    <row r="31" spans="1:45" ht="27.95" customHeight="1">
      <c r="A31" s="1663"/>
      <c r="B31" s="1410"/>
      <c r="C31" s="1410"/>
      <c r="D31" s="1410"/>
      <c r="E31" s="1410"/>
      <c r="F31" s="1406"/>
      <c r="H31" s="1413"/>
      <c r="I31" s="1413"/>
      <c r="J31" s="1414"/>
      <c r="K31" s="1414"/>
      <c r="L31" s="1415" t="s">
        <v>1197</v>
      </c>
      <c r="M31" s="1415">
        <f>M4</f>
        <v>8</v>
      </c>
      <c r="N31" s="3271" t="s">
        <v>1152</v>
      </c>
      <c r="O31" s="5371" t="str">
        <f>O4</f>
        <v>AGOSTO</v>
      </c>
      <c r="P31" s="5371"/>
      <c r="Q31" s="1435" t="s">
        <v>1152</v>
      </c>
      <c r="R31" s="5371">
        <f>R4</f>
        <v>2012</v>
      </c>
      <c r="S31" s="5371"/>
      <c r="T31" s="1406"/>
      <c r="U31" s="5372" t="s">
        <v>246</v>
      </c>
      <c r="V31" s="5372"/>
      <c r="W31" s="5372"/>
      <c r="X31" s="5372"/>
      <c r="Y31" s="1436" t="s">
        <v>245</v>
      </c>
      <c r="Z31" s="1436"/>
      <c r="AA31" s="1437"/>
      <c r="AB31" s="1417"/>
      <c r="AC31" s="3258" t="s">
        <v>7</v>
      </c>
      <c r="AF31" s="2619"/>
      <c r="AG31" s="2618"/>
      <c r="AH31" s="2619"/>
      <c r="AL31" s="3453"/>
      <c r="AR31" s="3445"/>
    </row>
    <row r="32" spans="1:45" ht="27.95" customHeight="1">
      <c r="A32" s="5356" t="s">
        <v>1153</v>
      </c>
      <c r="B32" s="5356"/>
      <c r="C32" s="5356"/>
      <c r="D32" s="5389" t="s">
        <v>2318</v>
      </c>
      <c r="E32" s="5389"/>
      <c r="F32" s="5389"/>
      <c r="G32" s="5389"/>
      <c r="H32" s="5389"/>
      <c r="I32" s="5389"/>
      <c r="J32" s="5389"/>
      <c r="K32" s="5389"/>
      <c r="L32" s="3281" t="s">
        <v>1525</v>
      </c>
      <c r="M32" s="5370" t="s">
        <v>1329</v>
      </c>
      <c r="N32" s="5370"/>
      <c r="O32" s="5390" t="s">
        <v>13</v>
      </c>
      <c r="P32" s="5390"/>
      <c r="Q32" s="5370" t="s">
        <v>69</v>
      </c>
      <c r="R32" s="5370"/>
      <c r="S32" s="5370"/>
      <c r="T32" s="174"/>
      <c r="U32" s="1418" t="s">
        <v>1522</v>
      </c>
      <c r="V32" s="5221" t="str">
        <f>V5</f>
        <v>2  BENITO JUAREZ</v>
      </c>
      <c r="W32" s="5370"/>
      <c r="X32" s="5370"/>
      <c r="Y32" s="5370"/>
      <c r="Z32" s="5370"/>
      <c r="AA32" s="5370"/>
      <c r="AB32" s="5370"/>
      <c r="AC32" s="3258" t="s">
        <v>393</v>
      </c>
      <c r="AL32" s="3453"/>
      <c r="AR32" s="3445"/>
    </row>
    <row r="33" spans="1:45" s="1439" customFormat="1" ht="27.95" customHeight="1">
      <c r="A33" s="5356" t="s">
        <v>437</v>
      </c>
      <c r="B33" s="5356"/>
      <c r="C33" s="5389" t="s">
        <v>2311</v>
      </c>
      <c r="D33" s="5389"/>
      <c r="E33" s="5389"/>
      <c r="F33" s="5389"/>
      <c r="G33" s="5389"/>
      <c r="H33" s="5389"/>
      <c r="I33" s="5389"/>
      <c r="J33" s="5389"/>
      <c r="K33" s="5389"/>
      <c r="L33" s="5389"/>
      <c r="M33" s="5389"/>
      <c r="N33" s="1419"/>
      <c r="O33" s="3281" t="s">
        <v>863</v>
      </c>
      <c r="P33" s="5370" t="str">
        <f>'[1]0055K'!$I$8</f>
        <v>9981 49 34 04</v>
      </c>
      <c r="Q33" s="5370"/>
      <c r="R33" s="5370"/>
      <c r="S33" s="5370"/>
      <c r="T33" s="5370"/>
      <c r="U33" s="1420"/>
      <c r="V33" s="3281"/>
      <c r="W33" s="3281" t="s">
        <v>1524</v>
      </c>
      <c r="X33" s="5358" t="str">
        <f>X6</f>
        <v>8  DE  AGOSTO  DE  2012</v>
      </c>
      <c r="Y33" s="5358"/>
      <c r="Z33" s="5358"/>
      <c r="AA33" s="5358"/>
      <c r="AB33" s="5358"/>
      <c r="AC33" s="5331" t="str">
        <f>D32</f>
        <v>KABAH</v>
      </c>
      <c r="AD33" s="5331"/>
      <c r="AE33" s="5331"/>
      <c r="AF33" s="5331"/>
      <c r="AG33" s="5331"/>
      <c r="AH33" s="5331"/>
      <c r="AI33" s="5332" t="str">
        <f>M32</f>
        <v>23DPR0055K</v>
      </c>
      <c r="AJ33" s="5332"/>
      <c r="AK33" s="5332"/>
      <c r="AL33" s="3453"/>
      <c r="AM33" s="3454"/>
      <c r="AN33" s="3446"/>
      <c r="AO33" s="3446"/>
      <c r="AP33" s="3446"/>
      <c r="AR33" s="3446"/>
      <c r="AS33" s="2166"/>
    </row>
    <row r="34" spans="1:45" s="1441" customFormat="1" ht="9.9499999999999993" customHeight="1">
      <c r="A34" s="1421"/>
      <c r="B34" s="1422"/>
      <c r="C34" s="1422"/>
      <c r="D34" s="3261"/>
      <c r="E34" s="3261"/>
      <c r="F34" s="3261"/>
      <c r="G34" s="3261"/>
      <c r="H34" s="3261"/>
      <c r="I34" s="3261"/>
      <c r="J34" s="3261"/>
      <c r="K34" s="3261"/>
      <c r="L34" s="3261"/>
      <c r="M34" s="1421"/>
      <c r="N34" s="1423"/>
      <c r="O34" s="1423"/>
      <c r="P34" s="1423"/>
      <c r="Q34" s="1424"/>
      <c r="R34" s="1423"/>
      <c r="S34" s="1423"/>
      <c r="T34" s="1422"/>
      <c r="U34" s="1422"/>
      <c r="V34" s="3261"/>
      <c r="W34" s="3261"/>
      <c r="X34" s="3261"/>
      <c r="Y34" s="3261"/>
      <c r="Z34" s="1422"/>
      <c r="AA34" s="1422"/>
      <c r="AB34" s="1422"/>
      <c r="AC34" s="2682"/>
      <c r="AD34" s="3289"/>
      <c r="AE34" s="2618"/>
      <c r="AF34" s="2619"/>
      <c r="AG34" s="2618"/>
      <c r="AH34" s="2619"/>
      <c r="AI34" s="1444"/>
      <c r="AJ34" s="1444"/>
      <c r="AK34" s="2636"/>
      <c r="AL34" s="3445"/>
      <c r="AM34" s="3445"/>
      <c r="AN34" s="3445"/>
      <c r="AO34" s="3445"/>
      <c r="AP34" s="3445"/>
      <c r="AR34" s="3445"/>
      <c r="AS34" s="108"/>
    </row>
    <row r="35" spans="1:45" s="1442" customFormat="1" ht="27.95" customHeight="1">
      <c r="A35" s="5359" t="s">
        <v>1160</v>
      </c>
      <c r="B35" s="5359" t="s">
        <v>1954</v>
      </c>
      <c r="C35" s="5359"/>
      <c r="D35" s="5359"/>
      <c r="E35" s="5359"/>
      <c r="F35" s="5359"/>
      <c r="G35" s="5359"/>
      <c r="H35" s="5359" t="s">
        <v>1161</v>
      </c>
      <c r="I35" s="5359"/>
      <c r="J35" s="5359" t="s">
        <v>212</v>
      </c>
      <c r="K35" s="5359" t="s">
        <v>1162</v>
      </c>
      <c r="L35" s="5359" t="s">
        <v>1163</v>
      </c>
      <c r="M35" s="5359"/>
      <c r="N35" s="5386" t="s">
        <v>1164</v>
      </c>
      <c r="O35" s="5386"/>
      <c r="P35" s="5359" t="s">
        <v>1165</v>
      </c>
      <c r="Q35" s="5359"/>
      <c r="R35" s="5359" t="s">
        <v>1166</v>
      </c>
      <c r="S35" s="5359"/>
      <c r="T35" s="5359" t="s">
        <v>1167</v>
      </c>
      <c r="U35" s="5359" t="s">
        <v>1168</v>
      </c>
      <c r="V35" s="5359"/>
      <c r="W35" s="5359" t="s">
        <v>1169</v>
      </c>
      <c r="X35" s="5359"/>
      <c r="Y35" s="5359" t="s">
        <v>3</v>
      </c>
      <c r="Z35" s="5359" t="s">
        <v>4</v>
      </c>
      <c r="AA35" s="5359" t="s">
        <v>28</v>
      </c>
      <c r="AB35" s="5359"/>
      <c r="AC35" s="5340" t="s">
        <v>1126</v>
      </c>
      <c r="AD35" s="5340"/>
      <c r="AE35" s="5341" t="s">
        <v>423</v>
      </c>
      <c r="AF35" s="5341"/>
      <c r="AG35" s="5343" t="s">
        <v>434</v>
      </c>
      <c r="AH35" s="5343"/>
      <c r="AI35" s="5333" t="s">
        <v>1942</v>
      </c>
      <c r="AJ35" s="5333"/>
      <c r="AK35" s="2625" t="s">
        <v>1639</v>
      </c>
      <c r="AL35" s="5328" t="s">
        <v>2509</v>
      </c>
      <c r="AM35" s="5329"/>
      <c r="AN35" s="5329"/>
      <c r="AO35" s="5329"/>
      <c r="AP35" s="5329"/>
      <c r="AQ35" s="5329"/>
      <c r="AR35" s="5330"/>
    </row>
    <row r="36" spans="1:45" s="1442" customFormat="1" ht="27.95" customHeight="1">
      <c r="A36" s="5359"/>
      <c r="B36" s="5359"/>
      <c r="C36" s="5359"/>
      <c r="D36" s="5359"/>
      <c r="E36" s="5359"/>
      <c r="F36" s="5359"/>
      <c r="G36" s="5359"/>
      <c r="H36" s="3294" t="s">
        <v>407</v>
      </c>
      <c r="I36" s="3294" t="s">
        <v>403</v>
      </c>
      <c r="J36" s="5359"/>
      <c r="K36" s="5359"/>
      <c r="L36" s="5359"/>
      <c r="M36" s="5359"/>
      <c r="N36" s="5386"/>
      <c r="O36" s="5386"/>
      <c r="P36" s="3294" t="s">
        <v>1170</v>
      </c>
      <c r="Q36" s="3294" t="s">
        <v>1171</v>
      </c>
      <c r="R36" s="3294" t="s">
        <v>1172</v>
      </c>
      <c r="S36" s="3294" t="s">
        <v>1173</v>
      </c>
      <c r="T36" s="5359"/>
      <c r="U36" s="5359"/>
      <c r="V36" s="5359"/>
      <c r="W36" s="5359"/>
      <c r="X36" s="5359"/>
      <c r="Y36" s="5359"/>
      <c r="Z36" s="5359"/>
      <c r="AA36" s="5359"/>
      <c r="AB36" s="5359"/>
      <c r="AC36" s="3295" t="s">
        <v>406</v>
      </c>
      <c r="AD36" s="2686" t="s">
        <v>407</v>
      </c>
      <c r="AE36" s="2626" t="s">
        <v>406</v>
      </c>
      <c r="AF36" s="3296" t="s">
        <v>407</v>
      </c>
      <c r="AG36" s="2626" t="s">
        <v>406</v>
      </c>
      <c r="AH36" s="3296" t="s">
        <v>407</v>
      </c>
      <c r="AI36" s="2626" t="s">
        <v>406</v>
      </c>
      <c r="AJ36" s="3296" t="s">
        <v>407</v>
      </c>
      <c r="AK36" s="2627" t="s">
        <v>1640</v>
      </c>
      <c r="AL36" s="3455" t="s">
        <v>393</v>
      </c>
      <c r="AM36" s="3463" t="s">
        <v>8</v>
      </c>
      <c r="AN36" s="3456" t="s">
        <v>347</v>
      </c>
      <c r="AO36" s="3456" t="s">
        <v>348</v>
      </c>
      <c r="AP36" s="3456" t="s">
        <v>2062</v>
      </c>
      <c r="AQ36" s="3457" t="s">
        <v>2081</v>
      </c>
      <c r="AR36" s="3456" t="s">
        <v>2510</v>
      </c>
    </row>
    <row r="37" spans="1:45" s="1443" customFormat="1" ht="27.95" customHeight="1">
      <c r="A37" s="3386">
        <v>1</v>
      </c>
      <c r="B37" s="3405" t="s">
        <v>2561</v>
      </c>
      <c r="C37" s="2147"/>
      <c r="D37" s="2147"/>
      <c r="E37" s="2147"/>
      <c r="F37" s="2147"/>
      <c r="G37" s="2149"/>
      <c r="H37" s="3386"/>
      <c r="I37" s="3386" t="s">
        <v>78</v>
      </c>
      <c r="J37" s="3406" t="s">
        <v>1369</v>
      </c>
      <c r="K37" s="3407" t="s">
        <v>2450</v>
      </c>
      <c r="L37" s="3671" t="s">
        <v>93</v>
      </c>
      <c r="M37" s="3672"/>
      <c r="N37" s="5350"/>
      <c r="O37" s="5350"/>
      <c r="P37" s="3293"/>
      <c r="Q37" s="3293"/>
      <c r="R37" s="3293"/>
      <c r="S37" s="2681" t="s">
        <v>2204</v>
      </c>
      <c r="T37" s="3386" t="s">
        <v>689</v>
      </c>
      <c r="U37" s="5350">
        <v>10</v>
      </c>
      <c r="V37" s="5350"/>
      <c r="W37" s="5394" t="s">
        <v>1370</v>
      </c>
      <c r="X37" s="5394"/>
      <c r="Y37" s="3286"/>
      <c r="Z37" s="3286"/>
      <c r="AA37" s="5395">
        <f>AC37+AD37+AE37+AF37-AG37-AH37</f>
        <v>0</v>
      </c>
      <c r="AB37" s="5396"/>
      <c r="AC37" s="2682"/>
      <c r="AD37" s="3289"/>
      <c r="AE37" s="2628"/>
      <c r="AF37" s="2629"/>
      <c r="AG37" s="2628"/>
      <c r="AH37" s="2629"/>
      <c r="AI37" s="2628"/>
      <c r="AJ37" s="2629"/>
      <c r="AK37" s="2670">
        <f>SUM(AC37:AD37)</f>
        <v>0</v>
      </c>
      <c r="AL37" s="3464"/>
      <c r="AM37" s="3448"/>
      <c r="AN37" s="3448"/>
      <c r="AO37" s="3448"/>
      <c r="AP37" s="3448"/>
      <c r="AQ37" s="3448"/>
      <c r="AR37" s="3458" t="e">
        <f>SUM(AM37:AQ37)/AS37</f>
        <v>#DIV/0!</v>
      </c>
      <c r="AS37" s="3459">
        <f>COUNTA(AM37:AQ37)</f>
        <v>0</v>
      </c>
    </row>
    <row r="38" spans="1:45" s="1443" customFormat="1" ht="27.95" customHeight="1">
      <c r="A38" s="3386">
        <v>2</v>
      </c>
      <c r="B38" s="3405" t="s">
        <v>2567</v>
      </c>
      <c r="C38" s="2147"/>
      <c r="D38" s="3408"/>
      <c r="E38" s="3409"/>
      <c r="F38" s="3409"/>
      <c r="G38" s="3410"/>
      <c r="H38" s="3636"/>
      <c r="I38" s="3636" t="s">
        <v>78</v>
      </c>
      <c r="J38" s="3406" t="s">
        <v>1208</v>
      </c>
      <c r="K38" s="3407" t="s">
        <v>2456</v>
      </c>
      <c r="L38" s="3673" t="s">
        <v>390</v>
      </c>
      <c r="M38" s="3672"/>
      <c r="N38" s="5350"/>
      <c r="O38" s="5350"/>
      <c r="P38" s="2680"/>
      <c r="Q38" s="3647"/>
      <c r="R38" s="3647" t="s">
        <v>79</v>
      </c>
      <c r="S38" s="2873" t="s">
        <v>2113</v>
      </c>
      <c r="T38" s="3636"/>
      <c r="U38" s="5350">
        <v>10</v>
      </c>
      <c r="V38" s="5350"/>
      <c r="W38" s="5351" t="s">
        <v>1209</v>
      </c>
      <c r="X38" s="5351"/>
      <c r="Y38" s="3286" t="s">
        <v>765</v>
      </c>
      <c r="Z38" s="3286" t="s">
        <v>228</v>
      </c>
      <c r="AA38" s="5392">
        <f>AC38+AD38+AE38+AF38-AG38-AH38</f>
        <v>29</v>
      </c>
      <c r="AB38" s="5393"/>
      <c r="AC38" s="2682">
        <v>17</v>
      </c>
      <c r="AD38" s="3289">
        <v>13</v>
      </c>
      <c r="AE38" s="2628">
        <v>1</v>
      </c>
      <c r="AF38" s="2629">
        <v>1</v>
      </c>
      <c r="AG38" s="2628">
        <v>2</v>
      </c>
      <c r="AH38" s="2629">
        <v>1</v>
      </c>
      <c r="AI38" s="2628"/>
      <c r="AJ38" s="2629"/>
      <c r="AK38" s="2671">
        <f>SUM(AC38:AD38)</f>
        <v>30</v>
      </c>
      <c r="AL38" s="3464">
        <v>0</v>
      </c>
      <c r="AM38" s="3448">
        <v>6.5</v>
      </c>
      <c r="AN38" s="3448"/>
      <c r="AO38" s="3448"/>
      <c r="AP38" s="3448"/>
      <c r="AQ38" s="3448"/>
      <c r="AR38" s="3458">
        <f>SUM(AM38:AQ38)/AS38</f>
        <v>6.5</v>
      </c>
      <c r="AS38" s="3459">
        <f t="shared" ref="AS38:AS63" si="0">COUNTA(AM38:AQ38)</f>
        <v>1</v>
      </c>
    </row>
    <row r="39" spans="1:45" s="1443" customFormat="1" ht="27.95" customHeight="1">
      <c r="A39" s="3554">
        <v>3</v>
      </c>
      <c r="B39" s="3405" t="s">
        <v>2564</v>
      </c>
      <c r="C39" s="2147"/>
      <c r="D39" s="3408"/>
      <c r="E39" s="3409"/>
      <c r="F39" s="3409"/>
      <c r="G39" s="3410"/>
      <c r="H39" s="3636"/>
      <c r="I39" s="3636" t="s">
        <v>78</v>
      </c>
      <c r="J39" s="3406" t="s">
        <v>1212</v>
      </c>
      <c r="K39" s="3407" t="s">
        <v>2453</v>
      </c>
      <c r="L39" s="3673" t="s">
        <v>390</v>
      </c>
      <c r="M39" s="3672"/>
      <c r="N39" s="5350"/>
      <c r="O39" s="5350"/>
      <c r="P39" s="2680"/>
      <c r="Q39" s="3647"/>
      <c r="R39" s="3647" t="s">
        <v>79</v>
      </c>
      <c r="S39" s="2873" t="s">
        <v>2110</v>
      </c>
      <c r="T39" s="3636" t="s">
        <v>680</v>
      </c>
      <c r="U39" s="5350">
        <v>10</v>
      </c>
      <c r="V39" s="5350"/>
      <c r="W39" s="5351" t="s">
        <v>1213</v>
      </c>
      <c r="X39" s="5351"/>
      <c r="Y39" s="3286" t="s">
        <v>765</v>
      </c>
      <c r="Z39" s="3286" t="s">
        <v>230</v>
      </c>
      <c r="AA39" s="5392">
        <f t="shared" ref="AA39:AA62" si="1">AC39+AD39+AE39+AF39-AG39-AH39</f>
        <v>27</v>
      </c>
      <c r="AB39" s="5393"/>
      <c r="AC39" s="2682">
        <v>15</v>
      </c>
      <c r="AD39" s="3289">
        <v>12</v>
      </c>
      <c r="AE39" s="2628"/>
      <c r="AF39" s="2629">
        <v>3</v>
      </c>
      <c r="AG39" s="2628">
        <v>1</v>
      </c>
      <c r="AH39" s="2629">
        <v>2</v>
      </c>
      <c r="AI39" s="2628"/>
      <c r="AJ39" s="2629"/>
      <c r="AK39" s="2671">
        <f>SUM(AC39:AD39)</f>
        <v>27</v>
      </c>
      <c r="AL39" s="3464">
        <v>7</v>
      </c>
      <c r="AM39" s="3448">
        <v>6.5</v>
      </c>
      <c r="AN39" s="3448"/>
      <c r="AO39" s="3448"/>
      <c r="AP39" s="3448"/>
      <c r="AQ39" s="3448"/>
      <c r="AR39" s="3458">
        <f t="shared" ref="AR39:AR50" si="2">SUM(AM39:AQ39)/AS39</f>
        <v>6.5</v>
      </c>
      <c r="AS39" s="3459">
        <f t="shared" si="0"/>
        <v>1</v>
      </c>
    </row>
    <row r="40" spans="1:45" s="1443" customFormat="1" ht="27.95" customHeight="1">
      <c r="A40" s="3386">
        <v>4</v>
      </c>
      <c r="B40" s="3405" t="s">
        <v>2562</v>
      </c>
      <c r="C40" s="2147"/>
      <c r="D40" s="3408"/>
      <c r="E40" s="3409"/>
      <c r="F40" s="3409"/>
      <c r="G40" s="3410"/>
      <c r="H40" s="3636"/>
      <c r="I40" s="3636" t="s">
        <v>78</v>
      </c>
      <c r="J40" s="3406" t="s">
        <v>1204</v>
      </c>
      <c r="K40" s="3407" t="s">
        <v>2451</v>
      </c>
      <c r="L40" s="3673" t="s">
        <v>390</v>
      </c>
      <c r="M40" s="3672"/>
      <c r="N40" s="5350"/>
      <c r="O40" s="5350"/>
      <c r="P40" s="2680"/>
      <c r="Q40" s="3647"/>
      <c r="R40" s="3647" t="s">
        <v>79</v>
      </c>
      <c r="S40" s="2873" t="s">
        <v>2108</v>
      </c>
      <c r="T40" s="3636" t="s">
        <v>680</v>
      </c>
      <c r="U40" s="5350">
        <v>10</v>
      </c>
      <c r="V40" s="5350"/>
      <c r="W40" s="5351" t="s">
        <v>1205</v>
      </c>
      <c r="X40" s="5351"/>
      <c r="Y40" s="3286" t="s">
        <v>766</v>
      </c>
      <c r="Z40" s="3286" t="s">
        <v>228</v>
      </c>
      <c r="AA40" s="5392">
        <f t="shared" si="1"/>
        <v>31</v>
      </c>
      <c r="AB40" s="5393"/>
      <c r="AC40" s="2682">
        <v>18</v>
      </c>
      <c r="AD40" s="3289">
        <v>17</v>
      </c>
      <c r="AE40" s="2628"/>
      <c r="AF40" s="2629"/>
      <c r="AG40" s="2628">
        <v>2</v>
      </c>
      <c r="AH40" s="2629">
        <v>2</v>
      </c>
      <c r="AI40" s="2628"/>
      <c r="AJ40" s="2629"/>
      <c r="AK40" s="2671">
        <f t="shared" ref="AK40:AK102" si="3">SUM(AC40:AD40)</f>
        <v>35</v>
      </c>
      <c r="AL40" s="3464">
        <v>8</v>
      </c>
      <c r="AM40" s="3448">
        <v>7.2</v>
      </c>
      <c r="AN40" s="3448"/>
      <c r="AO40" s="3448"/>
      <c r="AP40" s="3448"/>
      <c r="AQ40" s="3448"/>
      <c r="AR40" s="3458">
        <f t="shared" si="2"/>
        <v>7.2</v>
      </c>
      <c r="AS40" s="3459">
        <f t="shared" si="0"/>
        <v>1</v>
      </c>
    </row>
    <row r="41" spans="1:45" s="1443" customFormat="1" ht="27.95" customHeight="1">
      <c r="A41" s="3386">
        <v>5</v>
      </c>
      <c r="B41" s="3405" t="s">
        <v>2568</v>
      </c>
      <c r="C41" s="2147"/>
      <c r="D41" s="3408"/>
      <c r="E41" s="3409"/>
      <c r="F41" s="3409"/>
      <c r="G41" s="3410"/>
      <c r="H41" s="3636"/>
      <c r="I41" s="3636" t="s">
        <v>78</v>
      </c>
      <c r="J41" s="3406" t="s">
        <v>1210</v>
      </c>
      <c r="K41" s="3407" t="s">
        <v>2457</v>
      </c>
      <c r="L41" s="3673" t="s">
        <v>390</v>
      </c>
      <c r="M41" s="3672"/>
      <c r="N41" s="5350"/>
      <c r="O41" s="5350"/>
      <c r="P41" s="2680"/>
      <c r="Q41" s="3647"/>
      <c r="R41" s="3647" t="s">
        <v>79</v>
      </c>
      <c r="S41" s="2873" t="s">
        <v>2114</v>
      </c>
      <c r="T41" s="3636"/>
      <c r="U41" s="5350">
        <v>10</v>
      </c>
      <c r="V41" s="5350"/>
      <c r="W41" s="5351" t="s">
        <v>1211</v>
      </c>
      <c r="X41" s="5351"/>
      <c r="Y41" s="3286" t="s">
        <v>766</v>
      </c>
      <c r="Z41" s="3286" t="s">
        <v>230</v>
      </c>
      <c r="AA41" s="5392">
        <f t="shared" si="1"/>
        <v>33</v>
      </c>
      <c r="AB41" s="5393"/>
      <c r="AC41" s="2682">
        <v>21</v>
      </c>
      <c r="AD41" s="3289">
        <v>12</v>
      </c>
      <c r="AE41" s="2628">
        <v>1</v>
      </c>
      <c r="AF41" s="2629">
        <v>3</v>
      </c>
      <c r="AG41" s="2628">
        <v>2</v>
      </c>
      <c r="AH41" s="2629">
        <v>2</v>
      </c>
      <c r="AI41" s="2628"/>
      <c r="AJ41" s="2629"/>
      <c r="AK41" s="2671">
        <f t="shared" si="3"/>
        <v>33</v>
      </c>
      <c r="AL41" s="3464">
        <v>7</v>
      </c>
      <c r="AM41" s="3448">
        <v>6.8</v>
      </c>
      <c r="AN41" s="3448"/>
      <c r="AO41" s="3448"/>
      <c r="AP41" s="3448"/>
      <c r="AQ41" s="3448"/>
      <c r="AR41" s="3458">
        <f t="shared" si="2"/>
        <v>6.8</v>
      </c>
      <c r="AS41" s="3459">
        <f t="shared" si="0"/>
        <v>1</v>
      </c>
    </row>
    <row r="42" spans="1:45" s="1443" customFormat="1" ht="27.95" customHeight="1">
      <c r="A42" s="3386">
        <v>6</v>
      </c>
      <c r="B42" s="3405" t="s">
        <v>2570</v>
      </c>
      <c r="C42" s="2147"/>
      <c r="D42" s="3408"/>
      <c r="E42" s="3409"/>
      <c r="F42" s="3409"/>
      <c r="G42" s="3410"/>
      <c r="H42" s="3636"/>
      <c r="I42" s="3636" t="s">
        <v>78</v>
      </c>
      <c r="J42" s="3406" t="s">
        <v>1222</v>
      </c>
      <c r="K42" s="3407" t="s">
        <v>2459</v>
      </c>
      <c r="L42" s="3673" t="s">
        <v>390</v>
      </c>
      <c r="M42" s="3672"/>
      <c r="N42" s="5350"/>
      <c r="O42" s="5350"/>
      <c r="P42" s="2680"/>
      <c r="Q42" s="3647"/>
      <c r="R42" s="3647" t="s">
        <v>79</v>
      </c>
      <c r="S42" s="2873" t="s">
        <v>2116</v>
      </c>
      <c r="T42" s="3636" t="s">
        <v>680</v>
      </c>
      <c r="U42" s="5350">
        <v>10</v>
      </c>
      <c r="V42" s="5350"/>
      <c r="W42" s="5351" t="s">
        <v>1223</v>
      </c>
      <c r="X42" s="5351"/>
      <c r="Y42" s="3286" t="s">
        <v>767</v>
      </c>
      <c r="Z42" s="3286" t="s">
        <v>228</v>
      </c>
      <c r="AA42" s="5392">
        <f t="shared" si="1"/>
        <v>24</v>
      </c>
      <c r="AB42" s="5393"/>
      <c r="AC42" s="2682">
        <v>11</v>
      </c>
      <c r="AD42" s="3289">
        <v>17</v>
      </c>
      <c r="AE42" s="2628"/>
      <c r="AF42" s="2629">
        <v>1</v>
      </c>
      <c r="AG42" s="2628">
        <v>1</v>
      </c>
      <c r="AH42" s="2629">
        <v>4</v>
      </c>
      <c r="AI42" s="2628"/>
      <c r="AJ42" s="2629"/>
      <c r="AK42" s="2671">
        <f t="shared" si="3"/>
        <v>28</v>
      </c>
      <c r="AL42" s="3464">
        <v>4</v>
      </c>
      <c r="AM42" s="3448">
        <v>6.2</v>
      </c>
      <c r="AN42" s="3448"/>
      <c r="AO42" s="3448"/>
      <c r="AP42" s="3448"/>
      <c r="AQ42" s="3448"/>
      <c r="AR42" s="3458">
        <f t="shared" si="2"/>
        <v>6.2</v>
      </c>
      <c r="AS42" s="3459">
        <f t="shared" si="0"/>
        <v>1</v>
      </c>
    </row>
    <row r="43" spans="1:45" s="1443" customFormat="1" ht="27.95" customHeight="1">
      <c r="A43" s="3386">
        <v>7</v>
      </c>
      <c r="B43" s="3405" t="s">
        <v>2566</v>
      </c>
      <c r="C43" s="2147"/>
      <c r="D43" s="3408"/>
      <c r="E43" s="3409"/>
      <c r="F43" s="3409"/>
      <c r="G43" s="3410"/>
      <c r="H43" s="3386"/>
      <c r="I43" s="3386" t="s">
        <v>78</v>
      </c>
      <c r="J43" s="3406" t="s">
        <v>1206</v>
      </c>
      <c r="K43" s="3407" t="s">
        <v>2455</v>
      </c>
      <c r="L43" s="3673" t="s">
        <v>390</v>
      </c>
      <c r="M43" s="3672"/>
      <c r="N43" s="5350"/>
      <c r="O43" s="5350"/>
      <c r="P43" s="2680"/>
      <c r="Q43" s="3293"/>
      <c r="R43" s="3293" t="s">
        <v>79</v>
      </c>
      <c r="S43" s="2873" t="s">
        <v>2112</v>
      </c>
      <c r="T43" s="3386" t="s">
        <v>680</v>
      </c>
      <c r="U43" s="5350">
        <v>10</v>
      </c>
      <c r="V43" s="5350"/>
      <c r="W43" s="5351" t="s">
        <v>1207</v>
      </c>
      <c r="X43" s="5351"/>
      <c r="Y43" s="3286" t="s">
        <v>767</v>
      </c>
      <c r="Z43" s="3286" t="s">
        <v>230</v>
      </c>
      <c r="AA43" s="5392">
        <f t="shared" si="1"/>
        <v>33</v>
      </c>
      <c r="AB43" s="5393"/>
      <c r="AC43" s="2682">
        <v>18</v>
      </c>
      <c r="AD43" s="3289">
        <v>16</v>
      </c>
      <c r="AE43" s="2628"/>
      <c r="AF43" s="2629"/>
      <c r="AG43" s="2628"/>
      <c r="AH43" s="2629">
        <v>1</v>
      </c>
      <c r="AI43" s="2628"/>
      <c r="AJ43" s="2629"/>
      <c r="AK43" s="2671">
        <f t="shared" si="3"/>
        <v>34</v>
      </c>
      <c r="AL43" s="3464">
        <v>7</v>
      </c>
      <c r="AM43" s="3448">
        <v>6</v>
      </c>
      <c r="AN43" s="3448"/>
      <c r="AO43" s="3448"/>
      <c r="AP43" s="3448"/>
      <c r="AQ43" s="3448"/>
      <c r="AR43" s="3458">
        <f t="shared" si="2"/>
        <v>6</v>
      </c>
      <c r="AS43" s="3459">
        <f t="shared" si="0"/>
        <v>1</v>
      </c>
    </row>
    <row r="44" spans="1:45" s="1443" customFormat="1" ht="27.95" customHeight="1">
      <c r="A44" s="3386">
        <v>8</v>
      </c>
      <c r="B44" s="3405" t="s">
        <v>2565</v>
      </c>
      <c r="C44" s="2147"/>
      <c r="D44" s="3408"/>
      <c r="E44" s="3409"/>
      <c r="F44" s="3409"/>
      <c r="G44" s="3410"/>
      <c r="H44" s="3636"/>
      <c r="I44" s="3636" t="s">
        <v>78</v>
      </c>
      <c r="J44" s="3406" t="s">
        <v>1214</v>
      </c>
      <c r="K44" s="3407" t="s">
        <v>2454</v>
      </c>
      <c r="L44" s="3673" t="s">
        <v>390</v>
      </c>
      <c r="M44" s="3672"/>
      <c r="N44" s="5350" t="s">
        <v>1215</v>
      </c>
      <c r="O44" s="5350"/>
      <c r="P44" s="2680"/>
      <c r="Q44" s="3647"/>
      <c r="R44" s="3647" t="s">
        <v>79</v>
      </c>
      <c r="S44" s="2873" t="s">
        <v>2111</v>
      </c>
      <c r="T44" s="3636" t="s">
        <v>680</v>
      </c>
      <c r="U44" s="5350">
        <v>10</v>
      </c>
      <c r="V44" s="5350"/>
      <c r="W44" s="5351" t="s">
        <v>1216</v>
      </c>
      <c r="X44" s="5351"/>
      <c r="Y44" s="3286" t="s">
        <v>771</v>
      </c>
      <c r="Z44" s="3286" t="s">
        <v>228</v>
      </c>
      <c r="AA44" s="5392">
        <f>AC44+AD44+AE44+AF44-AG44-AH44</f>
        <v>31</v>
      </c>
      <c r="AB44" s="5393"/>
      <c r="AC44" s="2682">
        <v>18</v>
      </c>
      <c r="AD44" s="3289">
        <v>17</v>
      </c>
      <c r="AE44" s="2628"/>
      <c r="AF44" s="2629"/>
      <c r="AG44" s="2628">
        <v>3</v>
      </c>
      <c r="AH44" s="2629">
        <v>1</v>
      </c>
      <c r="AI44" s="2628"/>
      <c r="AJ44" s="2629"/>
      <c r="AK44" s="2671">
        <f t="shared" si="3"/>
        <v>35</v>
      </c>
      <c r="AL44" s="3464"/>
      <c r="AM44" s="3448">
        <v>6.1</v>
      </c>
      <c r="AN44" s="3448"/>
      <c r="AO44" s="3448"/>
      <c r="AP44" s="3448"/>
      <c r="AQ44" s="3448"/>
      <c r="AR44" s="3458">
        <f t="shared" si="2"/>
        <v>6.1</v>
      </c>
      <c r="AS44" s="3459">
        <f t="shared" si="0"/>
        <v>1</v>
      </c>
    </row>
    <row r="45" spans="1:45" s="1444" customFormat="1" ht="27.95" customHeight="1">
      <c r="A45" s="3386">
        <v>9</v>
      </c>
      <c r="B45" s="3405" t="s">
        <v>2571</v>
      </c>
      <c r="C45" s="2147"/>
      <c r="D45" s="3408"/>
      <c r="E45" s="3409"/>
      <c r="F45" s="3409"/>
      <c r="G45" s="3410"/>
      <c r="H45" s="3636"/>
      <c r="I45" s="3636" t="s">
        <v>78</v>
      </c>
      <c r="J45" s="3406" t="s">
        <v>1219</v>
      </c>
      <c r="K45" s="3407" t="s">
        <v>2460</v>
      </c>
      <c r="L45" s="3673" t="s">
        <v>390</v>
      </c>
      <c r="M45" s="3672"/>
      <c r="N45" s="5350" t="s">
        <v>1220</v>
      </c>
      <c r="O45" s="5350"/>
      <c r="P45" s="2680"/>
      <c r="Q45" s="3647"/>
      <c r="R45" s="3647" t="s">
        <v>79</v>
      </c>
      <c r="S45" s="2873" t="s">
        <v>2117</v>
      </c>
      <c r="T45" s="3636" t="s">
        <v>680</v>
      </c>
      <c r="U45" s="5350">
        <v>10</v>
      </c>
      <c r="V45" s="5350"/>
      <c r="W45" s="5351" t="s">
        <v>1221</v>
      </c>
      <c r="X45" s="5351"/>
      <c r="Y45" s="3286" t="s">
        <v>771</v>
      </c>
      <c r="Z45" s="3286" t="s">
        <v>230</v>
      </c>
      <c r="AA45" s="5392">
        <f t="shared" si="1"/>
        <v>29</v>
      </c>
      <c r="AB45" s="5393"/>
      <c r="AC45" s="2682">
        <v>17</v>
      </c>
      <c r="AD45" s="3289">
        <v>16</v>
      </c>
      <c r="AE45" s="2628"/>
      <c r="AF45" s="2629">
        <v>1</v>
      </c>
      <c r="AG45" s="2628">
        <v>3</v>
      </c>
      <c r="AH45" s="2629">
        <v>2</v>
      </c>
      <c r="AI45" s="2628"/>
      <c r="AJ45" s="2629"/>
      <c r="AK45" s="2671">
        <f t="shared" si="3"/>
        <v>33</v>
      </c>
      <c r="AL45" s="3464"/>
      <c r="AM45" s="3448">
        <v>6.9</v>
      </c>
      <c r="AN45" s="3448"/>
      <c r="AO45" s="3448"/>
      <c r="AP45" s="3448"/>
      <c r="AQ45" s="3448"/>
      <c r="AR45" s="3458">
        <f t="shared" si="2"/>
        <v>6.9</v>
      </c>
      <c r="AS45" s="3459">
        <f t="shared" si="0"/>
        <v>1</v>
      </c>
    </row>
    <row r="46" spans="1:45" s="1444" customFormat="1" ht="27.95" customHeight="1">
      <c r="A46" s="3386">
        <v>10</v>
      </c>
      <c r="B46" s="3405" t="s">
        <v>2569</v>
      </c>
      <c r="C46" s="2147"/>
      <c r="D46" s="3408"/>
      <c r="E46" s="3409"/>
      <c r="F46" s="3409"/>
      <c r="G46" s="3410"/>
      <c r="H46" s="3386" t="s">
        <v>78</v>
      </c>
      <c r="I46" s="3386"/>
      <c r="J46" s="3406" t="s">
        <v>1217</v>
      </c>
      <c r="K46" s="3407" t="s">
        <v>2458</v>
      </c>
      <c r="L46" s="3673" t="s">
        <v>390</v>
      </c>
      <c r="M46" s="3672"/>
      <c r="N46" s="5350"/>
      <c r="O46" s="5350"/>
      <c r="P46" s="2680"/>
      <c r="Q46" s="3293"/>
      <c r="R46" s="3293" t="s">
        <v>79</v>
      </c>
      <c r="S46" s="2873" t="s">
        <v>2115</v>
      </c>
      <c r="T46" s="3386"/>
      <c r="U46" s="5350">
        <v>10</v>
      </c>
      <c r="V46" s="5350"/>
      <c r="W46" s="5351" t="s">
        <v>1218</v>
      </c>
      <c r="X46" s="5351"/>
      <c r="Y46" s="3286" t="s">
        <v>772</v>
      </c>
      <c r="Z46" s="3286" t="s">
        <v>228</v>
      </c>
      <c r="AA46" s="5392">
        <f t="shared" si="1"/>
        <v>27</v>
      </c>
      <c r="AB46" s="5393"/>
      <c r="AC46" s="2682">
        <v>23</v>
      </c>
      <c r="AD46" s="3289">
        <v>10</v>
      </c>
      <c r="AE46" s="2628"/>
      <c r="AF46" s="2629"/>
      <c r="AG46" s="2628">
        <v>4</v>
      </c>
      <c r="AH46" s="2629">
        <v>2</v>
      </c>
      <c r="AI46" s="2628"/>
      <c r="AJ46" s="2629"/>
      <c r="AK46" s="2671">
        <f t="shared" si="3"/>
        <v>33</v>
      </c>
      <c r="AL46" s="3464"/>
      <c r="AM46" s="3448">
        <v>6.5</v>
      </c>
      <c r="AN46" s="3448"/>
      <c r="AO46" s="3448"/>
      <c r="AP46" s="3448"/>
      <c r="AQ46" s="3448"/>
      <c r="AR46" s="3458">
        <f t="shared" si="2"/>
        <v>6.5</v>
      </c>
      <c r="AS46" s="3459">
        <f t="shared" si="0"/>
        <v>1</v>
      </c>
    </row>
    <row r="47" spans="1:45" s="1444" customFormat="1" ht="27.95" customHeight="1">
      <c r="A47" s="3386">
        <v>11</v>
      </c>
      <c r="B47" s="3555" t="s">
        <v>2640</v>
      </c>
      <c r="C47" s="1451"/>
      <c r="D47" s="3556"/>
      <c r="E47" s="3557"/>
      <c r="F47" s="3557"/>
      <c r="G47" s="3558"/>
      <c r="H47" s="3635"/>
      <c r="I47" s="3635" t="s">
        <v>78</v>
      </c>
      <c r="J47" s="3559" t="s">
        <v>2641</v>
      </c>
      <c r="K47" s="3560" t="s">
        <v>2642</v>
      </c>
      <c r="L47" s="3674" t="s">
        <v>390</v>
      </c>
      <c r="M47" s="3675"/>
      <c r="N47" s="5397"/>
      <c r="O47" s="5397"/>
      <c r="P47" s="3429"/>
      <c r="Q47" s="3430"/>
      <c r="R47" s="3430"/>
      <c r="S47" s="2873"/>
      <c r="T47" s="3648"/>
      <c r="U47" s="5398">
        <v>10</v>
      </c>
      <c r="V47" s="5398"/>
      <c r="W47" s="5399" t="s">
        <v>1203</v>
      </c>
      <c r="X47" s="5399"/>
      <c r="Y47" s="3286" t="s">
        <v>772</v>
      </c>
      <c r="Z47" s="3286" t="s">
        <v>230</v>
      </c>
      <c r="AA47" s="5392">
        <f t="shared" si="1"/>
        <v>26</v>
      </c>
      <c r="AB47" s="5393"/>
      <c r="AC47" s="2682">
        <v>22</v>
      </c>
      <c r="AD47" s="3289">
        <v>10</v>
      </c>
      <c r="AE47" s="2628">
        <v>1</v>
      </c>
      <c r="AF47" s="2629">
        <v>1</v>
      </c>
      <c r="AG47" s="2628">
        <v>6</v>
      </c>
      <c r="AH47" s="2629">
        <v>2</v>
      </c>
      <c r="AI47" s="2628"/>
      <c r="AJ47" s="2629"/>
      <c r="AK47" s="2671">
        <f t="shared" si="3"/>
        <v>32</v>
      </c>
      <c r="AL47" s="3464"/>
      <c r="AM47" s="3448">
        <v>7</v>
      </c>
      <c r="AN47" s="3448"/>
      <c r="AO47" s="3448"/>
      <c r="AP47" s="3448"/>
      <c r="AQ47" s="3448"/>
      <c r="AR47" s="3458">
        <f t="shared" si="2"/>
        <v>7</v>
      </c>
      <c r="AS47" s="3459">
        <f t="shared" si="0"/>
        <v>1</v>
      </c>
    </row>
    <row r="48" spans="1:45" s="1444" customFormat="1" ht="27.95" customHeight="1">
      <c r="A48" s="3386">
        <v>12</v>
      </c>
      <c r="B48" s="3405" t="s">
        <v>2563</v>
      </c>
      <c r="C48" s="2147"/>
      <c r="D48" s="3408"/>
      <c r="E48" s="3409"/>
      <c r="F48" s="3409"/>
      <c r="G48" s="3410"/>
      <c r="H48" s="3636"/>
      <c r="I48" s="3636" t="s">
        <v>78</v>
      </c>
      <c r="J48" s="3406" t="s">
        <v>1200</v>
      </c>
      <c r="K48" s="3407" t="s">
        <v>2452</v>
      </c>
      <c r="L48" s="3673" t="s">
        <v>390</v>
      </c>
      <c r="M48" s="3672"/>
      <c r="N48" s="5350" t="s">
        <v>1201</v>
      </c>
      <c r="O48" s="5350"/>
      <c r="P48" s="2680"/>
      <c r="Q48" s="3647"/>
      <c r="R48" s="3647" t="s">
        <v>79</v>
      </c>
      <c r="S48" s="2873" t="s">
        <v>2109</v>
      </c>
      <c r="T48" s="3636" t="s">
        <v>680</v>
      </c>
      <c r="U48" s="5350">
        <v>20</v>
      </c>
      <c r="V48" s="5350"/>
      <c r="W48" s="5351" t="s">
        <v>1202</v>
      </c>
      <c r="X48" s="5351"/>
      <c r="Y48" s="3286" t="s">
        <v>773</v>
      </c>
      <c r="Z48" s="3286" t="s">
        <v>228</v>
      </c>
      <c r="AA48" s="5392">
        <f>AC48+AD48+AE48+AF48-AG48-AH48</f>
        <v>30</v>
      </c>
      <c r="AB48" s="5393"/>
      <c r="AC48" s="2682">
        <v>20</v>
      </c>
      <c r="AD48" s="3289">
        <v>15</v>
      </c>
      <c r="AE48" s="2628"/>
      <c r="AF48" s="2629">
        <v>1</v>
      </c>
      <c r="AG48" s="2628">
        <v>5</v>
      </c>
      <c r="AH48" s="2629">
        <v>1</v>
      </c>
      <c r="AI48" s="2628"/>
      <c r="AJ48" s="2629"/>
      <c r="AK48" s="2671">
        <f t="shared" si="3"/>
        <v>35</v>
      </c>
      <c r="AL48" s="3464"/>
      <c r="AM48" s="3448">
        <v>6.3</v>
      </c>
      <c r="AN48" s="3448"/>
      <c r="AO48" s="3448"/>
      <c r="AP48" s="3448"/>
      <c r="AQ48" s="3448"/>
      <c r="AR48" s="3458">
        <f t="shared" si="2"/>
        <v>6.3</v>
      </c>
      <c r="AS48" s="3459">
        <f t="shared" si="0"/>
        <v>1</v>
      </c>
    </row>
    <row r="49" spans="1:45" s="1444" customFormat="1" ht="27.95" customHeight="1">
      <c r="A49" s="3386">
        <v>13</v>
      </c>
      <c r="B49" s="3405" t="s">
        <v>2576</v>
      </c>
      <c r="C49" s="2147"/>
      <c r="D49" s="3408"/>
      <c r="E49" s="3409"/>
      <c r="F49" s="3409"/>
      <c r="G49" s="3410"/>
      <c r="H49" s="3386" t="s">
        <v>78</v>
      </c>
      <c r="I49" s="3386"/>
      <c r="J49" s="3406" t="s">
        <v>1224</v>
      </c>
      <c r="K49" s="3407" t="s">
        <v>2461</v>
      </c>
      <c r="L49" s="3673" t="s">
        <v>390</v>
      </c>
      <c r="M49" s="3672"/>
      <c r="N49" s="5350" t="s">
        <v>1225</v>
      </c>
      <c r="O49" s="5350"/>
      <c r="P49" s="2680"/>
      <c r="Q49" s="3293"/>
      <c r="R49" s="3293" t="s">
        <v>79</v>
      </c>
      <c r="S49" s="2873" t="s">
        <v>2118</v>
      </c>
      <c r="T49" s="3386" t="s">
        <v>680</v>
      </c>
      <c r="U49" s="5350">
        <v>10</v>
      </c>
      <c r="V49" s="5350"/>
      <c r="W49" s="5351" t="s">
        <v>1226</v>
      </c>
      <c r="X49" s="5351"/>
      <c r="Y49" s="3286" t="s">
        <v>773</v>
      </c>
      <c r="Z49" s="3286" t="s">
        <v>230</v>
      </c>
      <c r="AA49" s="5392">
        <f>AC49+AD49+AE49+AF49-AG49-AH49</f>
        <v>30</v>
      </c>
      <c r="AB49" s="5393"/>
      <c r="AC49" s="2682">
        <v>19</v>
      </c>
      <c r="AD49" s="3289">
        <v>16</v>
      </c>
      <c r="AE49" s="2628">
        <v>1</v>
      </c>
      <c r="AF49" s="2629">
        <v>1</v>
      </c>
      <c r="AG49" s="2628">
        <v>5</v>
      </c>
      <c r="AH49" s="2629">
        <v>2</v>
      </c>
      <c r="AI49" s="2628"/>
      <c r="AJ49" s="2629"/>
      <c r="AK49" s="2671">
        <f t="shared" si="3"/>
        <v>35</v>
      </c>
      <c r="AL49" s="3464"/>
      <c r="AM49" s="3448">
        <v>6</v>
      </c>
      <c r="AN49" s="3448"/>
      <c r="AO49" s="3448"/>
      <c r="AP49" s="3448"/>
      <c r="AQ49" s="3448"/>
      <c r="AR49" s="3458">
        <f t="shared" si="2"/>
        <v>6</v>
      </c>
      <c r="AS49" s="3459">
        <f t="shared" si="0"/>
        <v>1</v>
      </c>
    </row>
    <row r="50" spans="1:45" s="1444" customFormat="1" ht="27.95" customHeight="1">
      <c r="A50" s="3386">
        <v>14</v>
      </c>
      <c r="B50" s="3405" t="s">
        <v>2575</v>
      </c>
      <c r="C50" s="2147"/>
      <c r="D50" s="3408"/>
      <c r="E50" s="3409"/>
      <c r="F50" s="3409"/>
      <c r="G50" s="3410"/>
      <c r="H50" s="3386"/>
      <c r="I50" s="3386" t="s">
        <v>78</v>
      </c>
      <c r="J50" s="3406" t="s">
        <v>1231</v>
      </c>
      <c r="K50" s="3407" t="s">
        <v>2462</v>
      </c>
      <c r="L50" s="3673" t="s">
        <v>426</v>
      </c>
      <c r="M50" s="3672"/>
      <c r="N50" s="5350" t="s">
        <v>1227</v>
      </c>
      <c r="O50" s="5350"/>
      <c r="P50" s="2680"/>
      <c r="Q50" s="3293"/>
      <c r="R50" s="3293" t="s">
        <v>79</v>
      </c>
      <c r="S50" s="2873" t="s">
        <v>2464</v>
      </c>
      <c r="T50" s="3386" t="s">
        <v>683</v>
      </c>
      <c r="U50" s="5350">
        <v>10</v>
      </c>
      <c r="V50" s="5350"/>
      <c r="W50" s="5351" t="s">
        <v>1211</v>
      </c>
      <c r="X50" s="5351"/>
      <c r="Y50" s="3286"/>
      <c r="Z50" s="3286"/>
      <c r="AA50" s="5400">
        <f t="shared" si="1"/>
        <v>0</v>
      </c>
      <c r="AB50" s="5401"/>
      <c r="AC50" s="2682"/>
      <c r="AD50" s="3289"/>
      <c r="AE50" s="2628"/>
      <c r="AF50" s="2629"/>
      <c r="AG50" s="2628"/>
      <c r="AH50" s="2629"/>
      <c r="AI50" s="2628"/>
      <c r="AJ50" s="2629"/>
      <c r="AK50" s="2671">
        <f t="shared" si="3"/>
        <v>0</v>
      </c>
      <c r="AL50" s="3464"/>
      <c r="AM50" s="3448"/>
      <c r="AN50" s="3448"/>
      <c r="AO50" s="3448"/>
      <c r="AP50" s="3448"/>
      <c r="AQ50" s="3448"/>
      <c r="AR50" s="3458" t="e">
        <f t="shared" si="2"/>
        <v>#DIV/0!</v>
      </c>
      <c r="AS50" s="3459">
        <f t="shared" si="0"/>
        <v>0</v>
      </c>
    </row>
    <row r="51" spans="1:45" s="1444" customFormat="1" ht="27.95" customHeight="1">
      <c r="A51" s="3386">
        <v>15</v>
      </c>
      <c r="B51" s="3405" t="s">
        <v>2572</v>
      </c>
      <c r="C51" s="2147"/>
      <c r="D51" s="3408"/>
      <c r="E51" s="3409"/>
      <c r="F51" s="3409"/>
      <c r="G51" s="3410"/>
      <c r="H51" s="3386"/>
      <c r="I51" s="3386" t="s">
        <v>78</v>
      </c>
      <c r="J51" s="3406" t="s">
        <v>1228</v>
      </c>
      <c r="K51" s="3407" t="s">
        <v>2463</v>
      </c>
      <c r="L51" s="3673" t="s">
        <v>1229</v>
      </c>
      <c r="M51" s="3672"/>
      <c r="N51" s="5350"/>
      <c r="O51" s="5350"/>
      <c r="P51" s="2680"/>
      <c r="Q51" s="3293"/>
      <c r="R51" s="3293" t="s">
        <v>79</v>
      </c>
      <c r="S51" s="2873" t="s">
        <v>2465</v>
      </c>
      <c r="T51" s="3386"/>
      <c r="U51" s="5350">
        <v>10</v>
      </c>
      <c r="V51" s="5350"/>
      <c r="W51" s="5351" t="s">
        <v>1230</v>
      </c>
      <c r="X51" s="5351"/>
      <c r="Y51" s="3286"/>
      <c r="Z51" s="3286"/>
      <c r="AA51" s="5400">
        <f t="shared" si="1"/>
        <v>0</v>
      </c>
      <c r="AB51" s="5401"/>
      <c r="AC51" s="2682"/>
      <c r="AD51" s="3289"/>
      <c r="AE51" s="2628"/>
      <c r="AF51" s="2629"/>
      <c r="AG51" s="2628"/>
      <c r="AH51" s="2629"/>
      <c r="AI51" s="2628"/>
      <c r="AJ51" s="2629"/>
      <c r="AK51" s="2671">
        <f t="shared" si="3"/>
        <v>0</v>
      </c>
      <c r="AL51" s="3464"/>
      <c r="AM51" s="3448"/>
      <c r="AN51" s="3448"/>
      <c r="AO51" s="3448"/>
      <c r="AP51" s="3448"/>
      <c r="AQ51" s="3448"/>
      <c r="AR51" s="3458" t="e">
        <f t="shared" ref="AR51:AR63" si="4">SUM(AM51:AQ51)/AS51</f>
        <v>#DIV/0!</v>
      </c>
      <c r="AS51" s="3459">
        <f t="shared" si="0"/>
        <v>0</v>
      </c>
    </row>
    <row r="52" spans="1:45" s="1444" customFormat="1" ht="27.95" customHeight="1">
      <c r="A52" s="3386"/>
      <c r="B52" s="3422"/>
      <c r="C52" s="3423"/>
      <c r="D52" s="3424"/>
      <c r="E52" s="3425"/>
      <c r="F52" s="3425"/>
      <c r="G52" s="3426"/>
      <c r="H52" s="3421"/>
      <c r="I52" s="3421"/>
      <c r="J52" s="3427"/>
      <c r="K52" s="3428"/>
      <c r="L52" s="5403"/>
      <c r="M52" s="5403"/>
      <c r="N52" s="5397"/>
      <c r="O52" s="5397"/>
      <c r="P52" s="3429"/>
      <c r="Q52" s="3430"/>
      <c r="R52" s="3430" t="s">
        <v>79</v>
      </c>
      <c r="S52" s="2873" t="s">
        <v>2119</v>
      </c>
      <c r="T52" s="3421"/>
      <c r="U52" s="5397"/>
      <c r="V52" s="5397"/>
      <c r="W52" s="5399"/>
      <c r="X52" s="5399"/>
      <c r="Y52" s="3286"/>
      <c r="Z52" s="3286"/>
      <c r="AA52" s="5400">
        <f t="shared" si="1"/>
        <v>0</v>
      </c>
      <c r="AB52" s="5401"/>
      <c r="AC52" s="2682"/>
      <c r="AD52" s="3289"/>
      <c r="AE52" s="2628"/>
      <c r="AF52" s="2629"/>
      <c r="AG52" s="2628"/>
      <c r="AH52" s="2629"/>
      <c r="AI52" s="2628"/>
      <c r="AJ52" s="2629"/>
      <c r="AK52" s="2671">
        <f t="shared" si="3"/>
        <v>0</v>
      </c>
      <c r="AL52" s="3464"/>
      <c r="AM52" s="3448"/>
      <c r="AN52" s="3448"/>
      <c r="AO52" s="3448"/>
      <c r="AP52" s="3448"/>
      <c r="AQ52" s="3448"/>
      <c r="AR52" s="3458" t="e">
        <f t="shared" si="4"/>
        <v>#DIV/0!</v>
      </c>
      <c r="AS52" s="3459">
        <f t="shared" si="0"/>
        <v>0</v>
      </c>
    </row>
    <row r="53" spans="1:45" s="1444" customFormat="1" ht="27.95" customHeight="1">
      <c r="A53" s="3386"/>
      <c r="B53" s="3405"/>
      <c r="C53" s="2147"/>
      <c r="D53" s="3408"/>
      <c r="E53" s="3409"/>
      <c r="F53" s="3409"/>
      <c r="G53" s="3410"/>
      <c r="H53" s="3636"/>
      <c r="I53" s="3636"/>
      <c r="J53" s="3406"/>
      <c r="K53" s="3407"/>
      <c r="L53" s="5402"/>
      <c r="M53" s="5402"/>
      <c r="N53" s="5350"/>
      <c r="O53" s="5350"/>
      <c r="P53" s="2680"/>
      <c r="Q53" s="3647"/>
      <c r="R53" s="3647"/>
      <c r="S53" s="2873"/>
      <c r="T53" s="3636"/>
      <c r="U53" s="5350"/>
      <c r="V53" s="5350"/>
      <c r="W53" s="5351"/>
      <c r="X53" s="5351"/>
      <c r="Y53" s="3286"/>
      <c r="Z53" s="3286"/>
      <c r="AA53" s="5400">
        <f t="shared" si="1"/>
        <v>0</v>
      </c>
      <c r="AB53" s="5401"/>
      <c r="AC53" s="2682"/>
      <c r="AD53" s="3289"/>
      <c r="AE53" s="2628"/>
      <c r="AF53" s="2629"/>
      <c r="AG53" s="2628"/>
      <c r="AH53" s="2629"/>
      <c r="AI53" s="2628"/>
      <c r="AJ53" s="2629"/>
      <c r="AK53" s="2671">
        <f t="shared" si="3"/>
        <v>0</v>
      </c>
      <c r="AL53" s="3464"/>
      <c r="AM53" s="3448"/>
      <c r="AN53" s="3448"/>
      <c r="AO53" s="3448"/>
      <c r="AP53" s="3448"/>
      <c r="AQ53" s="3448"/>
      <c r="AR53" s="3458" t="e">
        <f t="shared" si="4"/>
        <v>#DIV/0!</v>
      </c>
      <c r="AS53" s="3459">
        <f t="shared" si="0"/>
        <v>0</v>
      </c>
    </row>
    <row r="54" spans="1:45" s="1444" customFormat="1" ht="27.95" customHeight="1">
      <c r="A54" s="3386"/>
      <c r="B54" s="3435" t="s">
        <v>2573</v>
      </c>
      <c r="C54" s="3409"/>
      <c r="D54" s="3409"/>
      <c r="E54" s="3409"/>
      <c r="F54" s="3409"/>
      <c r="G54" s="3410"/>
      <c r="H54" s="3386"/>
      <c r="I54" s="3386"/>
      <c r="J54" s="3386"/>
      <c r="K54" s="3386"/>
      <c r="L54" s="5350"/>
      <c r="M54" s="5350"/>
      <c r="N54" s="5350"/>
      <c r="O54" s="5350"/>
      <c r="P54" s="3293"/>
      <c r="Q54" s="3293"/>
      <c r="R54" s="3293" t="s">
        <v>79</v>
      </c>
      <c r="S54" s="2874"/>
      <c r="T54" s="3386"/>
      <c r="U54" s="5350"/>
      <c r="V54" s="5350"/>
      <c r="W54" s="5351"/>
      <c r="X54" s="5351"/>
      <c r="Y54" s="3286"/>
      <c r="Z54" s="3286"/>
      <c r="AA54" s="5400">
        <f t="shared" si="1"/>
        <v>0</v>
      </c>
      <c r="AB54" s="5401"/>
      <c r="AC54" s="2682"/>
      <c r="AD54" s="3289"/>
      <c r="AE54" s="2628"/>
      <c r="AF54" s="2629"/>
      <c r="AG54" s="2628"/>
      <c r="AH54" s="2629"/>
      <c r="AI54" s="2628"/>
      <c r="AJ54" s="2629"/>
      <c r="AK54" s="2671">
        <f t="shared" si="3"/>
        <v>0</v>
      </c>
      <c r="AL54" s="3464"/>
      <c r="AM54" s="3448"/>
      <c r="AN54" s="3448"/>
      <c r="AO54" s="3448"/>
      <c r="AP54" s="3448"/>
      <c r="AQ54" s="3448"/>
      <c r="AR54" s="3458" t="e">
        <f t="shared" si="4"/>
        <v>#DIV/0!</v>
      </c>
      <c r="AS54" s="3459">
        <f t="shared" si="0"/>
        <v>0</v>
      </c>
    </row>
    <row r="55" spans="1:45" s="1444" customFormat="1" ht="27.95" customHeight="1">
      <c r="A55" s="3386"/>
      <c r="B55" s="3436" t="s">
        <v>2574</v>
      </c>
      <c r="C55" s="3431"/>
      <c r="D55" s="3432"/>
      <c r="E55" s="3433"/>
      <c r="F55" s="3433"/>
      <c r="G55" s="3434"/>
      <c r="H55" s="3386"/>
      <c r="I55" s="3386"/>
      <c r="J55" s="2148"/>
      <c r="K55" s="2148"/>
      <c r="L55" s="5402"/>
      <c r="M55" s="5402"/>
      <c r="N55" s="5350"/>
      <c r="O55" s="5350"/>
      <c r="P55" s="2680"/>
      <c r="Q55" s="3293"/>
      <c r="R55" s="3293"/>
      <c r="S55" s="2874"/>
      <c r="T55" s="3386"/>
      <c r="U55" s="5350"/>
      <c r="V55" s="5350"/>
      <c r="W55" s="5351"/>
      <c r="X55" s="5351"/>
      <c r="Y55" s="3286"/>
      <c r="Z55" s="3286"/>
      <c r="AA55" s="5400">
        <f t="shared" si="1"/>
        <v>0</v>
      </c>
      <c r="AB55" s="5401"/>
      <c r="AC55" s="2682"/>
      <c r="AD55" s="3289"/>
      <c r="AE55" s="2628"/>
      <c r="AF55" s="2629"/>
      <c r="AG55" s="2628"/>
      <c r="AH55" s="2629"/>
      <c r="AI55" s="2628"/>
      <c r="AJ55" s="2629"/>
      <c r="AK55" s="2671">
        <f t="shared" si="3"/>
        <v>0</v>
      </c>
      <c r="AL55" s="3464"/>
      <c r="AM55" s="3448"/>
      <c r="AN55" s="3448"/>
      <c r="AO55" s="3448"/>
      <c r="AP55" s="3448"/>
      <c r="AQ55" s="3448"/>
      <c r="AR55" s="3458" t="e">
        <f t="shared" si="4"/>
        <v>#DIV/0!</v>
      </c>
      <c r="AS55" s="3459">
        <f t="shared" si="0"/>
        <v>0</v>
      </c>
    </row>
    <row r="56" spans="1:45" s="1444" customFormat="1" ht="27.95" customHeight="1">
      <c r="A56" s="3386"/>
      <c r="B56" s="2146"/>
      <c r="C56" s="2147"/>
      <c r="D56" s="3408"/>
      <c r="E56" s="3409"/>
      <c r="F56" s="3409"/>
      <c r="G56" s="3410"/>
      <c r="H56" s="3386"/>
      <c r="I56" s="3386"/>
      <c r="J56" s="2148"/>
      <c r="K56" s="2148"/>
      <c r="L56" s="5402"/>
      <c r="M56" s="5402"/>
      <c r="N56" s="5350"/>
      <c r="O56" s="5350"/>
      <c r="P56" s="2680"/>
      <c r="Q56" s="3293"/>
      <c r="R56" s="3293"/>
      <c r="S56" s="2874"/>
      <c r="T56" s="3386"/>
      <c r="U56" s="5350"/>
      <c r="V56" s="5350"/>
      <c r="W56" s="5351"/>
      <c r="X56" s="5351"/>
      <c r="Y56" s="3286"/>
      <c r="Z56" s="3286"/>
      <c r="AA56" s="5395">
        <f t="shared" si="1"/>
        <v>0</v>
      </c>
      <c r="AB56" s="5395"/>
      <c r="AC56" s="2682"/>
      <c r="AD56" s="3289"/>
      <c r="AE56" s="2628"/>
      <c r="AF56" s="2629"/>
      <c r="AG56" s="2628"/>
      <c r="AH56" s="2629"/>
      <c r="AI56" s="2628"/>
      <c r="AJ56" s="2629"/>
      <c r="AK56" s="2671">
        <f t="shared" si="3"/>
        <v>0</v>
      </c>
      <c r="AL56" s="3464"/>
      <c r="AM56" s="3448"/>
      <c r="AN56" s="3448"/>
      <c r="AO56" s="3448"/>
      <c r="AP56" s="3448"/>
      <c r="AQ56" s="3448"/>
      <c r="AR56" s="3458" t="e">
        <f t="shared" si="4"/>
        <v>#DIV/0!</v>
      </c>
      <c r="AS56" s="3459">
        <f t="shared" si="0"/>
        <v>0</v>
      </c>
    </row>
    <row r="57" spans="1:45" s="1444" customFormat="1" ht="27.95" customHeight="1">
      <c r="A57" s="3386"/>
      <c r="B57" s="3412"/>
      <c r="C57" s="3409"/>
      <c r="D57" s="3409"/>
      <c r="E57" s="3409"/>
      <c r="F57" s="3409"/>
      <c r="G57" s="3410"/>
      <c r="H57" s="3386"/>
      <c r="I57" s="3386"/>
      <c r="J57" s="3386"/>
      <c r="K57" s="3386"/>
      <c r="L57" s="5350"/>
      <c r="M57" s="5350"/>
      <c r="N57" s="5350"/>
      <c r="O57" s="5350"/>
      <c r="P57" s="3293"/>
      <c r="Q57" s="3293"/>
      <c r="R57" s="3293" t="s">
        <v>79</v>
      </c>
      <c r="S57" s="2874"/>
      <c r="T57" s="3386"/>
      <c r="U57" s="5350"/>
      <c r="V57" s="5350"/>
      <c r="W57" s="5351"/>
      <c r="X57" s="5351"/>
      <c r="Y57" s="3286"/>
      <c r="Z57" s="3286"/>
      <c r="AA57" s="5395">
        <f t="shared" si="1"/>
        <v>0</v>
      </c>
      <c r="AB57" s="5395"/>
      <c r="AC57" s="2682"/>
      <c r="AD57" s="3289"/>
      <c r="AE57" s="2628"/>
      <c r="AF57" s="2629"/>
      <c r="AG57" s="2628"/>
      <c r="AH57" s="2629"/>
      <c r="AI57" s="2628"/>
      <c r="AJ57" s="2629"/>
      <c r="AK57" s="2671">
        <f t="shared" si="3"/>
        <v>0</v>
      </c>
      <c r="AL57" s="3464"/>
      <c r="AM57" s="3448"/>
      <c r="AN57" s="3448"/>
      <c r="AO57" s="3448"/>
      <c r="AP57" s="3448"/>
      <c r="AQ57" s="3448"/>
      <c r="AR57" s="3458" t="e">
        <f t="shared" si="4"/>
        <v>#DIV/0!</v>
      </c>
      <c r="AS57" s="3459">
        <f t="shared" si="0"/>
        <v>0</v>
      </c>
    </row>
    <row r="58" spans="1:45" s="1444" customFormat="1" ht="27.95" customHeight="1">
      <c r="A58" s="3386"/>
      <c r="B58" s="3412"/>
      <c r="C58" s="3409"/>
      <c r="D58" s="3409"/>
      <c r="E58" s="3409"/>
      <c r="F58" s="3409"/>
      <c r="G58" s="3410"/>
      <c r="H58" s="3386"/>
      <c r="I58" s="3386"/>
      <c r="J58" s="3386"/>
      <c r="K58" s="3386"/>
      <c r="L58" s="5350"/>
      <c r="M58" s="5350"/>
      <c r="N58" s="5350"/>
      <c r="O58" s="5350"/>
      <c r="P58" s="3293"/>
      <c r="Q58" s="3293"/>
      <c r="R58" s="3293" t="s">
        <v>79</v>
      </c>
      <c r="S58" s="2874"/>
      <c r="T58" s="3386"/>
      <c r="U58" s="5350"/>
      <c r="V58" s="5350"/>
      <c r="W58" s="5351"/>
      <c r="X58" s="5351"/>
      <c r="Y58" s="3286"/>
      <c r="Z58" s="3286"/>
      <c r="AA58" s="5395">
        <f t="shared" si="1"/>
        <v>0</v>
      </c>
      <c r="AB58" s="5395"/>
      <c r="AC58" s="2682"/>
      <c r="AD58" s="3289"/>
      <c r="AE58" s="2628"/>
      <c r="AF58" s="2629"/>
      <c r="AG58" s="2628"/>
      <c r="AH58" s="2629"/>
      <c r="AI58" s="2628"/>
      <c r="AJ58" s="2629"/>
      <c r="AK58" s="2671">
        <f t="shared" si="3"/>
        <v>0</v>
      </c>
      <c r="AL58" s="3464"/>
      <c r="AM58" s="3448"/>
      <c r="AN58" s="3448"/>
      <c r="AO58" s="3448"/>
      <c r="AP58" s="3448"/>
      <c r="AQ58" s="3448"/>
      <c r="AR58" s="3458" t="e">
        <f t="shared" si="4"/>
        <v>#DIV/0!</v>
      </c>
      <c r="AS58" s="3459">
        <f t="shared" si="0"/>
        <v>0</v>
      </c>
    </row>
    <row r="59" spans="1:45" s="1444" customFormat="1" ht="27.95" customHeight="1">
      <c r="A59" s="3386"/>
      <c r="B59" s="3411"/>
      <c r="C59" s="3409"/>
      <c r="D59" s="3409"/>
      <c r="E59" s="3409"/>
      <c r="F59" s="3409"/>
      <c r="G59" s="3410"/>
      <c r="H59" s="3386"/>
      <c r="I59" s="3386"/>
      <c r="J59" s="3386"/>
      <c r="K59" s="3386"/>
      <c r="L59" s="5350"/>
      <c r="M59" s="5350"/>
      <c r="N59" s="5350"/>
      <c r="O59" s="5350"/>
      <c r="P59" s="3293"/>
      <c r="Q59" s="3293"/>
      <c r="R59" s="3293" t="s">
        <v>79</v>
      </c>
      <c r="S59" s="2874"/>
      <c r="T59" s="3386"/>
      <c r="U59" s="5350"/>
      <c r="V59" s="5350"/>
      <c r="W59" s="5351"/>
      <c r="X59" s="5351"/>
      <c r="Y59" s="3286"/>
      <c r="Z59" s="3286"/>
      <c r="AA59" s="5395">
        <f t="shared" si="1"/>
        <v>0</v>
      </c>
      <c r="AB59" s="5395"/>
      <c r="AC59" s="2682"/>
      <c r="AD59" s="3289"/>
      <c r="AE59" s="2628"/>
      <c r="AF59" s="2629"/>
      <c r="AG59" s="2628"/>
      <c r="AH59" s="2629"/>
      <c r="AI59" s="2628"/>
      <c r="AJ59" s="2629"/>
      <c r="AK59" s="2671">
        <f t="shared" si="3"/>
        <v>0</v>
      </c>
      <c r="AL59" s="3464"/>
      <c r="AM59" s="3448"/>
      <c r="AN59" s="3448"/>
      <c r="AO59" s="3448"/>
      <c r="AP59" s="3448"/>
      <c r="AQ59" s="3448"/>
      <c r="AR59" s="3458" t="e">
        <f t="shared" si="4"/>
        <v>#DIV/0!</v>
      </c>
      <c r="AS59" s="3459">
        <f t="shared" si="0"/>
        <v>0</v>
      </c>
    </row>
    <row r="60" spans="1:45" s="1444" customFormat="1" ht="27.95" customHeight="1">
      <c r="A60" s="3386"/>
      <c r="B60" s="3405"/>
      <c r="C60" s="2147"/>
      <c r="D60" s="3408"/>
      <c r="E60" s="3409"/>
      <c r="F60" s="3409"/>
      <c r="G60" s="3410"/>
      <c r="H60" s="3386"/>
      <c r="I60" s="3386"/>
      <c r="J60" s="3406"/>
      <c r="K60" s="3407"/>
      <c r="L60" s="5402"/>
      <c r="M60" s="5402"/>
      <c r="N60" s="5350"/>
      <c r="O60" s="5350"/>
      <c r="P60" s="2680"/>
      <c r="Q60" s="3331"/>
      <c r="R60" s="3331"/>
      <c r="S60" s="2873"/>
      <c r="T60" s="3386"/>
      <c r="U60" s="5350"/>
      <c r="V60" s="5350"/>
      <c r="W60" s="5351"/>
      <c r="X60" s="5351"/>
      <c r="Y60" s="3286"/>
      <c r="Z60" s="3286"/>
      <c r="AA60" s="5395">
        <f t="shared" si="1"/>
        <v>0</v>
      </c>
      <c r="AB60" s="5395"/>
      <c r="AC60" s="2682"/>
      <c r="AD60" s="3289"/>
      <c r="AE60" s="2628"/>
      <c r="AF60" s="2629"/>
      <c r="AG60" s="2628"/>
      <c r="AH60" s="2629"/>
      <c r="AI60" s="2628"/>
      <c r="AJ60" s="2629"/>
      <c r="AK60" s="2671">
        <f t="shared" si="3"/>
        <v>0</v>
      </c>
      <c r="AL60" s="3464"/>
      <c r="AM60" s="3448"/>
      <c r="AN60" s="3448"/>
      <c r="AO60" s="3448"/>
      <c r="AP60" s="3448"/>
      <c r="AQ60" s="3448"/>
      <c r="AR60" s="3458" t="e">
        <f t="shared" si="4"/>
        <v>#DIV/0!</v>
      </c>
      <c r="AS60" s="3459">
        <f t="shared" si="0"/>
        <v>0</v>
      </c>
    </row>
    <row r="61" spans="1:45" s="1444" customFormat="1" ht="27.95" customHeight="1">
      <c r="A61" s="3386"/>
      <c r="B61" s="3405"/>
      <c r="C61" s="2147"/>
      <c r="D61" s="3408"/>
      <c r="E61" s="3409"/>
      <c r="F61" s="3409"/>
      <c r="G61" s="3410"/>
      <c r="H61" s="3386"/>
      <c r="I61" s="3386"/>
      <c r="J61" s="3406"/>
      <c r="K61" s="3407"/>
      <c r="L61" s="5402"/>
      <c r="M61" s="5402"/>
      <c r="N61" s="5350"/>
      <c r="O61" s="5350"/>
      <c r="P61" s="2680"/>
      <c r="Q61" s="3331"/>
      <c r="R61" s="3331"/>
      <c r="S61" s="2873"/>
      <c r="T61" s="3386"/>
      <c r="U61" s="5350"/>
      <c r="V61" s="5350"/>
      <c r="W61" s="5351"/>
      <c r="X61" s="5351"/>
      <c r="Y61" s="3286"/>
      <c r="Z61" s="3286"/>
      <c r="AA61" s="5395">
        <f t="shared" si="1"/>
        <v>0</v>
      </c>
      <c r="AB61" s="5395"/>
      <c r="AC61" s="2682"/>
      <c r="AD61" s="3289"/>
      <c r="AE61" s="2628"/>
      <c r="AF61" s="2629"/>
      <c r="AG61" s="2628"/>
      <c r="AH61" s="2629"/>
      <c r="AI61" s="2628"/>
      <c r="AJ61" s="2629"/>
      <c r="AK61" s="2671">
        <f t="shared" si="3"/>
        <v>0</v>
      </c>
      <c r="AL61" s="3464"/>
      <c r="AM61" s="3448"/>
      <c r="AN61" s="3448"/>
      <c r="AO61" s="3448"/>
      <c r="AP61" s="3448"/>
      <c r="AQ61" s="3448"/>
      <c r="AR61" s="3458" t="e">
        <f t="shared" si="4"/>
        <v>#DIV/0!</v>
      </c>
      <c r="AS61" s="3459">
        <f t="shared" si="0"/>
        <v>0</v>
      </c>
    </row>
    <row r="62" spans="1:45" s="1444" customFormat="1" ht="27.95" customHeight="1">
      <c r="A62" s="3293"/>
      <c r="B62" s="2674"/>
      <c r="C62" s="2675"/>
      <c r="D62" s="2676"/>
      <c r="E62" s="2677"/>
      <c r="F62" s="2677"/>
      <c r="G62" s="2678"/>
      <c r="H62" s="3293"/>
      <c r="I62" s="3293"/>
      <c r="J62" s="2679"/>
      <c r="K62" s="2679"/>
      <c r="L62" s="5406"/>
      <c r="M62" s="5407"/>
      <c r="N62" s="5362"/>
      <c r="O62" s="5362"/>
      <c r="P62" s="2680"/>
      <c r="Q62" s="3293"/>
      <c r="R62" s="3293"/>
      <c r="S62" s="2873"/>
      <c r="T62" s="3293"/>
      <c r="U62" s="5362"/>
      <c r="V62" s="5362"/>
      <c r="W62" s="5408"/>
      <c r="X62" s="5408"/>
      <c r="Y62" s="3286"/>
      <c r="Z62" s="3286"/>
      <c r="AA62" s="5395">
        <f t="shared" si="1"/>
        <v>0</v>
      </c>
      <c r="AB62" s="5395"/>
      <c r="AC62" s="2682"/>
      <c r="AD62" s="3289"/>
      <c r="AE62" s="2628"/>
      <c r="AF62" s="2629"/>
      <c r="AG62" s="2628"/>
      <c r="AH62" s="2629"/>
      <c r="AI62" s="2628"/>
      <c r="AJ62" s="2629"/>
      <c r="AK62" s="2671">
        <f t="shared" si="3"/>
        <v>0</v>
      </c>
      <c r="AL62" s="3464"/>
      <c r="AM62" s="3448"/>
      <c r="AN62" s="3448"/>
      <c r="AO62" s="3448"/>
      <c r="AP62" s="3448"/>
      <c r="AQ62" s="3448"/>
      <c r="AR62" s="3458" t="e">
        <f t="shared" si="4"/>
        <v>#DIV/0!</v>
      </c>
      <c r="AS62" s="3459">
        <f t="shared" si="0"/>
        <v>0</v>
      </c>
    </row>
    <row r="63" spans="1:45" s="1444" customFormat="1" ht="27.95" customHeight="1">
      <c r="A63" s="3273">
        <f>COUNTA(B37:G62)</f>
        <v>17</v>
      </c>
      <c r="B63" s="3239" t="str">
        <f>'[1]0055K'!$S$3</f>
        <v>antonia-sari02@hotmail</v>
      </c>
      <c r="C63" s="3240"/>
      <c r="D63" s="2963"/>
      <c r="E63" s="3241" t="str">
        <f>'[4]0055K'!$C$8</f>
        <v>C. OCOSINGO CON OCOTEPEC</v>
      </c>
      <c r="F63" s="3242"/>
      <c r="G63" s="1665"/>
      <c r="H63" s="3273">
        <f>COUNTIF(H38:H49,"X")</f>
        <v>2</v>
      </c>
      <c r="I63" s="3273">
        <f>COUNTIF(I38:I49,"X")</f>
        <v>10</v>
      </c>
      <c r="J63" s="2966">
        <f>COUNTIF(L37:M62,"docente")</f>
        <v>12</v>
      </c>
      <c r="K63" s="2967">
        <f>COUNTIF(L37:M62,"intendente")</f>
        <v>1</v>
      </c>
      <c r="L63" s="1665">
        <f>COUNTA(N37:O62)</f>
        <v>5</v>
      </c>
      <c r="M63" s="2968">
        <f>COUNTIF(Y37:Y62,"1º")</f>
        <v>2</v>
      </c>
      <c r="N63" s="3278">
        <f>COUNTIF(Y37:Y62,"2º")</f>
        <v>2</v>
      </c>
      <c r="O63" s="3278">
        <f>COUNTIF(Y37:Y62,"3º")</f>
        <v>2</v>
      </c>
      <c r="P63" s="3278">
        <f>COUNTIF(Y37:Y62,"4º")</f>
        <v>2</v>
      </c>
      <c r="Q63" s="3278">
        <f>COUNTIF(Y37:Y62,"5º")</f>
        <v>2</v>
      </c>
      <c r="R63" s="3278">
        <f>COUNTIF(Y37:Y62,"6º")</f>
        <v>2</v>
      </c>
      <c r="S63" s="2968">
        <f>SUM(M63:R63)</f>
        <v>12</v>
      </c>
      <c r="T63" s="3273">
        <f>COUNTA(T37:T62)</f>
        <v>10</v>
      </c>
      <c r="U63" s="2968">
        <f>COUNTIF(U37:V62,"10")</f>
        <v>14</v>
      </c>
      <c r="V63" s="2969">
        <f>COUNTIF(U37:V62,"20")</f>
        <v>1</v>
      </c>
      <c r="W63" s="5409" t="s">
        <v>1232</v>
      </c>
      <c r="X63" s="5409"/>
      <c r="Y63" s="5409"/>
      <c r="Z63" s="2235">
        <f>COUNTA(Z37:Z62)</f>
        <v>12</v>
      </c>
      <c r="AA63" s="5410">
        <f>SUM(AA37:AB62)</f>
        <v>350</v>
      </c>
      <c r="AB63" s="5411"/>
      <c r="AC63" s="2687">
        <f>SUM(AC37:AC62)</f>
        <v>219</v>
      </c>
      <c r="AD63" s="2688">
        <f t="shared" ref="AD63:AJ63" si="5">SUM(AD37:AD62)</f>
        <v>171</v>
      </c>
      <c r="AE63" s="2630">
        <f t="shared" si="5"/>
        <v>4</v>
      </c>
      <c r="AF63" s="2631">
        <f t="shared" si="5"/>
        <v>12</v>
      </c>
      <c r="AG63" s="2632">
        <f t="shared" si="5"/>
        <v>34</v>
      </c>
      <c r="AH63" s="2633">
        <f t="shared" si="5"/>
        <v>22</v>
      </c>
      <c r="AI63" s="2634">
        <f t="shared" si="5"/>
        <v>0</v>
      </c>
      <c r="AJ63" s="2635">
        <f t="shared" si="5"/>
        <v>0</v>
      </c>
      <c r="AK63" s="317">
        <f t="shared" si="3"/>
        <v>390</v>
      </c>
      <c r="AL63" s="3461">
        <f>SUM(AL37:AL62)/AL64</f>
        <v>5.5</v>
      </c>
      <c r="AM63" s="3465">
        <f t="shared" ref="AM63:AP63" si="6">SUM(AM37:AM62)/AM64</f>
        <v>6.5</v>
      </c>
      <c r="AN63" s="3460" t="e">
        <f t="shared" si="6"/>
        <v>#DIV/0!</v>
      </c>
      <c r="AO63" s="3460" t="e">
        <f t="shared" si="6"/>
        <v>#DIV/0!</v>
      </c>
      <c r="AP63" s="3460" t="e">
        <f t="shared" si="6"/>
        <v>#DIV/0!</v>
      </c>
      <c r="AQ63" s="3460" t="e">
        <f>SUM(AQ37:AQ62)/AQ64</f>
        <v>#DIV/0!</v>
      </c>
      <c r="AR63" s="3461" t="e">
        <f t="shared" si="4"/>
        <v>#DIV/0!</v>
      </c>
      <c r="AS63" s="3459">
        <f t="shared" si="0"/>
        <v>5</v>
      </c>
    </row>
    <row r="64" spans="1:45" s="2718" customFormat="1" ht="27.95" customHeight="1">
      <c r="A64" s="3690" t="s">
        <v>228</v>
      </c>
      <c r="B64" s="3691">
        <f>SUM(Estadisticas!AM25:AN25)</f>
        <v>5</v>
      </c>
      <c r="C64" s="3691">
        <f>SUM(Estadisticas!AO25:AP25)</f>
        <v>4</v>
      </c>
      <c r="D64" s="3691">
        <f>SUM(Estadisticas!AQ25:AR25)</f>
        <v>1</v>
      </c>
      <c r="E64" s="3691">
        <f>SUM(Estadisticas!AS25:AT25)</f>
        <v>1</v>
      </c>
      <c r="F64" s="3691">
        <f>SUM(Estadisticas!AU25:AV25)</f>
        <v>2</v>
      </c>
      <c r="G64" s="3691">
        <f>SUM(Estadisticas!AW25:AX25)</f>
        <v>3</v>
      </c>
      <c r="H64" s="5412">
        <f>SUM(B64:G64)</f>
        <v>16</v>
      </c>
      <c r="I64" s="5412"/>
      <c r="J64" s="3690"/>
      <c r="K64" s="3690"/>
      <c r="L64" s="3692" t="s">
        <v>1126</v>
      </c>
      <c r="M64" s="3690">
        <f>SUM(AK38:AK39)</f>
        <v>57</v>
      </c>
      <c r="N64" s="3690">
        <f>SUM(AK40:AK41)</f>
        <v>68</v>
      </c>
      <c r="O64" s="3690">
        <f>SUM(AK42:AK43)</f>
        <v>62</v>
      </c>
      <c r="P64" s="3690">
        <f>SUM(AK44:AK45)</f>
        <v>68</v>
      </c>
      <c r="Q64" s="3690">
        <f>SUM(AK46:AK47)</f>
        <v>65</v>
      </c>
      <c r="R64" s="3690">
        <f>SUM(AK48:AK49)</f>
        <v>70</v>
      </c>
      <c r="S64" s="3690">
        <f>SUM(M64:R64)</f>
        <v>390</v>
      </c>
      <c r="T64" s="3690">
        <f>'[1]0055K'!$V$23</f>
        <v>9</v>
      </c>
      <c r="U64" s="3691"/>
      <c r="V64" s="3691"/>
      <c r="W64" s="5404">
        <f>COUNTA(W37:X62)</f>
        <v>15</v>
      </c>
      <c r="X64" s="5404"/>
      <c r="Y64" s="3693">
        <f>COUNTA(Y37:Y62)</f>
        <v>12</v>
      </c>
      <c r="Z64" s="3694">
        <f>COUNTA(Z37:Z62)</f>
        <v>12</v>
      </c>
      <c r="AA64" s="5405">
        <f>'[1]0055K'!$X$35</f>
        <v>350</v>
      </c>
      <c r="AB64" s="5405"/>
      <c r="AC64" s="5334">
        <f>AC63+AD63</f>
        <v>390</v>
      </c>
      <c r="AD64" s="5334"/>
      <c r="AE64" s="5335">
        <f>AE63+AF63</f>
        <v>16</v>
      </c>
      <c r="AF64" s="5335"/>
      <c r="AG64" s="5335">
        <f>AG63+AH63</f>
        <v>56</v>
      </c>
      <c r="AH64" s="5335"/>
      <c r="AI64" s="2636"/>
      <c r="AJ64" s="2636"/>
      <c r="AK64" s="2636">
        <f t="shared" si="3"/>
        <v>390</v>
      </c>
      <c r="AL64" s="3462">
        <f>COUNTA(AL37:AL62)</f>
        <v>6</v>
      </c>
      <c r="AM64" s="3462">
        <f t="shared" ref="AM64:AQ64" si="7">COUNTA(AM37:AM62)</f>
        <v>12</v>
      </c>
      <c r="AN64" s="3462">
        <f t="shared" si="7"/>
        <v>0</v>
      </c>
      <c r="AO64" s="3462">
        <f t="shared" si="7"/>
        <v>0</v>
      </c>
      <c r="AP64" s="3462">
        <f t="shared" si="7"/>
        <v>0</v>
      </c>
      <c r="AQ64" s="3462">
        <f t="shared" si="7"/>
        <v>0</v>
      </c>
      <c r="AR64" s="3462">
        <v>12</v>
      </c>
      <c r="AS64" s="1446"/>
    </row>
    <row r="65" spans="1:45" s="1446" customFormat="1" ht="27.95" customHeight="1">
      <c r="A65" s="3695" t="s">
        <v>230</v>
      </c>
      <c r="B65" s="3695">
        <f>SUM(Estadisticas!AY25:AZ25)</f>
        <v>6</v>
      </c>
      <c r="C65" s="3695">
        <f>SUM(Estadisticas!BA25:BB25)</f>
        <v>8</v>
      </c>
      <c r="D65" s="3695">
        <f>SUM(Estadisticas!BC25:BD25)</f>
        <v>6</v>
      </c>
      <c r="E65" s="3695">
        <f>SUM(Estadisticas!BE25:BF25)</f>
        <v>9</v>
      </c>
      <c r="F65" s="3695">
        <f>SUM(Estadisticas!BG25:BH25)</f>
        <v>14</v>
      </c>
      <c r="G65" s="3695">
        <f>SUM(Estadisticas!BI25:BJ25)</f>
        <v>13</v>
      </c>
      <c r="H65" s="5413">
        <f>SUM(B65:G65)</f>
        <v>56</v>
      </c>
      <c r="I65" s="5413"/>
      <c r="J65" s="3695"/>
      <c r="K65" s="3695"/>
      <c r="L65" s="3696" t="s">
        <v>423</v>
      </c>
      <c r="M65" s="3695">
        <f>SUM(AE38:AF39)</f>
        <v>5</v>
      </c>
      <c r="N65" s="3695">
        <f>SUM(AE40:AF41)</f>
        <v>4</v>
      </c>
      <c r="O65" s="3695">
        <f>SUM(AE42:AF43)</f>
        <v>1</v>
      </c>
      <c r="P65" s="3695">
        <f>SUM(AE44:AF45)</f>
        <v>1</v>
      </c>
      <c r="Q65" s="3695">
        <f>SUM(AE46:AF47)</f>
        <v>2</v>
      </c>
      <c r="R65" s="3695">
        <f>SUM(AE48:AF49)</f>
        <v>3</v>
      </c>
      <c r="S65" s="3695">
        <f t="shared" ref="S65:S66" si="8">SUM(M65:R65)</f>
        <v>16</v>
      </c>
      <c r="T65" s="3697"/>
      <c r="U65" s="3695" t="s">
        <v>1233</v>
      </c>
      <c r="V65" s="3697">
        <f>'[1]0055K'!$F$39</f>
        <v>2</v>
      </c>
      <c r="W65" s="3697">
        <f>'[1]0055K'!$I$39</f>
        <v>2</v>
      </c>
      <c r="X65" s="3697">
        <f>'[1]0055K'!$L$39</f>
        <v>2</v>
      </c>
      <c r="Y65" s="3697">
        <f>'[1]0055K'!$O$39</f>
        <v>2</v>
      </c>
      <c r="Z65" s="3697">
        <f>'[1]0055K'!$R$39</f>
        <v>2</v>
      </c>
      <c r="AA65" s="3697">
        <f>'[1]0055K'!$U$39</f>
        <v>2</v>
      </c>
      <c r="AB65" s="3697">
        <f>SUM(V65:AA65)</f>
        <v>12</v>
      </c>
      <c r="AC65" s="2683"/>
      <c r="AD65" s="3238"/>
      <c r="AE65" s="2620"/>
      <c r="AF65" s="2621"/>
      <c r="AG65" s="2620"/>
      <c r="AH65" s="2621"/>
      <c r="AK65" s="2636"/>
      <c r="AL65" s="3448"/>
      <c r="AM65" s="3448"/>
      <c r="AN65" s="3448"/>
      <c r="AO65" s="3448"/>
      <c r="AP65" s="3448"/>
      <c r="AQ65" s="3448"/>
      <c r="AR65" s="3448"/>
    </row>
    <row r="66" spans="1:45" s="1444" customFormat="1" ht="27.95" customHeight="1">
      <c r="A66" s="3698" t="s">
        <v>478</v>
      </c>
      <c r="B66" s="3698">
        <f>SUM(Estadisticas!BK25:BL25)</f>
        <v>0</v>
      </c>
      <c r="C66" s="3698">
        <f>SUM(Estadisticas!BM25:BN25)</f>
        <v>0</v>
      </c>
      <c r="D66" s="3698">
        <f>SUM(Estadisticas!BO25:BP25)</f>
        <v>0</v>
      </c>
      <c r="E66" s="3698">
        <f>SUM(Estadisticas!BQ25:BR25)</f>
        <v>0</v>
      </c>
      <c r="F66" s="3698">
        <f>SUM(Estadisticas!BS25:BT25)</f>
        <v>0</v>
      </c>
      <c r="G66" s="3698">
        <f>SUM(Estadisticas!BU25:BV25)</f>
        <v>0</v>
      </c>
      <c r="H66" s="5414">
        <f>SUM(B66:G66)</f>
        <v>0</v>
      </c>
      <c r="I66" s="5414"/>
      <c r="J66" s="3699"/>
      <c r="K66" s="3700"/>
      <c r="L66" s="3701" t="s">
        <v>434</v>
      </c>
      <c r="M66" s="3702">
        <f>SUM(AG38:AH39)</f>
        <v>6</v>
      </c>
      <c r="N66" s="3702">
        <f>SUM(AG40:AH41)</f>
        <v>8</v>
      </c>
      <c r="O66" s="3702">
        <f>SUM(AG42:AH43)</f>
        <v>6</v>
      </c>
      <c r="P66" s="3702">
        <f>SUM(AG44:AH45)</f>
        <v>9</v>
      </c>
      <c r="Q66" s="3702">
        <f>SUM(AG46:AH47)</f>
        <v>14</v>
      </c>
      <c r="R66" s="3702">
        <f>SUM(AG48:AH49)</f>
        <v>13</v>
      </c>
      <c r="S66" s="3702">
        <f t="shared" si="8"/>
        <v>56</v>
      </c>
      <c r="T66" s="3699"/>
      <c r="U66" s="3698">
        <f>'[1]0055K'!$O$26</f>
        <v>0</v>
      </c>
      <c r="V66" s="3698">
        <f>'[1]0055K'!$F$35</f>
        <v>56</v>
      </c>
      <c r="W66" s="3698">
        <f>'[1]0055K'!$I$35</f>
        <v>64</v>
      </c>
      <c r="X66" s="3698">
        <f>'[1]0055K'!$L$35</f>
        <v>57</v>
      </c>
      <c r="Y66" s="3698">
        <f>'[1]0055K'!$O$35</f>
        <v>60</v>
      </c>
      <c r="Z66" s="3698">
        <f>'[1]0055K'!$R$35</f>
        <v>53</v>
      </c>
      <c r="AA66" s="3698">
        <f>'[1]0055K'!$U$35</f>
        <v>60</v>
      </c>
      <c r="AB66" s="3698">
        <f>SUM(V66:AA66)</f>
        <v>350</v>
      </c>
      <c r="AC66" s="2683"/>
      <c r="AD66" s="3238"/>
      <c r="AE66" s="2620"/>
      <c r="AF66" s="2621"/>
      <c r="AG66" s="2620"/>
      <c r="AH66" s="2621"/>
      <c r="AK66" s="2636"/>
      <c r="AL66" s="3448"/>
      <c r="AM66" s="3448"/>
      <c r="AN66" s="3448"/>
      <c r="AO66" s="3448"/>
      <c r="AP66" s="3448"/>
      <c r="AQ66" s="3448"/>
      <c r="AR66" s="3448"/>
      <c r="AS66" s="1446"/>
    </row>
    <row r="67" spans="1:45" s="1448" customFormat="1" ht="27.95" customHeight="1">
      <c r="A67" s="108"/>
      <c r="B67" s="1427"/>
      <c r="C67" s="173"/>
      <c r="D67" s="3262" t="s">
        <v>1193</v>
      </c>
      <c r="E67" s="5388" t="str">
        <f>B37</f>
        <v>CERVANTES BENITEZ * ANTONIA</v>
      </c>
      <c r="F67" s="5388"/>
      <c r="G67" s="5388"/>
      <c r="H67" s="5388"/>
      <c r="I67" s="5388"/>
      <c r="J67" s="5388"/>
      <c r="K67" s="1603"/>
      <c r="L67" s="1428"/>
      <c r="M67" s="3262" t="s">
        <v>1234</v>
      </c>
      <c r="N67" s="5388" t="str">
        <f>N27</f>
        <v>RICALDE CASTRO JESUS MARTIN</v>
      </c>
      <c r="O67" s="5388"/>
      <c r="P67" s="5388"/>
      <c r="Q67" s="5388"/>
      <c r="R67" s="5388"/>
      <c r="S67" s="5388"/>
      <c r="T67" s="1603"/>
      <c r="U67" s="1603"/>
      <c r="V67" s="3262" t="s">
        <v>1195</v>
      </c>
      <c r="W67" s="5388" t="str">
        <f>W27</f>
        <v xml:space="preserve">ANCONA FLORES AURA EUGENIA </v>
      </c>
      <c r="X67" s="5388"/>
      <c r="Y67" s="5388"/>
      <c r="Z67" s="5388"/>
      <c r="AA67" s="5388"/>
      <c r="AB67" s="5388"/>
      <c r="AC67" s="2683"/>
      <c r="AD67" s="3238"/>
      <c r="AE67" s="2620"/>
      <c r="AF67" s="2621"/>
      <c r="AG67" s="2620"/>
      <c r="AH67" s="2621"/>
      <c r="AI67" s="2624"/>
      <c r="AJ67" s="2624"/>
      <c r="AK67" s="2636"/>
      <c r="AL67" s="3449"/>
      <c r="AM67" s="3449"/>
      <c r="AN67" s="3449"/>
      <c r="AO67" s="3449"/>
      <c r="AP67" s="3449"/>
      <c r="AQ67" s="3449"/>
      <c r="AR67" s="3449"/>
      <c r="AS67" s="3450"/>
    </row>
    <row r="68" spans="1:45" s="1430" customFormat="1" ht="27.95" customHeight="1">
      <c r="A68" s="1670"/>
      <c r="B68" s="1401"/>
      <c r="C68" s="1401"/>
      <c r="D68" s="1401"/>
      <c r="E68" s="1401"/>
      <c r="F68" s="1402"/>
      <c r="G68" s="1402"/>
      <c r="H68" s="1402"/>
      <c r="I68" s="1402"/>
      <c r="J68" s="1402"/>
      <c r="K68" s="27"/>
      <c r="M68" s="1431" t="s">
        <v>196</v>
      </c>
      <c r="N68" s="1402"/>
      <c r="O68" s="1402"/>
      <c r="P68" s="1402"/>
      <c r="Q68" s="1402"/>
      <c r="R68" s="1402"/>
      <c r="S68" s="1402"/>
      <c r="T68" s="1401"/>
      <c r="V68" s="3263"/>
      <c r="W68" s="1432" t="s">
        <v>764</v>
      </c>
      <c r="X68" s="5221" t="s">
        <v>247</v>
      </c>
      <c r="Y68" s="5221"/>
      <c r="Z68" s="5221"/>
      <c r="AA68" s="5221"/>
      <c r="AB68" s="1644"/>
      <c r="AC68" s="2683"/>
      <c r="AD68" s="3238"/>
      <c r="AE68" s="2637"/>
      <c r="AF68" s="2638"/>
      <c r="AG68" s="2637"/>
      <c r="AH68" s="2638"/>
      <c r="AI68" s="1449"/>
      <c r="AJ68" s="1449"/>
      <c r="AK68" s="2636"/>
      <c r="AL68" s="3451"/>
      <c r="AM68" s="3451"/>
      <c r="AN68" s="3451"/>
      <c r="AO68" s="3451"/>
      <c r="AP68" s="3451"/>
      <c r="AQ68" s="3451"/>
      <c r="AR68" s="3451"/>
      <c r="AS68" s="3452"/>
    </row>
    <row r="69" spans="1:45" ht="27.95" customHeight="1">
      <c r="A69" s="1663"/>
      <c r="B69" s="1406"/>
      <c r="C69" s="1406"/>
      <c r="D69" s="1406"/>
      <c r="E69" s="1406"/>
      <c r="F69" s="1407"/>
      <c r="G69" s="1407"/>
      <c r="H69" s="1407"/>
      <c r="I69" s="1407"/>
      <c r="J69" s="1407"/>
      <c r="K69" s="1407"/>
      <c r="L69" s="1407"/>
      <c r="M69" s="3260" t="s">
        <v>1148</v>
      </c>
      <c r="N69" s="1407"/>
      <c r="O69" s="1407"/>
      <c r="P69" s="1407"/>
      <c r="Q69" s="1407"/>
      <c r="R69" s="1407"/>
      <c r="S69" s="1407"/>
      <c r="T69" s="1408"/>
      <c r="U69" s="1408"/>
      <c r="V69" s="3263"/>
      <c r="W69" s="1432" t="s">
        <v>1149</v>
      </c>
      <c r="X69" s="5221" t="str">
        <f>X29</f>
        <v>2012 / 2013</v>
      </c>
      <c r="Y69" s="5221"/>
      <c r="Z69" s="5221"/>
      <c r="AA69" s="5221"/>
      <c r="AB69" s="1417"/>
      <c r="AC69" s="2683"/>
      <c r="AD69" s="3238"/>
      <c r="AE69" s="2620"/>
      <c r="AF69" s="2621"/>
      <c r="AG69" s="2620"/>
      <c r="AH69" s="2621"/>
      <c r="AK69" s="2636"/>
      <c r="AR69" s="3445"/>
    </row>
    <row r="70" spans="1:45" ht="27.95" customHeight="1">
      <c r="A70" s="1663"/>
      <c r="B70" s="1410"/>
      <c r="C70" s="1410"/>
      <c r="D70" s="1410"/>
      <c r="E70" s="1410"/>
      <c r="F70" s="1407"/>
      <c r="G70" s="1407"/>
      <c r="H70" s="1407"/>
      <c r="I70" s="1407"/>
      <c r="J70" s="1407"/>
      <c r="K70" s="1407"/>
      <c r="M70" s="3260" t="s">
        <v>1150</v>
      </c>
      <c r="N70" s="1407"/>
      <c r="O70" s="1407"/>
      <c r="P70" s="1407"/>
      <c r="Q70" s="1407"/>
      <c r="R70" s="1407"/>
      <c r="S70" s="1407"/>
      <c r="T70" s="1433"/>
      <c r="U70" s="1433"/>
      <c r="V70" s="1434"/>
      <c r="W70" s="3281" t="s">
        <v>42</v>
      </c>
      <c r="X70" s="5391" t="str">
        <f>X30</f>
        <v>042</v>
      </c>
      <c r="Y70" s="5391"/>
      <c r="Z70" s="5391"/>
      <c r="AA70" s="5391"/>
      <c r="AB70" s="1417"/>
      <c r="AC70" s="2683"/>
      <c r="AD70" s="3238"/>
      <c r="AE70" s="2620"/>
      <c r="AF70" s="2621"/>
      <c r="AG70" s="2620"/>
      <c r="AH70" s="2621"/>
      <c r="AK70" s="2636"/>
      <c r="AR70" s="3445"/>
    </row>
    <row r="71" spans="1:45" ht="27.95" customHeight="1">
      <c r="A71" s="1663"/>
      <c r="B71" s="1410"/>
      <c r="C71" s="1410"/>
      <c r="D71" s="1410"/>
      <c r="E71" s="1410"/>
      <c r="F71" s="1406"/>
      <c r="H71" s="1413"/>
      <c r="I71" s="1413"/>
      <c r="J71" s="1414"/>
      <c r="K71" s="1414"/>
      <c r="L71" s="1415" t="s">
        <v>1197</v>
      </c>
      <c r="M71" s="1415">
        <f>M31</f>
        <v>8</v>
      </c>
      <c r="N71" s="3271" t="s">
        <v>1152</v>
      </c>
      <c r="O71" s="5371" t="str">
        <f>O31</f>
        <v>AGOSTO</v>
      </c>
      <c r="P71" s="5371"/>
      <c r="Q71" s="1435" t="s">
        <v>1152</v>
      </c>
      <c r="R71" s="5371">
        <f>R31</f>
        <v>2012</v>
      </c>
      <c r="S71" s="5371"/>
      <c r="T71" s="1406"/>
      <c r="U71" s="5372" t="s">
        <v>246</v>
      </c>
      <c r="V71" s="5372"/>
      <c r="W71" s="5372"/>
      <c r="X71" s="5372"/>
      <c r="Y71" s="1436" t="s">
        <v>245</v>
      </c>
      <c r="Z71" s="1436"/>
      <c r="AA71" s="1437"/>
      <c r="AB71" s="1417"/>
      <c r="AC71" s="2683"/>
      <c r="AD71" s="3238"/>
      <c r="AE71" s="2620"/>
      <c r="AF71" s="2621"/>
      <c r="AG71" s="2620"/>
      <c r="AH71" s="2621"/>
      <c r="AK71" s="2636"/>
      <c r="AR71" s="3445"/>
    </row>
    <row r="72" spans="1:45" ht="27.95" customHeight="1">
      <c r="A72" s="5356" t="s">
        <v>1153</v>
      </c>
      <c r="B72" s="5356"/>
      <c r="C72" s="5356"/>
      <c r="D72" s="5389" t="s">
        <v>2312</v>
      </c>
      <c r="E72" s="5389"/>
      <c r="F72" s="5389"/>
      <c r="G72" s="5389"/>
      <c r="H72" s="5389"/>
      <c r="I72" s="5389"/>
      <c r="J72" s="5389"/>
      <c r="K72" s="5389"/>
      <c r="L72" s="3281" t="s">
        <v>19</v>
      </c>
      <c r="M72" s="5370" t="s">
        <v>1269</v>
      </c>
      <c r="N72" s="5370"/>
      <c r="O72" s="5390" t="s">
        <v>13</v>
      </c>
      <c r="P72" s="5390"/>
      <c r="Q72" s="5370" t="s">
        <v>69</v>
      </c>
      <c r="R72" s="5370"/>
      <c r="S72" s="5370"/>
      <c r="T72" s="174"/>
      <c r="U72" s="1418" t="s">
        <v>1157</v>
      </c>
      <c r="V72" s="5221" t="str">
        <f>V32</f>
        <v>2  BENITO JUAREZ</v>
      </c>
      <c r="W72" s="5221"/>
      <c r="X72" s="5221"/>
      <c r="Y72" s="5221"/>
      <c r="Z72" s="5221"/>
      <c r="AA72" s="5221"/>
      <c r="AB72" s="5221"/>
      <c r="AC72" s="2683"/>
      <c r="AD72" s="3238"/>
      <c r="AE72" s="2620"/>
      <c r="AF72" s="2621"/>
      <c r="AG72" s="2620"/>
      <c r="AH72" s="2621"/>
      <c r="AK72" s="2636"/>
      <c r="AR72" s="3445"/>
    </row>
    <row r="73" spans="1:45" s="1439" customFormat="1" ht="27.95" customHeight="1">
      <c r="A73" s="5356" t="s">
        <v>437</v>
      </c>
      <c r="B73" s="5356"/>
      <c r="C73" s="5389" t="s">
        <v>2313</v>
      </c>
      <c r="D73" s="5389"/>
      <c r="E73" s="5389"/>
      <c r="F73" s="5389"/>
      <c r="G73" s="5389"/>
      <c r="H73" s="5389"/>
      <c r="I73" s="5389"/>
      <c r="J73" s="5389"/>
      <c r="K73" s="5389"/>
      <c r="L73" s="5389"/>
      <c r="M73" s="5389"/>
      <c r="N73" s="1419"/>
      <c r="O73" s="3281" t="s">
        <v>863</v>
      </c>
      <c r="P73" s="5370" t="str">
        <f>'[1]0491L'!$I$8</f>
        <v>9988-95-00-52</v>
      </c>
      <c r="Q73" s="5370"/>
      <c r="R73" s="5370"/>
      <c r="S73" s="5370"/>
      <c r="T73" s="5370"/>
      <c r="U73" s="1420"/>
      <c r="V73" s="3281"/>
      <c r="W73" s="3281" t="s">
        <v>1159</v>
      </c>
      <c r="X73" s="5358" t="str">
        <f>X33</f>
        <v>8  DE  AGOSTO  DE  2012</v>
      </c>
      <c r="Y73" s="5358"/>
      <c r="Z73" s="5358"/>
      <c r="AA73" s="5358"/>
      <c r="AB73" s="5358"/>
      <c r="AC73" s="5331" t="str">
        <f>D72</f>
        <v>8 DE OCTUBRE</v>
      </c>
      <c r="AD73" s="5331"/>
      <c r="AE73" s="5331"/>
      <c r="AF73" s="5331"/>
      <c r="AG73" s="5331"/>
      <c r="AH73" s="5331"/>
      <c r="AI73" s="5332" t="str">
        <f>M72</f>
        <v>23DPR0491L</v>
      </c>
      <c r="AJ73" s="5332"/>
      <c r="AK73" s="5332"/>
      <c r="AL73" s="3446"/>
      <c r="AM73" s="3446"/>
      <c r="AN73" s="3446"/>
      <c r="AO73" s="3446"/>
      <c r="AP73" s="3446"/>
      <c r="AQ73" s="3446"/>
      <c r="AR73" s="3446"/>
      <c r="AS73" s="2166"/>
    </row>
    <row r="74" spans="1:45" s="1441" customFormat="1" ht="9.9499999999999993" customHeight="1">
      <c r="A74" s="1421"/>
      <c r="B74" s="1422"/>
      <c r="C74" s="1422"/>
      <c r="D74" s="3261"/>
      <c r="E74" s="3261"/>
      <c r="F74" s="3261"/>
      <c r="G74" s="3261"/>
      <c r="H74" s="3261"/>
      <c r="I74" s="3261"/>
      <c r="J74" s="3261"/>
      <c r="K74" s="3261"/>
      <c r="L74" s="3261"/>
      <c r="M74" s="1421"/>
      <c r="N74" s="1423"/>
      <c r="O74" s="1423"/>
      <c r="P74" s="1423"/>
      <c r="Q74" s="1424"/>
      <c r="R74" s="1423"/>
      <c r="S74" s="1423"/>
      <c r="T74" s="1422"/>
      <c r="U74" s="1422"/>
      <c r="V74" s="3261"/>
      <c r="W74" s="3261"/>
      <c r="X74" s="3261"/>
      <c r="Y74" s="3261"/>
      <c r="Z74" s="1422"/>
      <c r="AA74" s="1422"/>
      <c r="AB74" s="1422"/>
      <c r="AC74" s="2689"/>
      <c r="AD74" s="2690"/>
      <c r="AE74" s="2639"/>
      <c r="AF74" s="2640"/>
      <c r="AG74" s="2639"/>
      <c r="AH74" s="2640"/>
      <c r="AI74" s="1444"/>
      <c r="AJ74" s="1444"/>
      <c r="AK74" s="2636"/>
      <c r="AL74" s="3445"/>
      <c r="AM74" s="3445"/>
      <c r="AN74" s="3445"/>
      <c r="AO74" s="3445"/>
      <c r="AP74" s="3445"/>
      <c r="AQ74" s="3445"/>
      <c r="AR74" s="3445"/>
      <c r="AS74" s="108"/>
    </row>
    <row r="75" spans="1:45" s="1442" customFormat="1" ht="27.95" customHeight="1">
      <c r="A75" s="5415" t="s">
        <v>1160</v>
      </c>
      <c r="B75" s="5416" t="s">
        <v>1235</v>
      </c>
      <c r="C75" s="5416"/>
      <c r="D75" s="5416"/>
      <c r="E75" s="5416"/>
      <c r="F75" s="5416"/>
      <c r="G75" s="5416"/>
      <c r="H75" s="5417" t="s">
        <v>1161</v>
      </c>
      <c r="I75" s="5417"/>
      <c r="J75" s="5417" t="s">
        <v>212</v>
      </c>
      <c r="K75" s="5417" t="s">
        <v>1162</v>
      </c>
      <c r="L75" s="5417" t="s">
        <v>1163</v>
      </c>
      <c r="M75" s="5417"/>
      <c r="N75" s="5417" t="s">
        <v>1164</v>
      </c>
      <c r="O75" s="5417"/>
      <c r="P75" s="5417" t="s">
        <v>1165</v>
      </c>
      <c r="Q75" s="5417"/>
      <c r="R75" s="5417" t="s">
        <v>1166</v>
      </c>
      <c r="S75" s="5417"/>
      <c r="T75" s="5417" t="s">
        <v>1167</v>
      </c>
      <c r="U75" s="5417" t="s">
        <v>1618</v>
      </c>
      <c r="V75" s="5417"/>
      <c r="W75" s="5417" t="s">
        <v>1169</v>
      </c>
      <c r="X75" s="5417"/>
      <c r="Y75" s="5417" t="s">
        <v>3</v>
      </c>
      <c r="Z75" s="5417" t="s">
        <v>4</v>
      </c>
      <c r="AA75" s="5417" t="s">
        <v>28</v>
      </c>
      <c r="AB75" s="5417"/>
      <c r="AC75" s="5340" t="str">
        <f>AC35</f>
        <v>INICIAL</v>
      </c>
      <c r="AD75" s="5340"/>
      <c r="AE75" s="5344" t="str">
        <f>AE35</f>
        <v>ALTAS</v>
      </c>
      <c r="AF75" s="5345"/>
      <c r="AG75" s="5346" t="str">
        <f>AG35</f>
        <v>BAJAS</v>
      </c>
      <c r="AH75" s="5347"/>
      <c r="AI75" s="5333" t="str">
        <f>AI35</f>
        <v>REP</v>
      </c>
      <c r="AJ75" s="5333"/>
      <c r="AK75" s="2625" t="str">
        <f>AK35</f>
        <v>INI</v>
      </c>
      <c r="AL75" s="5328" t="s">
        <v>2509</v>
      </c>
      <c r="AM75" s="5329"/>
      <c r="AN75" s="5329"/>
      <c r="AO75" s="5329"/>
      <c r="AP75" s="5329"/>
      <c r="AQ75" s="5329"/>
      <c r="AR75" s="5330"/>
    </row>
    <row r="76" spans="1:45" s="1442" customFormat="1" ht="27.95" customHeight="1">
      <c r="A76" s="5415"/>
      <c r="B76" s="5416"/>
      <c r="C76" s="5416"/>
      <c r="D76" s="5416"/>
      <c r="E76" s="5416"/>
      <c r="F76" s="5416"/>
      <c r="G76" s="5416"/>
      <c r="H76" s="3269" t="s">
        <v>407</v>
      </c>
      <c r="I76" s="3269" t="s">
        <v>403</v>
      </c>
      <c r="J76" s="5417"/>
      <c r="K76" s="5417"/>
      <c r="L76" s="5417"/>
      <c r="M76" s="5417"/>
      <c r="N76" s="5417"/>
      <c r="O76" s="5417"/>
      <c r="P76" s="3269" t="s">
        <v>1170</v>
      </c>
      <c r="Q76" s="3269" t="s">
        <v>1171</v>
      </c>
      <c r="R76" s="3269" t="s">
        <v>1172</v>
      </c>
      <c r="S76" s="3269" t="s">
        <v>1173</v>
      </c>
      <c r="T76" s="5417"/>
      <c r="U76" s="5417"/>
      <c r="V76" s="5417"/>
      <c r="W76" s="5417"/>
      <c r="X76" s="5417"/>
      <c r="Y76" s="5417"/>
      <c r="Z76" s="5417"/>
      <c r="AA76" s="5417"/>
      <c r="AB76" s="5417"/>
      <c r="AC76" s="3295" t="str">
        <f>AC36</f>
        <v>H</v>
      </c>
      <c r="AD76" s="2686" t="str">
        <f>AD36</f>
        <v>M</v>
      </c>
      <c r="AE76" s="3295" t="str">
        <f t="shared" ref="AE76:AJ76" si="9">AE36</f>
        <v>H</v>
      </c>
      <c r="AF76" s="2686" t="str">
        <f t="shared" si="9"/>
        <v>M</v>
      </c>
      <c r="AG76" s="3295" t="str">
        <f t="shared" si="9"/>
        <v>H</v>
      </c>
      <c r="AH76" s="2686" t="str">
        <f t="shared" si="9"/>
        <v>M</v>
      </c>
      <c r="AI76" s="3295" t="str">
        <f t="shared" si="9"/>
        <v>H</v>
      </c>
      <c r="AJ76" s="2686" t="str">
        <f t="shared" si="9"/>
        <v>M</v>
      </c>
      <c r="AK76" s="2627" t="str">
        <f>AK36</f>
        <v>TTS</v>
      </c>
      <c r="AL76" s="3455" t="s">
        <v>393</v>
      </c>
      <c r="AM76" s="3463" t="s">
        <v>8</v>
      </c>
      <c r="AN76" s="3456" t="s">
        <v>347</v>
      </c>
      <c r="AO76" s="3456" t="s">
        <v>348</v>
      </c>
      <c r="AP76" s="3456" t="s">
        <v>2062</v>
      </c>
      <c r="AQ76" s="3457" t="s">
        <v>2081</v>
      </c>
      <c r="AR76" s="3456" t="s">
        <v>2510</v>
      </c>
    </row>
    <row r="77" spans="1:45" s="1443" customFormat="1" ht="27.75" customHeight="1">
      <c r="A77" s="3386">
        <v>1</v>
      </c>
      <c r="B77" s="2146" t="s">
        <v>2367</v>
      </c>
      <c r="C77" s="2147"/>
      <c r="D77" s="2147"/>
      <c r="E77" s="2147"/>
      <c r="F77" s="2147"/>
      <c r="G77" s="2149"/>
      <c r="H77" s="3386" t="s">
        <v>78</v>
      </c>
      <c r="I77" s="3386"/>
      <c r="J77" s="2148" t="s">
        <v>1236</v>
      </c>
      <c r="K77" s="2148" t="s">
        <v>1851</v>
      </c>
      <c r="L77" s="3673" t="s">
        <v>93</v>
      </c>
      <c r="M77" s="3672"/>
      <c r="N77" s="5350" t="s">
        <v>1237</v>
      </c>
      <c r="O77" s="5350"/>
      <c r="P77" s="3386"/>
      <c r="Q77" s="3386" t="s">
        <v>79</v>
      </c>
      <c r="R77" s="3386"/>
      <c r="S77" s="3413" t="s">
        <v>2120</v>
      </c>
      <c r="T77" s="3386" t="s">
        <v>680</v>
      </c>
      <c r="U77" s="5350">
        <v>10</v>
      </c>
      <c r="V77" s="5350"/>
      <c r="W77" s="5351" t="s">
        <v>1238</v>
      </c>
      <c r="X77" s="5351"/>
      <c r="Y77" s="3389"/>
      <c r="Z77" s="3389"/>
      <c r="AA77" s="5396">
        <f>AC77+AD77+AE77+AF77-AG77-AH77</f>
        <v>0</v>
      </c>
      <c r="AB77" s="5396"/>
      <c r="AC77" s="2682"/>
      <c r="AD77" s="3289"/>
      <c r="AE77" s="2628"/>
      <c r="AF77" s="2629"/>
      <c r="AG77" s="2628"/>
      <c r="AH77" s="2629"/>
      <c r="AI77" s="2628"/>
      <c r="AJ77" s="2629"/>
      <c r="AK77" s="2670">
        <f t="shared" si="3"/>
        <v>0</v>
      </c>
      <c r="AL77" s="3464"/>
      <c r="AM77" s="3448"/>
      <c r="AN77" s="3448"/>
      <c r="AO77" s="3448"/>
      <c r="AP77" s="3448"/>
      <c r="AQ77" s="3448"/>
      <c r="AR77" s="3458" t="e">
        <f t="shared" ref="AR77:AR90" si="10">SUM(AM77:AQ77)/AS77</f>
        <v>#DIV/0!</v>
      </c>
      <c r="AS77" s="3459">
        <f>COUNTA(AM77:AQ77)</f>
        <v>0</v>
      </c>
    </row>
    <row r="78" spans="1:45" s="1443" customFormat="1" ht="27.95" customHeight="1">
      <c r="A78" s="3386">
        <v>2</v>
      </c>
      <c r="B78" s="2146" t="s">
        <v>2369</v>
      </c>
      <c r="C78" s="2147"/>
      <c r="D78" s="2147"/>
      <c r="E78" s="2147"/>
      <c r="F78" s="2147"/>
      <c r="G78" s="2149"/>
      <c r="H78" s="3636"/>
      <c r="I78" s="3636" t="s">
        <v>78</v>
      </c>
      <c r="J78" s="2148" t="s">
        <v>1239</v>
      </c>
      <c r="K78" s="2148" t="s">
        <v>1852</v>
      </c>
      <c r="L78" s="3671" t="s">
        <v>390</v>
      </c>
      <c r="M78" s="3672"/>
      <c r="N78" s="5349"/>
      <c r="O78" s="5350"/>
      <c r="P78" s="3636"/>
      <c r="Q78" s="3636" t="s">
        <v>79</v>
      </c>
      <c r="R78" s="3636"/>
      <c r="S78" s="3413" t="s">
        <v>2123</v>
      </c>
      <c r="T78" s="3636"/>
      <c r="U78" s="5350">
        <v>10</v>
      </c>
      <c r="V78" s="5350"/>
      <c r="W78" s="5351" t="s">
        <v>1240</v>
      </c>
      <c r="X78" s="5351"/>
      <c r="Y78" s="3389" t="s">
        <v>765</v>
      </c>
      <c r="Z78" s="3564" t="s">
        <v>228</v>
      </c>
      <c r="AA78" s="5336">
        <f>AC78+AD78+AE78+AF78-AG78-AH78</f>
        <v>31</v>
      </c>
      <c r="AB78" s="5337"/>
      <c r="AC78" s="2682">
        <v>15</v>
      </c>
      <c r="AD78" s="3289">
        <v>18</v>
      </c>
      <c r="AE78" s="2628"/>
      <c r="AF78" s="2629"/>
      <c r="AG78" s="2628">
        <v>1</v>
      </c>
      <c r="AH78" s="2629">
        <v>1</v>
      </c>
      <c r="AI78" s="2628"/>
      <c r="AJ78" s="2629"/>
      <c r="AK78" s="2671">
        <f>SUM(AC78:AD78)</f>
        <v>33</v>
      </c>
      <c r="AL78" s="3464">
        <v>9</v>
      </c>
      <c r="AM78" s="3448">
        <v>7.5</v>
      </c>
      <c r="AN78" s="3448"/>
      <c r="AO78" s="3448"/>
      <c r="AP78" s="3448"/>
      <c r="AQ78" s="3448"/>
      <c r="AR78" s="3458">
        <f t="shared" si="10"/>
        <v>7.5</v>
      </c>
      <c r="AS78" s="3459">
        <f t="shared" ref="AS78:AS103" si="11">COUNTA(AM78:AQ78)</f>
        <v>1</v>
      </c>
    </row>
    <row r="79" spans="1:45" s="1443" customFormat="1" ht="27.95" customHeight="1">
      <c r="A79" s="3386">
        <v>3</v>
      </c>
      <c r="B79" s="2146" t="s">
        <v>1314</v>
      </c>
      <c r="C79" s="2147"/>
      <c r="D79" s="2147"/>
      <c r="E79" s="2147"/>
      <c r="F79" s="2147"/>
      <c r="G79" s="2149"/>
      <c r="H79" s="3636" t="s">
        <v>78</v>
      </c>
      <c r="I79" s="3636"/>
      <c r="J79" s="2148" t="s">
        <v>1315</v>
      </c>
      <c r="K79" s="2148" t="s">
        <v>2469</v>
      </c>
      <c r="L79" s="3671" t="s">
        <v>390</v>
      </c>
      <c r="M79" s="3672"/>
      <c r="N79" s="5354" t="s">
        <v>1201</v>
      </c>
      <c r="O79" s="5418"/>
      <c r="P79" s="3636"/>
      <c r="Q79" s="3636" t="s">
        <v>79</v>
      </c>
      <c r="R79" s="3636"/>
      <c r="S79" s="3413" t="s">
        <v>2122</v>
      </c>
      <c r="T79" s="3636"/>
      <c r="U79" s="5419">
        <v>10</v>
      </c>
      <c r="V79" s="5418"/>
      <c r="W79" s="5420" t="s">
        <v>1199</v>
      </c>
      <c r="X79" s="5421"/>
      <c r="Y79" s="3389" t="s">
        <v>765</v>
      </c>
      <c r="Z79" s="3564" t="s">
        <v>230</v>
      </c>
      <c r="AA79" s="5336">
        <f t="shared" ref="AA79:AA102" si="12">AC79+AD79+AE79+AF79-AG79-AH79</f>
        <v>27</v>
      </c>
      <c r="AB79" s="5337"/>
      <c r="AC79" s="2682">
        <v>15</v>
      </c>
      <c r="AD79" s="3289">
        <v>11</v>
      </c>
      <c r="AE79" s="2628">
        <v>2</v>
      </c>
      <c r="AF79" s="2629">
        <v>2</v>
      </c>
      <c r="AG79" s="2628">
        <v>3</v>
      </c>
      <c r="AH79" s="2629"/>
      <c r="AI79" s="2628"/>
      <c r="AJ79" s="2629"/>
      <c r="AK79" s="2671">
        <f t="shared" si="3"/>
        <v>26</v>
      </c>
      <c r="AL79" s="3464">
        <v>7</v>
      </c>
      <c r="AM79" s="3448">
        <v>7.8</v>
      </c>
      <c r="AN79" s="3448"/>
      <c r="AO79" s="3448"/>
      <c r="AP79" s="3448"/>
      <c r="AQ79" s="3448"/>
      <c r="AR79" s="3458">
        <f t="shared" si="10"/>
        <v>7.8</v>
      </c>
      <c r="AS79" s="3459">
        <f t="shared" si="11"/>
        <v>1</v>
      </c>
    </row>
    <row r="80" spans="1:45" s="1443" customFormat="1" ht="27.75" customHeight="1">
      <c r="A80" s="3386">
        <v>4</v>
      </c>
      <c r="B80" s="2146" t="s">
        <v>2445</v>
      </c>
      <c r="C80" s="2147"/>
      <c r="D80" s="2147"/>
      <c r="E80" s="2147"/>
      <c r="F80" s="2147"/>
      <c r="G80" s="2149"/>
      <c r="H80" s="3636"/>
      <c r="I80" s="3636" t="s">
        <v>78</v>
      </c>
      <c r="J80" s="2148" t="s">
        <v>2446</v>
      </c>
      <c r="K80" s="2148" t="s">
        <v>2447</v>
      </c>
      <c r="L80" s="3671" t="s">
        <v>390</v>
      </c>
      <c r="M80" s="3672"/>
      <c r="N80" s="5354" t="s">
        <v>2466</v>
      </c>
      <c r="O80" s="5418"/>
      <c r="P80" s="3636"/>
      <c r="Q80" s="3636" t="s">
        <v>79</v>
      </c>
      <c r="R80" s="3636"/>
      <c r="S80" s="3413" t="s">
        <v>2467</v>
      </c>
      <c r="T80" s="3636"/>
      <c r="U80" s="5419">
        <v>20</v>
      </c>
      <c r="V80" s="5418"/>
      <c r="W80" s="5420" t="s">
        <v>2468</v>
      </c>
      <c r="X80" s="5421"/>
      <c r="Y80" s="3564" t="s">
        <v>765</v>
      </c>
      <c r="Z80" s="3564" t="s">
        <v>7</v>
      </c>
      <c r="AA80" s="5336">
        <f t="shared" si="12"/>
        <v>29</v>
      </c>
      <c r="AB80" s="5337"/>
      <c r="AC80" s="2682">
        <v>15</v>
      </c>
      <c r="AD80" s="3289">
        <v>14</v>
      </c>
      <c r="AE80" s="2628">
        <v>1</v>
      </c>
      <c r="AF80" s="2629">
        <v>1</v>
      </c>
      <c r="AG80" s="2628">
        <v>2</v>
      </c>
      <c r="AH80" s="2629"/>
      <c r="AI80" s="2628"/>
      <c r="AJ80" s="2629"/>
      <c r="AK80" s="2671">
        <f t="shared" si="3"/>
        <v>29</v>
      </c>
      <c r="AL80" s="3464">
        <v>8.5</v>
      </c>
      <c r="AM80" s="3448">
        <v>6.9</v>
      </c>
      <c r="AN80" s="3448"/>
      <c r="AO80" s="3448"/>
      <c r="AP80" s="3448"/>
      <c r="AQ80" s="3448"/>
      <c r="AR80" s="3458">
        <f t="shared" si="10"/>
        <v>6.9</v>
      </c>
      <c r="AS80" s="3459">
        <f t="shared" si="11"/>
        <v>1</v>
      </c>
    </row>
    <row r="81" spans="1:45" s="1443" customFormat="1" ht="27.95" customHeight="1">
      <c r="A81" s="3386">
        <v>5</v>
      </c>
      <c r="B81" s="2146" t="s">
        <v>2368</v>
      </c>
      <c r="C81" s="2147"/>
      <c r="D81" s="2147"/>
      <c r="E81" s="2147"/>
      <c r="F81" s="2147"/>
      <c r="G81" s="2149"/>
      <c r="H81" s="3636"/>
      <c r="I81" s="3636" t="s">
        <v>78</v>
      </c>
      <c r="J81" s="2148" t="s">
        <v>1978</v>
      </c>
      <c r="K81" s="2148" t="s">
        <v>1979</v>
      </c>
      <c r="L81" s="3671" t="s">
        <v>390</v>
      </c>
      <c r="M81" s="3672"/>
      <c r="N81" s="5349"/>
      <c r="O81" s="5350"/>
      <c r="P81" s="3636"/>
      <c r="Q81" s="3636"/>
      <c r="R81" s="3414" t="s">
        <v>1980</v>
      </c>
      <c r="S81" s="3413" t="s">
        <v>2121</v>
      </c>
      <c r="T81" s="3636" t="s">
        <v>680</v>
      </c>
      <c r="U81" s="5350">
        <v>10</v>
      </c>
      <c r="V81" s="5350"/>
      <c r="W81" s="5351"/>
      <c r="X81" s="5351"/>
      <c r="Y81" s="3389" t="s">
        <v>766</v>
      </c>
      <c r="Z81" s="3564" t="s">
        <v>228</v>
      </c>
      <c r="AA81" s="5336">
        <f t="shared" si="12"/>
        <v>32</v>
      </c>
      <c r="AB81" s="5337"/>
      <c r="AC81" s="2682">
        <v>16</v>
      </c>
      <c r="AD81" s="3289">
        <v>19</v>
      </c>
      <c r="AE81" s="2628">
        <v>1</v>
      </c>
      <c r="AF81" s="2629"/>
      <c r="AG81" s="2628">
        <v>2</v>
      </c>
      <c r="AH81" s="2629">
        <v>2</v>
      </c>
      <c r="AI81" s="2628"/>
      <c r="AJ81" s="2629"/>
      <c r="AK81" s="2671">
        <f t="shared" si="3"/>
        <v>35</v>
      </c>
      <c r="AL81" s="3464"/>
      <c r="AM81" s="3448">
        <v>7.6</v>
      </c>
      <c r="AN81" s="3448"/>
      <c r="AO81" s="3448"/>
      <c r="AP81" s="3448"/>
      <c r="AQ81" s="3448"/>
      <c r="AR81" s="3458">
        <f t="shared" si="10"/>
        <v>7.6</v>
      </c>
      <c r="AS81" s="3459">
        <f t="shared" si="11"/>
        <v>1</v>
      </c>
    </row>
    <row r="82" spans="1:45" s="1443" customFormat="1" ht="27.95" customHeight="1">
      <c r="A82" s="3386">
        <v>6</v>
      </c>
      <c r="B82" s="2146" t="s">
        <v>2375</v>
      </c>
      <c r="C82" s="2147"/>
      <c r="D82" s="2147"/>
      <c r="E82" s="2147"/>
      <c r="F82" s="2147"/>
      <c r="G82" s="2149"/>
      <c r="H82" s="3636"/>
      <c r="I82" s="3636" t="s">
        <v>78</v>
      </c>
      <c r="J82" s="2148" t="s">
        <v>1250</v>
      </c>
      <c r="K82" s="2148" t="s">
        <v>1856</v>
      </c>
      <c r="L82" s="3673" t="s">
        <v>390</v>
      </c>
      <c r="M82" s="3672"/>
      <c r="N82" s="5419"/>
      <c r="O82" s="5418"/>
      <c r="P82" s="3636"/>
      <c r="Q82" s="3636"/>
      <c r="R82" s="3636"/>
      <c r="S82" s="3413" t="s">
        <v>2129</v>
      </c>
      <c r="T82" s="3636"/>
      <c r="U82" s="5419">
        <v>10</v>
      </c>
      <c r="V82" s="5418"/>
      <c r="W82" s="5420" t="s">
        <v>1249</v>
      </c>
      <c r="X82" s="5421"/>
      <c r="Y82" s="3564" t="s">
        <v>766</v>
      </c>
      <c r="Z82" s="3564" t="s">
        <v>230</v>
      </c>
      <c r="AA82" s="5338">
        <f t="shared" si="12"/>
        <v>34</v>
      </c>
      <c r="AB82" s="5339"/>
      <c r="AC82" s="2682">
        <v>20</v>
      </c>
      <c r="AD82" s="3289">
        <v>14</v>
      </c>
      <c r="AE82" s="2628">
        <v>1</v>
      </c>
      <c r="AF82" s="2629">
        <v>1</v>
      </c>
      <c r="AG82" s="2628">
        <v>1</v>
      </c>
      <c r="AH82" s="2629">
        <v>1</v>
      </c>
      <c r="AI82" s="2628"/>
      <c r="AJ82" s="2629"/>
      <c r="AK82" s="2671">
        <f t="shared" si="3"/>
        <v>34</v>
      </c>
      <c r="AL82" s="3464"/>
      <c r="AM82" s="3448">
        <v>7.1</v>
      </c>
      <c r="AN82" s="3448"/>
      <c r="AO82" s="3448"/>
      <c r="AP82" s="3448"/>
      <c r="AQ82" s="3448"/>
      <c r="AR82" s="3458">
        <f t="shared" si="10"/>
        <v>7.1</v>
      </c>
      <c r="AS82" s="3459">
        <f t="shared" si="11"/>
        <v>1</v>
      </c>
    </row>
    <row r="83" spans="1:45" s="1443" customFormat="1" ht="27.95" customHeight="1">
      <c r="A83" s="3386">
        <v>7</v>
      </c>
      <c r="B83" s="2146" t="s">
        <v>2664</v>
      </c>
      <c r="C83" s="2147"/>
      <c r="D83" s="2147"/>
      <c r="E83" s="2147"/>
      <c r="F83" s="2147"/>
      <c r="G83" s="2149"/>
      <c r="H83" s="3386"/>
      <c r="I83" s="3636" t="s">
        <v>78</v>
      </c>
      <c r="J83" s="2148" t="s">
        <v>2665</v>
      </c>
      <c r="K83" s="2148"/>
      <c r="L83" s="3673"/>
      <c r="M83" s="3672"/>
      <c r="N83" s="5419"/>
      <c r="O83" s="5418"/>
      <c r="P83" s="3386"/>
      <c r="Q83" s="3386"/>
      <c r="R83" s="3386"/>
      <c r="S83" s="3413"/>
      <c r="T83" s="3386"/>
      <c r="U83" s="5419"/>
      <c r="V83" s="5418"/>
      <c r="W83" s="5420"/>
      <c r="X83" s="5421"/>
      <c r="Y83" s="3389" t="s">
        <v>767</v>
      </c>
      <c r="Z83" s="3564" t="s">
        <v>228</v>
      </c>
      <c r="AA83" s="5336">
        <f>AC83+AD83+AE83+AF83-AG83-AH83</f>
        <v>32</v>
      </c>
      <c r="AB83" s="5337"/>
      <c r="AC83" s="2682">
        <v>17</v>
      </c>
      <c r="AD83" s="3289">
        <v>15</v>
      </c>
      <c r="AE83" s="2628">
        <v>2</v>
      </c>
      <c r="AF83" s="2629">
        <v>1</v>
      </c>
      <c r="AG83" s="2628">
        <v>2</v>
      </c>
      <c r="AH83" s="2629">
        <v>1</v>
      </c>
      <c r="AI83" s="2628"/>
      <c r="AJ83" s="2629"/>
      <c r="AK83" s="2671">
        <f t="shared" si="3"/>
        <v>32</v>
      </c>
      <c r="AL83" s="3464"/>
      <c r="AM83" s="3448">
        <v>6.8</v>
      </c>
      <c r="AN83" s="3448"/>
      <c r="AO83" s="3448"/>
      <c r="AP83" s="3448"/>
      <c r="AQ83" s="3448"/>
      <c r="AR83" s="3458">
        <f t="shared" si="10"/>
        <v>6.8</v>
      </c>
      <c r="AS83" s="3459">
        <f t="shared" si="11"/>
        <v>1</v>
      </c>
    </row>
    <row r="84" spans="1:45" s="1443" customFormat="1" ht="27.95" customHeight="1">
      <c r="A84" s="3386">
        <v>8</v>
      </c>
      <c r="B84" s="2146" t="s">
        <v>2372</v>
      </c>
      <c r="C84" s="2147"/>
      <c r="D84" s="2147"/>
      <c r="E84" s="2147"/>
      <c r="F84" s="2147"/>
      <c r="G84" s="2149"/>
      <c r="H84" s="3636"/>
      <c r="I84" s="3636" t="s">
        <v>78</v>
      </c>
      <c r="J84" s="2148" t="s">
        <v>1247</v>
      </c>
      <c r="K84" s="2148" t="s">
        <v>1854</v>
      </c>
      <c r="L84" s="3673" t="s">
        <v>390</v>
      </c>
      <c r="M84" s="3672"/>
      <c r="N84" s="5419" t="s">
        <v>1237</v>
      </c>
      <c r="O84" s="5418"/>
      <c r="P84" s="3636"/>
      <c r="Q84" s="3636" t="s">
        <v>79</v>
      </c>
      <c r="R84" s="3636"/>
      <c r="S84" s="3413" t="s">
        <v>2126</v>
      </c>
      <c r="T84" s="3636" t="s">
        <v>680</v>
      </c>
      <c r="U84" s="5419">
        <v>10</v>
      </c>
      <c r="V84" s="5418"/>
      <c r="W84" s="5420" t="s">
        <v>1246</v>
      </c>
      <c r="X84" s="5421"/>
      <c r="Y84" s="3389" t="s">
        <v>767</v>
      </c>
      <c r="Z84" s="3564" t="s">
        <v>230</v>
      </c>
      <c r="AA84" s="5336">
        <f t="shared" si="12"/>
        <v>31</v>
      </c>
      <c r="AB84" s="5337"/>
      <c r="AC84" s="2682">
        <v>17</v>
      </c>
      <c r="AD84" s="3289">
        <v>12</v>
      </c>
      <c r="AE84" s="2628">
        <v>2</v>
      </c>
      <c r="AF84" s="2629">
        <v>1</v>
      </c>
      <c r="AG84" s="2628">
        <v>1</v>
      </c>
      <c r="AH84" s="2629"/>
      <c r="AI84" s="2628"/>
      <c r="AJ84" s="2629"/>
      <c r="AK84" s="2671">
        <f t="shared" si="3"/>
        <v>29</v>
      </c>
      <c r="AL84" s="3464"/>
      <c r="AM84" s="3448">
        <v>6.5</v>
      </c>
      <c r="AN84" s="3448"/>
      <c r="AO84" s="3448"/>
      <c r="AP84" s="3448"/>
      <c r="AQ84" s="3448"/>
      <c r="AR84" s="3458">
        <f t="shared" si="10"/>
        <v>6.5</v>
      </c>
      <c r="AS84" s="3459">
        <f t="shared" si="11"/>
        <v>1</v>
      </c>
    </row>
    <row r="85" spans="1:45" s="1444" customFormat="1" ht="27.95" customHeight="1">
      <c r="A85" s="3386">
        <v>9</v>
      </c>
      <c r="B85" s="2146" t="s">
        <v>2370</v>
      </c>
      <c r="C85" s="2150"/>
      <c r="D85" s="2150"/>
      <c r="E85" s="2150"/>
      <c r="F85" s="2150"/>
      <c r="G85" s="2727"/>
      <c r="H85" s="3636"/>
      <c r="I85" s="3636" t="s">
        <v>78</v>
      </c>
      <c r="J85" s="2148" t="s">
        <v>1241</v>
      </c>
      <c r="K85" s="2148" t="s">
        <v>1853</v>
      </c>
      <c r="L85" s="3671" t="s">
        <v>390</v>
      </c>
      <c r="M85" s="3672"/>
      <c r="N85" s="5349" t="s">
        <v>1242</v>
      </c>
      <c r="O85" s="5350"/>
      <c r="P85" s="3636"/>
      <c r="Q85" s="3636" t="s">
        <v>79</v>
      </c>
      <c r="R85" s="3636"/>
      <c r="S85" s="3413" t="s">
        <v>2124</v>
      </c>
      <c r="T85" s="3636"/>
      <c r="U85" s="5350">
        <v>10</v>
      </c>
      <c r="V85" s="5350"/>
      <c r="W85" s="5351" t="s">
        <v>1243</v>
      </c>
      <c r="X85" s="5351"/>
      <c r="Y85" s="3389" t="s">
        <v>771</v>
      </c>
      <c r="Z85" s="3564" t="s">
        <v>228</v>
      </c>
      <c r="AA85" s="5336">
        <f t="shared" si="12"/>
        <v>26</v>
      </c>
      <c r="AB85" s="5337"/>
      <c r="AC85" s="2682">
        <v>17</v>
      </c>
      <c r="AD85" s="3289">
        <v>12</v>
      </c>
      <c r="AE85" s="2628">
        <v>1</v>
      </c>
      <c r="AF85" s="2629">
        <v>1</v>
      </c>
      <c r="AG85" s="2628">
        <v>4</v>
      </c>
      <c r="AH85" s="2629">
        <v>1</v>
      </c>
      <c r="AI85" s="2628"/>
      <c r="AJ85" s="2629"/>
      <c r="AK85" s="2671">
        <f t="shared" si="3"/>
        <v>29</v>
      </c>
      <c r="AL85" s="3464"/>
      <c r="AM85" s="3448">
        <v>6.1</v>
      </c>
      <c r="AN85" s="3448"/>
      <c r="AO85" s="3448"/>
      <c r="AP85" s="3448"/>
      <c r="AQ85" s="3448"/>
      <c r="AR85" s="3458">
        <f t="shared" si="10"/>
        <v>6.1</v>
      </c>
      <c r="AS85" s="3459">
        <f t="shared" si="11"/>
        <v>1</v>
      </c>
    </row>
    <row r="86" spans="1:45" s="1444" customFormat="1" ht="27.95" customHeight="1">
      <c r="A86" s="3386">
        <v>10</v>
      </c>
      <c r="B86" s="2146" t="s">
        <v>2373</v>
      </c>
      <c r="C86" s="2147"/>
      <c r="D86" s="2147"/>
      <c r="E86" s="2147"/>
      <c r="F86" s="2147"/>
      <c r="G86" s="2149"/>
      <c r="H86" s="3386"/>
      <c r="I86" s="3386" t="s">
        <v>78</v>
      </c>
      <c r="J86" s="2148" t="s">
        <v>1248</v>
      </c>
      <c r="K86" s="2148" t="s">
        <v>1855</v>
      </c>
      <c r="L86" s="3673" t="s">
        <v>390</v>
      </c>
      <c r="M86" s="3672"/>
      <c r="N86" s="5419" t="s">
        <v>1237</v>
      </c>
      <c r="O86" s="5418"/>
      <c r="P86" s="3386"/>
      <c r="Q86" s="3386" t="s">
        <v>79</v>
      </c>
      <c r="R86" s="3386"/>
      <c r="S86" s="3413" t="s">
        <v>2127</v>
      </c>
      <c r="T86" s="3386"/>
      <c r="U86" s="5419">
        <v>10</v>
      </c>
      <c r="V86" s="5418"/>
      <c r="W86" s="5420" t="s">
        <v>1246</v>
      </c>
      <c r="X86" s="5421"/>
      <c r="Y86" s="3389" t="s">
        <v>771</v>
      </c>
      <c r="Z86" s="3564" t="s">
        <v>230</v>
      </c>
      <c r="AA86" s="5336">
        <f t="shared" si="12"/>
        <v>28</v>
      </c>
      <c r="AB86" s="5337"/>
      <c r="AC86" s="2682">
        <v>15</v>
      </c>
      <c r="AD86" s="3289">
        <v>12</v>
      </c>
      <c r="AE86" s="2628">
        <v>2</v>
      </c>
      <c r="AF86" s="2629">
        <v>1</v>
      </c>
      <c r="AG86" s="2628">
        <v>1</v>
      </c>
      <c r="AH86" s="2629">
        <v>1</v>
      </c>
      <c r="AI86" s="2628"/>
      <c r="AJ86" s="2629"/>
      <c r="AK86" s="2671">
        <f t="shared" si="3"/>
        <v>27</v>
      </c>
      <c r="AL86" s="3464"/>
      <c r="AM86" s="3448">
        <v>7</v>
      </c>
      <c r="AN86" s="3448"/>
      <c r="AO86" s="3448"/>
      <c r="AP86" s="3448"/>
      <c r="AQ86" s="3448"/>
      <c r="AR86" s="3458">
        <f t="shared" si="10"/>
        <v>7</v>
      </c>
      <c r="AS86" s="3459">
        <f t="shared" si="11"/>
        <v>1</v>
      </c>
    </row>
    <row r="87" spans="1:45" s="1444" customFormat="1" ht="27.95" customHeight="1">
      <c r="A87" s="3386">
        <v>11</v>
      </c>
      <c r="B87" s="2154" t="s">
        <v>2386</v>
      </c>
      <c r="C87" s="2152"/>
      <c r="D87" s="2152"/>
      <c r="E87" s="2152"/>
      <c r="F87" s="2152"/>
      <c r="G87" s="2153"/>
      <c r="H87" s="3643"/>
      <c r="I87" s="3643" t="s">
        <v>78</v>
      </c>
      <c r="J87" s="3638" t="s">
        <v>1274</v>
      </c>
      <c r="K87" s="3638" t="s">
        <v>1933</v>
      </c>
      <c r="L87" s="3671" t="s">
        <v>390</v>
      </c>
      <c r="M87" s="3676"/>
      <c r="N87" s="5349"/>
      <c r="O87" s="5349"/>
      <c r="P87" s="3643"/>
      <c r="Q87" s="3643"/>
      <c r="R87" s="3643"/>
      <c r="S87" s="2878" t="s">
        <v>2142</v>
      </c>
      <c r="T87" s="3643"/>
      <c r="U87" s="5349">
        <v>10</v>
      </c>
      <c r="V87" s="5349"/>
      <c r="W87" s="5422" t="s">
        <v>1361</v>
      </c>
      <c r="X87" s="5422"/>
      <c r="Y87" s="3564" t="s">
        <v>771</v>
      </c>
      <c r="Z87" s="3564" t="s">
        <v>7</v>
      </c>
      <c r="AA87" s="5336">
        <f t="shared" si="12"/>
        <v>30</v>
      </c>
      <c r="AB87" s="5337"/>
      <c r="AC87" s="2682">
        <v>20</v>
      </c>
      <c r="AD87" s="3289">
        <v>10</v>
      </c>
      <c r="AE87" s="2628"/>
      <c r="AF87" s="2629"/>
      <c r="AG87" s="2628"/>
      <c r="AH87" s="2629"/>
      <c r="AI87" s="2628"/>
      <c r="AJ87" s="2629"/>
      <c r="AK87" s="2671">
        <f t="shared" si="3"/>
        <v>30</v>
      </c>
      <c r="AL87" s="3464"/>
      <c r="AM87" s="3448">
        <v>7.1</v>
      </c>
      <c r="AN87" s="3448"/>
      <c r="AO87" s="3448"/>
      <c r="AP87" s="3448"/>
      <c r="AQ87" s="3448"/>
      <c r="AR87" s="3458">
        <f t="shared" si="10"/>
        <v>7.1</v>
      </c>
      <c r="AS87" s="3459">
        <f t="shared" si="11"/>
        <v>1</v>
      </c>
    </row>
    <row r="88" spans="1:45" s="1444" customFormat="1" ht="27.95" customHeight="1">
      <c r="A88" s="3386">
        <v>12</v>
      </c>
      <c r="B88" s="2146" t="s">
        <v>2371</v>
      </c>
      <c r="C88" s="2147"/>
      <c r="D88" s="2147"/>
      <c r="E88" s="2147"/>
      <c r="F88" s="2147"/>
      <c r="G88" s="2149"/>
      <c r="H88" s="3636" t="s">
        <v>78</v>
      </c>
      <c r="I88" s="3636"/>
      <c r="J88" s="2148" t="s">
        <v>1252</v>
      </c>
      <c r="K88" s="2148" t="s">
        <v>1857</v>
      </c>
      <c r="L88" s="3673" t="s">
        <v>390</v>
      </c>
      <c r="M88" s="3672"/>
      <c r="N88" s="5419" t="s">
        <v>1253</v>
      </c>
      <c r="O88" s="5418"/>
      <c r="P88" s="3636"/>
      <c r="Q88" s="3636" t="s">
        <v>79</v>
      </c>
      <c r="R88" s="3636"/>
      <c r="S88" s="3413" t="s">
        <v>2125</v>
      </c>
      <c r="T88" s="3636" t="s">
        <v>680</v>
      </c>
      <c r="U88" s="5419">
        <v>10</v>
      </c>
      <c r="V88" s="5418"/>
      <c r="W88" s="5420" t="s">
        <v>1251</v>
      </c>
      <c r="X88" s="5421"/>
      <c r="Y88" s="3389" t="s">
        <v>772</v>
      </c>
      <c r="Z88" s="3564" t="s">
        <v>228</v>
      </c>
      <c r="AA88" s="5336">
        <f t="shared" si="12"/>
        <v>34</v>
      </c>
      <c r="AB88" s="5337"/>
      <c r="AC88" s="2682">
        <v>17</v>
      </c>
      <c r="AD88" s="3289">
        <v>18</v>
      </c>
      <c r="AE88" s="2628"/>
      <c r="AF88" s="2629"/>
      <c r="AG88" s="2628">
        <v>1</v>
      </c>
      <c r="AH88" s="2629"/>
      <c r="AI88" s="2628"/>
      <c r="AJ88" s="2629"/>
      <c r="AK88" s="2671">
        <f t="shared" si="3"/>
        <v>35</v>
      </c>
      <c r="AL88" s="3464"/>
      <c r="AM88" s="3448">
        <v>7.2</v>
      </c>
      <c r="AN88" s="3448"/>
      <c r="AO88" s="3448"/>
      <c r="AP88" s="3448"/>
      <c r="AQ88" s="3448"/>
      <c r="AR88" s="3458">
        <f t="shared" si="10"/>
        <v>7.2</v>
      </c>
      <c r="AS88" s="3459">
        <f t="shared" si="11"/>
        <v>1</v>
      </c>
    </row>
    <row r="89" spans="1:45" s="1444" customFormat="1" ht="27.95" customHeight="1">
      <c r="A89" s="3386">
        <v>13</v>
      </c>
      <c r="B89" s="2145" t="s">
        <v>2352</v>
      </c>
      <c r="C89" s="2147"/>
      <c r="D89" s="2147"/>
      <c r="E89" s="2147"/>
      <c r="F89" s="2147"/>
      <c r="G89" s="2149"/>
      <c r="H89" s="3636"/>
      <c r="I89" s="3636" t="s">
        <v>78</v>
      </c>
      <c r="J89" s="3646" t="s">
        <v>1333</v>
      </c>
      <c r="K89" s="3646" t="s">
        <v>1937</v>
      </c>
      <c r="L89" s="3671" t="s">
        <v>390</v>
      </c>
      <c r="M89" s="3672"/>
      <c r="N89" s="5349" t="s">
        <v>1198</v>
      </c>
      <c r="O89" s="5350"/>
      <c r="P89" s="3636"/>
      <c r="Q89" s="3636"/>
      <c r="R89" s="3636"/>
      <c r="S89" s="2877" t="s">
        <v>2200</v>
      </c>
      <c r="T89" s="3636"/>
      <c r="U89" s="5350">
        <v>10</v>
      </c>
      <c r="V89" s="5350"/>
      <c r="W89" s="5351" t="s">
        <v>1365</v>
      </c>
      <c r="X89" s="5351"/>
      <c r="Y89" s="3564" t="s">
        <v>772</v>
      </c>
      <c r="Z89" s="3564" t="s">
        <v>230</v>
      </c>
      <c r="AA89" s="5336">
        <f t="shared" si="12"/>
        <v>35</v>
      </c>
      <c r="AB89" s="5337"/>
      <c r="AC89" s="2682">
        <v>17</v>
      </c>
      <c r="AD89" s="3289">
        <v>18</v>
      </c>
      <c r="AE89" s="2628"/>
      <c r="AF89" s="2629"/>
      <c r="AG89" s="2628"/>
      <c r="AH89" s="2629"/>
      <c r="AI89" s="2628"/>
      <c r="AJ89" s="2629"/>
      <c r="AK89" s="2671">
        <f t="shared" si="3"/>
        <v>35</v>
      </c>
      <c r="AL89" s="3464"/>
      <c r="AM89" s="3448">
        <v>7.3</v>
      </c>
      <c r="AN89" s="3448"/>
      <c r="AO89" s="3448"/>
      <c r="AP89" s="3448"/>
      <c r="AQ89" s="3448"/>
      <c r="AR89" s="3458">
        <f t="shared" si="10"/>
        <v>7.3</v>
      </c>
      <c r="AS89" s="3459">
        <f t="shared" si="11"/>
        <v>1</v>
      </c>
    </row>
    <row r="90" spans="1:45" s="1444" customFormat="1" ht="27.95" customHeight="1">
      <c r="A90" s="3386">
        <v>14</v>
      </c>
      <c r="B90" s="2146" t="s">
        <v>2376</v>
      </c>
      <c r="C90" s="2147"/>
      <c r="D90" s="2147"/>
      <c r="E90" s="2147"/>
      <c r="F90" s="2147"/>
      <c r="G90" s="2149"/>
      <c r="H90" s="3636" t="s">
        <v>78</v>
      </c>
      <c r="I90" s="3636"/>
      <c r="J90" s="2148" t="s">
        <v>1260</v>
      </c>
      <c r="K90" s="2148" t="s">
        <v>1861</v>
      </c>
      <c r="L90" s="3671" t="s">
        <v>390</v>
      </c>
      <c r="M90" s="3672"/>
      <c r="N90" s="5349" t="s">
        <v>1261</v>
      </c>
      <c r="O90" s="5350"/>
      <c r="P90" s="3636"/>
      <c r="Q90" s="3636" t="s">
        <v>79</v>
      </c>
      <c r="R90" s="3636"/>
      <c r="S90" s="3413" t="s">
        <v>2130</v>
      </c>
      <c r="T90" s="3636"/>
      <c r="U90" s="5419">
        <v>10</v>
      </c>
      <c r="V90" s="5418"/>
      <c r="W90" s="5351" t="s">
        <v>1246</v>
      </c>
      <c r="X90" s="5351"/>
      <c r="Y90" s="3389" t="s">
        <v>773</v>
      </c>
      <c r="Z90" s="3564" t="s">
        <v>228</v>
      </c>
      <c r="AA90" s="5336">
        <f t="shared" si="12"/>
        <v>33</v>
      </c>
      <c r="AB90" s="5337"/>
      <c r="AC90" s="2682">
        <v>15</v>
      </c>
      <c r="AD90" s="3289">
        <v>16</v>
      </c>
      <c r="AE90" s="2628"/>
      <c r="AF90" s="2629">
        <v>2</v>
      </c>
      <c r="AG90" s="2628"/>
      <c r="AH90" s="2629"/>
      <c r="AI90" s="2628"/>
      <c r="AJ90" s="2629"/>
      <c r="AK90" s="2671">
        <f t="shared" si="3"/>
        <v>31</v>
      </c>
      <c r="AL90" s="3464"/>
      <c r="AM90" s="3448">
        <v>7</v>
      </c>
      <c r="AN90" s="3448"/>
      <c r="AO90" s="3448"/>
      <c r="AP90" s="3448"/>
      <c r="AQ90" s="3448"/>
      <c r="AR90" s="3458">
        <f t="shared" si="10"/>
        <v>7</v>
      </c>
      <c r="AS90" s="3459">
        <f t="shared" si="11"/>
        <v>1</v>
      </c>
    </row>
    <row r="91" spans="1:45" s="1444" customFormat="1" ht="27.95" customHeight="1">
      <c r="A91" s="3386">
        <v>15</v>
      </c>
      <c r="B91" s="2146" t="s">
        <v>2663</v>
      </c>
      <c r="C91" s="2147"/>
      <c r="D91" s="2147"/>
      <c r="E91" s="2147"/>
      <c r="F91" s="2147"/>
      <c r="G91" s="2149"/>
      <c r="H91" s="3636" t="s">
        <v>78</v>
      </c>
      <c r="I91" s="3636"/>
      <c r="J91" s="2148"/>
      <c r="K91" s="2148"/>
      <c r="L91" s="3671" t="s">
        <v>390</v>
      </c>
      <c r="M91" s="3672"/>
      <c r="N91" s="5349"/>
      <c r="O91" s="5350"/>
      <c r="P91" s="3636"/>
      <c r="Q91" s="3636"/>
      <c r="R91" s="3636"/>
      <c r="S91" s="3413"/>
      <c r="T91" s="3636"/>
      <c r="U91" s="5419"/>
      <c r="V91" s="5418"/>
      <c r="W91" s="5351"/>
      <c r="X91" s="5351"/>
      <c r="Y91" s="3389" t="s">
        <v>773</v>
      </c>
      <c r="Z91" s="3564" t="s">
        <v>230</v>
      </c>
      <c r="AA91" s="5336">
        <f>AC91+AD91+AE91+AF91-AG91-AH91</f>
        <v>34</v>
      </c>
      <c r="AB91" s="5337"/>
      <c r="AC91" s="2682">
        <v>13</v>
      </c>
      <c r="AD91" s="3289">
        <v>21</v>
      </c>
      <c r="AE91" s="2628"/>
      <c r="AF91" s="2629"/>
      <c r="AG91" s="2628"/>
      <c r="AH91" s="2629"/>
      <c r="AI91" s="2628"/>
      <c r="AJ91" s="2629"/>
      <c r="AK91" s="2671">
        <f t="shared" si="3"/>
        <v>34</v>
      </c>
      <c r="AL91" s="3464"/>
      <c r="AM91" s="3448">
        <v>6.38</v>
      </c>
      <c r="AN91" s="3448"/>
      <c r="AO91" s="3448"/>
      <c r="AP91" s="3448"/>
      <c r="AQ91" s="3448"/>
      <c r="AR91" s="3458">
        <f t="shared" ref="AR91:AR103" si="13">SUM(AM91:AQ91)/AS91</f>
        <v>6.38</v>
      </c>
      <c r="AS91" s="3459">
        <f t="shared" si="11"/>
        <v>1</v>
      </c>
    </row>
    <row r="92" spans="1:45" s="1444" customFormat="1" ht="27.95" customHeight="1">
      <c r="A92" s="3386">
        <v>16</v>
      </c>
      <c r="B92" s="2146" t="s">
        <v>2379</v>
      </c>
      <c r="C92" s="2147"/>
      <c r="D92" s="2147"/>
      <c r="E92" s="2147"/>
      <c r="F92" s="2147"/>
      <c r="G92" s="2149"/>
      <c r="H92" s="3386"/>
      <c r="I92" s="3386" t="s">
        <v>78</v>
      </c>
      <c r="J92" s="2148" t="s">
        <v>1263</v>
      </c>
      <c r="K92" s="2148" t="s">
        <v>1862</v>
      </c>
      <c r="L92" s="3671" t="s">
        <v>440</v>
      </c>
      <c r="M92" s="3672"/>
      <c r="N92" s="5349"/>
      <c r="O92" s="5350"/>
      <c r="P92" s="3386"/>
      <c r="Q92" s="3386" t="s">
        <v>79</v>
      </c>
      <c r="R92" s="3386"/>
      <c r="S92" s="3413" t="s">
        <v>2133</v>
      </c>
      <c r="T92" s="3386"/>
      <c r="U92" s="5350">
        <v>10</v>
      </c>
      <c r="V92" s="5350"/>
      <c r="W92" s="5351" t="s">
        <v>1262</v>
      </c>
      <c r="X92" s="5351"/>
      <c r="Y92" s="3389"/>
      <c r="Z92" s="3389"/>
      <c r="AA92" s="5396">
        <f t="shared" si="12"/>
        <v>0</v>
      </c>
      <c r="AB92" s="5396"/>
      <c r="AC92" s="2682"/>
      <c r="AD92" s="3289"/>
      <c r="AE92" s="2628"/>
      <c r="AF92" s="2629"/>
      <c r="AG92" s="2628"/>
      <c r="AH92" s="2629"/>
      <c r="AI92" s="2628"/>
      <c r="AJ92" s="2629"/>
      <c r="AK92" s="2671">
        <f t="shared" si="3"/>
        <v>0</v>
      </c>
      <c r="AL92" s="3464"/>
      <c r="AM92" s="3448"/>
      <c r="AN92" s="3448"/>
      <c r="AO92" s="3448"/>
      <c r="AP92" s="3448"/>
      <c r="AQ92" s="3448"/>
      <c r="AR92" s="3458" t="e">
        <f t="shared" si="13"/>
        <v>#DIV/0!</v>
      </c>
      <c r="AS92" s="3459">
        <f t="shared" si="11"/>
        <v>0</v>
      </c>
    </row>
    <row r="93" spans="1:45" s="1444" customFormat="1" ht="27.95" customHeight="1">
      <c r="A93" s="3386">
        <v>17</v>
      </c>
      <c r="B93" s="2146" t="s">
        <v>2380</v>
      </c>
      <c r="C93" s="2147"/>
      <c r="D93" s="2147"/>
      <c r="E93" s="2147"/>
      <c r="F93" s="2147"/>
      <c r="G93" s="2149"/>
      <c r="H93" s="3386" t="s">
        <v>78</v>
      </c>
      <c r="I93" s="3386"/>
      <c r="J93" s="2148" t="s">
        <v>1264</v>
      </c>
      <c r="K93" s="2148" t="s">
        <v>1863</v>
      </c>
      <c r="L93" s="3673" t="s">
        <v>1229</v>
      </c>
      <c r="M93" s="3672"/>
      <c r="N93" s="5350"/>
      <c r="O93" s="5350"/>
      <c r="P93" s="3386"/>
      <c r="Q93" s="3386" t="s">
        <v>79</v>
      </c>
      <c r="R93" s="3386"/>
      <c r="S93" s="3413" t="s">
        <v>2134</v>
      </c>
      <c r="T93" s="3386"/>
      <c r="U93" s="5350">
        <v>10</v>
      </c>
      <c r="V93" s="5350"/>
      <c r="W93" s="5351" t="s">
        <v>1262</v>
      </c>
      <c r="X93" s="5351"/>
      <c r="Y93" s="3389"/>
      <c r="Z93" s="3389"/>
      <c r="AA93" s="5396">
        <f t="shared" si="12"/>
        <v>0</v>
      </c>
      <c r="AB93" s="5396"/>
      <c r="AC93" s="2682"/>
      <c r="AD93" s="3289"/>
      <c r="AE93" s="2628"/>
      <c r="AF93" s="2629"/>
      <c r="AG93" s="2628"/>
      <c r="AH93" s="2629"/>
      <c r="AI93" s="2628"/>
      <c r="AJ93" s="2629"/>
      <c r="AK93" s="2671">
        <f t="shared" si="3"/>
        <v>0</v>
      </c>
      <c r="AL93" s="3464"/>
      <c r="AM93" s="3448"/>
      <c r="AN93" s="3448"/>
      <c r="AO93" s="3448"/>
      <c r="AP93" s="3448"/>
      <c r="AQ93" s="3448"/>
      <c r="AR93" s="3458" t="e">
        <f t="shared" si="13"/>
        <v>#DIV/0!</v>
      </c>
      <c r="AS93" s="3459">
        <f t="shared" si="11"/>
        <v>0</v>
      </c>
    </row>
    <row r="94" spans="1:45" s="1444" customFormat="1" ht="27.95" customHeight="1">
      <c r="A94" s="3386">
        <v>18</v>
      </c>
      <c r="B94" s="2146" t="s">
        <v>2391</v>
      </c>
      <c r="C94" s="2147"/>
      <c r="D94" s="2147"/>
      <c r="E94" s="2147"/>
      <c r="F94" s="2147"/>
      <c r="G94" s="2149"/>
      <c r="H94" s="3386"/>
      <c r="I94" s="3386" t="s">
        <v>78</v>
      </c>
      <c r="J94" s="2148" t="s">
        <v>1285</v>
      </c>
      <c r="K94" s="2148" t="s">
        <v>1877</v>
      </c>
      <c r="L94" s="3671" t="s">
        <v>426</v>
      </c>
      <c r="M94" s="3672"/>
      <c r="N94" s="5349"/>
      <c r="O94" s="5350"/>
      <c r="P94" s="3243"/>
      <c r="Q94" s="3243"/>
      <c r="R94" s="3243"/>
      <c r="S94" s="3413" t="s">
        <v>2148</v>
      </c>
      <c r="T94" s="3386"/>
      <c r="U94" s="5350">
        <v>10</v>
      </c>
      <c r="V94" s="5350"/>
      <c r="W94" s="5351"/>
      <c r="X94" s="5351"/>
      <c r="Y94" s="3389"/>
      <c r="Z94" s="3389"/>
      <c r="AA94" s="5396">
        <f t="shared" si="12"/>
        <v>0</v>
      </c>
      <c r="AB94" s="5396"/>
      <c r="AC94" s="2682"/>
      <c r="AD94" s="3289"/>
      <c r="AE94" s="2628"/>
      <c r="AF94" s="2629"/>
      <c r="AG94" s="2628"/>
      <c r="AH94" s="2629"/>
      <c r="AI94" s="2628"/>
      <c r="AJ94" s="2629"/>
      <c r="AK94" s="2671">
        <f t="shared" si="3"/>
        <v>0</v>
      </c>
      <c r="AL94" s="3464"/>
      <c r="AM94" s="3448"/>
      <c r="AN94" s="3448"/>
      <c r="AO94" s="3448"/>
      <c r="AP94" s="3448"/>
      <c r="AQ94" s="3448"/>
      <c r="AR94" s="3458" t="e">
        <f t="shared" si="13"/>
        <v>#DIV/0!</v>
      </c>
      <c r="AS94" s="3459">
        <f t="shared" si="11"/>
        <v>0</v>
      </c>
    </row>
    <row r="95" spans="1:45" s="1444" customFormat="1" ht="27.95" customHeight="1">
      <c r="A95" s="3386">
        <v>19</v>
      </c>
      <c r="B95" s="2146" t="s">
        <v>2382</v>
      </c>
      <c r="C95" s="2147"/>
      <c r="D95" s="2147"/>
      <c r="E95" s="2147"/>
      <c r="F95" s="2147"/>
      <c r="G95" s="2149"/>
      <c r="H95" s="3386" t="s">
        <v>78</v>
      </c>
      <c r="I95" s="3386"/>
      <c r="J95" s="2148" t="s">
        <v>1268</v>
      </c>
      <c r="K95" s="2148" t="s">
        <v>1865</v>
      </c>
      <c r="L95" s="3671" t="s">
        <v>426</v>
      </c>
      <c r="M95" s="3672"/>
      <c r="N95" s="5419"/>
      <c r="O95" s="5418"/>
      <c r="P95" s="3386"/>
      <c r="Q95" s="3386" t="s">
        <v>79</v>
      </c>
      <c r="R95" s="3386"/>
      <c r="S95" s="3413" t="s">
        <v>2136</v>
      </c>
      <c r="T95" s="3386"/>
      <c r="U95" s="5419">
        <v>10</v>
      </c>
      <c r="V95" s="5418"/>
      <c r="W95" s="5420" t="s">
        <v>1267</v>
      </c>
      <c r="X95" s="5421"/>
      <c r="Y95" s="3389"/>
      <c r="Z95" s="3389"/>
      <c r="AA95" s="5396">
        <f t="shared" si="12"/>
        <v>0</v>
      </c>
      <c r="AB95" s="5396"/>
      <c r="AC95" s="2682"/>
      <c r="AD95" s="3289"/>
      <c r="AE95" s="2628"/>
      <c r="AF95" s="2629"/>
      <c r="AG95" s="2628"/>
      <c r="AH95" s="2629"/>
      <c r="AI95" s="2628"/>
      <c r="AJ95" s="2629"/>
      <c r="AK95" s="2671">
        <f t="shared" si="3"/>
        <v>0</v>
      </c>
      <c r="AL95" s="3464"/>
      <c r="AM95" s="3448"/>
      <c r="AN95" s="3448"/>
      <c r="AO95" s="3448"/>
      <c r="AP95" s="3448"/>
      <c r="AQ95" s="3448"/>
      <c r="AR95" s="3458" t="e">
        <f t="shared" si="13"/>
        <v>#DIV/0!</v>
      </c>
      <c r="AS95" s="3459">
        <f t="shared" si="11"/>
        <v>0</v>
      </c>
    </row>
    <row r="96" spans="1:45" s="1444" customFormat="1" ht="27.95" customHeight="1">
      <c r="A96" s="3386"/>
      <c r="B96" s="2147"/>
      <c r="C96" s="2147"/>
      <c r="D96" s="2147"/>
      <c r="E96" s="2147"/>
      <c r="F96" s="2147"/>
      <c r="G96" s="2149"/>
      <c r="H96" s="3386"/>
      <c r="I96" s="3386"/>
      <c r="J96" s="2148"/>
      <c r="K96" s="3415"/>
      <c r="L96" s="3673"/>
      <c r="M96" s="3672"/>
      <c r="N96" s="5419"/>
      <c r="O96" s="5418"/>
      <c r="P96" s="3386"/>
      <c r="Q96" s="3386" t="s">
        <v>79</v>
      </c>
      <c r="R96" s="3386"/>
      <c r="S96" s="3413"/>
      <c r="T96" s="3386"/>
      <c r="U96" s="5419"/>
      <c r="V96" s="5418"/>
      <c r="W96" s="5420"/>
      <c r="X96" s="5421"/>
      <c r="Y96" s="3389"/>
      <c r="Z96" s="3389"/>
      <c r="AA96" s="5396">
        <f t="shared" si="12"/>
        <v>0</v>
      </c>
      <c r="AB96" s="5396"/>
      <c r="AC96" s="2682"/>
      <c r="AD96" s="3289"/>
      <c r="AE96" s="2628"/>
      <c r="AF96" s="2629"/>
      <c r="AG96" s="2628"/>
      <c r="AH96" s="2629"/>
      <c r="AI96" s="2628"/>
      <c r="AJ96" s="2629"/>
      <c r="AK96" s="2671">
        <f t="shared" si="3"/>
        <v>0</v>
      </c>
      <c r="AL96" s="3464"/>
      <c r="AM96" s="3448"/>
      <c r="AN96" s="3448"/>
      <c r="AO96" s="3448"/>
      <c r="AP96" s="3448"/>
      <c r="AQ96" s="3448"/>
      <c r="AR96" s="3458" t="e">
        <f t="shared" si="13"/>
        <v>#DIV/0!</v>
      </c>
      <c r="AS96" s="3459">
        <f t="shared" si="11"/>
        <v>0</v>
      </c>
    </row>
    <row r="97" spans="1:45" s="1444" customFormat="1" ht="27.95" customHeight="1">
      <c r="A97" s="3386"/>
      <c r="B97" s="2146" t="s">
        <v>2377</v>
      </c>
      <c r="C97" s="2147"/>
      <c r="D97" s="2147"/>
      <c r="E97" s="2147"/>
      <c r="F97" s="2147"/>
      <c r="G97" s="2149"/>
      <c r="H97" s="3636" t="s">
        <v>78</v>
      </c>
      <c r="I97" s="3636"/>
      <c r="J97" s="2148" t="s">
        <v>1255</v>
      </c>
      <c r="K97" s="2148" t="s">
        <v>1858</v>
      </c>
      <c r="L97" s="3673" t="s">
        <v>390</v>
      </c>
      <c r="M97" s="3672"/>
      <c r="N97" s="5419"/>
      <c r="O97" s="5418"/>
      <c r="P97" s="3636"/>
      <c r="Q97" s="3636" t="s">
        <v>79</v>
      </c>
      <c r="R97" s="3636"/>
      <c r="S97" s="3413" t="s">
        <v>2131</v>
      </c>
      <c r="T97" s="3636"/>
      <c r="U97" s="5419">
        <v>10</v>
      </c>
      <c r="V97" s="5418"/>
      <c r="W97" s="5420" t="s">
        <v>1254</v>
      </c>
      <c r="X97" s="5421"/>
      <c r="Y97" s="3389"/>
      <c r="Z97" s="3389"/>
      <c r="AA97" s="5396">
        <f t="shared" si="12"/>
        <v>0</v>
      </c>
      <c r="AB97" s="5396"/>
      <c r="AC97" s="2682"/>
      <c r="AD97" s="3289"/>
      <c r="AE97" s="2628"/>
      <c r="AF97" s="2629"/>
      <c r="AG97" s="2628"/>
      <c r="AH97" s="2629"/>
      <c r="AI97" s="2628"/>
      <c r="AJ97" s="2629"/>
      <c r="AK97" s="2671">
        <f t="shared" si="3"/>
        <v>0</v>
      </c>
      <c r="AL97" s="3464"/>
      <c r="AM97" s="3448"/>
      <c r="AN97" s="3448"/>
      <c r="AO97" s="3448"/>
      <c r="AP97" s="3448"/>
      <c r="AQ97" s="3448"/>
      <c r="AR97" s="3458" t="e">
        <f t="shared" si="13"/>
        <v>#DIV/0!</v>
      </c>
      <c r="AS97" s="3459">
        <f t="shared" si="11"/>
        <v>0</v>
      </c>
    </row>
    <row r="98" spans="1:45" s="1444" customFormat="1" ht="27.95" customHeight="1">
      <c r="A98" s="3386"/>
      <c r="B98" s="2146" t="s">
        <v>2378</v>
      </c>
      <c r="C98" s="2147"/>
      <c r="D98" s="2147"/>
      <c r="E98" s="2147"/>
      <c r="F98" s="2147"/>
      <c r="G98" s="2149"/>
      <c r="H98" s="3636" t="s">
        <v>78</v>
      </c>
      <c r="I98" s="3636"/>
      <c r="J98" s="2148" t="s">
        <v>1258</v>
      </c>
      <c r="K98" s="2148" t="s">
        <v>1860</v>
      </c>
      <c r="L98" s="3673" t="s">
        <v>390</v>
      </c>
      <c r="M98" s="3672"/>
      <c r="N98" s="5354" t="s">
        <v>1259</v>
      </c>
      <c r="O98" s="5355"/>
      <c r="P98" s="3636"/>
      <c r="Q98" s="3636" t="s">
        <v>79</v>
      </c>
      <c r="R98" s="3636"/>
      <c r="S98" s="3413" t="s">
        <v>2132</v>
      </c>
      <c r="T98" s="3636"/>
      <c r="U98" s="5419">
        <v>10</v>
      </c>
      <c r="V98" s="5418"/>
      <c r="W98" s="5420" t="s">
        <v>1246</v>
      </c>
      <c r="X98" s="5421"/>
      <c r="Y98" s="3389"/>
      <c r="Z98" s="3389"/>
      <c r="AA98" s="5396">
        <f t="shared" si="12"/>
        <v>0</v>
      </c>
      <c r="AB98" s="5396"/>
      <c r="AC98" s="2682"/>
      <c r="AD98" s="3289"/>
      <c r="AE98" s="2628"/>
      <c r="AF98" s="2629"/>
      <c r="AG98" s="2628"/>
      <c r="AH98" s="2629"/>
      <c r="AI98" s="2628"/>
      <c r="AJ98" s="2629"/>
      <c r="AK98" s="2671">
        <f t="shared" si="3"/>
        <v>0</v>
      </c>
      <c r="AL98" s="3464"/>
      <c r="AM98" s="3448"/>
      <c r="AN98" s="3448"/>
      <c r="AO98" s="3448"/>
      <c r="AP98" s="3448"/>
      <c r="AQ98" s="3448"/>
      <c r="AR98" s="3458" t="e">
        <f t="shared" si="13"/>
        <v>#DIV/0!</v>
      </c>
      <c r="AS98" s="3459">
        <f t="shared" si="11"/>
        <v>0</v>
      </c>
    </row>
    <row r="99" spans="1:45" s="1444" customFormat="1" ht="27.95" customHeight="1">
      <c r="A99" s="3386"/>
      <c r="B99" s="2146"/>
      <c r="C99" s="2147"/>
      <c r="D99" s="2147"/>
      <c r="E99" s="2147"/>
      <c r="F99" s="2147"/>
      <c r="G99" s="2149"/>
      <c r="H99" s="3636"/>
      <c r="I99" s="3636"/>
      <c r="J99" s="2148"/>
      <c r="K99" s="2148"/>
      <c r="L99" s="3673"/>
      <c r="M99" s="3672"/>
      <c r="N99" s="5419"/>
      <c r="O99" s="5418"/>
      <c r="P99" s="3636"/>
      <c r="Q99" s="3636"/>
      <c r="R99" s="3636"/>
      <c r="S99" s="3413"/>
      <c r="T99" s="3636"/>
      <c r="U99" s="5419"/>
      <c r="V99" s="5418"/>
      <c r="W99" s="5420"/>
      <c r="X99" s="5421"/>
      <c r="Y99" s="3389"/>
      <c r="Z99" s="3389"/>
      <c r="AA99" s="5396">
        <f t="shared" si="12"/>
        <v>0</v>
      </c>
      <c r="AB99" s="5396"/>
      <c r="AC99" s="2682"/>
      <c r="AD99" s="3289"/>
      <c r="AE99" s="2628"/>
      <c r="AF99" s="2629"/>
      <c r="AG99" s="2628"/>
      <c r="AH99" s="2629"/>
      <c r="AI99" s="2628"/>
      <c r="AJ99" s="2629"/>
      <c r="AK99" s="2671">
        <f t="shared" si="3"/>
        <v>0</v>
      </c>
      <c r="AL99" s="3464"/>
      <c r="AM99" s="3448"/>
      <c r="AN99" s="3448"/>
      <c r="AO99" s="3448"/>
      <c r="AP99" s="3448"/>
      <c r="AQ99" s="3448"/>
      <c r="AR99" s="3458" t="e">
        <f t="shared" si="13"/>
        <v>#DIV/0!</v>
      </c>
      <c r="AS99" s="3459">
        <f t="shared" si="11"/>
        <v>0</v>
      </c>
    </row>
    <row r="100" spans="1:45" s="1444" customFormat="1" ht="27.95" customHeight="1">
      <c r="A100" s="3386"/>
      <c r="B100" s="2146" t="s">
        <v>2374</v>
      </c>
      <c r="C100" s="2147"/>
      <c r="D100" s="2147"/>
      <c r="E100" s="2147"/>
      <c r="F100" s="2147"/>
      <c r="G100" s="2149"/>
      <c r="H100" s="3636" t="s">
        <v>78</v>
      </c>
      <c r="I100" s="3636"/>
      <c r="J100" s="2148" t="s">
        <v>1257</v>
      </c>
      <c r="K100" s="2148" t="s">
        <v>1859</v>
      </c>
      <c r="L100" s="3673" t="s">
        <v>390</v>
      </c>
      <c r="M100" s="3672"/>
      <c r="N100" s="5419" t="s">
        <v>1201</v>
      </c>
      <c r="O100" s="5418"/>
      <c r="P100" s="3636"/>
      <c r="Q100" s="3636" t="s">
        <v>79</v>
      </c>
      <c r="R100" s="3636"/>
      <c r="S100" s="3413" t="s">
        <v>2128</v>
      </c>
      <c r="T100" s="3636" t="s">
        <v>683</v>
      </c>
      <c r="U100" s="5419">
        <v>10</v>
      </c>
      <c r="V100" s="5418"/>
      <c r="W100" s="5420" t="s">
        <v>1256</v>
      </c>
      <c r="X100" s="5421"/>
      <c r="Y100" s="3389"/>
      <c r="Z100" s="3389"/>
      <c r="AA100" s="5396">
        <f t="shared" si="12"/>
        <v>0</v>
      </c>
      <c r="AB100" s="5396"/>
      <c r="AC100" s="2682"/>
      <c r="AD100" s="3289"/>
      <c r="AE100" s="2628"/>
      <c r="AF100" s="2629"/>
      <c r="AG100" s="2628"/>
      <c r="AH100" s="2629"/>
      <c r="AI100" s="2628"/>
      <c r="AJ100" s="2629"/>
      <c r="AK100" s="2671">
        <f t="shared" si="3"/>
        <v>0</v>
      </c>
      <c r="AL100" s="3464"/>
      <c r="AM100" s="3448"/>
      <c r="AN100" s="3448"/>
      <c r="AO100" s="3448"/>
      <c r="AP100" s="3448"/>
      <c r="AQ100" s="3448"/>
      <c r="AR100" s="3458" t="e">
        <f t="shared" si="13"/>
        <v>#DIV/0!</v>
      </c>
      <c r="AS100" s="3459">
        <f t="shared" si="11"/>
        <v>0</v>
      </c>
    </row>
    <row r="101" spans="1:45" s="1444" customFormat="1" ht="27.95" customHeight="1">
      <c r="A101" s="3386"/>
      <c r="B101" s="2146"/>
      <c r="C101" s="2147"/>
      <c r="D101" s="2147"/>
      <c r="E101" s="2147"/>
      <c r="F101" s="2147"/>
      <c r="G101" s="2149"/>
      <c r="H101" s="3636"/>
      <c r="I101" s="3636"/>
      <c r="J101" s="2148"/>
      <c r="K101" s="2148"/>
      <c r="L101" s="3671"/>
      <c r="M101" s="3672"/>
      <c r="N101" s="5349"/>
      <c r="O101" s="5350"/>
      <c r="P101" s="3636"/>
      <c r="Q101" s="3636"/>
      <c r="R101" s="3636"/>
      <c r="S101" s="3413"/>
      <c r="T101" s="3636"/>
      <c r="U101" s="5419"/>
      <c r="V101" s="5418"/>
      <c r="W101" s="5351"/>
      <c r="X101" s="5351"/>
      <c r="Y101" s="3389"/>
      <c r="Z101" s="3389"/>
      <c r="AA101" s="5396">
        <f t="shared" si="12"/>
        <v>0</v>
      </c>
      <c r="AB101" s="5396"/>
      <c r="AC101" s="2682"/>
      <c r="AD101" s="3289"/>
      <c r="AE101" s="2628"/>
      <c r="AF101" s="2629"/>
      <c r="AG101" s="2628"/>
      <c r="AH101" s="2629"/>
      <c r="AI101" s="2628"/>
      <c r="AJ101" s="2629"/>
      <c r="AK101" s="2671">
        <f t="shared" si="3"/>
        <v>0</v>
      </c>
      <c r="AL101" s="3464"/>
      <c r="AM101" s="3448"/>
      <c r="AN101" s="3448"/>
      <c r="AO101" s="3448"/>
      <c r="AP101" s="3448"/>
      <c r="AQ101" s="3448"/>
      <c r="AR101" s="3458" t="e">
        <f t="shared" si="13"/>
        <v>#DIV/0!</v>
      </c>
      <c r="AS101" s="3459">
        <f t="shared" si="11"/>
        <v>0</v>
      </c>
    </row>
    <row r="102" spans="1:45" s="1444" customFormat="1" ht="27.95" customHeight="1">
      <c r="A102" s="3386"/>
      <c r="B102" s="2151"/>
      <c r="C102" s="2147"/>
      <c r="D102" s="2147"/>
      <c r="E102" s="2147"/>
      <c r="F102" s="2147"/>
      <c r="G102" s="2149"/>
      <c r="H102" s="3386"/>
      <c r="I102" s="3386"/>
      <c r="J102" s="3386"/>
      <c r="K102" s="3386"/>
      <c r="L102" s="3673"/>
      <c r="M102" s="3672"/>
      <c r="N102" s="5419"/>
      <c r="O102" s="5418"/>
      <c r="P102" s="3386"/>
      <c r="Q102" s="3386"/>
      <c r="R102" s="3386"/>
      <c r="S102" s="3401"/>
      <c r="T102" s="3386"/>
      <c r="U102" s="5419"/>
      <c r="V102" s="5418"/>
      <c r="W102" s="5420"/>
      <c r="X102" s="5421"/>
      <c r="Y102" s="3389"/>
      <c r="Z102" s="3389"/>
      <c r="AA102" s="5396">
        <f t="shared" si="12"/>
        <v>0</v>
      </c>
      <c r="AB102" s="5396"/>
      <c r="AC102" s="2682"/>
      <c r="AD102" s="3289"/>
      <c r="AE102" s="2628"/>
      <c r="AF102" s="2629"/>
      <c r="AG102" s="2628"/>
      <c r="AH102" s="2629"/>
      <c r="AI102" s="2628"/>
      <c r="AJ102" s="2629"/>
      <c r="AK102" s="2671">
        <f t="shared" si="3"/>
        <v>0</v>
      </c>
      <c r="AL102" s="3464"/>
      <c r="AM102" s="3448"/>
      <c r="AN102" s="3448"/>
      <c r="AO102" s="3448"/>
      <c r="AP102" s="3448"/>
      <c r="AQ102" s="3448"/>
      <c r="AR102" s="3458" t="e">
        <f t="shared" si="13"/>
        <v>#DIV/0!</v>
      </c>
      <c r="AS102" s="3459">
        <f t="shared" si="11"/>
        <v>0</v>
      </c>
    </row>
    <row r="103" spans="1:45" s="1444" customFormat="1" ht="27.95" customHeight="1">
      <c r="A103" s="3273">
        <f>COUNTA(B77:G102)</f>
        <v>22</v>
      </c>
      <c r="B103" s="2961" t="str">
        <f>'[1]0491L'!$S$3</f>
        <v>toloc65@hotmail.com</v>
      </c>
      <c r="C103" s="2973"/>
      <c r="D103" s="2963"/>
      <c r="E103" s="2964" t="str">
        <f>'[4]0491L'!$C$8</f>
        <v xml:space="preserve">REG. 96 MZS. 89 Y 90 </v>
      </c>
      <c r="F103" s="2962"/>
      <c r="G103" s="2965"/>
      <c r="H103" s="3273">
        <f>COUNTIF(H78:H91,"X")</f>
        <v>4</v>
      </c>
      <c r="I103" s="3273">
        <f>COUNTIF(I78:I91,"X")</f>
        <v>10</v>
      </c>
      <c r="J103" s="2966">
        <f>COUNTIF(L77:M102,"docente")</f>
        <v>16</v>
      </c>
      <c r="K103" s="2967">
        <f>COUNTIF(L77:M102,"intendente")</f>
        <v>2</v>
      </c>
      <c r="L103" s="1665">
        <f>COUNTA(N77:O102)</f>
        <v>11</v>
      </c>
      <c r="M103" s="2968">
        <f>COUNTIF(Y77:Y102,"1º")</f>
        <v>3</v>
      </c>
      <c r="N103" s="3278">
        <f>COUNTIF(Y77:Y102,"2º")</f>
        <v>2</v>
      </c>
      <c r="O103" s="3278">
        <f>COUNTIF(Y77:Y102,"3º")</f>
        <v>2</v>
      </c>
      <c r="P103" s="3278">
        <f>COUNTIF(Y77:Y102,"4º")</f>
        <v>3</v>
      </c>
      <c r="Q103" s="3278">
        <f>COUNTIF(Y77:Y102,"5º")</f>
        <v>2</v>
      </c>
      <c r="R103" s="3278">
        <f>COUNTIF(Y77:Y102,"6º")</f>
        <v>2</v>
      </c>
      <c r="S103" s="2968">
        <f>SUM(M103:R103)</f>
        <v>14</v>
      </c>
      <c r="T103" s="3273">
        <f>COUNTA(T77:T102)</f>
        <v>5</v>
      </c>
      <c r="U103" s="2968">
        <f>COUNTIF(U77:V102,"10")</f>
        <v>19</v>
      </c>
      <c r="V103" s="2969">
        <f>COUNTIF(U77:V102,"20")</f>
        <v>1</v>
      </c>
      <c r="W103" s="5396" t="s">
        <v>1232</v>
      </c>
      <c r="X103" s="5396"/>
      <c r="Y103" s="5396"/>
      <c r="Z103" s="3276">
        <f>COUNTA(Z77:Z102)</f>
        <v>14</v>
      </c>
      <c r="AA103" s="5411">
        <f>SUM(AA77:AB102)</f>
        <v>436</v>
      </c>
      <c r="AB103" s="5411"/>
      <c r="AC103" s="2687">
        <f t="shared" ref="AC103:AJ103" si="14">SUM(AC77:AC102)</f>
        <v>229</v>
      </c>
      <c r="AD103" s="2691">
        <f t="shared" si="14"/>
        <v>210</v>
      </c>
      <c r="AE103" s="2630">
        <f t="shared" si="14"/>
        <v>12</v>
      </c>
      <c r="AF103" s="2631">
        <f t="shared" si="14"/>
        <v>10</v>
      </c>
      <c r="AG103" s="2632">
        <f t="shared" si="14"/>
        <v>18</v>
      </c>
      <c r="AH103" s="2633">
        <f t="shared" si="14"/>
        <v>7</v>
      </c>
      <c r="AI103" s="2634">
        <f t="shared" si="14"/>
        <v>0</v>
      </c>
      <c r="AJ103" s="2635">
        <f t="shared" si="14"/>
        <v>0</v>
      </c>
      <c r="AK103" s="317">
        <f t="shared" ref="AK103:AK166" si="15">SUM(AC103:AD103)</f>
        <v>439</v>
      </c>
      <c r="AL103" s="3461">
        <f>SUM(AL77:AL102)/AL104</f>
        <v>8.1666666666666661</v>
      </c>
      <c r="AM103" s="3465">
        <f t="shared" ref="AM103" si="16">SUM(AM77:AM102)/AM104</f>
        <v>7.0200000000000005</v>
      </c>
      <c r="AN103" s="3460" t="e">
        <f t="shared" ref="AN103" si="17">SUM(AN77:AN102)/AN104</f>
        <v>#DIV/0!</v>
      </c>
      <c r="AO103" s="3460" t="e">
        <f t="shared" ref="AO103" si="18">SUM(AO77:AO102)/AO104</f>
        <v>#DIV/0!</v>
      </c>
      <c r="AP103" s="3460" t="e">
        <f t="shared" ref="AP103" si="19">SUM(AP77:AP102)/AP104</f>
        <v>#DIV/0!</v>
      </c>
      <c r="AQ103" s="3460" t="e">
        <f>SUM(AQ77:AQ102)/AQ104</f>
        <v>#DIV/0!</v>
      </c>
      <c r="AR103" s="3461" t="e">
        <f t="shared" si="13"/>
        <v>#DIV/0!</v>
      </c>
      <c r="AS103" s="3459">
        <f t="shared" si="11"/>
        <v>5</v>
      </c>
    </row>
    <row r="104" spans="1:45" s="1446" customFormat="1" ht="27.95" customHeight="1">
      <c r="A104" s="3690" t="s">
        <v>228</v>
      </c>
      <c r="B104" s="3691">
        <f>SUM(Estadisticas!AM26:AN26)</f>
        <v>6</v>
      </c>
      <c r="C104" s="3691">
        <f>SUM(Estadisticas!AO26:AP26)</f>
        <v>3</v>
      </c>
      <c r="D104" s="3691">
        <f>SUM(Estadisticas!AQ26:AR26)</f>
        <v>6</v>
      </c>
      <c r="E104" s="3691">
        <f>SUM(Estadisticas!AS26:AT26)</f>
        <v>5</v>
      </c>
      <c r="F104" s="3691">
        <f>SUM(Estadisticas!AU26:AV26)</f>
        <v>0</v>
      </c>
      <c r="G104" s="3691">
        <f>SUM(Estadisticas!AW26:AX26)</f>
        <v>2</v>
      </c>
      <c r="H104" s="5412">
        <f>SUM(B104:G104)</f>
        <v>22</v>
      </c>
      <c r="I104" s="5412"/>
      <c r="J104" s="3703"/>
      <c r="K104" s="3704"/>
      <c r="L104" s="3692" t="s">
        <v>1126</v>
      </c>
      <c r="M104" s="3690">
        <f>SUM(AK78:AK79)</f>
        <v>59</v>
      </c>
      <c r="N104" s="3690">
        <f>SUM(AK80:AK81)</f>
        <v>64</v>
      </c>
      <c r="O104" s="3690">
        <f>SUM(AK82:AK84)</f>
        <v>95</v>
      </c>
      <c r="P104" s="3690">
        <f>SUM(AK85:AK86)</f>
        <v>56</v>
      </c>
      <c r="Q104" s="3690">
        <f>SUM(AK87:AK88)</f>
        <v>65</v>
      </c>
      <c r="R104" s="3690">
        <f>SUM(AK89:AK91)</f>
        <v>100</v>
      </c>
      <c r="S104" s="3690">
        <f>SUM(M104:R104)</f>
        <v>439</v>
      </c>
      <c r="T104" s="3703">
        <f>'[1]0491L'!$V$23</f>
        <v>5</v>
      </c>
      <c r="U104" s="3703"/>
      <c r="V104" s="3703"/>
      <c r="W104" s="3703"/>
      <c r="X104" s="3703"/>
      <c r="Y104" s="3690">
        <f>COUNTA(Y77:Y102)</f>
        <v>14</v>
      </c>
      <c r="Z104" s="3690">
        <f>COUNTA(Z77:Z102)</f>
        <v>14</v>
      </c>
      <c r="AA104" s="5423">
        <f>'[1]0491L'!$X$35</f>
        <v>436</v>
      </c>
      <c r="AB104" s="5423"/>
      <c r="AC104" s="5334">
        <f>AC103+AD103</f>
        <v>439</v>
      </c>
      <c r="AD104" s="5334"/>
      <c r="AE104" s="5335">
        <f>AE103+AF103</f>
        <v>22</v>
      </c>
      <c r="AF104" s="5335"/>
      <c r="AG104" s="5335">
        <f>AG103+AH103</f>
        <v>25</v>
      </c>
      <c r="AH104" s="5335"/>
      <c r="AI104" s="2636"/>
      <c r="AJ104" s="2636"/>
      <c r="AK104" s="2636">
        <f t="shared" si="15"/>
        <v>439</v>
      </c>
      <c r="AL104" s="3462">
        <f>COUNTA(AL77:AL102)</f>
        <v>3</v>
      </c>
      <c r="AM104" s="3462">
        <f t="shared" ref="AM104:AQ104" si="20">COUNTA(AM77:AM102)</f>
        <v>14</v>
      </c>
      <c r="AN104" s="3462">
        <f t="shared" si="20"/>
        <v>0</v>
      </c>
      <c r="AO104" s="3462">
        <f t="shared" si="20"/>
        <v>0</v>
      </c>
      <c r="AP104" s="3462">
        <f t="shared" si="20"/>
        <v>0</v>
      </c>
      <c r="AQ104" s="3462">
        <f t="shared" si="20"/>
        <v>0</v>
      </c>
      <c r="AR104" s="3462">
        <v>12</v>
      </c>
    </row>
    <row r="105" spans="1:45" s="1446" customFormat="1" ht="27.95" customHeight="1">
      <c r="A105" s="3695" t="s">
        <v>230</v>
      </c>
      <c r="B105" s="3695">
        <f>SUM(Estadisticas!AY26:AZ26)</f>
        <v>7</v>
      </c>
      <c r="C105" s="3695">
        <f>SUM(Estadisticas!BA26:BB26)</f>
        <v>6</v>
      </c>
      <c r="D105" s="3695">
        <f>SUM(Estadisticas!BC26:BD26)</f>
        <v>4</v>
      </c>
      <c r="E105" s="3695">
        <f>SUM(Estadisticas!BE26:BF26)</f>
        <v>7</v>
      </c>
      <c r="F105" s="3695">
        <f>SUM(Estadisticas!BG26:BH26)</f>
        <v>1</v>
      </c>
      <c r="G105" s="3695">
        <f>SUM(Estadisticas!BI26:BJ26)</f>
        <v>0</v>
      </c>
      <c r="H105" s="5413">
        <f>SUM(B105:G105)</f>
        <v>25</v>
      </c>
      <c r="I105" s="5413"/>
      <c r="J105" s="3705"/>
      <c r="K105" s="3705"/>
      <c r="L105" s="3696" t="s">
        <v>423</v>
      </c>
      <c r="M105" s="3695">
        <f>SUM(AE78:AF79)</f>
        <v>4</v>
      </c>
      <c r="N105" s="3695">
        <f>SUM(AE80:AF81)</f>
        <v>3</v>
      </c>
      <c r="O105" s="3695">
        <f>SUM(AE82:AF84)</f>
        <v>8</v>
      </c>
      <c r="P105" s="3695">
        <f>SUM(AE85:AF86)</f>
        <v>5</v>
      </c>
      <c r="Q105" s="3695">
        <f>SUM(AE87:AF88)</f>
        <v>0</v>
      </c>
      <c r="R105" s="3695">
        <f>SUM(AE89:AF91)</f>
        <v>2</v>
      </c>
      <c r="S105" s="3695">
        <f t="shared" ref="S105:S106" si="21">SUM(M105:R105)</f>
        <v>22</v>
      </c>
      <c r="T105" s="3706"/>
      <c r="U105" s="3707" t="str">
        <f>U65</f>
        <v>PRE</v>
      </c>
      <c r="V105" s="3707">
        <f>'[1]0491L'!$F$39</f>
        <v>3</v>
      </c>
      <c r="W105" s="3707">
        <f>'[1]0491L'!$I$39</f>
        <v>2</v>
      </c>
      <c r="X105" s="3707">
        <f>'[1]0491L'!$L$39</f>
        <v>2</v>
      </c>
      <c r="Y105" s="3707">
        <f>'[1]0491L'!$O$39</f>
        <v>3</v>
      </c>
      <c r="Z105" s="3707">
        <f>'[1]0491L'!$R$39</f>
        <v>2</v>
      </c>
      <c r="AA105" s="3707">
        <f>'[1]0491L'!$U$39</f>
        <v>1</v>
      </c>
      <c r="AB105" s="3707">
        <f>SUM(V105:AA105)</f>
        <v>13</v>
      </c>
      <c r="AC105" s="2683"/>
      <c r="AD105" s="3238"/>
      <c r="AE105" s="2620"/>
      <c r="AF105" s="2621"/>
      <c r="AG105" s="2620"/>
      <c r="AH105" s="2621"/>
      <c r="AK105" s="2636"/>
      <c r="AL105" s="3448"/>
      <c r="AM105" s="3448"/>
      <c r="AN105" s="3448"/>
      <c r="AO105" s="3448"/>
      <c r="AP105" s="3448"/>
      <c r="AQ105" s="3448"/>
      <c r="AR105" s="3448"/>
    </row>
    <row r="106" spans="1:45" s="1441" customFormat="1" ht="27.95" customHeight="1">
      <c r="A106" s="3698" t="s">
        <v>478</v>
      </c>
      <c r="B106" s="3698">
        <f>SUM(Estadisticas!BK26:BL26)</f>
        <v>0</v>
      </c>
      <c r="C106" s="3698">
        <f>SUM(Estadisticas!BM26:BN26)</f>
        <v>0</v>
      </c>
      <c r="D106" s="3698">
        <f>SUM(Estadisticas!BO26:BP26)</f>
        <v>0</v>
      </c>
      <c r="E106" s="3698">
        <f>SUM(Estadisticas!BQ26:BR26)</f>
        <v>0</v>
      </c>
      <c r="F106" s="3698">
        <f>SUM(Estadisticas!BS26:BT26)</f>
        <v>0</v>
      </c>
      <c r="G106" s="3698">
        <f>SUM(Estadisticas!BU26:BV26)</f>
        <v>0</v>
      </c>
      <c r="H106" s="5414">
        <f>SUM(B106:G106)</f>
        <v>0</v>
      </c>
      <c r="I106" s="5414"/>
      <c r="J106" s="3708"/>
      <c r="K106" s="3709"/>
      <c r="L106" s="3701" t="s">
        <v>434</v>
      </c>
      <c r="M106" s="3702">
        <f>SUM(AG78:AH79)</f>
        <v>5</v>
      </c>
      <c r="N106" s="3702">
        <f>SUM(AG80:AH81)</f>
        <v>6</v>
      </c>
      <c r="O106" s="3702">
        <f>SUM(AG82:AH84)</f>
        <v>6</v>
      </c>
      <c r="P106" s="3702">
        <f>SUM(AG85:AH86)</f>
        <v>7</v>
      </c>
      <c r="Q106" s="3702">
        <f>SUM(AG87:AH88)</f>
        <v>1</v>
      </c>
      <c r="R106" s="3702">
        <f>SUM(AG89:AH91)</f>
        <v>0</v>
      </c>
      <c r="S106" s="3702">
        <f t="shared" si="21"/>
        <v>25</v>
      </c>
      <c r="T106" s="3708"/>
      <c r="U106" s="3710">
        <f>'[1]0491L'!$O$26</f>
        <v>68</v>
      </c>
      <c r="V106" s="3710">
        <f>'[1]0491L'!$F$35</f>
        <v>87</v>
      </c>
      <c r="W106" s="3710">
        <f>'[1]0491L'!$I$35</f>
        <v>66</v>
      </c>
      <c r="X106" s="3710">
        <f>'[1]0491L'!$L$35</f>
        <v>63</v>
      </c>
      <c r="Y106" s="3710">
        <f>'[1]0491L'!$O$35</f>
        <v>84</v>
      </c>
      <c r="Z106" s="3710">
        <f>'[1]0491L'!$R$35</f>
        <v>69</v>
      </c>
      <c r="AA106" s="3710">
        <f>'[1]0491L'!$U$35</f>
        <v>67</v>
      </c>
      <c r="AB106" s="3710">
        <f>SUM(V106:AA106)</f>
        <v>436</v>
      </c>
      <c r="AC106" s="2683"/>
      <c r="AD106" s="3238"/>
      <c r="AE106" s="2620"/>
      <c r="AF106" s="2621"/>
      <c r="AG106" s="2620"/>
      <c r="AH106" s="2621"/>
      <c r="AI106" s="1444"/>
      <c r="AJ106" s="1444"/>
      <c r="AK106" s="2636"/>
      <c r="AL106" s="3445"/>
      <c r="AM106" s="3445"/>
      <c r="AN106" s="3445"/>
      <c r="AO106" s="3445"/>
      <c r="AP106" s="3445"/>
      <c r="AQ106" s="3445"/>
      <c r="AR106" s="3445"/>
      <c r="AS106" s="108"/>
    </row>
    <row r="107" spans="1:45" s="1448" customFormat="1" ht="27.95" customHeight="1">
      <c r="A107" s="175"/>
      <c r="B107" s="1427"/>
      <c r="C107" s="173"/>
      <c r="D107" s="3262" t="s">
        <v>1193</v>
      </c>
      <c r="E107" s="5388" t="str">
        <f>B77</f>
        <v>BALAN XIU * MANUEL JESUS</v>
      </c>
      <c r="F107" s="5388"/>
      <c r="G107" s="5388"/>
      <c r="H107" s="5388"/>
      <c r="I107" s="5388"/>
      <c r="J107" s="5388"/>
      <c r="K107" s="1603"/>
      <c r="L107" s="1428"/>
      <c r="M107" s="3262" t="s">
        <v>1234</v>
      </c>
      <c r="N107" s="5388" t="str">
        <f>N67</f>
        <v>RICALDE CASTRO JESUS MARTIN</v>
      </c>
      <c r="O107" s="5388"/>
      <c r="P107" s="5388"/>
      <c r="Q107" s="5388"/>
      <c r="R107" s="5388"/>
      <c r="S107" s="5388"/>
      <c r="T107" s="1603"/>
      <c r="U107" s="1603"/>
      <c r="V107" s="3262" t="s">
        <v>1195</v>
      </c>
      <c r="W107" s="5388" t="str">
        <f>W67</f>
        <v xml:space="preserve">ANCONA FLORES AURA EUGENIA </v>
      </c>
      <c r="X107" s="5388"/>
      <c r="Y107" s="5388"/>
      <c r="Z107" s="5388"/>
      <c r="AA107" s="5388"/>
      <c r="AB107" s="5388"/>
      <c r="AC107" s="2683"/>
      <c r="AD107" s="3238"/>
      <c r="AE107" s="2620"/>
      <c r="AF107" s="2621"/>
      <c r="AG107" s="2620"/>
      <c r="AH107" s="2621"/>
      <c r="AI107" s="2624"/>
      <c r="AJ107" s="2624"/>
      <c r="AK107" s="2636"/>
      <c r="AL107" s="3449"/>
      <c r="AM107" s="3449"/>
      <c r="AN107" s="3449"/>
      <c r="AO107" s="3449"/>
      <c r="AP107" s="3449"/>
      <c r="AQ107" s="3449"/>
      <c r="AR107" s="3449"/>
      <c r="AS107" s="3450"/>
    </row>
    <row r="108" spans="1:45" s="1430" customFormat="1" ht="27.95" customHeight="1">
      <c r="A108" s="1670"/>
      <c r="B108" s="1401"/>
      <c r="C108" s="1401"/>
      <c r="D108" s="1401"/>
      <c r="E108" s="1401"/>
      <c r="F108" s="1402"/>
      <c r="G108" s="1402"/>
      <c r="H108" s="1402"/>
      <c r="I108" s="1402"/>
      <c r="J108" s="1402"/>
      <c r="K108" s="27"/>
      <c r="M108" s="1431" t="s">
        <v>196</v>
      </c>
      <c r="N108" s="1402"/>
      <c r="O108" s="1402"/>
      <c r="P108" s="1402"/>
      <c r="Q108" s="1402"/>
      <c r="R108" s="1402"/>
      <c r="S108" s="1402"/>
      <c r="T108" s="1401"/>
      <c r="V108" s="3263"/>
      <c r="W108" s="1432" t="s">
        <v>764</v>
      </c>
      <c r="X108" s="5221" t="s">
        <v>247</v>
      </c>
      <c r="Y108" s="5221"/>
      <c r="Z108" s="5221"/>
      <c r="AA108" s="5221"/>
      <c r="AB108" s="1644"/>
      <c r="AC108" s="2683"/>
      <c r="AD108" s="3238"/>
      <c r="AE108" s="2637"/>
      <c r="AF108" s="2638"/>
      <c r="AG108" s="2637"/>
      <c r="AH108" s="2638"/>
      <c r="AI108" s="1449"/>
      <c r="AJ108" s="1449"/>
      <c r="AK108" s="2636"/>
      <c r="AL108" s="3451"/>
      <c r="AM108" s="3451"/>
      <c r="AN108" s="3451"/>
      <c r="AO108" s="3451"/>
      <c r="AP108" s="3451"/>
      <c r="AQ108" s="3451"/>
      <c r="AR108" s="3451"/>
      <c r="AS108" s="3452"/>
    </row>
    <row r="109" spans="1:45" ht="27.95" customHeight="1">
      <c r="A109" s="1663"/>
      <c r="B109" s="1406"/>
      <c r="C109" s="1406"/>
      <c r="D109" s="1406"/>
      <c r="E109" s="1406"/>
      <c r="F109" s="1407"/>
      <c r="G109" s="1407"/>
      <c r="H109" s="1407"/>
      <c r="I109" s="1407"/>
      <c r="J109" s="1407"/>
      <c r="K109" s="1407"/>
      <c r="L109" s="1407"/>
      <c r="M109" s="3260" t="s">
        <v>1148</v>
      </c>
      <c r="N109" s="1407"/>
      <c r="O109" s="1407"/>
      <c r="P109" s="1407"/>
      <c r="Q109" s="1407"/>
      <c r="R109" s="1407"/>
      <c r="S109" s="1407"/>
      <c r="T109" s="1408"/>
      <c r="U109" s="1408"/>
      <c r="V109" s="3263"/>
      <c r="W109" s="1432" t="s">
        <v>1149</v>
      </c>
      <c r="X109" s="5221" t="str">
        <f>X69</f>
        <v>2012 / 2013</v>
      </c>
      <c r="Y109" s="5221"/>
      <c r="Z109" s="5221"/>
      <c r="AA109" s="5221"/>
      <c r="AB109" s="1417"/>
      <c r="AC109" s="2683"/>
      <c r="AD109" s="3238"/>
      <c r="AE109" s="2620"/>
      <c r="AF109" s="2621"/>
      <c r="AG109" s="2620"/>
      <c r="AH109" s="2621"/>
      <c r="AK109" s="2636"/>
      <c r="AR109" s="3445"/>
    </row>
    <row r="110" spans="1:45" ht="27.95" customHeight="1">
      <c r="A110" s="1663"/>
      <c r="B110" s="1410"/>
      <c r="C110" s="1410"/>
      <c r="D110" s="1410"/>
      <c r="E110" s="1410"/>
      <c r="F110" s="1407"/>
      <c r="G110" s="1407"/>
      <c r="H110" s="1407" t="s">
        <v>2326</v>
      </c>
      <c r="I110" s="1407"/>
      <c r="J110" s="1407"/>
      <c r="K110" s="1407"/>
      <c r="M110" s="3260" t="s">
        <v>1150</v>
      </c>
      <c r="N110" s="1407"/>
      <c r="O110" s="1407"/>
      <c r="P110" s="1407"/>
      <c r="Q110" s="1407"/>
      <c r="R110" s="1407"/>
      <c r="S110" s="1407"/>
      <c r="T110" s="1433"/>
      <c r="U110" s="1433"/>
      <c r="V110" s="1434"/>
      <c r="W110" s="3281" t="s">
        <v>42</v>
      </c>
      <c r="X110" s="5391" t="str">
        <f>X70</f>
        <v>042</v>
      </c>
      <c r="Y110" s="5391"/>
      <c r="Z110" s="5391"/>
      <c r="AA110" s="5391"/>
      <c r="AB110" s="1417"/>
      <c r="AC110" s="2683"/>
      <c r="AD110" s="3238"/>
      <c r="AE110" s="2620"/>
      <c r="AF110" s="2621"/>
      <c r="AG110" s="2620"/>
      <c r="AH110" s="2621"/>
      <c r="AK110" s="2636"/>
      <c r="AR110" s="3445"/>
    </row>
    <row r="111" spans="1:45" ht="27.95" customHeight="1">
      <c r="A111" s="1663"/>
      <c r="B111" s="1410"/>
      <c r="C111" s="1410"/>
      <c r="D111" s="1410"/>
      <c r="E111" s="1410"/>
      <c r="F111" s="1406"/>
      <c r="H111" s="1413"/>
      <c r="I111" s="1413"/>
      <c r="J111" s="1414"/>
      <c r="K111" s="1414"/>
      <c r="L111" s="1415" t="s">
        <v>1197</v>
      </c>
      <c r="M111" s="1415">
        <f>M71</f>
        <v>8</v>
      </c>
      <c r="N111" s="3271" t="s">
        <v>1152</v>
      </c>
      <c r="O111" s="5371" t="str">
        <f>O71</f>
        <v>AGOSTO</v>
      </c>
      <c r="P111" s="5371"/>
      <c r="Q111" s="1435" t="s">
        <v>1152</v>
      </c>
      <c r="R111" s="5371">
        <f>R71</f>
        <v>2012</v>
      </c>
      <c r="S111" s="5371"/>
      <c r="T111" s="1406"/>
      <c r="U111" s="5372" t="s">
        <v>246</v>
      </c>
      <c r="V111" s="5372"/>
      <c r="W111" s="5372"/>
      <c r="X111" s="5372"/>
      <c r="Y111" s="1436" t="s">
        <v>245</v>
      </c>
      <c r="Z111" s="1436"/>
      <c r="AA111" s="1437"/>
      <c r="AB111" s="1417"/>
      <c r="AC111" s="2683"/>
      <c r="AD111" s="3238"/>
      <c r="AE111" s="2620"/>
      <c r="AF111" s="2621"/>
      <c r="AG111" s="2620"/>
      <c r="AH111" s="2621"/>
      <c r="AK111" s="2636"/>
      <c r="AR111" s="3445"/>
    </row>
    <row r="112" spans="1:45" ht="27.95" customHeight="1">
      <c r="A112" s="5356" t="s">
        <v>1153</v>
      </c>
      <c r="B112" s="5356"/>
      <c r="C112" s="5356"/>
      <c r="D112" s="5389" t="s">
        <v>2312</v>
      </c>
      <c r="E112" s="5389"/>
      <c r="F112" s="5389"/>
      <c r="G112" s="5389"/>
      <c r="H112" s="5389"/>
      <c r="I112" s="5389"/>
      <c r="J112" s="5389"/>
      <c r="K112" s="5389"/>
      <c r="L112" s="3281" t="s">
        <v>19</v>
      </c>
      <c r="M112" s="5370" t="s">
        <v>1237</v>
      </c>
      <c r="N112" s="5370"/>
      <c r="O112" s="5390" t="s">
        <v>13</v>
      </c>
      <c r="P112" s="5390"/>
      <c r="Q112" s="5370" t="s">
        <v>77</v>
      </c>
      <c r="R112" s="5370"/>
      <c r="S112" s="5370"/>
      <c r="T112" s="174"/>
      <c r="U112" s="1418" t="s">
        <v>1157</v>
      </c>
      <c r="V112" s="5221" t="str">
        <f>V72</f>
        <v>2  BENITO JUAREZ</v>
      </c>
      <c r="W112" s="5221"/>
      <c r="X112" s="5221"/>
      <c r="Y112" s="5221"/>
      <c r="Z112" s="5221"/>
      <c r="AA112" s="5221"/>
      <c r="AB112" s="5221"/>
      <c r="AC112" s="2683"/>
      <c r="AD112" s="3238"/>
      <c r="AE112" s="2620"/>
      <c r="AF112" s="2621"/>
      <c r="AG112" s="2620"/>
      <c r="AH112" s="2621"/>
      <c r="AK112" s="2636"/>
      <c r="AR112" s="3445"/>
    </row>
    <row r="113" spans="1:45" s="1439" customFormat="1" ht="27.95" customHeight="1">
      <c r="A113" s="5356" t="s">
        <v>437</v>
      </c>
      <c r="B113" s="5356"/>
      <c r="C113" s="5389" t="s">
        <v>2327</v>
      </c>
      <c r="D113" s="5389"/>
      <c r="E113" s="5389"/>
      <c r="F113" s="5389"/>
      <c r="G113" s="5389"/>
      <c r="H113" s="5389"/>
      <c r="I113" s="5389"/>
      <c r="J113" s="5389"/>
      <c r="K113" s="5389"/>
      <c r="L113" s="5389"/>
      <c r="M113" s="5389"/>
      <c r="N113" s="1419"/>
      <c r="O113" s="3281" t="s">
        <v>863</v>
      </c>
      <c r="P113" s="5370" t="str">
        <f>'[1]0492K'!$I$8</f>
        <v>9982 25 54 93</v>
      </c>
      <c r="Q113" s="5370"/>
      <c r="R113" s="5370"/>
      <c r="S113" s="5370"/>
      <c r="T113" s="5370"/>
      <c r="U113" s="1420"/>
      <c r="V113" s="3281"/>
      <c r="W113" s="3281" t="s">
        <v>1159</v>
      </c>
      <c r="X113" s="5358" t="str">
        <f>X73</f>
        <v>8  DE  AGOSTO  DE  2012</v>
      </c>
      <c r="Y113" s="5358"/>
      <c r="Z113" s="5358"/>
      <c r="AA113" s="5358"/>
      <c r="AB113" s="5358"/>
      <c r="AC113" s="5331" t="str">
        <f>D112</f>
        <v>8 DE OCTUBRE</v>
      </c>
      <c r="AD113" s="5331"/>
      <c r="AE113" s="5331"/>
      <c r="AF113" s="5331"/>
      <c r="AG113" s="5331"/>
      <c r="AH113" s="5331"/>
      <c r="AI113" s="5332" t="str">
        <f>M112</f>
        <v>23DPR0492K</v>
      </c>
      <c r="AJ113" s="5332"/>
      <c r="AK113" s="5332"/>
      <c r="AL113" s="3446"/>
      <c r="AM113" s="3446"/>
      <c r="AN113" s="3446"/>
      <c r="AO113" s="3446"/>
      <c r="AP113" s="3446"/>
      <c r="AQ113" s="3446"/>
      <c r="AR113" s="3446"/>
      <c r="AS113" s="2166"/>
    </row>
    <row r="114" spans="1:45" s="1441" customFormat="1" ht="9.9499999999999993" customHeight="1">
      <c r="A114" s="1421"/>
      <c r="B114" s="1422"/>
      <c r="C114" s="1422"/>
      <c r="D114" s="3261"/>
      <c r="E114" s="3261"/>
      <c r="F114" s="3261"/>
      <c r="G114" s="3261"/>
      <c r="H114" s="3261"/>
      <c r="I114" s="3261"/>
      <c r="J114" s="3261"/>
      <c r="K114" s="3261"/>
      <c r="L114" s="3261"/>
      <c r="M114" s="1421"/>
      <c r="N114" s="1423"/>
      <c r="O114" s="1423"/>
      <c r="P114" s="1423"/>
      <c r="Q114" s="1424"/>
      <c r="R114" s="1423"/>
      <c r="S114" s="1423"/>
      <c r="T114" s="1422"/>
      <c r="U114" s="1422"/>
      <c r="V114" s="3261"/>
      <c r="W114" s="3261"/>
      <c r="X114" s="3261"/>
      <c r="Y114" s="3261"/>
      <c r="Z114" s="1422"/>
      <c r="AA114" s="1422"/>
      <c r="AB114" s="1422"/>
      <c r="AC114" s="2689"/>
      <c r="AD114" s="2690"/>
      <c r="AE114" s="2639"/>
      <c r="AF114" s="2640"/>
      <c r="AG114" s="2639"/>
      <c r="AH114" s="2640"/>
      <c r="AI114" s="1444"/>
      <c r="AJ114" s="1444"/>
      <c r="AK114" s="2636"/>
      <c r="AL114" s="3445"/>
      <c r="AM114" s="3445"/>
      <c r="AN114" s="3445"/>
      <c r="AO114" s="3445"/>
      <c r="AP114" s="3445"/>
      <c r="AQ114" s="3445"/>
      <c r="AR114" s="3445"/>
      <c r="AS114" s="108"/>
    </row>
    <row r="115" spans="1:45" s="1442" customFormat="1" ht="27.95" customHeight="1">
      <c r="A115" s="5415" t="s">
        <v>1160</v>
      </c>
      <c r="B115" s="5416" t="s">
        <v>1235</v>
      </c>
      <c r="C115" s="5416"/>
      <c r="D115" s="5416"/>
      <c r="E115" s="5416"/>
      <c r="F115" s="5416"/>
      <c r="G115" s="5416"/>
      <c r="H115" s="5417" t="s">
        <v>1161</v>
      </c>
      <c r="I115" s="5417"/>
      <c r="J115" s="5417" t="s">
        <v>212</v>
      </c>
      <c r="K115" s="5417" t="s">
        <v>1162</v>
      </c>
      <c r="L115" s="5417" t="s">
        <v>1163</v>
      </c>
      <c r="M115" s="5417"/>
      <c r="N115" s="5417" t="s">
        <v>1164</v>
      </c>
      <c r="O115" s="5417"/>
      <c r="P115" s="5417" t="s">
        <v>1165</v>
      </c>
      <c r="Q115" s="5417"/>
      <c r="R115" s="5417" t="s">
        <v>1166</v>
      </c>
      <c r="S115" s="5417"/>
      <c r="T115" s="5417" t="s">
        <v>1167</v>
      </c>
      <c r="U115" s="5417" t="s">
        <v>1168</v>
      </c>
      <c r="V115" s="5417"/>
      <c r="W115" s="5417" t="s">
        <v>1169</v>
      </c>
      <c r="X115" s="5417"/>
      <c r="Y115" s="5417" t="s">
        <v>3</v>
      </c>
      <c r="Z115" s="5417" t="s">
        <v>4</v>
      </c>
      <c r="AA115" s="5417" t="s">
        <v>28</v>
      </c>
      <c r="AB115" s="5417"/>
      <c r="AC115" s="5340" t="str">
        <f>AC75</f>
        <v>INICIAL</v>
      </c>
      <c r="AD115" s="5340"/>
      <c r="AE115" s="5344" t="str">
        <f>AE75</f>
        <v>ALTAS</v>
      </c>
      <c r="AF115" s="5345"/>
      <c r="AG115" s="5346" t="str">
        <f>AG75</f>
        <v>BAJAS</v>
      </c>
      <c r="AH115" s="5347"/>
      <c r="AI115" s="5333" t="str">
        <f>AI75</f>
        <v>REP</v>
      </c>
      <c r="AJ115" s="5333"/>
      <c r="AK115" s="2625" t="str">
        <f>AK75</f>
        <v>INI</v>
      </c>
      <c r="AL115" s="5328" t="s">
        <v>2509</v>
      </c>
      <c r="AM115" s="5329"/>
      <c r="AN115" s="5329"/>
      <c r="AO115" s="5329"/>
      <c r="AP115" s="5329"/>
      <c r="AQ115" s="5329"/>
      <c r="AR115" s="5330"/>
    </row>
    <row r="116" spans="1:45" s="1442" customFormat="1" ht="27.95" customHeight="1">
      <c r="A116" s="5424"/>
      <c r="B116" s="5425"/>
      <c r="C116" s="5425"/>
      <c r="D116" s="5425"/>
      <c r="E116" s="5425"/>
      <c r="F116" s="5425"/>
      <c r="G116" s="5425"/>
      <c r="H116" s="3270" t="s">
        <v>407</v>
      </c>
      <c r="I116" s="3270" t="s">
        <v>403</v>
      </c>
      <c r="J116" s="5426"/>
      <c r="K116" s="5426"/>
      <c r="L116" s="5426"/>
      <c r="M116" s="5426"/>
      <c r="N116" s="5426"/>
      <c r="O116" s="5426"/>
      <c r="P116" s="3270" t="s">
        <v>1170</v>
      </c>
      <c r="Q116" s="3270" t="s">
        <v>1171</v>
      </c>
      <c r="R116" s="3270" t="s">
        <v>1172</v>
      </c>
      <c r="S116" s="3270" t="s">
        <v>1173</v>
      </c>
      <c r="T116" s="5426"/>
      <c r="U116" s="5426"/>
      <c r="V116" s="5426"/>
      <c r="W116" s="5426"/>
      <c r="X116" s="5426"/>
      <c r="Y116" s="5426"/>
      <c r="Z116" s="5426"/>
      <c r="AA116" s="5426"/>
      <c r="AB116" s="5426"/>
      <c r="AC116" s="3295" t="str">
        <f>AC76</f>
        <v>H</v>
      </c>
      <c r="AD116" s="2686" t="str">
        <f>AD76</f>
        <v>M</v>
      </c>
      <c r="AE116" s="3295" t="str">
        <f t="shared" ref="AE116:AJ116" si="22">AE76</f>
        <v>H</v>
      </c>
      <c r="AF116" s="2686" t="str">
        <f t="shared" si="22"/>
        <v>M</v>
      </c>
      <c r="AG116" s="3295" t="str">
        <f t="shared" si="22"/>
        <v>H</v>
      </c>
      <c r="AH116" s="2686" t="str">
        <f t="shared" si="22"/>
        <v>M</v>
      </c>
      <c r="AI116" s="3295" t="str">
        <f t="shared" si="22"/>
        <v>H</v>
      </c>
      <c r="AJ116" s="2686" t="str">
        <f t="shared" si="22"/>
        <v>M</v>
      </c>
      <c r="AK116" s="2627" t="str">
        <f>AK76</f>
        <v>TTS</v>
      </c>
      <c r="AL116" s="3455" t="s">
        <v>393</v>
      </c>
      <c r="AM116" s="3463" t="s">
        <v>8</v>
      </c>
      <c r="AN116" s="3456" t="s">
        <v>347</v>
      </c>
      <c r="AO116" s="3456" t="s">
        <v>348</v>
      </c>
      <c r="AP116" s="3456" t="s">
        <v>2062</v>
      </c>
      <c r="AQ116" s="3457" t="s">
        <v>2081</v>
      </c>
      <c r="AR116" s="3456" t="s">
        <v>2510</v>
      </c>
    </row>
    <row r="117" spans="1:45" s="1443" customFormat="1" ht="27.95" customHeight="1">
      <c r="A117" s="3386">
        <v>1</v>
      </c>
      <c r="B117" s="2146" t="s">
        <v>2639</v>
      </c>
      <c r="C117" s="2147"/>
      <c r="D117" s="2147"/>
      <c r="E117" s="2147"/>
      <c r="F117" s="2147"/>
      <c r="G117" s="2149"/>
      <c r="H117" s="3386"/>
      <c r="I117" s="3386" t="s">
        <v>78</v>
      </c>
      <c r="J117" s="2148" t="s">
        <v>1248</v>
      </c>
      <c r="K117" s="2148" t="s">
        <v>1866</v>
      </c>
      <c r="L117" s="3677" t="s">
        <v>93</v>
      </c>
      <c r="M117" s="3678"/>
      <c r="N117" s="5353" t="s">
        <v>1269</v>
      </c>
      <c r="O117" s="5353"/>
      <c r="P117" s="3244"/>
      <c r="Q117" s="3244"/>
      <c r="R117" s="3244"/>
      <c r="S117" s="3413" t="s">
        <v>2127</v>
      </c>
      <c r="T117" s="3387" t="s">
        <v>680</v>
      </c>
      <c r="U117" s="5353">
        <v>10</v>
      </c>
      <c r="V117" s="5353"/>
      <c r="W117" s="5427" t="s">
        <v>1832</v>
      </c>
      <c r="X117" s="5427"/>
      <c r="Y117" s="3389"/>
      <c r="Z117" s="3389"/>
      <c r="AA117" s="5352">
        <f t="shared" ref="AA117:AA137" si="23">AC117+AD117+AE117+AF117-AG117-AH117</f>
        <v>0</v>
      </c>
      <c r="AB117" s="5352"/>
      <c r="AC117" s="2682"/>
      <c r="AD117" s="3289"/>
      <c r="AE117" s="2628"/>
      <c r="AF117" s="2629"/>
      <c r="AG117" s="2628"/>
      <c r="AH117" s="2629"/>
      <c r="AI117" s="2628"/>
      <c r="AJ117" s="2629"/>
      <c r="AK117" s="2670">
        <f t="shared" si="15"/>
        <v>0</v>
      </c>
      <c r="AL117" s="3464"/>
      <c r="AM117" s="3448"/>
      <c r="AN117" s="3448"/>
      <c r="AO117" s="3448"/>
      <c r="AP117" s="3448"/>
      <c r="AQ117" s="3448"/>
      <c r="AR117" s="3458" t="e">
        <f t="shared" ref="AR117:AR130" si="24">SUM(AM117:AQ117)/AS117</f>
        <v>#DIV/0!</v>
      </c>
      <c r="AS117" s="3459">
        <f>COUNTA(AM117:AQ117)</f>
        <v>0</v>
      </c>
    </row>
    <row r="118" spans="1:45" s="1443" customFormat="1" ht="27.95" customHeight="1">
      <c r="A118" s="3386">
        <v>2</v>
      </c>
      <c r="B118" s="2146" t="s">
        <v>2511</v>
      </c>
      <c r="C118" s="2147"/>
      <c r="D118" s="2147"/>
      <c r="E118" s="2147"/>
      <c r="F118" s="2147"/>
      <c r="G118" s="2149"/>
      <c r="H118" s="3636" t="s">
        <v>78</v>
      </c>
      <c r="I118" s="3636"/>
      <c r="J118" s="2148" t="s">
        <v>2512</v>
      </c>
      <c r="K118" s="2148" t="s">
        <v>1913</v>
      </c>
      <c r="L118" s="3673" t="s">
        <v>390</v>
      </c>
      <c r="M118" s="3672"/>
      <c r="N118" s="5349" t="s">
        <v>2513</v>
      </c>
      <c r="O118" s="5350"/>
      <c r="P118" s="3243"/>
      <c r="Q118" s="3243"/>
      <c r="R118" s="3246"/>
      <c r="S118" s="3413" t="s">
        <v>2128</v>
      </c>
      <c r="T118" s="3636"/>
      <c r="U118" s="5350">
        <v>20</v>
      </c>
      <c r="V118" s="5350"/>
      <c r="W118" s="5351"/>
      <c r="X118" s="5351"/>
      <c r="Y118" s="3389" t="s">
        <v>765</v>
      </c>
      <c r="Z118" s="3564" t="s">
        <v>228</v>
      </c>
      <c r="AA118" s="5352">
        <f t="shared" si="23"/>
        <v>32</v>
      </c>
      <c r="AB118" s="5352"/>
      <c r="AC118" s="2682">
        <v>12</v>
      </c>
      <c r="AD118" s="3289">
        <v>18</v>
      </c>
      <c r="AE118" s="2628">
        <v>3</v>
      </c>
      <c r="AF118" s="2629">
        <v>2</v>
      </c>
      <c r="AG118" s="2628">
        <v>1</v>
      </c>
      <c r="AH118" s="2629">
        <v>2</v>
      </c>
      <c r="AI118" s="2628"/>
      <c r="AJ118" s="2629"/>
      <c r="AK118" s="2671">
        <f>SUM(AC118:AD118)</f>
        <v>30</v>
      </c>
      <c r="AL118" s="3464"/>
      <c r="AM118" s="3448">
        <v>6.2</v>
      </c>
      <c r="AN118" s="3448"/>
      <c r="AO118" s="3448"/>
      <c r="AP118" s="3448"/>
      <c r="AQ118" s="3448"/>
      <c r="AR118" s="3458">
        <f t="shared" si="24"/>
        <v>6.2</v>
      </c>
      <c r="AS118" s="3459">
        <f t="shared" ref="AS118:AS143" si="25">COUNTA(AM118:AQ118)</f>
        <v>1</v>
      </c>
    </row>
    <row r="119" spans="1:45" s="1443" customFormat="1" ht="27.95" customHeight="1">
      <c r="A119" s="3386">
        <v>3</v>
      </c>
      <c r="B119" s="2145" t="s">
        <v>2383</v>
      </c>
      <c r="C119" s="2147"/>
      <c r="D119" s="2147"/>
      <c r="E119" s="2147"/>
      <c r="F119" s="2147"/>
      <c r="G119" s="2149"/>
      <c r="H119" s="3636"/>
      <c r="I119" s="3636" t="s">
        <v>78</v>
      </c>
      <c r="J119" s="3646" t="s">
        <v>1330</v>
      </c>
      <c r="K119" s="3646" t="s">
        <v>1914</v>
      </c>
      <c r="L119" s="3671" t="s">
        <v>390</v>
      </c>
      <c r="M119" s="3672"/>
      <c r="N119" s="5349" t="s">
        <v>1271</v>
      </c>
      <c r="O119" s="5350"/>
      <c r="P119" s="3243"/>
      <c r="Q119" s="3243"/>
      <c r="R119" s="3243"/>
      <c r="S119" s="3402" t="s">
        <v>2138</v>
      </c>
      <c r="T119" s="3636"/>
      <c r="U119" s="5353">
        <v>10</v>
      </c>
      <c r="V119" s="5353"/>
      <c r="W119" s="5351" t="s">
        <v>1251</v>
      </c>
      <c r="X119" s="5351"/>
      <c r="Y119" s="3564" t="s">
        <v>766</v>
      </c>
      <c r="Z119" s="3564" t="s">
        <v>228</v>
      </c>
      <c r="AA119" s="5352">
        <f t="shared" si="23"/>
        <v>27</v>
      </c>
      <c r="AB119" s="5352"/>
      <c r="AC119" s="2682">
        <v>19</v>
      </c>
      <c r="AD119" s="3289">
        <v>13</v>
      </c>
      <c r="AE119" s="2628">
        <v>2</v>
      </c>
      <c r="AF119" s="2629">
        <v>3</v>
      </c>
      <c r="AG119" s="2628">
        <v>5</v>
      </c>
      <c r="AH119" s="2629">
        <v>5</v>
      </c>
      <c r="AI119" s="2628"/>
      <c r="AJ119" s="2629"/>
      <c r="AK119" s="2671">
        <f t="shared" si="15"/>
        <v>32</v>
      </c>
      <c r="AL119" s="3464"/>
      <c r="AM119" s="3448">
        <v>6</v>
      </c>
      <c r="AN119" s="3448"/>
      <c r="AO119" s="3448"/>
      <c r="AP119" s="3448"/>
      <c r="AQ119" s="3448"/>
      <c r="AR119" s="3458">
        <f t="shared" si="24"/>
        <v>6</v>
      </c>
      <c r="AS119" s="3459">
        <f t="shared" si="25"/>
        <v>1</v>
      </c>
    </row>
    <row r="120" spans="1:45" s="1443" customFormat="1" ht="27.95" customHeight="1">
      <c r="A120" s="3386">
        <v>4</v>
      </c>
      <c r="B120" s="3249" t="s">
        <v>2386</v>
      </c>
      <c r="C120" s="2152"/>
      <c r="D120" s="2152"/>
      <c r="E120" s="2152"/>
      <c r="F120" s="2152"/>
      <c r="G120" s="2153"/>
      <c r="H120" s="3643"/>
      <c r="I120" s="3643" t="s">
        <v>78</v>
      </c>
      <c r="J120" s="3250" t="s">
        <v>1274</v>
      </c>
      <c r="K120" s="3250" t="s">
        <v>1869</v>
      </c>
      <c r="L120" s="3671" t="s">
        <v>390</v>
      </c>
      <c r="M120" s="3676"/>
      <c r="N120" s="5349" t="s">
        <v>1271</v>
      </c>
      <c r="O120" s="5349"/>
      <c r="P120" s="3247"/>
      <c r="Q120" s="3247"/>
      <c r="R120" s="3247"/>
      <c r="S120" s="3416" t="s">
        <v>2142</v>
      </c>
      <c r="T120" s="3643" t="s">
        <v>680</v>
      </c>
      <c r="U120" s="5349">
        <v>10</v>
      </c>
      <c r="V120" s="5349"/>
      <c r="W120" s="5351"/>
      <c r="X120" s="5351"/>
      <c r="Y120" s="3389" t="s">
        <v>766</v>
      </c>
      <c r="Z120" s="3564" t="s">
        <v>230</v>
      </c>
      <c r="AA120" s="5352">
        <f t="shared" si="23"/>
        <v>31</v>
      </c>
      <c r="AB120" s="5352"/>
      <c r="AC120" s="2682">
        <v>18</v>
      </c>
      <c r="AD120" s="3289">
        <v>15</v>
      </c>
      <c r="AE120" s="2628"/>
      <c r="AF120" s="2629">
        <v>2</v>
      </c>
      <c r="AG120" s="2628">
        <v>3</v>
      </c>
      <c r="AH120" s="2629">
        <v>1</v>
      </c>
      <c r="AI120" s="2628"/>
      <c r="AJ120" s="2629"/>
      <c r="AK120" s="2671">
        <f>SUM(AC120:AD120)</f>
        <v>33</v>
      </c>
      <c r="AL120" s="3464"/>
      <c r="AM120" s="3448">
        <v>6.1</v>
      </c>
      <c r="AN120" s="3448"/>
      <c r="AO120" s="3448"/>
      <c r="AP120" s="3448"/>
      <c r="AQ120" s="3448"/>
      <c r="AR120" s="3458">
        <f t="shared" si="24"/>
        <v>6.1</v>
      </c>
      <c r="AS120" s="3459">
        <f t="shared" si="25"/>
        <v>1</v>
      </c>
    </row>
    <row r="121" spans="1:45" s="1449" customFormat="1" ht="27.95" customHeight="1">
      <c r="A121" s="3385">
        <v>5</v>
      </c>
      <c r="B121" s="2146" t="s">
        <v>2384</v>
      </c>
      <c r="C121" s="2147"/>
      <c r="D121" s="2147"/>
      <c r="E121" s="2147"/>
      <c r="F121" s="2147"/>
      <c r="G121" s="2149"/>
      <c r="H121" s="3636" t="s">
        <v>78</v>
      </c>
      <c r="I121" s="3636"/>
      <c r="J121" s="2148" t="s">
        <v>1270</v>
      </c>
      <c r="K121" s="2148" t="s">
        <v>1867</v>
      </c>
      <c r="L121" s="3671" t="s">
        <v>390</v>
      </c>
      <c r="M121" s="3672"/>
      <c r="N121" s="5349" t="s">
        <v>1271</v>
      </c>
      <c r="O121" s="5350"/>
      <c r="P121" s="3243"/>
      <c r="Q121" s="3243"/>
      <c r="R121" s="3243"/>
      <c r="S121" s="3413" t="s">
        <v>2139</v>
      </c>
      <c r="T121" s="3636" t="s">
        <v>680</v>
      </c>
      <c r="U121" s="5350">
        <v>10</v>
      </c>
      <c r="V121" s="5350"/>
      <c r="W121" s="5351" t="s">
        <v>1828</v>
      </c>
      <c r="X121" s="5351"/>
      <c r="Y121" s="3562" t="s">
        <v>767</v>
      </c>
      <c r="Z121" s="3562" t="s">
        <v>228</v>
      </c>
      <c r="AA121" s="5352">
        <f t="shared" si="23"/>
        <v>27</v>
      </c>
      <c r="AB121" s="5352"/>
      <c r="AC121" s="2682">
        <v>12</v>
      </c>
      <c r="AD121" s="3289">
        <v>15</v>
      </c>
      <c r="AE121" s="3237"/>
      <c r="AF121" s="2629">
        <v>2</v>
      </c>
      <c r="AG121" s="2628">
        <v>2</v>
      </c>
      <c r="AH121" s="2629"/>
      <c r="AI121" s="2628"/>
      <c r="AJ121" s="2629"/>
      <c r="AK121" s="2671">
        <f t="shared" si="15"/>
        <v>27</v>
      </c>
      <c r="AL121" s="3464"/>
      <c r="AM121" s="3448">
        <v>6.8</v>
      </c>
      <c r="AN121" s="3448"/>
      <c r="AO121" s="3448"/>
      <c r="AP121" s="3448"/>
      <c r="AQ121" s="3448"/>
      <c r="AR121" s="3458">
        <f t="shared" si="24"/>
        <v>6.8</v>
      </c>
      <c r="AS121" s="3459">
        <f t="shared" si="25"/>
        <v>1</v>
      </c>
    </row>
    <row r="122" spans="1:45" s="1443" customFormat="1" ht="27.95" customHeight="1">
      <c r="A122" s="3386">
        <v>6</v>
      </c>
      <c r="B122" s="2146" t="s">
        <v>2388</v>
      </c>
      <c r="C122" s="2147"/>
      <c r="D122" s="2147"/>
      <c r="E122" s="2147"/>
      <c r="F122" s="2147"/>
      <c r="G122" s="2149"/>
      <c r="H122" s="3636" t="s">
        <v>78</v>
      </c>
      <c r="I122" s="3636"/>
      <c r="J122" s="2148" t="s">
        <v>1272</v>
      </c>
      <c r="K122" s="2148" t="s">
        <v>1868</v>
      </c>
      <c r="L122" s="3673" t="s">
        <v>390</v>
      </c>
      <c r="M122" s="3672"/>
      <c r="N122" s="5349" t="s">
        <v>1273</v>
      </c>
      <c r="O122" s="5350"/>
      <c r="P122" s="3243"/>
      <c r="Q122" s="3243"/>
      <c r="R122" s="3243"/>
      <c r="S122" s="3413" t="s">
        <v>2145</v>
      </c>
      <c r="T122" s="3636"/>
      <c r="U122" s="5350">
        <v>10</v>
      </c>
      <c r="V122" s="5350"/>
      <c r="W122" s="5351" t="s">
        <v>1221</v>
      </c>
      <c r="X122" s="5351"/>
      <c r="Y122" s="3389" t="s">
        <v>767</v>
      </c>
      <c r="Z122" s="3564" t="s">
        <v>230</v>
      </c>
      <c r="AA122" s="5352">
        <f t="shared" si="23"/>
        <v>22</v>
      </c>
      <c r="AB122" s="5352"/>
      <c r="AC122" s="2682">
        <v>11</v>
      </c>
      <c r="AD122" s="3289">
        <v>13</v>
      </c>
      <c r="AE122" s="2628">
        <v>1</v>
      </c>
      <c r="AF122" s="2629">
        <v>3</v>
      </c>
      <c r="AG122" s="2628">
        <v>3</v>
      </c>
      <c r="AH122" s="2629">
        <v>3</v>
      </c>
      <c r="AI122" s="2628"/>
      <c r="AJ122" s="2629"/>
      <c r="AK122" s="2671">
        <f t="shared" si="15"/>
        <v>24</v>
      </c>
      <c r="AL122" s="3464"/>
      <c r="AM122" s="3448">
        <v>5.9</v>
      </c>
      <c r="AN122" s="3448"/>
      <c r="AO122" s="3448"/>
      <c r="AP122" s="3448"/>
      <c r="AQ122" s="3448"/>
      <c r="AR122" s="3458">
        <f t="shared" si="24"/>
        <v>5.9</v>
      </c>
      <c r="AS122" s="3459">
        <f t="shared" si="25"/>
        <v>1</v>
      </c>
    </row>
    <row r="123" spans="1:45" s="1443" customFormat="1" ht="27.95" customHeight="1">
      <c r="A123" s="3386">
        <v>7</v>
      </c>
      <c r="B123" s="2146" t="s">
        <v>2385</v>
      </c>
      <c r="C123" s="2147"/>
      <c r="D123" s="2147"/>
      <c r="E123" s="2147"/>
      <c r="F123" s="2147"/>
      <c r="G123" s="2149"/>
      <c r="H123" s="3386" t="s">
        <v>78</v>
      </c>
      <c r="I123" s="3386"/>
      <c r="J123" s="2148" t="s">
        <v>1278</v>
      </c>
      <c r="K123" s="2148" t="s">
        <v>1873</v>
      </c>
      <c r="L123" s="3673" t="s">
        <v>390</v>
      </c>
      <c r="M123" s="3672"/>
      <c r="N123" s="5354" t="s">
        <v>1279</v>
      </c>
      <c r="O123" s="5355"/>
      <c r="P123" s="3243"/>
      <c r="Q123" s="3243"/>
      <c r="R123" s="3243"/>
      <c r="S123" s="3413" t="s">
        <v>2141</v>
      </c>
      <c r="T123" s="3386"/>
      <c r="U123" s="5350">
        <v>10</v>
      </c>
      <c r="V123" s="5350"/>
      <c r="W123" s="5351"/>
      <c r="X123" s="5351"/>
      <c r="Y123" s="3389" t="s">
        <v>771</v>
      </c>
      <c r="Z123" s="3564" t="s">
        <v>228</v>
      </c>
      <c r="AA123" s="5352">
        <f t="shared" si="23"/>
        <v>35</v>
      </c>
      <c r="AB123" s="5352"/>
      <c r="AC123" s="2682">
        <v>17</v>
      </c>
      <c r="AD123" s="3289">
        <v>17</v>
      </c>
      <c r="AE123" s="2628">
        <v>1</v>
      </c>
      <c r="AF123" s="2629">
        <v>2</v>
      </c>
      <c r="AG123" s="2628"/>
      <c r="AH123" s="2629">
        <v>2</v>
      </c>
      <c r="AI123" s="2628"/>
      <c r="AJ123" s="2629"/>
      <c r="AK123" s="2671">
        <f t="shared" si="15"/>
        <v>34</v>
      </c>
      <c r="AL123" s="3464"/>
      <c r="AM123" s="3448">
        <v>5.8</v>
      </c>
      <c r="AN123" s="3448"/>
      <c r="AO123" s="3448"/>
      <c r="AP123" s="3448"/>
      <c r="AQ123" s="3448"/>
      <c r="AR123" s="3458">
        <f t="shared" si="24"/>
        <v>5.8</v>
      </c>
      <c r="AS123" s="3459">
        <f t="shared" si="25"/>
        <v>1</v>
      </c>
    </row>
    <row r="124" spans="1:45" s="1443" customFormat="1" ht="27.95" customHeight="1">
      <c r="A124" s="3386">
        <v>8</v>
      </c>
      <c r="B124" s="2146" t="s">
        <v>2375</v>
      </c>
      <c r="C124" s="2147"/>
      <c r="D124" s="2147"/>
      <c r="E124" s="2147"/>
      <c r="F124" s="2147"/>
      <c r="G124" s="2149"/>
      <c r="H124" s="3636"/>
      <c r="I124" s="3636" t="s">
        <v>78</v>
      </c>
      <c r="J124" s="2148" t="s">
        <v>1250</v>
      </c>
      <c r="K124" s="2148" t="s">
        <v>1870</v>
      </c>
      <c r="L124" s="3673" t="s">
        <v>390</v>
      </c>
      <c r="M124" s="3672"/>
      <c r="N124" s="5354" t="s">
        <v>1275</v>
      </c>
      <c r="O124" s="5355"/>
      <c r="P124" s="3243"/>
      <c r="Q124" s="3243"/>
      <c r="R124" s="3243"/>
      <c r="S124" s="3413" t="s">
        <v>2140</v>
      </c>
      <c r="T124" s="3636" t="s">
        <v>680</v>
      </c>
      <c r="U124" s="5350">
        <v>10</v>
      </c>
      <c r="V124" s="5350"/>
      <c r="W124" s="5351"/>
      <c r="X124" s="5351"/>
      <c r="Y124" s="3564" t="s">
        <v>772</v>
      </c>
      <c r="Z124" s="3564" t="s">
        <v>228</v>
      </c>
      <c r="AA124" s="5352">
        <f t="shared" si="23"/>
        <v>23</v>
      </c>
      <c r="AB124" s="5352"/>
      <c r="AC124" s="2682">
        <v>15</v>
      </c>
      <c r="AD124" s="3289">
        <v>10</v>
      </c>
      <c r="AE124" s="2628">
        <v>1</v>
      </c>
      <c r="AF124" s="2629">
        <v>1</v>
      </c>
      <c r="AG124" s="2628">
        <v>3</v>
      </c>
      <c r="AH124" s="2629">
        <v>1</v>
      </c>
      <c r="AI124" s="2628"/>
      <c r="AJ124" s="2629"/>
      <c r="AK124" s="2671">
        <f t="shared" si="15"/>
        <v>25</v>
      </c>
      <c r="AL124" s="3464"/>
      <c r="AM124" s="3448">
        <v>6.1</v>
      </c>
      <c r="AN124" s="3448"/>
      <c r="AO124" s="3448"/>
      <c r="AP124" s="3448"/>
      <c r="AQ124" s="3448"/>
      <c r="AR124" s="3458">
        <f t="shared" si="24"/>
        <v>6.1</v>
      </c>
      <c r="AS124" s="3459">
        <f t="shared" si="25"/>
        <v>1</v>
      </c>
    </row>
    <row r="125" spans="1:45" s="1444" customFormat="1" ht="27.95" customHeight="1">
      <c r="A125" s="3386">
        <v>9</v>
      </c>
      <c r="B125" s="2146" t="s">
        <v>2387</v>
      </c>
      <c r="C125" s="2147"/>
      <c r="D125" s="2147"/>
      <c r="E125" s="2147"/>
      <c r="F125" s="2147"/>
      <c r="G125" s="2149"/>
      <c r="H125" s="3636" t="s">
        <v>78</v>
      </c>
      <c r="I125" s="3636"/>
      <c r="J125" s="2148" t="s">
        <v>1280</v>
      </c>
      <c r="K125" s="2148" t="s">
        <v>1874</v>
      </c>
      <c r="L125" s="3673" t="s">
        <v>390</v>
      </c>
      <c r="M125" s="3672"/>
      <c r="N125" s="5354" t="s">
        <v>1281</v>
      </c>
      <c r="O125" s="5355"/>
      <c r="P125" s="3243"/>
      <c r="Q125" s="3243"/>
      <c r="R125" s="3243"/>
      <c r="S125" s="3413" t="s">
        <v>2144</v>
      </c>
      <c r="T125" s="3636"/>
      <c r="U125" s="5350">
        <v>10</v>
      </c>
      <c r="V125" s="5350"/>
      <c r="W125" s="5351"/>
      <c r="X125" s="5351"/>
      <c r="Y125" s="3389" t="s">
        <v>772</v>
      </c>
      <c r="Z125" s="3564" t="s">
        <v>230</v>
      </c>
      <c r="AA125" s="5352">
        <f t="shared" si="23"/>
        <v>23</v>
      </c>
      <c r="AB125" s="5352"/>
      <c r="AC125" s="2682">
        <v>8</v>
      </c>
      <c r="AD125" s="3289">
        <v>15</v>
      </c>
      <c r="AE125" s="2628">
        <v>1</v>
      </c>
      <c r="AF125" s="2629"/>
      <c r="AG125" s="2628"/>
      <c r="AH125" s="2629">
        <v>1</v>
      </c>
      <c r="AI125" s="2628"/>
      <c r="AJ125" s="2629"/>
      <c r="AK125" s="2671">
        <f t="shared" si="15"/>
        <v>23</v>
      </c>
      <c r="AL125" s="3464"/>
      <c r="AM125" s="3448">
        <v>6.2</v>
      </c>
      <c r="AN125" s="3448"/>
      <c r="AO125" s="3448"/>
      <c r="AP125" s="3448"/>
      <c r="AQ125" s="3448"/>
      <c r="AR125" s="3458">
        <f t="shared" si="24"/>
        <v>6.2</v>
      </c>
      <c r="AS125" s="3459">
        <f t="shared" si="25"/>
        <v>1</v>
      </c>
    </row>
    <row r="126" spans="1:45" s="1444" customFormat="1" ht="27.95" customHeight="1">
      <c r="A126" s="3386">
        <v>10</v>
      </c>
      <c r="B126" s="2146" t="s">
        <v>2360</v>
      </c>
      <c r="C126" s="2147"/>
      <c r="D126" s="2147"/>
      <c r="E126" s="2147"/>
      <c r="F126" s="2147"/>
      <c r="G126" s="2149"/>
      <c r="H126" s="3636"/>
      <c r="I126" s="3636" t="s">
        <v>78</v>
      </c>
      <c r="J126" s="2148" t="s">
        <v>1276</v>
      </c>
      <c r="K126" s="2148" t="s">
        <v>1872</v>
      </c>
      <c r="L126" s="3673" t="s">
        <v>390</v>
      </c>
      <c r="M126" s="3672"/>
      <c r="N126" s="5354" t="s">
        <v>1277</v>
      </c>
      <c r="O126" s="5355"/>
      <c r="P126" s="3243"/>
      <c r="Q126" s="3243"/>
      <c r="R126" s="3243"/>
      <c r="S126" s="3413" t="s">
        <v>2143</v>
      </c>
      <c r="T126" s="3636" t="s">
        <v>680</v>
      </c>
      <c r="U126" s="5350">
        <v>10</v>
      </c>
      <c r="V126" s="5350"/>
      <c r="W126" s="5351"/>
      <c r="X126" s="5351"/>
      <c r="Y126" s="3564" t="s">
        <v>773</v>
      </c>
      <c r="Z126" s="3564" t="s">
        <v>228</v>
      </c>
      <c r="AA126" s="5352">
        <f t="shared" si="23"/>
        <v>22</v>
      </c>
      <c r="AB126" s="5352"/>
      <c r="AC126" s="2682">
        <v>14</v>
      </c>
      <c r="AD126" s="3289">
        <v>10</v>
      </c>
      <c r="AE126" s="2628"/>
      <c r="AF126" s="2629"/>
      <c r="AG126" s="2628">
        <v>2</v>
      </c>
      <c r="AH126" s="2629"/>
      <c r="AI126" s="2628"/>
      <c r="AJ126" s="2629"/>
      <c r="AK126" s="2671">
        <f t="shared" si="15"/>
        <v>24</v>
      </c>
      <c r="AL126" s="3464"/>
      <c r="AM126" s="3448">
        <v>6</v>
      </c>
      <c r="AN126" s="3448"/>
      <c r="AO126" s="3448"/>
      <c r="AP126" s="3448"/>
      <c r="AQ126" s="3448"/>
      <c r="AR126" s="3458">
        <f t="shared" si="24"/>
        <v>6</v>
      </c>
      <c r="AS126" s="3459">
        <f t="shared" si="25"/>
        <v>1</v>
      </c>
    </row>
    <row r="127" spans="1:45" s="1444" customFormat="1" ht="27.95" customHeight="1">
      <c r="A127" s="3386">
        <v>11</v>
      </c>
      <c r="B127" s="2146" t="s">
        <v>2367</v>
      </c>
      <c r="C127" s="2147"/>
      <c r="D127" s="2147"/>
      <c r="E127" s="2147"/>
      <c r="F127" s="2147"/>
      <c r="G127" s="2149"/>
      <c r="H127" s="3636" t="s">
        <v>78</v>
      </c>
      <c r="I127" s="3636"/>
      <c r="J127" s="2148" t="s">
        <v>1236</v>
      </c>
      <c r="K127" s="2148" t="s">
        <v>1871</v>
      </c>
      <c r="L127" s="3673" t="s">
        <v>390</v>
      </c>
      <c r="M127" s="3672"/>
      <c r="N127" s="5354" t="s">
        <v>1678</v>
      </c>
      <c r="O127" s="5355"/>
      <c r="P127" s="3243"/>
      <c r="Q127" s="3243"/>
      <c r="R127" s="3243"/>
      <c r="S127" s="3413" t="s">
        <v>2120</v>
      </c>
      <c r="T127" s="3636" t="s">
        <v>680</v>
      </c>
      <c r="U127" s="5350">
        <v>10</v>
      </c>
      <c r="V127" s="5350"/>
      <c r="W127" s="5351"/>
      <c r="X127" s="5351"/>
      <c r="Y127" s="3389" t="s">
        <v>773</v>
      </c>
      <c r="Z127" s="3564" t="s">
        <v>230</v>
      </c>
      <c r="AA127" s="5352">
        <f t="shared" si="23"/>
        <v>21</v>
      </c>
      <c r="AB127" s="5352"/>
      <c r="AC127" s="2682">
        <v>11</v>
      </c>
      <c r="AD127" s="3289">
        <v>11</v>
      </c>
      <c r="AE127" s="2628">
        <v>1</v>
      </c>
      <c r="AF127" s="2629">
        <v>1</v>
      </c>
      <c r="AG127" s="2628">
        <v>2</v>
      </c>
      <c r="AH127" s="2629">
        <v>1</v>
      </c>
      <c r="AI127" s="2628"/>
      <c r="AJ127" s="2629"/>
      <c r="AK127" s="2671">
        <f t="shared" si="15"/>
        <v>22</v>
      </c>
      <c r="AL127" s="3464"/>
      <c r="AM127" s="3448">
        <v>6.8</v>
      </c>
      <c r="AN127" s="3448"/>
      <c r="AO127" s="3448"/>
      <c r="AP127" s="3448"/>
      <c r="AQ127" s="3448"/>
      <c r="AR127" s="3458">
        <f t="shared" si="24"/>
        <v>6.8</v>
      </c>
      <c r="AS127" s="3459">
        <f t="shared" si="25"/>
        <v>1</v>
      </c>
    </row>
    <row r="128" spans="1:45" s="1444" customFormat="1" ht="27.95" customHeight="1">
      <c r="A128" s="3386">
        <v>12</v>
      </c>
      <c r="B128" s="2146" t="s">
        <v>2389</v>
      </c>
      <c r="C128" s="2147"/>
      <c r="D128" s="2147"/>
      <c r="E128" s="2147"/>
      <c r="F128" s="2147"/>
      <c r="G128" s="2149"/>
      <c r="H128" s="3636"/>
      <c r="I128" s="3636" t="s">
        <v>78</v>
      </c>
      <c r="J128" s="2148" t="s">
        <v>1282</v>
      </c>
      <c r="K128" s="2148" t="s">
        <v>1875</v>
      </c>
      <c r="L128" s="3671" t="s">
        <v>1229</v>
      </c>
      <c r="M128" s="3672"/>
      <c r="N128" s="5354" t="s">
        <v>1283</v>
      </c>
      <c r="O128" s="5355"/>
      <c r="P128" s="3243"/>
      <c r="Q128" s="3243"/>
      <c r="R128" s="3243"/>
      <c r="S128" s="3413" t="s">
        <v>2146</v>
      </c>
      <c r="T128" s="3636"/>
      <c r="U128" s="5350">
        <v>10</v>
      </c>
      <c r="V128" s="5350"/>
      <c r="W128" s="5351"/>
      <c r="X128" s="5351"/>
      <c r="Y128" s="3390"/>
      <c r="Z128" s="3390"/>
      <c r="AA128" s="5352">
        <f>AC128+AD128+AE128+AF128-AG128-AH128</f>
        <v>0</v>
      </c>
      <c r="AB128" s="5352"/>
      <c r="AC128" s="2682"/>
      <c r="AD128" s="3289"/>
      <c r="AE128" s="2628"/>
      <c r="AF128" s="2629"/>
      <c r="AG128" s="2628"/>
      <c r="AH128" s="2629"/>
      <c r="AI128" s="2628"/>
      <c r="AJ128" s="2629"/>
      <c r="AK128" s="2671">
        <f t="shared" si="15"/>
        <v>0</v>
      </c>
      <c r="AL128" s="3464"/>
      <c r="AM128" s="3448"/>
      <c r="AN128" s="3448"/>
      <c r="AO128" s="3448"/>
      <c r="AP128" s="3448"/>
      <c r="AQ128" s="3448"/>
      <c r="AR128" s="3458" t="e">
        <f t="shared" si="24"/>
        <v>#DIV/0!</v>
      </c>
      <c r="AS128" s="3459">
        <f t="shared" si="25"/>
        <v>0</v>
      </c>
    </row>
    <row r="129" spans="1:45" s="1444" customFormat="1" ht="27.95" customHeight="1">
      <c r="A129" s="3386">
        <v>13</v>
      </c>
      <c r="B129" s="2146" t="s">
        <v>2390</v>
      </c>
      <c r="C129" s="2147"/>
      <c r="D129" s="2147"/>
      <c r="E129" s="2147"/>
      <c r="F129" s="2147"/>
      <c r="G129" s="2149"/>
      <c r="H129" s="3636"/>
      <c r="I129" s="3636" t="s">
        <v>78</v>
      </c>
      <c r="J129" s="2148" t="s">
        <v>1284</v>
      </c>
      <c r="K129" s="2148" t="s">
        <v>1876</v>
      </c>
      <c r="L129" s="3673" t="s">
        <v>426</v>
      </c>
      <c r="M129" s="3672"/>
      <c r="N129" s="5419"/>
      <c r="O129" s="5418"/>
      <c r="P129" s="3243"/>
      <c r="Q129" s="3243"/>
      <c r="R129" s="3243"/>
      <c r="S129" s="3413" t="s">
        <v>2147</v>
      </c>
      <c r="T129" s="3636"/>
      <c r="U129" s="5350">
        <v>10</v>
      </c>
      <c r="V129" s="5350"/>
      <c r="W129" s="5351"/>
      <c r="X129" s="5351"/>
      <c r="Y129" s="3389"/>
      <c r="Z129" s="3389"/>
      <c r="AA129" s="5352">
        <f t="shared" si="23"/>
        <v>0</v>
      </c>
      <c r="AB129" s="5352"/>
      <c r="AC129" s="2682"/>
      <c r="AD129" s="3289"/>
      <c r="AE129" s="2628"/>
      <c r="AF129" s="2629"/>
      <c r="AG129" s="2628"/>
      <c r="AH129" s="2629"/>
      <c r="AI129" s="2628"/>
      <c r="AJ129" s="2629"/>
      <c r="AK129" s="2671">
        <f t="shared" si="15"/>
        <v>0</v>
      </c>
      <c r="AL129" s="3464"/>
      <c r="AM129" s="3448"/>
      <c r="AN129" s="3448"/>
      <c r="AO129" s="3448"/>
      <c r="AP129" s="3448"/>
      <c r="AQ129" s="3448"/>
      <c r="AR129" s="3458" t="e">
        <f t="shared" si="24"/>
        <v>#DIV/0!</v>
      </c>
      <c r="AS129" s="3459">
        <f t="shared" si="25"/>
        <v>0</v>
      </c>
    </row>
    <row r="130" spans="1:45" s="1444" customFormat="1" ht="27.95" customHeight="1">
      <c r="A130" s="3386">
        <v>14</v>
      </c>
      <c r="B130" s="2146" t="s">
        <v>2381</v>
      </c>
      <c r="C130" s="2147"/>
      <c r="D130" s="2147"/>
      <c r="E130" s="2147"/>
      <c r="F130" s="2147"/>
      <c r="G130" s="2149"/>
      <c r="H130" s="3636" t="s">
        <v>78</v>
      </c>
      <c r="I130" s="3636"/>
      <c r="J130" s="2148" t="s">
        <v>1266</v>
      </c>
      <c r="K130" s="2148" t="s">
        <v>1864</v>
      </c>
      <c r="L130" s="3671" t="s">
        <v>426</v>
      </c>
      <c r="M130" s="3672"/>
      <c r="N130" s="5350"/>
      <c r="O130" s="5350"/>
      <c r="P130" s="3636"/>
      <c r="Q130" s="3636" t="s">
        <v>79</v>
      </c>
      <c r="R130" s="3636"/>
      <c r="S130" s="3413" t="s">
        <v>2135</v>
      </c>
      <c r="T130" s="3636"/>
      <c r="U130" s="5350">
        <v>10</v>
      </c>
      <c r="V130" s="5350"/>
      <c r="W130" s="5351" t="s">
        <v>1265</v>
      </c>
      <c r="X130" s="5351"/>
      <c r="Y130" s="3389"/>
      <c r="Z130" s="3389"/>
      <c r="AA130" s="5352">
        <f t="shared" si="23"/>
        <v>0</v>
      </c>
      <c r="AB130" s="5352"/>
      <c r="AC130" s="2682"/>
      <c r="AD130" s="3289"/>
      <c r="AE130" s="2628"/>
      <c r="AF130" s="2629"/>
      <c r="AG130" s="2628"/>
      <c r="AH130" s="2629"/>
      <c r="AI130" s="2628"/>
      <c r="AJ130" s="2629"/>
      <c r="AK130" s="2671">
        <f t="shared" si="15"/>
        <v>0</v>
      </c>
      <c r="AL130" s="3464"/>
      <c r="AM130" s="3448"/>
      <c r="AN130" s="3448"/>
      <c r="AO130" s="3448"/>
      <c r="AP130" s="3448"/>
      <c r="AQ130" s="3448"/>
      <c r="AR130" s="3458" t="e">
        <f t="shared" si="24"/>
        <v>#DIV/0!</v>
      </c>
      <c r="AS130" s="3459">
        <f t="shared" si="25"/>
        <v>0</v>
      </c>
    </row>
    <row r="131" spans="1:45" s="1444" customFormat="1" ht="27.95" customHeight="1">
      <c r="A131" s="3386"/>
      <c r="B131" s="2146"/>
      <c r="C131" s="2147"/>
      <c r="D131" s="2147"/>
      <c r="E131" s="2147"/>
      <c r="F131" s="2147"/>
      <c r="G131" s="2149"/>
      <c r="H131" s="3386"/>
      <c r="I131" s="3386"/>
      <c r="J131" s="2148"/>
      <c r="K131" s="2148"/>
      <c r="L131" s="3671"/>
      <c r="M131" s="3672"/>
      <c r="N131" s="5350"/>
      <c r="O131" s="5350"/>
      <c r="P131" s="3386"/>
      <c r="Q131" s="3386"/>
      <c r="R131" s="3386"/>
      <c r="S131" s="3413"/>
      <c r="T131" s="3386"/>
      <c r="U131" s="5350"/>
      <c r="V131" s="5350"/>
      <c r="W131" s="5351"/>
      <c r="X131" s="5351"/>
      <c r="Y131" s="3389"/>
      <c r="Z131" s="3389"/>
      <c r="AA131" s="5352">
        <f t="shared" si="23"/>
        <v>0</v>
      </c>
      <c r="AB131" s="5352"/>
      <c r="AC131" s="2682"/>
      <c r="AD131" s="3289"/>
      <c r="AE131" s="2628"/>
      <c r="AF131" s="2629"/>
      <c r="AG131" s="2628"/>
      <c r="AH131" s="2629"/>
      <c r="AI131" s="2628"/>
      <c r="AJ131" s="2629"/>
      <c r="AK131" s="2671">
        <f t="shared" si="15"/>
        <v>0</v>
      </c>
      <c r="AL131" s="3464"/>
      <c r="AM131" s="3448"/>
      <c r="AN131" s="3448"/>
      <c r="AO131" s="3448"/>
      <c r="AP131" s="3448"/>
      <c r="AQ131" s="3448"/>
      <c r="AR131" s="3458" t="e">
        <f t="shared" ref="AR131:AR143" si="26">SUM(AM131:AQ131)/AS131</f>
        <v>#DIV/0!</v>
      </c>
      <c r="AS131" s="3459">
        <f t="shared" si="25"/>
        <v>0</v>
      </c>
    </row>
    <row r="132" spans="1:45" s="1444" customFormat="1" ht="27.95" customHeight="1">
      <c r="A132" s="3386"/>
      <c r="B132" s="2146"/>
      <c r="C132" s="2147"/>
      <c r="D132" s="2147"/>
      <c r="E132" s="2147"/>
      <c r="F132" s="2147"/>
      <c r="G132" s="2149"/>
      <c r="H132" s="3386"/>
      <c r="I132" s="3386"/>
      <c r="J132" s="2148"/>
      <c r="K132" s="2148"/>
      <c r="L132" s="3671"/>
      <c r="M132" s="3672"/>
      <c r="N132" s="5349"/>
      <c r="O132" s="5350"/>
      <c r="P132" s="3243"/>
      <c r="Q132" s="3243"/>
      <c r="R132" s="3243"/>
      <c r="S132" s="3413"/>
      <c r="T132" s="3386"/>
      <c r="U132" s="5350"/>
      <c r="V132" s="5350"/>
      <c r="W132" s="5351"/>
      <c r="X132" s="5351"/>
      <c r="Y132" s="3389"/>
      <c r="Z132" s="3389"/>
      <c r="AA132" s="5352">
        <f t="shared" si="23"/>
        <v>0</v>
      </c>
      <c r="AB132" s="5352"/>
      <c r="AC132" s="2682"/>
      <c r="AD132" s="3289"/>
      <c r="AE132" s="2628"/>
      <c r="AF132" s="2629"/>
      <c r="AG132" s="2628"/>
      <c r="AH132" s="2629"/>
      <c r="AI132" s="2628"/>
      <c r="AJ132" s="2629"/>
      <c r="AK132" s="2671">
        <f t="shared" si="15"/>
        <v>0</v>
      </c>
      <c r="AL132" s="3464"/>
      <c r="AM132" s="3448"/>
      <c r="AN132" s="3448"/>
      <c r="AO132" s="3448"/>
      <c r="AP132" s="3448"/>
      <c r="AQ132" s="3448"/>
      <c r="AR132" s="3458" t="e">
        <f t="shared" si="26"/>
        <v>#DIV/0!</v>
      </c>
      <c r="AS132" s="3459">
        <f t="shared" si="25"/>
        <v>0</v>
      </c>
    </row>
    <row r="133" spans="1:45" s="1444" customFormat="1" ht="27.95" customHeight="1">
      <c r="A133" s="3386"/>
      <c r="B133" s="3249"/>
      <c r="C133" s="2152"/>
      <c r="D133" s="2152"/>
      <c r="E133" s="2152"/>
      <c r="F133" s="2152"/>
      <c r="G133" s="2153"/>
      <c r="H133" s="3643"/>
      <c r="I133" s="3643"/>
      <c r="J133" s="3250"/>
      <c r="K133" s="3250"/>
      <c r="L133" s="3671"/>
      <c r="M133" s="3676"/>
      <c r="N133" s="5349"/>
      <c r="O133" s="5349"/>
      <c r="P133" s="3247"/>
      <c r="Q133" s="3247"/>
      <c r="R133" s="3247"/>
      <c r="S133" s="3416"/>
      <c r="T133" s="3643"/>
      <c r="U133" s="5349"/>
      <c r="V133" s="5349"/>
      <c r="W133" s="5351"/>
      <c r="X133" s="5351"/>
      <c r="Y133" s="3389"/>
      <c r="Z133" s="3389"/>
      <c r="AA133" s="5352">
        <f t="shared" si="23"/>
        <v>0</v>
      </c>
      <c r="AB133" s="5352"/>
      <c r="AC133" s="2682"/>
      <c r="AD133" s="3289"/>
      <c r="AE133" s="2628"/>
      <c r="AF133" s="2629"/>
      <c r="AG133" s="2628"/>
      <c r="AH133" s="2629"/>
      <c r="AI133" s="2628"/>
      <c r="AJ133" s="2629"/>
      <c r="AK133" s="2671">
        <f t="shared" si="15"/>
        <v>0</v>
      </c>
      <c r="AL133" s="3464"/>
      <c r="AM133" s="3448"/>
      <c r="AN133" s="3448"/>
      <c r="AO133" s="3448"/>
      <c r="AP133" s="3448"/>
      <c r="AQ133" s="3448"/>
      <c r="AR133" s="3458" t="e">
        <f t="shared" si="26"/>
        <v>#DIV/0!</v>
      </c>
      <c r="AS133" s="3459">
        <f t="shared" si="25"/>
        <v>0</v>
      </c>
    </row>
    <row r="134" spans="1:45" s="1444" customFormat="1" ht="27.95" customHeight="1">
      <c r="A134" s="3386"/>
      <c r="B134" s="2146"/>
      <c r="C134" s="2147"/>
      <c r="D134" s="2147"/>
      <c r="E134" s="2147"/>
      <c r="F134" s="2147"/>
      <c r="G134" s="2149"/>
      <c r="H134" s="3636"/>
      <c r="I134" s="3636"/>
      <c r="J134" s="2148"/>
      <c r="K134" s="2148"/>
      <c r="L134" s="3671"/>
      <c r="M134" s="3672"/>
      <c r="N134" s="5349"/>
      <c r="O134" s="5350"/>
      <c r="P134" s="3243"/>
      <c r="Q134" s="3243"/>
      <c r="R134" s="3243"/>
      <c r="S134" s="3413"/>
      <c r="T134" s="3636"/>
      <c r="U134" s="5350"/>
      <c r="V134" s="5350"/>
      <c r="W134" s="5351"/>
      <c r="X134" s="5351"/>
      <c r="Y134" s="3389"/>
      <c r="Z134" s="3389"/>
      <c r="AA134" s="5352">
        <f t="shared" si="23"/>
        <v>0</v>
      </c>
      <c r="AB134" s="5352"/>
      <c r="AC134" s="2682"/>
      <c r="AD134" s="3289"/>
      <c r="AE134" s="2628"/>
      <c r="AF134" s="2629"/>
      <c r="AG134" s="2628"/>
      <c r="AH134" s="2629"/>
      <c r="AI134" s="2628"/>
      <c r="AJ134" s="2629"/>
      <c r="AK134" s="2671">
        <f t="shared" si="15"/>
        <v>0</v>
      </c>
      <c r="AL134" s="3464"/>
      <c r="AM134" s="3448"/>
      <c r="AN134" s="3448"/>
      <c r="AO134" s="3448"/>
      <c r="AP134" s="3448"/>
      <c r="AQ134" s="3448"/>
      <c r="AR134" s="3458" t="e">
        <f t="shared" si="26"/>
        <v>#DIV/0!</v>
      </c>
      <c r="AS134" s="3459">
        <f t="shared" si="25"/>
        <v>0</v>
      </c>
    </row>
    <row r="135" spans="1:45" s="1444" customFormat="1" ht="27.95" customHeight="1">
      <c r="A135" s="3386"/>
      <c r="B135" s="2146"/>
      <c r="C135" s="2147"/>
      <c r="D135" s="2147"/>
      <c r="E135" s="2147"/>
      <c r="F135" s="2147"/>
      <c r="G135" s="2149"/>
      <c r="H135" s="3636"/>
      <c r="I135" s="3636"/>
      <c r="J135" s="2148"/>
      <c r="K135" s="2148"/>
      <c r="L135" s="3673"/>
      <c r="M135" s="3672"/>
      <c r="N135" s="5354"/>
      <c r="O135" s="5355"/>
      <c r="P135" s="3243"/>
      <c r="Q135" s="3243"/>
      <c r="R135" s="3243"/>
      <c r="S135" s="3413"/>
      <c r="T135" s="3636"/>
      <c r="U135" s="5350"/>
      <c r="V135" s="5350"/>
      <c r="W135" s="5351"/>
      <c r="X135" s="5351"/>
      <c r="Y135" s="3389"/>
      <c r="Z135" s="3389"/>
      <c r="AA135" s="5352">
        <f t="shared" si="23"/>
        <v>0</v>
      </c>
      <c r="AB135" s="5352"/>
      <c r="AC135" s="2682"/>
      <c r="AD135" s="3289"/>
      <c r="AE135" s="2628"/>
      <c r="AF135" s="2629"/>
      <c r="AG135" s="2628"/>
      <c r="AH135" s="2629"/>
      <c r="AI135" s="2628"/>
      <c r="AJ135" s="2629"/>
      <c r="AK135" s="2671">
        <f t="shared" si="15"/>
        <v>0</v>
      </c>
      <c r="AL135" s="3464"/>
      <c r="AM135" s="3448"/>
      <c r="AN135" s="3448"/>
      <c r="AO135" s="3448"/>
      <c r="AP135" s="3448"/>
      <c r="AQ135" s="3448"/>
      <c r="AR135" s="3458" t="e">
        <f t="shared" si="26"/>
        <v>#DIV/0!</v>
      </c>
      <c r="AS135" s="3459">
        <f t="shared" si="25"/>
        <v>0</v>
      </c>
    </row>
    <row r="136" spans="1:45" s="1444" customFormat="1" ht="27.95" customHeight="1">
      <c r="A136" s="3274"/>
      <c r="B136" s="2146"/>
      <c r="C136" s="2147"/>
      <c r="D136" s="2147"/>
      <c r="E136" s="2147"/>
      <c r="F136" s="2147"/>
      <c r="G136" s="2149"/>
      <c r="H136" s="3636"/>
      <c r="I136" s="3636"/>
      <c r="J136" s="2148"/>
      <c r="K136" s="2148"/>
      <c r="L136" s="3673"/>
      <c r="M136" s="3672"/>
      <c r="N136" s="5354"/>
      <c r="O136" s="5355"/>
      <c r="P136" s="3243"/>
      <c r="Q136" s="3243"/>
      <c r="R136" s="3243"/>
      <c r="S136" s="3413"/>
      <c r="T136" s="3636"/>
      <c r="U136" s="5350"/>
      <c r="V136" s="5350"/>
      <c r="W136" s="5351"/>
      <c r="X136" s="5351"/>
      <c r="Y136" s="3286"/>
      <c r="Z136" s="3286"/>
      <c r="AA136" s="5352">
        <f t="shared" si="23"/>
        <v>0</v>
      </c>
      <c r="AB136" s="5352"/>
      <c r="AC136" s="2682"/>
      <c r="AD136" s="3289"/>
      <c r="AE136" s="2628"/>
      <c r="AF136" s="2629"/>
      <c r="AG136" s="2628"/>
      <c r="AH136" s="2629"/>
      <c r="AI136" s="2628"/>
      <c r="AJ136" s="2629"/>
      <c r="AK136" s="2671">
        <f t="shared" si="15"/>
        <v>0</v>
      </c>
      <c r="AL136" s="3464"/>
      <c r="AM136" s="3448"/>
      <c r="AN136" s="3448"/>
      <c r="AO136" s="3448"/>
      <c r="AP136" s="3448"/>
      <c r="AQ136" s="3448"/>
      <c r="AR136" s="3458" t="e">
        <f t="shared" si="26"/>
        <v>#DIV/0!</v>
      </c>
      <c r="AS136" s="3459">
        <f t="shared" si="25"/>
        <v>0</v>
      </c>
    </row>
    <row r="137" spans="1:45" s="1444" customFormat="1" ht="27.95" customHeight="1">
      <c r="A137" s="3274"/>
      <c r="B137" s="2146"/>
      <c r="C137" s="2147"/>
      <c r="D137" s="2147"/>
      <c r="E137" s="2147"/>
      <c r="F137" s="2147"/>
      <c r="G137" s="2149"/>
      <c r="H137" s="3274"/>
      <c r="I137" s="3274"/>
      <c r="J137" s="2148"/>
      <c r="K137" s="2148"/>
      <c r="L137" s="3671"/>
      <c r="M137" s="3672"/>
      <c r="N137" s="5349"/>
      <c r="O137" s="5350"/>
      <c r="P137" s="3274"/>
      <c r="Q137" s="3274"/>
      <c r="R137" s="3274"/>
      <c r="S137" s="2873"/>
      <c r="T137" s="3274"/>
      <c r="U137" s="5350"/>
      <c r="V137" s="5350"/>
      <c r="W137" s="5351"/>
      <c r="X137" s="5351"/>
      <c r="Y137" s="3286"/>
      <c r="Z137" s="3286"/>
      <c r="AA137" s="5352">
        <f t="shared" si="23"/>
        <v>0</v>
      </c>
      <c r="AB137" s="5352"/>
      <c r="AC137" s="2682"/>
      <c r="AD137" s="3289"/>
      <c r="AE137" s="2628"/>
      <c r="AF137" s="2629"/>
      <c r="AG137" s="2628"/>
      <c r="AH137" s="2629"/>
      <c r="AI137" s="2628"/>
      <c r="AJ137" s="2629"/>
      <c r="AK137" s="2671">
        <f t="shared" si="15"/>
        <v>0</v>
      </c>
      <c r="AL137" s="3464"/>
      <c r="AM137" s="3448"/>
      <c r="AN137" s="3448"/>
      <c r="AO137" s="3448"/>
      <c r="AP137" s="3448"/>
      <c r="AQ137" s="3448"/>
      <c r="AR137" s="3458" t="e">
        <f t="shared" si="26"/>
        <v>#DIV/0!</v>
      </c>
      <c r="AS137" s="3459">
        <f t="shared" si="25"/>
        <v>0</v>
      </c>
    </row>
    <row r="138" spans="1:45" s="1444" customFormat="1" ht="27.95" customHeight="1">
      <c r="A138" s="3274"/>
      <c r="B138" s="2151"/>
      <c r="C138" s="2147"/>
      <c r="D138" s="2147"/>
      <c r="E138" s="2147"/>
      <c r="F138" s="2147"/>
      <c r="G138" s="2149"/>
      <c r="H138" s="3274"/>
      <c r="I138" s="3274"/>
      <c r="J138" s="3274"/>
      <c r="K138" s="3274"/>
      <c r="L138" s="3673"/>
      <c r="M138" s="3672"/>
      <c r="N138" s="5350"/>
      <c r="O138" s="5350"/>
      <c r="P138" s="3274"/>
      <c r="Q138" s="3274"/>
      <c r="R138" s="3274"/>
      <c r="S138" s="2875"/>
      <c r="T138" s="3274"/>
      <c r="U138" s="5350"/>
      <c r="V138" s="5350"/>
      <c r="W138" s="5351"/>
      <c r="X138" s="5351"/>
      <c r="Y138" s="3286"/>
      <c r="Z138" s="3286"/>
      <c r="AA138" s="5352">
        <f t="shared" ref="AA138:AA142" si="27">AC138+AD138+AE138+AF138-AG138-AH138</f>
        <v>0</v>
      </c>
      <c r="AB138" s="5352"/>
      <c r="AC138" s="2682"/>
      <c r="AD138" s="3289"/>
      <c r="AE138" s="2628"/>
      <c r="AF138" s="2629"/>
      <c r="AG138" s="2628"/>
      <c r="AH138" s="2629"/>
      <c r="AI138" s="2628"/>
      <c r="AJ138" s="2629"/>
      <c r="AK138" s="2671">
        <f t="shared" si="15"/>
        <v>0</v>
      </c>
      <c r="AL138" s="3464"/>
      <c r="AM138" s="3448"/>
      <c r="AN138" s="3448"/>
      <c r="AO138" s="3448"/>
      <c r="AP138" s="3448"/>
      <c r="AQ138" s="3448"/>
      <c r="AR138" s="3458" t="e">
        <f t="shared" si="26"/>
        <v>#DIV/0!</v>
      </c>
      <c r="AS138" s="3459">
        <f t="shared" si="25"/>
        <v>0</v>
      </c>
    </row>
    <row r="139" spans="1:45" s="1444" customFormat="1" ht="27.95" customHeight="1">
      <c r="A139" s="3274"/>
      <c r="B139" s="2151"/>
      <c r="C139" s="2147"/>
      <c r="D139" s="2147"/>
      <c r="E139" s="2147"/>
      <c r="F139" s="2147"/>
      <c r="G139" s="2149"/>
      <c r="H139" s="3274"/>
      <c r="I139" s="3274"/>
      <c r="J139" s="3274"/>
      <c r="K139" s="3274"/>
      <c r="L139" s="3673"/>
      <c r="M139" s="3672"/>
      <c r="N139" s="5350"/>
      <c r="O139" s="5350"/>
      <c r="P139" s="3274"/>
      <c r="Q139" s="3274"/>
      <c r="R139" s="3274"/>
      <c r="S139" s="2875"/>
      <c r="T139" s="3274"/>
      <c r="U139" s="5350"/>
      <c r="V139" s="5350"/>
      <c r="W139" s="5351"/>
      <c r="X139" s="5351"/>
      <c r="Y139" s="3286"/>
      <c r="Z139" s="3286"/>
      <c r="AA139" s="5352">
        <f t="shared" si="27"/>
        <v>0</v>
      </c>
      <c r="AB139" s="5352"/>
      <c r="AC139" s="2682"/>
      <c r="AD139" s="3289"/>
      <c r="AE139" s="2628"/>
      <c r="AF139" s="2629"/>
      <c r="AG139" s="2628"/>
      <c r="AH139" s="2629"/>
      <c r="AI139" s="2628"/>
      <c r="AJ139" s="2629"/>
      <c r="AK139" s="2671">
        <f t="shared" si="15"/>
        <v>0</v>
      </c>
      <c r="AL139" s="3464"/>
      <c r="AM139" s="3448"/>
      <c r="AN139" s="3448"/>
      <c r="AO139" s="3448"/>
      <c r="AP139" s="3448"/>
      <c r="AQ139" s="3448"/>
      <c r="AR139" s="3458" t="e">
        <f t="shared" si="26"/>
        <v>#DIV/0!</v>
      </c>
      <c r="AS139" s="3459">
        <f t="shared" si="25"/>
        <v>0</v>
      </c>
    </row>
    <row r="140" spans="1:45" s="1444" customFormat="1" ht="27.75" customHeight="1">
      <c r="A140" s="3274"/>
      <c r="B140" s="2151"/>
      <c r="C140" s="2147"/>
      <c r="D140" s="2147"/>
      <c r="E140" s="2147"/>
      <c r="F140" s="2147"/>
      <c r="G140" s="2149"/>
      <c r="H140" s="3274"/>
      <c r="I140" s="3274"/>
      <c r="J140" s="3274"/>
      <c r="K140" s="3274"/>
      <c r="L140" s="3673"/>
      <c r="M140" s="3672"/>
      <c r="N140" s="5350"/>
      <c r="O140" s="5350"/>
      <c r="P140" s="3274"/>
      <c r="Q140" s="3274"/>
      <c r="R140" s="3274"/>
      <c r="S140" s="2875"/>
      <c r="T140" s="3274"/>
      <c r="U140" s="5350"/>
      <c r="V140" s="5350"/>
      <c r="W140" s="5351"/>
      <c r="X140" s="5351"/>
      <c r="Y140" s="3286"/>
      <c r="Z140" s="3286"/>
      <c r="AA140" s="5352">
        <f t="shared" si="27"/>
        <v>0</v>
      </c>
      <c r="AB140" s="5352"/>
      <c r="AC140" s="2682"/>
      <c r="AD140" s="3289"/>
      <c r="AE140" s="2628"/>
      <c r="AF140" s="2629"/>
      <c r="AG140" s="2628"/>
      <c r="AH140" s="2629"/>
      <c r="AI140" s="2628"/>
      <c r="AJ140" s="2629"/>
      <c r="AK140" s="2671">
        <f t="shared" si="15"/>
        <v>0</v>
      </c>
      <c r="AL140" s="3464"/>
      <c r="AM140" s="3448"/>
      <c r="AN140" s="3448"/>
      <c r="AO140" s="3448"/>
      <c r="AP140" s="3448"/>
      <c r="AQ140" s="3448"/>
      <c r="AR140" s="3458" t="e">
        <f t="shared" si="26"/>
        <v>#DIV/0!</v>
      </c>
      <c r="AS140" s="3459">
        <f t="shared" si="25"/>
        <v>0</v>
      </c>
    </row>
    <row r="141" spans="1:45" s="1444" customFormat="1" ht="27.95" customHeight="1">
      <c r="A141" s="3274"/>
      <c r="B141" s="2146"/>
      <c r="C141" s="2147"/>
      <c r="D141" s="2147"/>
      <c r="E141" s="2147"/>
      <c r="F141" s="2147"/>
      <c r="G141" s="2149"/>
      <c r="H141" s="3274"/>
      <c r="I141" s="3274"/>
      <c r="J141" s="2148"/>
      <c r="K141" s="2148"/>
      <c r="L141" s="3673"/>
      <c r="M141" s="3672"/>
      <c r="N141" s="5349"/>
      <c r="O141" s="5350"/>
      <c r="P141" s="3274"/>
      <c r="Q141" s="3274"/>
      <c r="R141" s="2747"/>
      <c r="S141" s="2873"/>
      <c r="T141" s="3274"/>
      <c r="U141" s="5350"/>
      <c r="V141" s="5350"/>
      <c r="W141" s="5351"/>
      <c r="X141" s="5351"/>
      <c r="Y141" s="3286"/>
      <c r="Z141" s="3286"/>
      <c r="AA141" s="5352">
        <f t="shared" si="27"/>
        <v>0</v>
      </c>
      <c r="AB141" s="5352"/>
      <c r="AC141" s="2682"/>
      <c r="AD141" s="3289"/>
      <c r="AE141" s="2628"/>
      <c r="AF141" s="2629"/>
      <c r="AG141" s="2628"/>
      <c r="AH141" s="2629"/>
      <c r="AI141" s="2628"/>
      <c r="AJ141" s="2629"/>
      <c r="AK141" s="2671">
        <f t="shared" si="15"/>
        <v>0</v>
      </c>
      <c r="AL141" s="3464"/>
      <c r="AM141" s="3448"/>
      <c r="AN141" s="3448"/>
      <c r="AO141" s="3448"/>
      <c r="AP141" s="3448"/>
      <c r="AQ141" s="3448"/>
      <c r="AR141" s="3458" t="e">
        <f t="shared" si="26"/>
        <v>#DIV/0!</v>
      </c>
      <c r="AS141" s="3459">
        <f t="shared" si="25"/>
        <v>0</v>
      </c>
    </row>
    <row r="142" spans="1:45" s="1444" customFormat="1" ht="27.95" customHeight="1">
      <c r="A142" s="3274"/>
      <c r="B142" s="2146"/>
      <c r="C142" s="2147"/>
      <c r="D142" s="2147"/>
      <c r="E142" s="2147"/>
      <c r="F142" s="2147"/>
      <c r="G142" s="2149"/>
      <c r="H142" s="3274"/>
      <c r="I142" s="3274"/>
      <c r="J142" s="2148"/>
      <c r="K142" s="2148"/>
      <c r="L142" s="3673"/>
      <c r="M142" s="3672"/>
      <c r="N142" s="5349"/>
      <c r="O142" s="5350"/>
      <c r="P142" s="3274"/>
      <c r="Q142" s="3274"/>
      <c r="R142" s="2747"/>
      <c r="S142" s="2873"/>
      <c r="T142" s="3274"/>
      <c r="U142" s="5350"/>
      <c r="V142" s="5350"/>
      <c r="W142" s="5351"/>
      <c r="X142" s="5351"/>
      <c r="Y142" s="3286"/>
      <c r="Z142" s="3286"/>
      <c r="AA142" s="5352">
        <f t="shared" si="27"/>
        <v>0</v>
      </c>
      <c r="AB142" s="5352"/>
      <c r="AC142" s="2682"/>
      <c r="AD142" s="3289"/>
      <c r="AE142" s="2628"/>
      <c r="AF142" s="2629"/>
      <c r="AG142" s="2628"/>
      <c r="AH142" s="2629"/>
      <c r="AI142" s="2628"/>
      <c r="AJ142" s="2629"/>
      <c r="AK142" s="2671">
        <f t="shared" si="15"/>
        <v>0</v>
      </c>
      <c r="AL142" s="3464"/>
      <c r="AM142" s="3448"/>
      <c r="AN142" s="3448"/>
      <c r="AO142" s="3448"/>
      <c r="AP142" s="3448"/>
      <c r="AQ142" s="3448"/>
      <c r="AR142" s="3458" t="e">
        <f t="shared" si="26"/>
        <v>#DIV/0!</v>
      </c>
      <c r="AS142" s="3459">
        <f t="shared" si="25"/>
        <v>0</v>
      </c>
    </row>
    <row r="143" spans="1:45" s="1444" customFormat="1" ht="27.95" customHeight="1">
      <c r="A143" s="3273">
        <f>COUNTA(B117:G142)</f>
        <v>14</v>
      </c>
      <c r="B143" s="2961" t="str">
        <f>'[1]0492K'!$S$3</f>
        <v>esmerald_96@hotmail.com</v>
      </c>
      <c r="C143" s="2962"/>
      <c r="D143" s="2963"/>
      <c r="E143" s="2964" t="str">
        <f>'[4]0492K'!$C$8</f>
        <v>REG. 96 MZAS. 89 Y 90 C. 127</v>
      </c>
      <c r="F143" s="2962"/>
      <c r="G143" s="2965"/>
      <c r="H143" s="3273">
        <f>COUNTIF(H118:H128,"X")</f>
        <v>6</v>
      </c>
      <c r="I143" s="3273">
        <f>COUNTIF(I118:I128,"X")</f>
        <v>5</v>
      </c>
      <c r="J143" s="2966">
        <f>COUNTIF(L117:M142,"docente")</f>
        <v>10</v>
      </c>
      <c r="K143" s="2967">
        <f>COUNTIF(L117:M142,"intendente")</f>
        <v>2</v>
      </c>
      <c r="L143" s="1665">
        <f>COUNTA(N117:O142)</f>
        <v>12</v>
      </c>
      <c r="M143" s="2968">
        <f>COUNTIF(Y117:Y142,"1º")</f>
        <v>1</v>
      </c>
      <c r="N143" s="3278">
        <f>COUNTIF(Y117:Y142,"2º")</f>
        <v>2</v>
      </c>
      <c r="O143" s="3278">
        <f>COUNTIF(Y117:Y142,"3º")</f>
        <v>2</v>
      </c>
      <c r="P143" s="3278">
        <f>COUNTIF(Y117:Y142,"4º")</f>
        <v>1</v>
      </c>
      <c r="Q143" s="3278">
        <f>COUNTIF(Y117:Y142,"5º")</f>
        <v>2</v>
      </c>
      <c r="R143" s="3278">
        <f>COUNTIF(Y117:Y142,"6º")</f>
        <v>2</v>
      </c>
      <c r="S143" s="2968">
        <f>SUM(M143:R143)</f>
        <v>10</v>
      </c>
      <c r="T143" s="3273">
        <f>COUNTA(T117:T142)</f>
        <v>6</v>
      </c>
      <c r="U143" s="2968">
        <f>COUNTIF(U117:V142,"10")</f>
        <v>13</v>
      </c>
      <c r="V143" s="2969">
        <f>COUNTIF(U117:V142,"20")</f>
        <v>1</v>
      </c>
      <c r="W143" s="5409" t="s">
        <v>1232</v>
      </c>
      <c r="X143" s="5409"/>
      <c r="Y143" s="5409"/>
      <c r="Z143" s="3286">
        <f>COUNTA(Z117:Z142)</f>
        <v>10</v>
      </c>
      <c r="AA143" s="5396">
        <f>SUM(AA117:AB142)</f>
        <v>263</v>
      </c>
      <c r="AB143" s="5396"/>
      <c r="AC143" s="2687">
        <f t="shared" ref="AC143:AJ143" si="28">SUM(AC117:AC142)</f>
        <v>137</v>
      </c>
      <c r="AD143" s="2688">
        <f t="shared" si="28"/>
        <v>137</v>
      </c>
      <c r="AE143" s="2630">
        <f t="shared" si="28"/>
        <v>10</v>
      </c>
      <c r="AF143" s="2631">
        <f t="shared" si="28"/>
        <v>16</v>
      </c>
      <c r="AG143" s="2632">
        <f t="shared" si="28"/>
        <v>21</v>
      </c>
      <c r="AH143" s="2633">
        <f t="shared" si="28"/>
        <v>16</v>
      </c>
      <c r="AI143" s="2634">
        <f t="shared" si="28"/>
        <v>0</v>
      </c>
      <c r="AJ143" s="2635">
        <f t="shared" si="28"/>
        <v>0</v>
      </c>
      <c r="AK143" s="317">
        <f t="shared" si="15"/>
        <v>274</v>
      </c>
      <c r="AL143" s="3461" t="e">
        <f>SUM(AL117:AL142)/AL144</f>
        <v>#DIV/0!</v>
      </c>
      <c r="AM143" s="3465">
        <f t="shared" ref="AM143" si="29">SUM(AM117:AM142)/AM144</f>
        <v>6.1899999999999995</v>
      </c>
      <c r="AN143" s="3460" t="e">
        <f t="shared" ref="AN143" si="30">SUM(AN117:AN142)/AN144</f>
        <v>#DIV/0!</v>
      </c>
      <c r="AO143" s="3460" t="e">
        <f t="shared" ref="AO143" si="31">SUM(AO117:AO142)/AO144</f>
        <v>#DIV/0!</v>
      </c>
      <c r="AP143" s="3460" t="e">
        <f t="shared" ref="AP143" si="32">SUM(AP117:AP142)/AP144</f>
        <v>#DIV/0!</v>
      </c>
      <c r="AQ143" s="3460" t="e">
        <f>SUM(AQ117:AQ142)/AQ144</f>
        <v>#DIV/0!</v>
      </c>
      <c r="AR143" s="3461" t="e">
        <f t="shared" si="26"/>
        <v>#DIV/0!</v>
      </c>
      <c r="AS143" s="3459">
        <f t="shared" si="25"/>
        <v>5</v>
      </c>
    </row>
    <row r="144" spans="1:45" s="1446" customFormat="1" ht="27.95" customHeight="1">
      <c r="A144" s="3690" t="s">
        <v>228</v>
      </c>
      <c r="B144" s="3691">
        <f>SUM(Estadisticas!AM27:AN27)</f>
        <v>5</v>
      </c>
      <c r="C144" s="3691">
        <f>SUM(Estadisticas!AO27:AP27)</f>
        <v>7</v>
      </c>
      <c r="D144" s="3691">
        <f>SUM(Estadisticas!AQ27:AR27)</f>
        <v>6</v>
      </c>
      <c r="E144" s="3691">
        <f>SUM(Estadisticas!AS27:AT27)</f>
        <v>3</v>
      </c>
      <c r="F144" s="3691">
        <f>SUM(Estadisticas!AU27:AV27)</f>
        <v>3</v>
      </c>
      <c r="G144" s="3691">
        <f>SUM(Estadisticas!AW27:AX27)</f>
        <v>2</v>
      </c>
      <c r="H144" s="5412">
        <f>SUM(B144:G144)</f>
        <v>26</v>
      </c>
      <c r="I144" s="5412"/>
      <c r="J144" s="3711"/>
      <c r="K144" s="3711"/>
      <c r="L144" s="3692" t="s">
        <v>1126</v>
      </c>
      <c r="M144" s="3690">
        <f>SUM(AK118:AK119)</f>
        <v>62</v>
      </c>
      <c r="N144" s="3690">
        <f>SUM(AK120:AK121)</f>
        <v>60</v>
      </c>
      <c r="O144" s="3690">
        <f>SUM(AK122)</f>
        <v>24</v>
      </c>
      <c r="P144" s="3690">
        <f>SUM(AK123:AK124)</f>
        <v>59</v>
      </c>
      <c r="Q144" s="3690">
        <f>SUM(AK125:AK126)</f>
        <v>47</v>
      </c>
      <c r="R144" s="3690">
        <f>SUM(AK127:AK128)</f>
        <v>22</v>
      </c>
      <c r="S144" s="3690">
        <f>SUM(M144:R144)</f>
        <v>274</v>
      </c>
      <c r="T144" s="3711">
        <f>'[1]0492K'!$V$23</f>
        <v>6</v>
      </c>
      <c r="U144" s="3711"/>
      <c r="V144" s="3711"/>
      <c r="W144" s="3711"/>
      <c r="X144" s="3711"/>
      <c r="Y144" s="2683">
        <f>COUNTA(Y117:Y142)</f>
        <v>10</v>
      </c>
      <c r="Z144" s="3711"/>
      <c r="AA144" s="5428">
        <f>'[1]0492K'!$X$35</f>
        <v>263</v>
      </c>
      <c r="AB144" s="5428"/>
      <c r="AC144" s="5334">
        <f>AC143+AD143</f>
        <v>274</v>
      </c>
      <c r="AD144" s="5334"/>
      <c r="AE144" s="5335">
        <f>AE143+AF143</f>
        <v>26</v>
      </c>
      <c r="AF144" s="5335"/>
      <c r="AG144" s="5335">
        <f>AG143+AH143</f>
        <v>37</v>
      </c>
      <c r="AH144" s="5335"/>
      <c r="AI144" s="2636"/>
      <c r="AJ144" s="2636"/>
      <c r="AK144" s="2636">
        <f>SUM(AC144:AD144)</f>
        <v>274</v>
      </c>
      <c r="AL144" s="3462">
        <f>COUNTA(AL117:AL142)</f>
        <v>0</v>
      </c>
      <c r="AM144" s="3462">
        <f t="shared" ref="AM144:AQ144" si="33">COUNTA(AM117:AM142)</f>
        <v>10</v>
      </c>
      <c r="AN144" s="3462">
        <f t="shared" si="33"/>
        <v>0</v>
      </c>
      <c r="AO144" s="3462">
        <f t="shared" si="33"/>
        <v>0</v>
      </c>
      <c r="AP144" s="3462">
        <f t="shared" si="33"/>
        <v>0</v>
      </c>
      <c r="AQ144" s="3462">
        <f t="shared" si="33"/>
        <v>0</v>
      </c>
      <c r="AR144" s="3462">
        <v>12</v>
      </c>
    </row>
    <row r="145" spans="1:45" s="1446" customFormat="1" ht="27.95" customHeight="1">
      <c r="A145" s="3695" t="s">
        <v>230</v>
      </c>
      <c r="B145" s="3695">
        <f>SUM(Estadisticas!AY27:AZ27)</f>
        <v>3</v>
      </c>
      <c r="C145" s="3695">
        <f>SUM(Estadisticas!BA27:BB27)</f>
        <v>14</v>
      </c>
      <c r="D145" s="3695">
        <f>SUM(Estadisticas!BC27:BD27)</f>
        <v>8</v>
      </c>
      <c r="E145" s="3695">
        <f>SUM(Estadisticas!BE27:BF27)</f>
        <v>2</v>
      </c>
      <c r="F145" s="3695">
        <f>SUM(Estadisticas!BG27:BH27)</f>
        <v>5</v>
      </c>
      <c r="G145" s="3695">
        <f>SUM(Estadisticas!BI27:BJ27)</f>
        <v>5</v>
      </c>
      <c r="H145" s="5413">
        <f>SUM(B145:G145)</f>
        <v>37</v>
      </c>
      <c r="I145" s="5413"/>
      <c r="J145" s="3711"/>
      <c r="K145" s="3711"/>
      <c r="L145" s="3696" t="s">
        <v>423</v>
      </c>
      <c r="M145" s="3695">
        <f>SUM(AE118:AF119)</f>
        <v>10</v>
      </c>
      <c r="N145" s="3695">
        <f>SUM(AE120:AF121)</f>
        <v>4</v>
      </c>
      <c r="O145" s="3695">
        <f>SUM(AE122:AF122)</f>
        <v>4</v>
      </c>
      <c r="P145" s="3695">
        <f>SUM(AE123:AF124)</f>
        <v>5</v>
      </c>
      <c r="Q145" s="3695">
        <f>SUM(AE125:AF126)</f>
        <v>1</v>
      </c>
      <c r="R145" s="3695">
        <f>SUM(AE127:AF128)</f>
        <v>2</v>
      </c>
      <c r="S145" s="3695">
        <f t="shared" ref="S145:S146" si="34">SUM(M145:R145)</f>
        <v>26</v>
      </c>
      <c r="T145" s="2618"/>
      <c r="U145" s="3711" t="str">
        <f>U65</f>
        <v>PRE</v>
      </c>
      <c r="V145" s="3712">
        <f>'[1]0492K'!$F$39</f>
        <v>1</v>
      </c>
      <c r="W145" s="3712">
        <f>'[1]0492K'!$I$39</f>
        <v>2</v>
      </c>
      <c r="X145" s="3712">
        <f>'[1]0492K'!$L$39</f>
        <v>2</v>
      </c>
      <c r="Y145" s="3712">
        <f>'[1]0492K'!$O$39</f>
        <v>1</v>
      </c>
      <c r="Z145" s="3712">
        <f>'[1]0492K'!$R$39</f>
        <v>2</v>
      </c>
      <c r="AA145" s="3712">
        <f>'[1]0492K'!$U$39</f>
        <v>2</v>
      </c>
      <c r="AB145" s="3712">
        <f>SUM(V145:AA145)</f>
        <v>10</v>
      </c>
      <c r="AC145" s="2683"/>
      <c r="AD145" s="3238"/>
      <c r="AE145" s="2620"/>
      <c r="AF145" s="2621"/>
      <c r="AG145" s="2620"/>
      <c r="AH145" s="2621"/>
      <c r="AK145" s="2636"/>
      <c r="AL145" s="3448"/>
      <c r="AM145" s="3448"/>
      <c r="AN145" s="3448"/>
      <c r="AO145" s="3448"/>
      <c r="AP145" s="3448"/>
      <c r="AQ145" s="3448"/>
      <c r="AR145" s="3448"/>
    </row>
    <row r="146" spans="1:45" s="1441" customFormat="1" ht="27.95" customHeight="1">
      <c r="A146" s="3698" t="s">
        <v>478</v>
      </c>
      <c r="B146" s="3698">
        <f>SUM(Estadisticas!BK27:BL27)</f>
        <v>0</v>
      </c>
      <c r="C146" s="3698">
        <f>SUM(Estadisticas!BM27:BN27)</f>
        <v>0</v>
      </c>
      <c r="D146" s="3698">
        <f>SUM(Estadisticas!BO27:BP27)</f>
        <v>0</v>
      </c>
      <c r="E146" s="3698">
        <f>SUM(Estadisticas!BQ27:BR27)</f>
        <v>0</v>
      </c>
      <c r="F146" s="3698">
        <f>SUM(Estadisticas!BS27:BT27)</f>
        <v>0</v>
      </c>
      <c r="G146" s="3698">
        <f>SUM(Estadisticas!BU27:BV27)</f>
        <v>0</v>
      </c>
      <c r="H146" s="5414">
        <f>SUM(B146:G146)</f>
        <v>0</v>
      </c>
      <c r="I146" s="5414"/>
      <c r="J146" s="3713"/>
      <c r="K146" s="3714"/>
      <c r="L146" s="3701" t="s">
        <v>434</v>
      </c>
      <c r="M146" s="3702">
        <f>SUM(AG118:AH119)</f>
        <v>13</v>
      </c>
      <c r="N146" s="3702">
        <f>SUM(AG120:AH121)</f>
        <v>6</v>
      </c>
      <c r="O146" s="3702">
        <f>SUM(AG122:AH122)</f>
        <v>6</v>
      </c>
      <c r="P146" s="3702">
        <f>SUM(AG123:AH124)</f>
        <v>6</v>
      </c>
      <c r="Q146" s="3702">
        <f>SUM(AG125:AH126)</f>
        <v>3</v>
      </c>
      <c r="R146" s="3702">
        <f>SUM(AG127:AH128)</f>
        <v>3</v>
      </c>
      <c r="S146" s="3702">
        <f t="shared" si="34"/>
        <v>37</v>
      </c>
      <c r="T146" s="3713"/>
      <c r="U146" s="3712">
        <f>'[1]0492K'!$O$26</f>
        <v>0</v>
      </c>
      <c r="V146" s="3712">
        <f>'[1]0492K'!$F$35</f>
        <v>32</v>
      </c>
      <c r="W146" s="3712">
        <f>'[1]0492K'!$I$35</f>
        <v>58</v>
      </c>
      <c r="X146" s="3712">
        <f>'[1]0492K'!$L$35</f>
        <v>49</v>
      </c>
      <c r="Y146" s="3712">
        <f>'[1]0492K'!$O$35</f>
        <v>35</v>
      </c>
      <c r="Z146" s="3712">
        <f>'[1]0492K'!$R$35</f>
        <v>46</v>
      </c>
      <c r="AA146" s="3712">
        <f>'[1]0492K'!$U$35</f>
        <v>43</v>
      </c>
      <c r="AB146" s="3712">
        <f>SUM(V146:AA146)</f>
        <v>263</v>
      </c>
      <c r="AC146" s="2683"/>
      <c r="AD146" s="3238"/>
      <c r="AE146" s="2620"/>
      <c r="AF146" s="2621"/>
      <c r="AG146" s="2620"/>
      <c r="AH146" s="2621"/>
      <c r="AI146" s="1444"/>
      <c r="AJ146" s="1444"/>
      <c r="AK146" s="2636"/>
      <c r="AL146" s="3445"/>
      <c r="AM146" s="3445"/>
      <c r="AN146" s="3445"/>
      <c r="AO146" s="3445"/>
      <c r="AP146" s="3445"/>
      <c r="AQ146" s="3445"/>
      <c r="AR146" s="3445"/>
      <c r="AS146" s="108"/>
    </row>
    <row r="147" spans="1:45" s="1448" customFormat="1" ht="27.95" customHeight="1">
      <c r="A147" s="175"/>
      <c r="B147" s="1427"/>
      <c r="C147" s="173"/>
      <c r="D147" s="3262" t="s">
        <v>1193</v>
      </c>
      <c r="E147" s="5388" t="str">
        <f>B117</f>
        <v>CARDEÑA BENITEZ * LIDIA ESMERALDA</v>
      </c>
      <c r="F147" s="5388"/>
      <c r="G147" s="5388"/>
      <c r="H147" s="5388"/>
      <c r="I147" s="5388"/>
      <c r="J147" s="5388"/>
      <c r="K147" s="1603"/>
      <c r="L147" s="1428"/>
      <c r="M147" s="3262" t="s">
        <v>1234</v>
      </c>
      <c r="N147" s="5388" t="str">
        <f>N107</f>
        <v>RICALDE CASTRO JESUS MARTIN</v>
      </c>
      <c r="O147" s="5388"/>
      <c r="P147" s="5388"/>
      <c r="Q147" s="5388"/>
      <c r="R147" s="5388"/>
      <c r="S147" s="5388"/>
      <c r="T147" s="1603"/>
      <c r="U147" s="1603"/>
      <c r="V147" s="3262" t="s">
        <v>1195</v>
      </c>
      <c r="W147" s="5388" t="str">
        <f>W107</f>
        <v xml:space="preserve">ANCONA FLORES AURA EUGENIA </v>
      </c>
      <c r="X147" s="5388"/>
      <c r="Y147" s="5388"/>
      <c r="Z147" s="5388"/>
      <c r="AA147" s="5388"/>
      <c r="AB147" s="5388"/>
      <c r="AC147" s="2683"/>
      <c r="AD147" s="3238"/>
      <c r="AE147" s="2620"/>
      <c r="AF147" s="2621"/>
      <c r="AG147" s="2620"/>
      <c r="AH147" s="2621"/>
      <c r="AI147" s="2624"/>
      <c r="AJ147" s="2624"/>
      <c r="AK147" s="2636"/>
      <c r="AL147" s="3449"/>
      <c r="AM147" s="3449"/>
      <c r="AN147" s="3449"/>
      <c r="AO147" s="3449"/>
      <c r="AP147" s="3449"/>
      <c r="AQ147" s="3449"/>
      <c r="AR147" s="3449"/>
      <c r="AS147" s="3450"/>
    </row>
    <row r="148" spans="1:45" s="1430" customFormat="1" ht="27.95" customHeight="1">
      <c r="A148" s="1670"/>
      <c r="B148" s="1401"/>
      <c r="C148" s="1401"/>
      <c r="D148" s="1401"/>
      <c r="E148" s="1401"/>
      <c r="F148" s="1402"/>
      <c r="G148" s="1402"/>
      <c r="H148" s="1402"/>
      <c r="I148" s="1402"/>
      <c r="J148" s="1402"/>
      <c r="K148" s="27"/>
      <c r="M148" s="1431" t="s">
        <v>196</v>
      </c>
      <c r="N148" s="1402"/>
      <c r="O148" s="1402"/>
      <c r="P148" s="1402"/>
      <c r="Q148" s="1402"/>
      <c r="R148" s="1402"/>
      <c r="S148" s="1402"/>
      <c r="T148" s="1401"/>
      <c r="V148" s="3263"/>
      <c r="W148" s="1432" t="s">
        <v>764</v>
      </c>
      <c r="X148" s="5221" t="s">
        <v>247</v>
      </c>
      <c r="Y148" s="5221"/>
      <c r="Z148" s="5221"/>
      <c r="AA148" s="5221"/>
      <c r="AB148" s="1644"/>
      <c r="AC148" s="2683"/>
      <c r="AD148" s="3238"/>
      <c r="AE148" s="2637"/>
      <c r="AF148" s="2638"/>
      <c r="AG148" s="2637"/>
      <c r="AH148" s="2638"/>
      <c r="AI148" s="1449"/>
      <c r="AJ148" s="1449"/>
      <c r="AK148" s="2636"/>
      <c r="AL148" s="3451"/>
      <c r="AM148" s="3451"/>
      <c r="AN148" s="3451"/>
      <c r="AO148" s="3451"/>
      <c r="AP148" s="3451"/>
      <c r="AQ148" s="3451"/>
      <c r="AR148" s="3451"/>
      <c r="AS148" s="3452"/>
    </row>
    <row r="149" spans="1:45" ht="27.95" customHeight="1">
      <c r="A149" s="1663"/>
      <c r="B149" s="1406"/>
      <c r="C149" s="1406"/>
      <c r="D149" s="1406"/>
      <c r="E149" s="1406"/>
      <c r="F149" s="1407"/>
      <c r="G149" s="1407"/>
      <c r="H149" s="1407"/>
      <c r="I149" s="1407"/>
      <c r="J149" s="1407"/>
      <c r="K149" s="1407"/>
      <c r="L149" s="1407"/>
      <c r="M149" s="3260" t="s">
        <v>1148</v>
      </c>
      <c r="N149" s="1407"/>
      <c r="O149" s="1407"/>
      <c r="P149" s="1407"/>
      <c r="Q149" s="1407"/>
      <c r="R149" s="1407"/>
      <c r="S149" s="1407"/>
      <c r="T149" s="1408"/>
      <c r="U149" s="1408"/>
      <c r="V149" s="3263"/>
      <c r="W149" s="1432" t="s">
        <v>1149</v>
      </c>
      <c r="X149" s="5221" t="str">
        <f>X109</f>
        <v>2012 / 2013</v>
      </c>
      <c r="Y149" s="5221"/>
      <c r="Z149" s="5221"/>
      <c r="AA149" s="5221"/>
      <c r="AB149" s="1417"/>
      <c r="AC149" s="2683"/>
      <c r="AD149" s="3238"/>
      <c r="AE149" s="2620"/>
      <c r="AF149" s="2621"/>
      <c r="AG149" s="2620"/>
      <c r="AH149" s="2621"/>
      <c r="AK149" s="2636"/>
      <c r="AR149" s="3445"/>
    </row>
    <row r="150" spans="1:45" ht="27.95" customHeight="1">
      <c r="A150" s="1663"/>
      <c r="B150" s="1410"/>
      <c r="C150" s="1410"/>
      <c r="D150" s="1410"/>
      <c r="E150" s="1410"/>
      <c r="F150" s="1407"/>
      <c r="G150" s="1407"/>
      <c r="H150" s="1407"/>
      <c r="I150" s="1407"/>
      <c r="J150" s="1407" t="s">
        <v>2328</v>
      </c>
      <c r="K150" s="1407"/>
      <c r="M150" s="3260" t="s">
        <v>1150</v>
      </c>
      <c r="N150" s="1407"/>
      <c r="O150" s="1407"/>
      <c r="P150" s="1407"/>
      <c r="Q150" s="1407"/>
      <c r="R150" s="1407"/>
      <c r="S150" s="1407"/>
      <c r="T150" s="1433"/>
      <c r="U150" s="1433"/>
      <c r="V150" s="1434"/>
      <c r="W150" s="3281" t="s">
        <v>42</v>
      </c>
      <c r="X150" s="5391" t="str">
        <f>X110</f>
        <v>042</v>
      </c>
      <c r="Y150" s="5391"/>
      <c r="Z150" s="5391"/>
      <c r="AA150" s="5391"/>
      <c r="AB150" s="1417"/>
      <c r="AC150" s="2683"/>
      <c r="AD150" s="3238"/>
      <c r="AE150" s="2620"/>
      <c r="AF150" s="2621"/>
      <c r="AG150" s="2620"/>
      <c r="AH150" s="2621"/>
      <c r="AK150" s="2636"/>
      <c r="AR150" s="3445"/>
    </row>
    <row r="151" spans="1:45" ht="27.95" customHeight="1">
      <c r="A151" s="1663"/>
      <c r="B151" s="1410"/>
      <c r="C151" s="1410"/>
      <c r="D151" s="1410"/>
      <c r="E151" s="1410"/>
      <c r="F151" s="1406"/>
      <c r="H151" s="1413"/>
      <c r="I151" s="1413"/>
      <c r="J151" s="1414"/>
      <c r="K151" s="1414"/>
      <c r="L151" s="1415" t="s">
        <v>1197</v>
      </c>
      <c r="M151" s="1415">
        <f>M111</f>
        <v>8</v>
      </c>
      <c r="N151" s="3271" t="s">
        <v>1152</v>
      </c>
      <c r="O151" s="5371" t="str">
        <f>O111</f>
        <v>AGOSTO</v>
      </c>
      <c r="P151" s="5371"/>
      <c r="Q151" s="1435" t="s">
        <v>1152</v>
      </c>
      <c r="R151" s="5371">
        <f>R111</f>
        <v>2012</v>
      </c>
      <c r="S151" s="5371"/>
      <c r="T151" s="1406"/>
      <c r="U151" s="5372" t="s">
        <v>246</v>
      </c>
      <c r="V151" s="5372"/>
      <c r="W151" s="5372"/>
      <c r="X151" s="5372"/>
      <c r="Y151" s="1436" t="s">
        <v>245</v>
      </c>
      <c r="Z151" s="1437"/>
      <c r="AA151" s="1437"/>
      <c r="AB151" s="1417"/>
      <c r="AC151" s="2683"/>
      <c r="AD151" s="3238"/>
      <c r="AE151" s="2620"/>
      <c r="AF151" s="2621"/>
      <c r="AG151" s="2620"/>
      <c r="AH151" s="2621"/>
      <c r="AK151" s="2636"/>
      <c r="AR151" s="3445"/>
    </row>
    <row r="152" spans="1:45" ht="27.95" customHeight="1">
      <c r="A152" s="5356" t="s">
        <v>1153</v>
      </c>
      <c r="B152" s="5356"/>
      <c r="C152" s="5356"/>
      <c r="D152" s="5389" t="s">
        <v>2314</v>
      </c>
      <c r="E152" s="5389"/>
      <c r="F152" s="5389"/>
      <c r="G152" s="5389"/>
      <c r="H152" s="5389"/>
      <c r="I152" s="5389"/>
      <c r="J152" s="5389"/>
      <c r="K152" s="5389"/>
      <c r="L152" s="3281" t="s">
        <v>19</v>
      </c>
      <c r="M152" s="5370" t="s">
        <v>1277</v>
      </c>
      <c r="N152" s="5370"/>
      <c r="O152" s="5390" t="s">
        <v>13</v>
      </c>
      <c r="P152" s="5390"/>
      <c r="Q152" s="5370" t="s">
        <v>69</v>
      </c>
      <c r="R152" s="5370"/>
      <c r="S152" s="5370"/>
      <c r="T152" s="174"/>
      <c r="U152" s="1418" t="s">
        <v>1157</v>
      </c>
      <c r="V152" s="5221" t="str">
        <f>V112</f>
        <v>2  BENITO JUAREZ</v>
      </c>
      <c r="W152" s="5221"/>
      <c r="X152" s="5221"/>
      <c r="Y152" s="5221"/>
      <c r="Z152" s="5221"/>
      <c r="AA152" s="5221"/>
      <c r="AB152" s="5221"/>
      <c r="AC152" s="2683"/>
      <c r="AD152" s="3238"/>
      <c r="AE152" s="2620"/>
      <c r="AF152" s="2621"/>
      <c r="AG152" s="2620"/>
      <c r="AH152" s="2621"/>
      <c r="AK152" s="2636"/>
      <c r="AR152" s="3445"/>
    </row>
    <row r="153" spans="1:45" s="1439" customFormat="1" ht="27.95" customHeight="1">
      <c r="A153" s="5356" t="s">
        <v>437</v>
      </c>
      <c r="B153" s="5356"/>
      <c r="C153" s="5389" t="s">
        <v>2328</v>
      </c>
      <c r="D153" s="5389"/>
      <c r="E153" s="5389"/>
      <c r="F153" s="5389"/>
      <c r="G153" s="5389"/>
      <c r="H153" s="5389"/>
      <c r="I153" s="5389"/>
      <c r="J153" s="5389"/>
      <c r="K153" s="5389"/>
      <c r="L153" s="5389"/>
      <c r="M153" s="5389"/>
      <c r="N153" s="1419"/>
      <c r="O153" s="3281" t="s">
        <v>863</v>
      </c>
      <c r="P153" s="5370" t="str">
        <f>'[1]0564N'!$I$8</f>
        <v>9988-43-76-43</v>
      </c>
      <c r="Q153" s="5370"/>
      <c r="R153" s="5370"/>
      <c r="S153" s="5370"/>
      <c r="T153" s="5370"/>
      <c r="U153" s="1420"/>
      <c r="V153" s="3281"/>
      <c r="W153" s="3281" t="s">
        <v>1159</v>
      </c>
      <c r="X153" s="5358" t="str">
        <f>X113</f>
        <v>8  DE  AGOSTO  DE  2012</v>
      </c>
      <c r="Y153" s="5358"/>
      <c r="Z153" s="5358"/>
      <c r="AA153" s="5358"/>
      <c r="AB153" s="5358"/>
      <c r="AC153" s="5331" t="str">
        <f>D152</f>
        <v>DERECHOS DEL NIÑO</v>
      </c>
      <c r="AD153" s="5331"/>
      <c r="AE153" s="5331"/>
      <c r="AF153" s="5331"/>
      <c r="AG153" s="5331"/>
      <c r="AH153" s="5331"/>
      <c r="AI153" s="5332" t="str">
        <f>M152</f>
        <v>23DPR0564N</v>
      </c>
      <c r="AJ153" s="5332"/>
      <c r="AK153" s="5332"/>
      <c r="AL153" s="3446"/>
      <c r="AM153" s="3446"/>
      <c r="AN153" s="3446"/>
      <c r="AO153" s="3446"/>
      <c r="AP153" s="3446"/>
      <c r="AQ153" s="3446"/>
      <c r="AR153" s="3446"/>
      <c r="AS153" s="2166"/>
    </row>
    <row r="154" spans="1:45" s="1441" customFormat="1" ht="9.9499999999999993" customHeight="1">
      <c r="A154" s="1421"/>
      <c r="B154" s="1422"/>
      <c r="C154" s="1422"/>
      <c r="D154" s="3261"/>
      <c r="E154" s="3261"/>
      <c r="F154" s="3261"/>
      <c r="G154" s="3261"/>
      <c r="H154" s="3261"/>
      <c r="I154" s="3261"/>
      <c r="J154" s="3261"/>
      <c r="K154" s="3261"/>
      <c r="L154" s="3261"/>
      <c r="M154" s="1421"/>
      <c r="N154" s="1423"/>
      <c r="O154" s="1423"/>
      <c r="P154" s="1423"/>
      <c r="Q154" s="1424"/>
      <c r="R154" s="1423"/>
      <c r="S154" s="1423"/>
      <c r="T154" s="1422"/>
      <c r="U154" s="1422"/>
      <c r="V154" s="3261"/>
      <c r="W154" s="3261"/>
      <c r="X154" s="3261"/>
      <c r="Y154" s="3261"/>
      <c r="Z154" s="1422"/>
      <c r="AA154" s="1422"/>
      <c r="AB154" s="1422"/>
      <c r="AC154" s="2689"/>
      <c r="AD154" s="2690"/>
      <c r="AE154" s="2639"/>
      <c r="AF154" s="2640"/>
      <c r="AG154" s="2639"/>
      <c r="AH154" s="2640"/>
      <c r="AI154" s="1444"/>
      <c r="AJ154" s="1444"/>
      <c r="AK154" s="2636"/>
      <c r="AL154" s="3445"/>
      <c r="AM154" s="3445"/>
      <c r="AN154" s="3445"/>
      <c r="AO154" s="3445"/>
      <c r="AP154" s="3445"/>
      <c r="AQ154" s="3445"/>
      <c r="AR154" s="3445"/>
      <c r="AS154" s="108"/>
    </row>
    <row r="155" spans="1:45" s="1442" customFormat="1" ht="27.95" customHeight="1">
      <c r="A155" s="5415" t="s">
        <v>1160</v>
      </c>
      <c r="B155" s="5416" t="s">
        <v>1235</v>
      </c>
      <c r="C155" s="5416"/>
      <c r="D155" s="5416"/>
      <c r="E155" s="5416"/>
      <c r="F155" s="5416"/>
      <c r="G155" s="5416"/>
      <c r="H155" s="5417" t="s">
        <v>1161</v>
      </c>
      <c r="I155" s="5417"/>
      <c r="J155" s="5417" t="s">
        <v>212</v>
      </c>
      <c r="K155" s="5417" t="s">
        <v>1162</v>
      </c>
      <c r="L155" s="5417" t="s">
        <v>1163</v>
      </c>
      <c r="M155" s="5417"/>
      <c r="N155" s="5417" t="s">
        <v>1164</v>
      </c>
      <c r="O155" s="5417"/>
      <c r="P155" s="5417" t="s">
        <v>1165</v>
      </c>
      <c r="Q155" s="5417"/>
      <c r="R155" s="5417" t="s">
        <v>1166</v>
      </c>
      <c r="S155" s="5417"/>
      <c r="T155" s="5417" t="s">
        <v>1167</v>
      </c>
      <c r="U155" s="5417" t="s">
        <v>1168</v>
      </c>
      <c r="V155" s="5417"/>
      <c r="W155" s="5417" t="s">
        <v>1169</v>
      </c>
      <c r="X155" s="5417"/>
      <c r="Y155" s="5417" t="s">
        <v>3</v>
      </c>
      <c r="Z155" s="5417" t="s">
        <v>4</v>
      </c>
      <c r="AA155" s="5417" t="s">
        <v>28</v>
      </c>
      <c r="AB155" s="5417"/>
      <c r="AC155" s="5340" t="str">
        <f>AC115</f>
        <v>INICIAL</v>
      </c>
      <c r="AD155" s="5340"/>
      <c r="AE155" s="5344" t="str">
        <f>AE115</f>
        <v>ALTAS</v>
      </c>
      <c r="AF155" s="5345"/>
      <c r="AG155" s="5346" t="str">
        <f>AG115</f>
        <v>BAJAS</v>
      </c>
      <c r="AH155" s="5347"/>
      <c r="AI155" s="5333" t="str">
        <f>AI115</f>
        <v>REP</v>
      </c>
      <c r="AJ155" s="5333"/>
      <c r="AK155" s="2625" t="str">
        <f>AK115</f>
        <v>INI</v>
      </c>
      <c r="AL155" s="5328" t="s">
        <v>2509</v>
      </c>
      <c r="AM155" s="5329"/>
      <c r="AN155" s="5329"/>
      <c r="AO155" s="5329"/>
      <c r="AP155" s="5329"/>
      <c r="AQ155" s="5329"/>
      <c r="AR155" s="5330"/>
    </row>
    <row r="156" spans="1:45" s="1442" customFormat="1" ht="27.95" customHeight="1">
      <c r="A156" s="5424"/>
      <c r="B156" s="5425"/>
      <c r="C156" s="5425"/>
      <c r="D156" s="5425"/>
      <c r="E156" s="5425"/>
      <c r="F156" s="5425"/>
      <c r="G156" s="5425"/>
      <c r="H156" s="3270" t="s">
        <v>407</v>
      </c>
      <c r="I156" s="3270" t="s">
        <v>403</v>
      </c>
      <c r="J156" s="5426"/>
      <c r="K156" s="5426"/>
      <c r="L156" s="5426"/>
      <c r="M156" s="5426"/>
      <c r="N156" s="5426"/>
      <c r="O156" s="5426"/>
      <c r="P156" s="3270" t="s">
        <v>1170</v>
      </c>
      <c r="Q156" s="3270" t="s">
        <v>1171</v>
      </c>
      <c r="R156" s="3270" t="s">
        <v>1172</v>
      </c>
      <c r="S156" s="3270" t="s">
        <v>1173</v>
      </c>
      <c r="T156" s="5426"/>
      <c r="U156" s="5426"/>
      <c r="V156" s="5426"/>
      <c r="W156" s="5426"/>
      <c r="X156" s="5426"/>
      <c r="Y156" s="5426"/>
      <c r="Z156" s="5426"/>
      <c r="AA156" s="5426"/>
      <c r="AB156" s="5426"/>
      <c r="AC156" s="3295" t="str">
        <f>AC116</f>
        <v>H</v>
      </c>
      <c r="AD156" s="2686" t="str">
        <f>AD116</f>
        <v>M</v>
      </c>
      <c r="AE156" s="3295" t="str">
        <f t="shared" ref="AE156:AJ156" si="35">AE116</f>
        <v>H</v>
      </c>
      <c r="AF156" s="2686" t="str">
        <f t="shared" si="35"/>
        <v>M</v>
      </c>
      <c r="AG156" s="3295" t="str">
        <f t="shared" si="35"/>
        <v>H</v>
      </c>
      <c r="AH156" s="2686" t="str">
        <f t="shared" si="35"/>
        <v>M</v>
      </c>
      <c r="AI156" s="3295" t="str">
        <f t="shared" si="35"/>
        <v>H</v>
      </c>
      <c r="AJ156" s="2686" t="str">
        <f t="shared" si="35"/>
        <v>M</v>
      </c>
      <c r="AK156" s="2627" t="str">
        <f>AK116</f>
        <v>TTS</v>
      </c>
      <c r="AL156" s="3455" t="s">
        <v>393</v>
      </c>
      <c r="AM156" s="3463" t="s">
        <v>8</v>
      </c>
      <c r="AN156" s="3456" t="s">
        <v>347</v>
      </c>
      <c r="AO156" s="3456" t="s">
        <v>348</v>
      </c>
      <c r="AP156" s="3456" t="s">
        <v>2062</v>
      </c>
      <c r="AQ156" s="3457" t="s">
        <v>2081</v>
      </c>
      <c r="AR156" s="3456" t="s">
        <v>2510</v>
      </c>
    </row>
    <row r="157" spans="1:45" s="1443" customFormat="1" ht="27.95" customHeight="1">
      <c r="A157" s="3572">
        <v>1</v>
      </c>
      <c r="B157" s="3623" t="s">
        <v>2706</v>
      </c>
      <c r="C157" s="3626"/>
      <c r="D157" s="1437"/>
      <c r="E157" s="1437"/>
      <c r="F157" s="1437"/>
      <c r="G157" s="3610"/>
      <c r="H157" s="3734" t="s">
        <v>78</v>
      </c>
      <c r="I157" s="3572"/>
      <c r="J157" s="3397" t="s">
        <v>2707</v>
      </c>
      <c r="K157" s="3397" t="s">
        <v>2708</v>
      </c>
      <c r="L157" s="3679" t="s">
        <v>93</v>
      </c>
      <c r="M157" s="3680"/>
      <c r="N157" s="5430"/>
      <c r="O157" s="5398"/>
      <c r="P157" s="3572"/>
      <c r="Q157" s="3572"/>
      <c r="R157" s="3572"/>
      <c r="S157" s="3571" t="s">
        <v>2149</v>
      </c>
      <c r="T157" s="3611" t="s">
        <v>680</v>
      </c>
      <c r="U157" s="5398">
        <v>10</v>
      </c>
      <c r="V157" s="5398"/>
      <c r="W157" s="5431"/>
      <c r="X157" s="5431"/>
      <c r="Y157" s="3389"/>
      <c r="Z157" s="3389"/>
      <c r="AA157" s="5395">
        <f>AC157+AD157+AE157+AF157-AG157-AH157</f>
        <v>0</v>
      </c>
      <c r="AB157" s="5396"/>
      <c r="AC157" s="2682"/>
      <c r="AD157" s="3289"/>
      <c r="AE157" s="2628"/>
      <c r="AF157" s="2629"/>
      <c r="AG157" s="2628"/>
      <c r="AH157" s="2629"/>
      <c r="AI157" s="2628"/>
      <c r="AJ157" s="2629"/>
      <c r="AK157" s="2670">
        <f t="shared" si="15"/>
        <v>0</v>
      </c>
      <c r="AL157" s="3464"/>
      <c r="AM157" s="3448"/>
      <c r="AN157" s="3448"/>
      <c r="AO157" s="3448"/>
      <c r="AP157" s="3448"/>
      <c r="AQ157" s="3448"/>
      <c r="AR157" s="3458" t="e">
        <f t="shared" ref="AR157:AR170" si="36">SUM(AM157:AQ157)/AS157</f>
        <v>#DIV/0!</v>
      </c>
      <c r="AS157" s="3459">
        <f>COUNTA(AM157:AQ157)</f>
        <v>0</v>
      </c>
    </row>
    <row r="158" spans="1:45" s="1443" customFormat="1" ht="27.95" customHeight="1">
      <c r="A158" s="3573">
        <v>2</v>
      </c>
      <c r="B158" s="3624" t="s">
        <v>2643</v>
      </c>
      <c r="C158" s="3627"/>
      <c r="D158" s="1451"/>
      <c r="E158" s="1451"/>
      <c r="F158" s="1451"/>
      <c r="G158" s="1452"/>
      <c r="H158" s="3572"/>
      <c r="I158" s="3572" t="s">
        <v>78</v>
      </c>
      <c r="J158" s="3397" t="s">
        <v>2644</v>
      </c>
      <c r="K158" s="3397" t="s">
        <v>2645</v>
      </c>
      <c r="L158" s="3679" t="s">
        <v>390</v>
      </c>
      <c r="M158" s="3680"/>
      <c r="N158" s="5398"/>
      <c r="O158" s="5398"/>
      <c r="P158" s="3572"/>
      <c r="Q158" s="3572"/>
      <c r="R158" s="3572"/>
      <c r="S158" s="3571" t="s">
        <v>2646</v>
      </c>
      <c r="T158" s="3572"/>
      <c r="U158" s="5398">
        <v>10</v>
      </c>
      <c r="V158" s="5398"/>
      <c r="W158" s="5429"/>
      <c r="X158" s="5429"/>
      <c r="Y158" s="3389" t="s">
        <v>765</v>
      </c>
      <c r="Z158" s="3389" t="s">
        <v>228</v>
      </c>
      <c r="AA158" s="5410">
        <f>AC158+AD158+AE158+AF158-AG158-AH158</f>
        <v>31</v>
      </c>
      <c r="AB158" s="5411"/>
      <c r="AC158" s="2682">
        <v>15</v>
      </c>
      <c r="AD158" s="3289">
        <v>19</v>
      </c>
      <c r="AE158" s="2628">
        <v>1</v>
      </c>
      <c r="AF158" s="2629"/>
      <c r="AG158" s="2628"/>
      <c r="AH158" s="2629">
        <v>4</v>
      </c>
      <c r="AI158" s="2628"/>
      <c r="AJ158" s="2629"/>
      <c r="AK158" s="2671">
        <f t="shared" si="15"/>
        <v>34</v>
      </c>
      <c r="AL158" s="3464"/>
      <c r="AM158" s="3448">
        <v>6.2</v>
      </c>
      <c r="AN158" s="3448"/>
      <c r="AO158" s="3448"/>
      <c r="AP158" s="3448"/>
      <c r="AQ158" s="3448"/>
      <c r="AR158" s="3458">
        <f t="shared" si="36"/>
        <v>6.2</v>
      </c>
      <c r="AS158" s="3459">
        <f t="shared" ref="AS158:AS183" si="37">COUNTA(AM158:AQ158)</f>
        <v>1</v>
      </c>
    </row>
    <row r="159" spans="1:45" s="1443" customFormat="1" ht="27.95" customHeight="1">
      <c r="A159" s="3573">
        <v>3</v>
      </c>
      <c r="B159" s="3624" t="s">
        <v>2359</v>
      </c>
      <c r="C159" s="3627"/>
      <c r="D159" s="1451"/>
      <c r="E159" s="1451"/>
      <c r="F159" s="1451"/>
      <c r="G159" s="1452"/>
      <c r="H159" s="3572"/>
      <c r="I159" s="3572" t="s">
        <v>78</v>
      </c>
      <c r="J159" s="3397" t="s">
        <v>1288</v>
      </c>
      <c r="K159" s="3397" t="s">
        <v>1880</v>
      </c>
      <c r="L159" s="3679" t="s">
        <v>390</v>
      </c>
      <c r="M159" s="3680"/>
      <c r="N159" s="5430" t="s">
        <v>1289</v>
      </c>
      <c r="O159" s="5398"/>
      <c r="P159" s="3572"/>
      <c r="Q159" s="3572"/>
      <c r="R159" s="3572"/>
      <c r="S159" s="3571" t="s">
        <v>2647</v>
      </c>
      <c r="T159" s="3572" t="s">
        <v>688</v>
      </c>
      <c r="U159" s="5398">
        <v>10</v>
      </c>
      <c r="V159" s="5398"/>
      <c r="W159" s="5429"/>
      <c r="X159" s="5429"/>
      <c r="Y159" s="3389" t="s">
        <v>765</v>
      </c>
      <c r="Z159" s="3389" t="s">
        <v>230</v>
      </c>
      <c r="AA159" s="5410">
        <f t="shared" ref="AA159:AA182" si="38">AC159+AD159+AE159+AF159-AG159-AH159</f>
        <v>31</v>
      </c>
      <c r="AB159" s="5411"/>
      <c r="AC159" s="2682">
        <v>15</v>
      </c>
      <c r="AD159" s="3289">
        <v>18</v>
      </c>
      <c r="AE159" s="2628">
        <v>1</v>
      </c>
      <c r="AF159" s="2629">
        <v>1</v>
      </c>
      <c r="AG159" s="2628">
        <v>3</v>
      </c>
      <c r="AH159" s="2629">
        <v>1</v>
      </c>
      <c r="AI159" s="2628"/>
      <c r="AJ159" s="2629"/>
      <c r="AK159" s="2671">
        <f t="shared" si="15"/>
        <v>33</v>
      </c>
      <c r="AL159" s="3464"/>
      <c r="AM159" s="3448">
        <v>7</v>
      </c>
      <c r="AN159" s="3448"/>
      <c r="AO159" s="3448"/>
      <c r="AP159" s="3448"/>
      <c r="AQ159" s="3448"/>
      <c r="AR159" s="3458">
        <f t="shared" si="36"/>
        <v>7</v>
      </c>
      <c r="AS159" s="3459">
        <f t="shared" si="37"/>
        <v>1</v>
      </c>
    </row>
    <row r="160" spans="1:45" s="1443" customFormat="1" ht="27.95" customHeight="1">
      <c r="A160" s="3573">
        <v>4</v>
      </c>
      <c r="B160" s="3624" t="s">
        <v>2358</v>
      </c>
      <c r="C160" s="3627"/>
      <c r="D160" s="1451"/>
      <c r="E160" s="1451"/>
      <c r="F160" s="1451"/>
      <c r="G160" s="1452"/>
      <c r="H160" s="3572"/>
      <c r="I160" s="3572" t="s">
        <v>78</v>
      </c>
      <c r="J160" s="3397" t="s">
        <v>1290</v>
      </c>
      <c r="K160" s="3397" t="s">
        <v>1881</v>
      </c>
      <c r="L160" s="3679" t="s">
        <v>390</v>
      </c>
      <c r="M160" s="3680"/>
      <c r="N160" s="5398" t="s">
        <v>1253</v>
      </c>
      <c r="O160" s="5398"/>
      <c r="P160" s="3572"/>
      <c r="Q160" s="3572"/>
      <c r="R160" s="3572"/>
      <c r="S160" s="3571" t="s">
        <v>2648</v>
      </c>
      <c r="T160" s="3572"/>
      <c r="U160" s="5398">
        <v>10</v>
      </c>
      <c r="V160" s="5398"/>
      <c r="W160" s="5429"/>
      <c r="X160" s="5429"/>
      <c r="Y160" s="3389" t="s">
        <v>766</v>
      </c>
      <c r="Z160" s="3389" t="s">
        <v>228</v>
      </c>
      <c r="AA160" s="5410">
        <f t="shared" si="38"/>
        <v>35</v>
      </c>
      <c r="AB160" s="5411"/>
      <c r="AC160" s="2682">
        <v>18</v>
      </c>
      <c r="AD160" s="3289">
        <v>17</v>
      </c>
      <c r="AE160" s="2628">
        <v>1</v>
      </c>
      <c r="AF160" s="2629"/>
      <c r="AG160" s="2628">
        <v>1</v>
      </c>
      <c r="AH160" s="2629"/>
      <c r="AI160" s="2628"/>
      <c r="AJ160" s="2629"/>
      <c r="AK160" s="2671">
        <f t="shared" si="15"/>
        <v>35</v>
      </c>
      <c r="AL160" s="3464"/>
      <c r="AM160" s="3448">
        <v>6.6</v>
      </c>
      <c r="AN160" s="3448"/>
      <c r="AO160" s="3448"/>
      <c r="AP160" s="3448"/>
      <c r="AQ160" s="3448"/>
      <c r="AR160" s="3458">
        <f t="shared" si="36"/>
        <v>6.6</v>
      </c>
      <c r="AS160" s="3459">
        <f t="shared" si="37"/>
        <v>1</v>
      </c>
    </row>
    <row r="161" spans="1:45" s="1443" customFormat="1" ht="27.95" customHeight="1">
      <c r="A161" s="3573">
        <v>5</v>
      </c>
      <c r="B161" s="3624" t="s">
        <v>2360</v>
      </c>
      <c r="C161" s="3627"/>
      <c r="D161" s="1451"/>
      <c r="E161" s="1451"/>
      <c r="F161" s="1451"/>
      <c r="G161" s="1452"/>
      <c r="H161" s="3572"/>
      <c r="I161" s="3572" t="s">
        <v>78</v>
      </c>
      <c r="J161" s="3397" t="s">
        <v>1276</v>
      </c>
      <c r="K161" s="3397" t="s">
        <v>1882</v>
      </c>
      <c r="L161" s="3679" t="s">
        <v>390</v>
      </c>
      <c r="M161" s="3680"/>
      <c r="N161" s="5430" t="s">
        <v>1237</v>
      </c>
      <c r="O161" s="5398"/>
      <c r="P161" s="3572"/>
      <c r="Q161" s="3572"/>
      <c r="R161" s="3572"/>
      <c r="S161" s="3571" t="s">
        <v>2649</v>
      </c>
      <c r="T161" s="3572"/>
      <c r="U161" s="5398">
        <v>10</v>
      </c>
      <c r="V161" s="5398"/>
      <c r="W161" s="5429"/>
      <c r="X161" s="5429"/>
      <c r="Y161" s="3389" t="s">
        <v>766</v>
      </c>
      <c r="Z161" s="3389" t="s">
        <v>230</v>
      </c>
      <c r="AA161" s="5410">
        <f t="shared" si="38"/>
        <v>35</v>
      </c>
      <c r="AB161" s="5411"/>
      <c r="AC161" s="2682">
        <v>16</v>
      </c>
      <c r="AD161" s="3289">
        <v>18</v>
      </c>
      <c r="AE161" s="2628">
        <v>1</v>
      </c>
      <c r="AF161" s="2629">
        <v>2</v>
      </c>
      <c r="AG161" s="2628">
        <v>1</v>
      </c>
      <c r="AH161" s="2629">
        <v>1</v>
      </c>
      <c r="AI161" s="2628"/>
      <c r="AJ161" s="2629"/>
      <c r="AK161" s="2671">
        <f t="shared" si="15"/>
        <v>34</v>
      </c>
      <c r="AL161" s="3464"/>
      <c r="AM161" s="3448">
        <v>6.2</v>
      </c>
      <c r="AN161" s="3448"/>
      <c r="AO161" s="3448"/>
      <c r="AP161" s="3448"/>
      <c r="AQ161" s="3448"/>
      <c r="AR161" s="3458">
        <f t="shared" si="36"/>
        <v>6.2</v>
      </c>
      <c r="AS161" s="3459">
        <f t="shared" si="37"/>
        <v>1</v>
      </c>
    </row>
    <row r="162" spans="1:45" s="1443" customFormat="1" ht="27.95" customHeight="1">
      <c r="A162" s="3573">
        <v>6</v>
      </c>
      <c r="B162" s="3624" t="s">
        <v>2606</v>
      </c>
      <c r="C162" s="3627"/>
      <c r="D162" s="1451"/>
      <c r="E162" s="1451"/>
      <c r="F162" s="1451"/>
      <c r="G162" s="1452"/>
      <c r="H162" s="3572"/>
      <c r="I162" s="3572" t="s">
        <v>78</v>
      </c>
      <c r="J162" s="3397" t="s">
        <v>1363</v>
      </c>
      <c r="K162" s="3397" t="s">
        <v>1935</v>
      </c>
      <c r="L162" s="3679" t="s">
        <v>390</v>
      </c>
      <c r="M162" s="3680"/>
      <c r="N162" s="5430"/>
      <c r="O162" s="5398"/>
      <c r="P162" s="3572"/>
      <c r="Q162" s="3572"/>
      <c r="R162" s="3572"/>
      <c r="S162" s="3571" t="s">
        <v>2650</v>
      </c>
      <c r="T162" s="3572"/>
      <c r="U162" s="5398">
        <v>10</v>
      </c>
      <c r="V162" s="5398"/>
      <c r="W162" s="5429"/>
      <c r="X162" s="5429"/>
      <c r="Y162" s="3389" t="s">
        <v>767</v>
      </c>
      <c r="Z162" s="3389" t="s">
        <v>228</v>
      </c>
      <c r="AA162" s="5410">
        <f>AC162+AD162+AE162+AF162-AG162-AH162</f>
        <v>33</v>
      </c>
      <c r="AB162" s="5411"/>
      <c r="AC162" s="2682">
        <v>15</v>
      </c>
      <c r="AD162" s="3289">
        <v>19</v>
      </c>
      <c r="AE162" s="2628"/>
      <c r="AF162" s="2629"/>
      <c r="AG162" s="2628">
        <v>1</v>
      </c>
      <c r="AH162" s="2629"/>
      <c r="AI162" s="2628"/>
      <c r="AJ162" s="2629"/>
      <c r="AK162" s="2671">
        <f t="shared" si="15"/>
        <v>34</v>
      </c>
      <c r="AL162" s="3464"/>
      <c r="AM162" s="3448">
        <v>6</v>
      </c>
      <c r="AN162" s="3448"/>
      <c r="AO162" s="3448"/>
      <c r="AP162" s="3448"/>
      <c r="AQ162" s="3448"/>
      <c r="AR162" s="3458">
        <f t="shared" si="36"/>
        <v>6</v>
      </c>
      <c r="AS162" s="3459">
        <f t="shared" si="37"/>
        <v>1</v>
      </c>
    </row>
    <row r="163" spans="1:45" s="1443" customFormat="1" ht="27.95" customHeight="1">
      <c r="A163" s="3573">
        <v>7</v>
      </c>
      <c r="B163" s="3624" t="s">
        <v>2651</v>
      </c>
      <c r="C163" s="3627"/>
      <c r="D163" s="1451"/>
      <c r="E163" s="1451"/>
      <c r="F163" s="1451"/>
      <c r="G163" s="1452"/>
      <c r="H163" s="3572" t="s">
        <v>78</v>
      </c>
      <c r="I163" s="3572"/>
      <c r="J163" s="3397" t="s">
        <v>2652</v>
      </c>
      <c r="K163" s="3397" t="s">
        <v>2653</v>
      </c>
      <c r="L163" s="3679" t="s">
        <v>390</v>
      </c>
      <c r="M163" s="3680"/>
      <c r="N163" s="5430"/>
      <c r="O163" s="5398"/>
      <c r="P163" s="3572"/>
      <c r="Q163" s="3572"/>
      <c r="R163" s="3572"/>
      <c r="S163" s="3571" t="s">
        <v>2654</v>
      </c>
      <c r="T163" s="3572"/>
      <c r="U163" s="5398">
        <v>20</v>
      </c>
      <c r="V163" s="5398"/>
      <c r="W163" s="5432"/>
      <c r="X163" s="5432"/>
      <c r="Y163" s="3389" t="s">
        <v>767</v>
      </c>
      <c r="Z163" s="3389" t="s">
        <v>230</v>
      </c>
      <c r="AA163" s="5410">
        <f t="shared" si="38"/>
        <v>30</v>
      </c>
      <c r="AB163" s="5411"/>
      <c r="AC163" s="2682">
        <v>16</v>
      </c>
      <c r="AD163" s="3289">
        <v>17</v>
      </c>
      <c r="AE163" s="2628">
        <v>1</v>
      </c>
      <c r="AF163" s="2629"/>
      <c r="AG163" s="2628">
        <v>4</v>
      </c>
      <c r="AH163" s="2629"/>
      <c r="AI163" s="2628"/>
      <c r="AJ163" s="2629"/>
      <c r="AK163" s="2671">
        <f t="shared" si="15"/>
        <v>33</v>
      </c>
      <c r="AL163" s="3464"/>
      <c r="AM163" s="3448">
        <v>6.8</v>
      </c>
      <c r="AN163" s="3448"/>
      <c r="AO163" s="3448"/>
      <c r="AP163" s="3448"/>
      <c r="AQ163" s="3448"/>
      <c r="AR163" s="3458">
        <f t="shared" si="36"/>
        <v>6.8</v>
      </c>
      <c r="AS163" s="3459">
        <f t="shared" si="37"/>
        <v>1</v>
      </c>
    </row>
    <row r="164" spans="1:45" s="1443" customFormat="1" ht="27.95" customHeight="1">
      <c r="A164" s="3573">
        <v>8</v>
      </c>
      <c r="B164" s="3624" t="s">
        <v>2361</v>
      </c>
      <c r="C164" s="3627"/>
      <c r="D164" s="1451"/>
      <c r="E164" s="1451"/>
      <c r="F164" s="1451"/>
      <c r="G164" s="1452"/>
      <c r="H164" s="3572" t="s">
        <v>78</v>
      </c>
      <c r="I164" s="3572"/>
      <c r="J164" s="3397" t="s">
        <v>1293</v>
      </c>
      <c r="K164" s="3397" t="s">
        <v>1885</v>
      </c>
      <c r="L164" s="3679" t="s">
        <v>390</v>
      </c>
      <c r="M164" s="3680"/>
      <c r="N164" s="5430" t="s">
        <v>1294</v>
      </c>
      <c r="O164" s="5398"/>
      <c r="P164" s="3572"/>
      <c r="Q164" s="3572"/>
      <c r="R164" s="3572"/>
      <c r="S164" s="3571" t="s">
        <v>2655</v>
      </c>
      <c r="T164" s="3572"/>
      <c r="U164" s="5398">
        <v>10</v>
      </c>
      <c r="V164" s="5398"/>
      <c r="W164" s="5432"/>
      <c r="X164" s="5432"/>
      <c r="Y164" s="3389" t="s">
        <v>771</v>
      </c>
      <c r="Z164" s="3389" t="s">
        <v>228</v>
      </c>
      <c r="AA164" s="5410">
        <f t="shared" si="38"/>
        <v>28</v>
      </c>
      <c r="AB164" s="5411"/>
      <c r="AC164" s="2682">
        <v>17</v>
      </c>
      <c r="AD164" s="3289">
        <v>11</v>
      </c>
      <c r="AE164" s="2628">
        <v>2</v>
      </c>
      <c r="AF164" s="2629"/>
      <c r="AG164" s="2628">
        <v>1</v>
      </c>
      <c r="AH164" s="2629">
        <v>1</v>
      </c>
      <c r="AI164" s="2628"/>
      <c r="AJ164" s="2629"/>
      <c r="AK164" s="2671">
        <f t="shared" si="15"/>
        <v>28</v>
      </c>
      <c r="AL164" s="3464"/>
      <c r="AM164" s="3448">
        <v>7</v>
      </c>
      <c r="AN164" s="3448"/>
      <c r="AO164" s="3448"/>
      <c r="AP164" s="3448"/>
      <c r="AQ164" s="3448"/>
      <c r="AR164" s="3458">
        <f t="shared" si="36"/>
        <v>7</v>
      </c>
      <c r="AS164" s="3459">
        <f t="shared" si="37"/>
        <v>1</v>
      </c>
    </row>
    <row r="165" spans="1:45" s="1444" customFormat="1" ht="27.95" customHeight="1">
      <c r="A165" s="3573">
        <v>9</v>
      </c>
      <c r="B165" s="3624" t="s">
        <v>2349</v>
      </c>
      <c r="C165" s="3627"/>
      <c r="D165" s="1451"/>
      <c r="E165" s="1451"/>
      <c r="F165" s="1451"/>
      <c r="G165" s="1452"/>
      <c r="H165" s="3572" t="s">
        <v>78</v>
      </c>
      <c r="I165" s="3572"/>
      <c r="J165" s="3397" t="s">
        <v>1291</v>
      </c>
      <c r="K165" s="3397" t="s">
        <v>1883</v>
      </c>
      <c r="L165" s="3679" t="s">
        <v>390</v>
      </c>
      <c r="M165" s="3680"/>
      <c r="N165" s="5430" t="s">
        <v>1253</v>
      </c>
      <c r="O165" s="5398"/>
      <c r="P165" s="3572"/>
      <c r="Q165" s="3572"/>
      <c r="R165" s="3572"/>
      <c r="S165" s="3571" t="s">
        <v>2656</v>
      </c>
      <c r="T165" s="3572"/>
      <c r="U165" s="5398">
        <v>10</v>
      </c>
      <c r="V165" s="5398"/>
      <c r="W165" s="5429"/>
      <c r="X165" s="5429"/>
      <c r="Y165" s="3389" t="s">
        <v>771</v>
      </c>
      <c r="Z165" s="3389" t="s">
        <v>230</v>
      </c>
      <c r="AA165" s="5410">
        <f t="shared" si="38"/>
        <v>28</v>
      </c>
      <c r="AB165" s="5411"/>
      <c r="AC165" s="2682">
        <v>19</v>
      </c>
      <c r="AD165" s="3289">
        <v>10</v>
      </c>
      <c r="AE165" s="2628"/>
      <c r="AF165" s="2629"/>
      <c r="AG165" s="2628">
        <v>1</v>
      </c>
      <c r="AH165" s="2629"/>
      <c r="AI165" s="2628"/>
      <c r="AJ165" s="2629"/>
      <c r="AK165" s="2671">
        <f t="shared" si="15"/>
        <v>29</v>
      </c>
      <c r="AL165" s="3464"/>
      <c r="AM165" s="3448">
        <v>6.8</v>
      </c>
      <c r="AN165" s="3448"/>
      <c r="AO165" s="3448"/>
      <c r="AP165" s="3448"/>
      <c r="AQ165" s="3448"/>
      <c r="AR165" s="3458">
        <f t="shared" si="36"/>
        <v>6.8</v>
      </c>
      <c r="AS165" s="3459">
        <f t="shared" si="37"/>
        <v>1</v>
      </c>
    </row>
    <row r="166" spans="1:45" s="1444" customFormat="1" ht="27.95" customHeight="1">
      <c r="A166" s="3573">
        <v>10</v>
      </c>
      <c r="B166" s="3631" t="s">
        <v>2364</v>
      </c>
      <c r="C166" s="3632"/>
      <c r="D166" s="3612"/>
      <c r="E166" s="3612"/>
      <c r="F166" s="3612"/>
      <c r="G166" s="3613"/>
      <c r="H166" s="3614"/>
      <c r="I166" s="3614" t="s">
        <v>78</v>
      </c>
      <c r="J166" s="3615" t="s">
        <v>1297</v>
      </c>
      <c r="K166" s="3615" t="s">
        <v>1888</v>
      </c>
      <c r="L166" s="3679" t="s">
        <v>390</v>
      </c>
      <c r="M166" s="3680"/>
      <c r="N166" s="5433" t="s">
        <v>1253</v>
      </c>
      <c r="O166" s="5434"/>
      <c r="P166" s="3614"/>
      <c r="Q166" s="3614"/>
      <c r="R166" s="3614"/>
      <c r="S166" s="3616" t="s">
        <v>2657</v>
      </c>
      <c r="T166" s="3614" t="s">
        <v>680</v>
      </c>
      <c r="U166" s="5433">
        <v>10</v>
      </c>
      <c r="V166" s="5434"/>
      <c r="W166" s="5435"/>
      <c r="X166" s="5436"/>
      <c r="Y166" s="3389" t="s">
        <v>772</v>
      </c>
      <c r="Z166" s="3389" t="s">
        <v>228</v>
      </c>
      <c r="AA166" s="5410">
        <f t="shared" si="38"/>
        <v>23</v>
      </c>
      <c r="AB166" s="5411"/>
      <c r="AC166" s="2682">
        <v>11</v>
      </c>
      <c r="AD166" s="3289">
        <v>14</v>
      </c>
      <c r="AE166" s="2628"/>
      <c r="AF166" s="2629"/>
      <c r="AG166" s="2628">
        <v>1</v>
      </c>
      <c r="AH166" s="2629">
        <v>1</v>
      </c>
      <c r="AI166" s="2628"/>
      <c r="AJ166" s="2629"/>
      <c r="AK166" s="2671">
        <f t="shared" si="15"/>
        <v>25</v>
      </c>
      <c r="AL166" s="3464"/>
      <c r="AM166" s="3448">
        <v>6.5</v>
      </c>
      <c r="AN166" s="3448"/>
      <c r="AO166" s="3448"/>
      <c r="AP166" s="3448"/>
      <c r="AQ166" s="3448"/>
      <c r="AR166" s="3458">
        <f t="shared" si="36"/>
        <v>6.5</v>
      </c>
      <c r="AS166" s="3459">
        <f t="shared" si="37"/>
        <v>1</v>
      </c>
    </row>
    <row r="167" spans="1:45" s="1444" customFormat="1" ht="27.95" customHeight="1">
      <c r="A167" s="3573">
        <v>11</v>
      </c>
      <c r="B167" s="3624" t="s">
        <v>2353</v>
      </c>
      <c r="C167" s="3627"/>
      <c r="D167" s="1451"/>
      <c r="E167" s="1451"/>
      <c r="F167" s="1451"/>
      <c r="G167" s="1452"/>
      <c r="H167" s="3572" t="s">
        <v>78</v>
      </c>
      <c r="I167" s="3572"/>
      <c r="J167" s="3397" t="s">
        <v>1299</v>
      </c>
      <c r="K167" s="3397" t="s">
        <v>1889</v>
      </c>
      <c r="L167" s="3679" t="s">
        <v>390</v>
      </c>
      <c r="M167" s="3680"/>
      <c r="N167" s="5430" t="s">
        <v>1298</v>
      </c>
      <c r="O167" s="5398"/>
      <c r="P167" s="3572"/>
      <c r="Q167" s="3572"/>
      <c r="R167" s="3572"/>
      <c r="S167" s="3571" t="s">
        <v>2658</v>
      </c>
      <c r="T167" s="3572" t="s">
        <v>680</v>
      </c>
      <c r="U167" s="5398">
        <v>10</v>
      </c>
      <c r="V167" s="5398"/>
      <c r="W167" s="5432"/>
      <c r="X167" s="5432"/>
      <c r="Y167" s="3389" t="s">
        <v>772</v>
      </c>
      <c r="Z167" s="3389" t="s">
        <v>230</v>
      </c>
      <c r="AA167" s="5410">
        <f t="shared" si="38"/>
        <v>22</v>
      </c>
      <c r="AB167" s="5411"/>
      <c r="AC167" s="2682">
        <v>17</v>
      </c>
      <c r="AD167" s="3289">
        <v>8</v>
      </c>
      <c r="AE167" s="2628"/>
      <c r="AF167" s="2629"/>
      <c r="AG167" s="2628">
        <v>3</v>
      </c>
      <c r="AH167" s="2629"/>
      <c r="AI167" s="2628"/>
      <c r="AJ167" s="2629"/>
      <c r="AK167" s="2671">
        <f t="shared" ref="AK167:AK223" si="39">SUM(AC167:AD167)</f>
        <v>25</v>
      </c>
      <c r="AL167" s="3464"/>
      <c r="AM167" s="3448">
        <v>6</v>
      </c>
      <c r="AN167" s="3448"/>
      <c r="AO167" s="3448"/>
      <c r="AP167" s="3448"/>
      <c r="AQ167" s="3448"/>
      <c r="AR167" s="3458">
        <f t="shared" si="36"/>
        <v>6</v>
      </c>
      <c r="AS167" s="3459">
        <f t="shared" si="37"/>
        <v>1</v>
      </c>
    </row>
    <row r="168" spans="1:45" s="1444" customFormat="1" ht="27.95" customHeight="1">
      <c r="A168" s="3572">
        <v>12</v>
      </c>
      <c r="B168" s="3633" t="s">
        <v>2350</v>
      </c>
      <c r="C168" s="3634"/>
      <c r="D168" s="3617"/>
      <c r="E168" s="3617"/>
      <c r="F168" s="3617"/>
      <c r="G168" s="3618"/>
      <c r="H168" s="3572" t="s">
        <v>78</v>
      </c>
      <c r="I168" s="3572"/>
      <c r="J168" s="3397" t="s">
        <v>1296</v>
      </c>
      <c r="K168" s="3397" t="s">
        <v>1887</v>
      </c>
      <c r="L168" s="3679" t="s">
        <v>390</v>
      </c>
      <c r="M168" s="3680"/>
      <c r="N168" s="5430" t="s">
        <v>1253</v>
      </c>
      <c r="O168" s="5398"/>
      <c r="P168" s="3572"/>
      <c r="Q168" s="3572"/>
      <c r="R168" s="3572"/>
      <c r="S168" s="3571" t="s">
        <v>2659</v>
      </c>
      <c r="T168" s="3572"/>
      <c r="U168" s="5398">
        <v>10</v>
      </c>
      <c r="V168" s="5398"/>
      <c r="W168" s="5432"/>
      <c r="X168" s="5432"/>
      <c r="Y168" s="3388" t="s">
        <v>773</v>
      </c>
      <c r="Z168" s="3388" t="s">
        <v>228</v>
      </c>
      <c r="AA168" s="5410">
        <f t="shared" si="38"/>
        <v>30</v>
      </c>
      <c r="AB168" s="5411"/>
      <c r="AC168" s="2682">
        <v>14</v>
      </c>
      <c r="AD168" s="3289">
        <v>15</v>
      </c>
      <c r="AE168" s="2628">
        <v>1</v>
      </c>
      <c r="AF168" s="2629">
        <v>2</v>
      </c>
      <c r="AG168" s="2628"/>
      <c r="AH168" s="2629">
        <v>2</v>
      </c>
      <c r="AI168" s="2628"/>
      <c r="AJ168" s="2629"/>
      <c r="AK168" s="2671">
        <f t="shared" si="39"/>
        <v>29</v>
      </c>
      <c r="AL168" s="3464"/>
      <c r="AM168" s="3448">
        <v>5.8</v>
      </c>
      <c r="AN168" s="3448"/>
      <c r="AO168" s="3448"/>
      <c r="AP168" s="3448"/>
      <c r="AQ168" s="3448"/>
      <c r="AR168" s="3458">
        <f t="shared" si="36"/>
        <v>5.8</v>
      </c>
      <c r="AS168" s="3459">
        <f t="shared" si="37"/>
        <v>1</v>
      </c>
    </row>
    <row r="169" spans="1:45" s="1444" customFormat="1" ht="27.75" customHeight="1">
      <c r="A169" s="3572">
        <v>13</v>
      </c>
      <c r="B169" s="3624" t="s">
        <v>2365</v>
      </c>
      <c r="C169" s="3627"/>
      <c r="D169" s="1451"/>
      <c r="E169" s="1451"/>
      <c r="F169" s="1451"/>
      <c r="G169" s="1452"/>
      <c r="H169" s="3572"/>
      <c r="I169" s="3572" t="s">
        <v>78</v>
      </c>
      <c r="J169" s="3397" t="s">
        <v>1295</v>
      </c>
      <c r="K169" s="3397" t="s">
        <v>1886</v>
      </c>
      <c r="L169" s="3679" t="s">
        <v>390</v>
      </c>
      <c r="M169" s="3680"/>
      <c r="N169" s="5430" t="s">
        <v>1220</v>
      </c>
      <c r="O169" s="5398"/>
      <c r="P169" s="3572"/>
      <c r="Q169" s="3572"/>
      <c r="R169" s="3572"/>
      <c r="S169" s="3571" t="s">
        <v>2660</v>
      </c>
      <c r="T169" s="3572"/>
      <c r="U169" s="5398">
        <v>10</v>
      </c>
      <c r="V169" s="5398"/>
      <c r="W169" s="5432"/>
      <c r="X169" s="5432"/>
      <c r="Y169" s="3389" t="s">
        <v>773</v>
      </c>
      <c r="Z169" s="3389" t="s">
        <v>230</v>
      </c>
      <c r="AA169" s="5410">
        <f t="shared" si="38"/>
        <v>31</v>
      </c>
      <c r="AB169" s="5411"/>
      <c r="AC169" s="2682">
        <v>19</v>
      </c>
      <c r="AD169" s="3289">
        <v>12</v>
      </c>
      <c r="AE169" s="2628"/>
      <c r="AF169" s="2629"/>
      <c r="AG169" s="2628"/>
      <c r="AH169" s="2629"/>
      <c r="AI169" s="2628"/>
      <c r="AJ169" s="2629"/>
      <c r="AK169" s="2671">
        <f t="shared" si="39"/>
        <v>31</v>
      </c>
      <c r="AL169" s="3464"/>
      <c r="AM169" s="3448">
        <v>6</v>
      </c>
      <c r="AN169" s="3448"/>
      <c r="AO169" s="3448"/>
      <c r="AP169" s="3448"/>
      <c r="AQ169" s="3448"/>
      <c r="AR169" s="3458">
        <f t="shared" si="36"/>
        <v>6</v>
      </c>
      <c r="AS169" s="3459">
        <f t="shared" si="37"/>
        <v>1</v>
      </c>
    </row>
    <row r="170" spans="1:45" s="1444" customFormat="1" ht="27.95" customHeight="1">
      <c r="A170" s="3572">
        <v>14</v>
      </c>
      <c r="B170" s="3624" t="s">
        <v>2577</v>
      </c>
      <c r="C170" s="3627"/>
      <c r="D170" s="1451"/>
      <c r="E170" s="1451"/>
      <c r="F170" s="1451"/>
      <c r="G170" s="1452"/>
      <c r="H170" s="3572" t="s">
        <v>78</v>
      </c>
      <c r="I170" s="3572"/>
      <c r="J170" s="3397" t="s">
        <v>1318</v>
      </c>
      <c r="K170" s="3397" t="s">
        <v>2448</v>
      </c>
      <c r="L170" s="3679" t="s">
        <v>401</v>
      </c>
      <c r="M170" s="3680"/>
      <c r="N170" s="5430"/>
      <c r="O170" s="5398"/>
      <c r="P170" s="3572"/>
      <c r="Q170" s="3572"/>
      <c r="R170" s="3572"/>
      <c r="S170" s="3571" t="s">
        <v>2156</v>
      </c>
      <c r="T170" s="3572"/>
      <c r="U170" s="5398">
        <v>10</v>
      </c>
      <c r="V170" s="5398"/>
      <c r="W170" s="5432"/>
      <c r="X170" s="5432"/>
      <c r="Y170" s="3389"/>
      <c r="Z170" s="3389"/>
      <c r="AA170" s="5395">
        <f t="shared" si="38"/>
        <v>0</v>
      </c>
      <c r="AB170" s="5396"/>
      <c r="AC170" s="2682"/>
      <c r="AD170" s="3289"/>
      <c r="AE170" s="2628"/>
      <c r="AF170" s="2629"/>
      <c r="AG170" s="2628"/>
      <c r="AH170" s="2629"/>
      <c r="AI170" s="2628"/>
      <c r="AJ170" s="2629"/>
      <c r="AK170" s="2671">
        <f t="shared" si="39"/>
        <v>0</v>
      </c>
      <c r="AL170" s="3464"/>
      <c r="AM170" s="3448"/>
      <c r="AN170" s="3448"/>
      <c r="AO170" s="3448"/>
      <c r="AP170" s="3448"/>
      <c r="AQ170" s="3448"/>
      <c r="AR170" s="3458" t="e">
        <f t="shared" si="36"/>
        <v>#DIV/0!</v>
      </c>
      <c r="AS170" s="3459">
        <f t="shared" si="37"/>
        <v>0</v>
      </c>
    </row>
    <row r="171" spans="1:45" s="1444" customFormat="1" ht="27.95" customHeight="1">
      <c r="A171" s="3572">
        <v>15</v>
      </c>
      <c r="B171" s="3624" t="s">
        <v>2366</v>
      </c>
      <c r="C171" s="3627"/>
      <c r="D171" s="1451"/>
      <c r="E171" s="1451"/>
      <c r="F171" s="1451"/>
      <c r="G171" s="1452"/>
      <c r="H171" s="3572" t="s">
        <v>78</v>
      </c>
      <c r="I171" s="3572"/>
      <c r="J171" s="3397" t="s">
        <v>1300</v>
      </c>
      <c r="K171" s="3397" t="s">
        <v>1890</v>
      </c>
      <c r="L171" s="3674" t="s">
        <v>426</v>
      </c>
      <c r="M171" s="3675"/>
      <c r="N171" s="5398"/>
      <c r="O171" s="5398"/>
      <c r="P171" s="3572"/>
      <c r="Q171" s="3572"/>
      <c r="R171" s="3572"/>
      <c r="S171" s="3571" t="s">
        <v>2661</v>
      </c>
      <c r="T171" s="3572"/>
      <c r="U171" s="5398"/>
      <c r="V171" s="5398"/>
      <c r="W171" s="5432"/>
      <c r="X171" s="5432"/>
      <c r="Y171" s="3389"/>
      <c r="Z171" s="3389"/>
      <c r="AA171" s="5395">
        <f t="shared" si="38"/>
        <v>0</v>
      </c>
      <c r="AB171" s="5396"/>
      <c r="AC171" s="2682"/>
      <c r="AD171" s="3289"/>
      <c r="AE171" s="2628"/>
      <c r="AF171" s="2629"/>
      <c r="AG171" s="2628"/>
      <c r="AH171" s="2629"/>
      <c r="AI171" s="2628"/>
      <c r="AJ171" s="2629"/>
      <c r="AK171" s="2671">
        <f t="shared" si="39"/>
        <v>0</v>
      </c>
      <c r="AL171" s="3464"/>
      <c r="AM171" s="3448"/>
      <c r="AN171" s="3448"/>
      <c r="AO171" s="3448"/>
      <c r="AP171" s="3448"/>
      <c r="AQ171" s="3448"/>
      <c r="AR171" s="3458" t="e">
        <f t="shared" ref="AR171:AR183" si="40">SUM(AM171:AQ171)/AS171</f>
        <v>#DIV/0!</v>
      </c>
      <c r="AS171" s="3459">
        <f t="shared" si="37"/>
        <v>0</v>
      </c>
    </row>
    <row r="172" spans="1:45" s="1444" customFormat="1" ht="27.95" customHeight="1">
      <c r="A172" s="2806"/>
      <c r="B172" s="3622"/>
      <c r="C172" s="3629"/>
      <c r="D172" s="3431"/>
      <c r="E172" s="3431"/>
      <c r="F172" s="3431"/>
      <c r="G172" s="3621"/>
      <c r="H172" s="2806"/>
      <c r="I172" s="2806"/>
      <c r="J172" s="3619"/>
      <c r="K172" s="3619"/>
      <c r="L172" s="3681"/>
      <c r="M172" s="3682"/>
      <c r="N172" s="5438"/>
      <c r="O172" s="5438"/>
      <c r="P172" s="2806"/>
      <c r="Q172" s="2806"/>
      <c r="R172" s="2806"/>
      <c r="S172" s="3620"/>
      <c r="T172" s="2806"/>
      <c r="U172" s="5438"/>
      <c r="V172" s="5438"/>
      <c r="W172" s="5432"/>
      <c r="X172" s="5432"/>
      <c r="Y172" s="3389"/>
      <c r="Z172" s="3389"/>
      <c r="AA172" s="5395">
        <f t="shared" si="38"/>
        <v>0</v>
      </c>
      <c r="AB172" s="5396"/>
      <c r="AC172" s="2682"/>
      <c r="AD172" s="3289"/>
      <c r="AE172" s="2628"/>
      <c r="AF172" s="2629"/>
      <c r="AG172" s="2628"/>
      <c r="AH172" s="2629"/>
      <c r="AI172" s="2628"/>
      <c r="AJ172" s="2629"/>
      <c r="AK172" s="2671">
        <f t="shared" si="39"/>
        <v>0</v>
      </c>
      <c r="AL172" s="3464"/>
      <c r="AM172" s="3448"/>
      <c r="AN172" s="3448"/>
      <c r="AO172" s="3448"/>
      <c r="AP172" s="3448"/>
      <c r="AQ172" s="3448"/>
      <c r="AR172" s="3458" t="e">
        <f t="shared" si="40"/>
        <v>#DIV/0!</v>
      </c>
      <c r="AS172" s="3459">
        <f t="shared" si="37"/>
        <v>0</v>
      </c>
    </row>
    <row r="173" spans="1:45" s="1444" customFormat="1" ht="27.95" customHeight="1">
      <c r="A173" s="3386"/>
      <c r="B173" s="3625"/>
      <c r="C173" s="3628"/>
      <c r="D173" s="3431"/>
      <c r="E173" s="3431"/>
      <c r="F173" s="3431"/>
      <c r="G173" s="3621"/>
      <c r="H173" s="2806"/>
      <c r="I173" s="2806"/>
      <c r="J173" s="3619"/>
      <c r="K173" s="3619"/>
      <c r="L173" s="3683"/>
      <c r="M173" s="3684"/>
      <c r="N173" s="5437"/>
      <c r="O173" s="5438"/>
      <c r="P173" s="2806"/>
      <c r="Q173" s="2806"/>
      <c r="R173" s="2806"/>
      <c r="S173" s="2877"/>
      <c r="T173" s="2806"/>
      <c r="U173" s="5438"/>
      <c r="V173" s="5438"/>
      <c r="W173" s="5432"/>
      <c r="X173" s="5432"/>
      <c r="Y173" s="3389"/>
      <c r="Z173" s="3389"/>
      <c r="AA173" s="5395">
        <f t="shared" si="38"/>
        <v>0</v>
      </c>
      <c r="AB173" s="5396"/>
      <c r="AC173" s="2682"/>
      <c r="AD173" s="3289"/>
      <c r="AE173" s="2628"/>
      <c r="AF173" s="2629"/>
      <c r="AG173" s="2628"/>
      <c r="AH173" s="2629"/>
      <c r="AI173" s="2628"/>
      <c r="AJ173" s="2629"/>
      <c r="AK173" s="2671">
        <f t="shared" si="39"/>
        <v>0</v>
      </c>
      <c r="AL173" s="3464"/>
      <c r="AM173" s="3448"/>
      <c r="AN173" s="3448"/>
      <c r="AO173" s="3448"/>
      <c r="AP173" s="3448"/>
      <c r="AQ173" s="3448"/>
      <c r="AR173" s="3458" t="e">
        <f t="shared" si="40"/>
        <v>#DIV/0!</v>
      </c>
      <c r="AS173" s="3459">
        <f t="shared" si="37"/>
        <v>0</v>
      </c>
    </row>
    <row r="174" spans="1:45" s="1444" customFormat="1" ht="27.95" customHeight="1">
      <c r="A174" s="3386"/>
      <c r="B174" s="3625" t="s">
        <v>2362</v>
      </c>
      <c r="C174" s="3628"/>
      <c r="D174" s="3431"/>
      <c r="E174" s="3431"/>
      <c r="F174" s="3431"/>
      <c r="G174" s="3621"/>
      <c r="H174" s="2806"/>
      <c r="I174" s="2806" t="s">
        <v>78</v>
      </c>
      <c r="J174" s="3619" t="s">
        <v>1287</v>
      </c>
      <c r="K174" s="3619" t="s">
        <v>1879</v>
      </c>
      <c r="L174" s="3683" t="s">
        <v>390</v>
      </c>
      <c r="M174" s="3684"/>
      <c r="N174" s="5437"/>
      <c r="O174" s="5438"/>
      <c r="P174" s="2806"/>
      <c r="Q174" s="2806"/>
      <c r="R174" s="2806"/>
      <c r="S174" s="2877" t="s">
        <v>2150</v>
      </c>
      <c r="T174" s="2806"/>
      <c r="U174" s="5438">
        <v>10</v>
      </c>
      <c r="V174" s="5438"/>
      <c r="W174" s="5432"/>
      <c r="X174" s="5432"/>
      <c r="Y174" s="3389"/>
      <c r="Z174" s="3389"/>
      <c r="AA174" s="5395">
        <f t="shared" si="38"/>
        <v>0</v>
      </c>
      <c r="AB174" s="5396"/>
      <c r="AC174" s="2682"/>
      <c r="AD174" s="3289"/>
      <c r="AE174" s="2628"/>
      <c r="AF174" s="2629"/>
      <c r="AG174" s="2628"/>
      <c r="AH174" s="2629"/>
      <c r="AI174" s="2628"/>
      <c r="AJ174" s="2629"/>
      <c r="AK174" s="2671">
        <f t="shared" si="39"/>
        <v>0</v>
      </c>
      <c r="AL174" s="3464"/>
      <c r="AM174" s="3448"/>
      <c r="AN174" s="3448"/>
      <c r="AO174" s="3448"/>
      <c r="AP174" s="3448"/>
      <c r="AQ174" s="3448"/>
      <c r="AR174" s="3458" t="e">
        <f t="shared" si="40"/>
        <v>#DIV/0!</v>
      </c>
      <c r="AS174" s="3459">
        <f t="shared" si="37"/>
        <v>0</v>
      </c>
    </row>
    <row r="175" spans="1:45" s="1444" customFormat="1" ht="27.95" customHeight="1">
      <c r="A175" s="3386"/>
      <c r="B175" s="3625" t="s">
        <v>2363</v>
      </c>
      <c r="C175" s="3628"/>
      <c r="D175" s="3431"/>
      <c r="E175" s="3431"/>
      <c r="F175" s="3431"/>
      <c r="G175" s="3621"/>
      <c r="H175" s="2806"/>
      <c r="I175" s="2806" t="s">
        <v>78</v>
      </c>
      <c r="J175" s="3619" t="s">
        <v>1292</v>
      </c>
      <c r="K175" s="3619" t="s">
        <v>1884</v>
      </c>
      <c r="L175" s="3683" t="s">
        <v>390</v>
      </c>
      <c r="M175" s="3684"/>
      <c r="N175" s="5437"/>
      <c r="O175" s="5438"/>
      <c r="P175" s="2806"/>
      <c r="Q175" s="2806"/>
      <c r="R175" s="2806"/>
      <c r="S175" s="2877" t="s">
        <v>2151</v>
      </c>
      <c r="T175" s="2806" t="s">
        <v>680</v>
      </c>
      <c r="U175" s="5438">
        <v>10</v>
      </c>
      <c r="V175" s="5438"/>
      <c r="W175" s="5351"/>
      <c r="X175" s="5351"/>
      <c r="Y175" s="3389"/>
      <c r="Z175" s="3389"/>
      <c r="AA175" s="5395">
        <f t="shared" si="38"/>
        <v>0</v>
      </c>
      <c r="AB175" s="5396"/>
      <c r="AC175" s="2682"/>
      <c r="AD175" s="3289"/>
      <c r="AE175" s="2628"/>
      <c r="AF175" s="2629"/>
      <c r="AG175" s="2628"/>
      <c r="AH175" s="2629"/>
      <c r="AI175" s="2628"/>
      <c r="AJ175" s="2629"/>
      <c r="AK175" s="2671">
        <f t="shared" si="39"/>
        <v>0</v>
      </c>
      <c r="AL175" s="3464"/>
      <c r="AM175" s="3448"/>
      <c r="AN175" s="3448"/>
      <c r="AO175" s="3448"/>
      <c r="AP175" s="3448"/>
      <c r="AQ175" s="3448"/>
      <c r="AR175" s="3458" t="e">
        <f t="shared" si="40"/>
        <v>#DIV/0!</v>
      </c>
      <c r="AS175" s="3459">
        <f t="shared" si="37"/>
        <v>0</v>
      </c>
    </row>
    <row r="176" spans="1:45" s="1444" customFormat="1" ht="27.95" customHeight="1">
      <c r="A176" s="3386"/>
      <c r="B176" s="3625" t="s">
        <v>2365</v>
      </c>
      <c r="C176" s="3628"/>
      <c r="D176" s="3431"/>
      <c r="E176" s="3431"/>
      <c r="F176" s="3431"/>
      <c r="G176" s="3621"/>
      <c r="H176" s="2806"/>
      <c r="I176" s="2806" t="s">
        <v>78</v>
      </c>
      <c r="J176" s="3619" t="s">
        <v>1295</v>
      </c>
      <c r="K176" s="3619" t="s">
        <v>1886</v>
      </c>
      <c r="L176" s="3683" t="s">
        <v>390</v>
      </c>
      <c r="M176" s="3684"/>
      <c r="N176" s="5437" t="s">
        <v>1220</v>
      </c>
      <c r="O176" s="5438"/>
      <c r="P176" s="2806"/>
      <c r="Q176" s="2806"/>
      <c r="R176" s="2806"/>
      <c r="S176" s="2877" t="s">
        <v>2154</v>
      </c>
      <c r="T176" s="2806"/>
      <c r="U176" s="5438">
        <v>10</v>
      </c>
      <c r="V176" s="5438"/>
      <c r="W176" s="5439"/>
      <c r="X176" s="5439"/>
      <c r="Y176" s="3389"/>
      <c r="Z176" s="3389"/>
      <c r="AA176" s="5395">
        <f t="shared" si="38"/>
        <v>0</v>
      </c>
      <c r="AB176" s="5396"/>
      <c r="AC176" s="2682"/>
      <c r="AD176" s="3289"/>
      <c r="AE176" s="2628"/>
      <c r="AF176" s="2629"/>
      <c r="AG176" s="2628"/>
      <c r="AH176" s="2629"/>
      <c r="AI176" s="2628"/>
      <c r="AJ176" s="2629"/>
      <c r="AK176" s="2671">
        <f t="shared" si="39"/>
        <v>0</v>
      </c>
      <c r="AL176" s="3464"/>
      <c r="AM176" s="3448"/>
      <c r="AN176" s="3448"/>
      <c r="AO176" s="3448"/>
      <c r="AP176" s="3448"/>
      <c r="AQ176" s="3448"/>
      <c r="AR176" s="3458" t="e">
        <f t="shared" si="40"/>
        <v>#DIV/0!</v>
      </c>
      <c r="AS176" s="3459">
        <f t="shared" si="37"/>
        <v>0</v>
      </c>
    </row>
    <row r="177" spans="1:45" s="1444" customFormat="1" ht="27.95" customHeight="1">
      <c r="A177" s="3386"/>
      <c r="B177" s="3623" t="s">
        <v>2357</v>
      </c>
      <c r="C177" s="3626"/>
      <c r="D177" s="1437"/>
      <c r="E177" s="1437"/>
      <c r="F177" s="1437"/>
      <c r="G177" s="3610"/>
      <c r="H177" s="3734"/>
      <c r="I177" s="3734" t="s">
        <v>78</v>
      </c>
      <c r="J177" s="3397" t="s">
        <v>1286</v>
      </c>
      <c r="K177" s="3397" t="s">
        <v>1878</v>
      </c>
      <c r="L177" s="3679" t="s">
        <v>93</v>
      </c>
      <c r="M177" s="3680"/>
      <c r="N177" s="5430"/>
      <c r="O177" s="5398"/>
      <c r="P177" s="3734"/>
      <c r="Q177" s="3734"/>
      <c r="R177" s="3734"/>
      <c r="S177" s="3733" t="s">
        <v>2149</v>
      </c>
      <c r="T177" s="3611" t="s">
        <v>680</v>
      </c>
      <c r="U177" s="5398">
        <v>10</v>
      </c>
      <c r="V177" s="5398"/>
      <c r="W177" s="5351"/>
      <c r="X177" s="5351"/>
      <c r="Y177" s="3389"/>
      <c r="Z177" s="3389"/>
      <c r="AA177" s="5395">
        <f t="shared" si="38"/>
        <v>0</v>
      </c>
      <c r="AB177" s="5396"/>
      <c r="AC177" s="2682"/>
      <c r="AD177" s="3289"/>
      <c r="AE177" s="2628"/>
      <c r="AF177" s="2629"/>
      <c r="AG177" s="2628"/>
      <c r="AH177" s="2629"/>
      <c r="AI177" s="2628"/>
      <c r="AJ177" s="2629"/>
      <c r="AK177" s="2671">
        <f t="shared" si="39"/>
        <v>0</v>
      </c>
      <c r="AL177" s="3464"/>
      <c r="AM177" s="3448"/>
      <c r="AN177" s="3448"/>
      <c r="AO177" s="3448"/>
      <c r="AP177" s="3448"/>
      <c r="AQ177" s="3448"/>
      <c r="AR177" s="3458" t="e">
        <f t="shared" si="40"/>
        <v>#DIV/0!</v>
      </c>
      <c r="AS177" s="3459">
        <f t="shared" si="37"/>
        <v>0</v>
      </c>
    </row>
    <row r="178" spans="1:45" s="1444" customFormat="1" ht="27.95" customHeight="1">
      <c r="A178" s="3386"/>
      <c r="B178" s="2158"/>
      <c r="C178" s="3087"/>
      <c r="D178" s="2147"/>
      <c r="E178" s="2147"/>
      <c r="F178" s="2147"/>
      <c r="G178" s="2149"/>
      <c r="H178" s="3386"/>
      <c r="I178" s="3386"/>
      <c r="J178" s="3391"/>
      <c r="K178" s="3391"/>
      <c r="L178" s="3671"/>
      <c r="M178" s="3676"/>
      <c r="N178" s="5349"/>
      <c r="O178" s="5350"/>
      <c r="P178" s="3386"/>
      <c r="Q178" s="3386"/>
      <c r="R178" s="3386"/>
      <c r="S178" s="2877"/>
      <c r="T178" s="3386"/>
      <c r="U178" s="5350"/>
      <c r="V178" s="5350"/>
      <c r="W178" s="5351"/>
      <c r="X178" s="5351"/>
      <c r="Y178" s="3389"/>
      <c r="Z178" s="3389"/>
      <c r="AA178" s="5395">
        <f t="shared" si="38"/>
        <v>0</v>
      </c>
      <c r="AB178" s="5396"/>
      <c r="AC178" s="2682"/>
      <c r="AD178" s="3289"/>
      <c r="AE178" s="2628"/>
      <c r="AF178" s="2629"/>
      <c r="AG178" s="2628"/>
      <c r="AH178" s="2629"/>
      <c r="AI178" s="2628"/>
      <c r="AJ178" s="2629"/>
      <c r="AK178" s="2671">
        <f t="shared" si="39"/>
        <v>0</v>
      </c>
      <c r="AL178" s="3464"/>
      <c r="AM178" s="3448"/>
      <c r="AN178" s="3448"/>
      <c r="AO178" s="3448"/>
      <c r="AP178" s="3448"/>
      <c r="AQ178" s="3448"/>
      <c r="AR178" s="3458" t="e">
        <f t="shared" si="40"/>
        <v>#DIV/0!</v>
      </c>
      <c r="AS178" s="3459">
        <f t="shared" si="37"/>
        <v>0</v>
      </c>
    </row>
    <row r="179" spans="1:45" s="1444" customFormat="1" ht="27.95" customHeight="1">
      <c r="A179" s="3386"/>
      <c r="B179" s="2158"/>
      <c r="C179" s="3630"/>
      <c r="D179" s="2147"/>
      <c r="E179" s="2147"/>
      <c r="F179" s="2147"/>
      <c r="G179" s="2149"/>
      <c r="H179" s="3386"/>
      <c r="I179" s="3386"/>
      <c r="J179" s="3391"/>
      <c r="K179" s="3391"/>
      <c r="L179" s="3671"/>
      <c r="M179" s="3676"/>
      <c r="N179" s="5349"/>
      <c r="O179" s="5350"/>
      <c r="P179" s="3386"/>
      <c r="Q179" s="3386"/>
      <c r="R179" s="3386"/>
      <c r="S179" s="2877"/>
      <c r="T179" s="3386"/>
      <c r="U179" s="5350"/>
      <c r="V179" s="5350"/>
      <c r="W179" s="5351"/>
      <c r="X179" s="5351"/>
      <c r="Y179" s="3389"/>
      <c r="Z179" s="3389"/>
      <c r="AA179" s="5395">
        <f t="shared" si="38"/>
        <v>0</v>
      </c>
      <c r="AB179" s="5396"/>
      <c r="AC179" s="2682"/>
      <c r="AD179" s="3289"/>
      <c r="AE179" s="2628"/>
      <c r="AF179" s="2629"/>
      <c r="AG179" s="2628"/>
      <c r="AH179" s="2629"/>
      <c r="AI179" s="2628"/>
      <c r="AJ179" s="2629"/>
      <c r="AK179" s="2671">
        <f t="shared" si="39"/>
        <v>0</v>
      </c>
      <c r="AL179" s="3464"/>
      <c r="AM179" s="3448"/>
      <c r="AN179" s="3448"/>
      <c r="AO179" s="3448"/>
      <c r="AP179" s="3448"/>
      <c r="AQ179" s="3448"/>
      <c r="AR179" s="3458" t="e">
        <f t="shared" si="40"/>
        <v>#DIV/0!</v>
      </c>
      <c r="AS179" s="3459">
        <f t="shared" si="37"/>
        <v>0</v>
      </c>
    </row>
    <row r="180" spans="1:45" s="1444" customFormat="1" ht="27.95" customHeight="1">
      <c r="A180" s="3386"/>
      <c r="B180" s="3356"/>
      <c r="C180" s="2147"/>
      <c r="D180" s="2147"/>
      <c r="E180" s="2147"/>
      <c r="F180" s="2147"/>
      <c r="G180" s="2149"/>
      <c r="H180" s="3386"/>
      <c r="I180" s="3386"/>
      <c r="J180" s="3391"/>
      <c r="K180" s="3391"/>
      <c r="L180" s="3671"/>
      <c r="M180" s="3676"/>
      <c r="N180" s="5349"/>
      <c r="O180" s="5350"/>
      <c r="P180" s="3386"/>
      <c r="Q180" s="3386"/>
      <c r="R180" s="3386"/>
      <c r="S180" s="2877"/>
      <c r="T180" s="3386"/>
      <c r="U180" s="5350"/>
      <c r="V180" s="5350"/>
      <c r="W180" s="5351"/>
      <c r="X180" s="5351"/>
      <c r="Y180" s="3389"/>
      <c r="Z180" s="3389"/>
      <c r="AA180" s="5395">
        <f t="shared" si="38"/>
        <v>0</v>
      </c>
      <c r="AB180" s="5396"/>
      <c r="AC180" s="2682"/>
      <c r="AD180" s="3289"/>
      <c r="AE180" s="2628"/>
      <c r="AF180" s="2629"/>
      <c r="AG180" s="2628"/>
      <c r="AH180" s="2629"/>
      <c r="AI180" s="2628"/>
      <c r="AJ180" s="2629"/>
      <c r="AK180" s="2671">
        <f t="shared" si="39"/>
        <v>0</v>
      </c>
      <c r="AL180" s="3464"/>
      <c r="AM180" s="3448"/>
      <c r="AN180" s="3448"/>
      <c r="AO180" s="3448"/>
      <c r="AP180" s="3448"/>
      <c r="AQ180" s="3448"/>
      <c r="AR180" s="3458" t="e">
        <f t="shared" si="40"/>
        <v>#DIV/0!</v>
      </c>
      <c r="AS180" s="3459">
        <f t="shared" si="37"/>
        <v>0</v>
      </c>
    </row>
    <row r="181" spans="1:45" s="1444" customFormat="1" ht="27.95" customHeight="1">
      <c r="A181" s="3386"/>
      <c r="B181" s="2158"/>
      <c r="C181" s="2150"/>
      <c r="D181" s="2147"/>
      <c r="E181" s="2147"/>
      <c r="F181" s="2147"/>
      <c r="G181" s="2149"/>
      <c r="H181" s="3386"/>
      <c r="I181" s="3386"/>
      <c r="J181" s="3391"/>
      <c r="K181" s="3391"/>
      <c r="L181" s="3671"/>
      <c r="M181" s="3676"/>
      <c r="N181" s="5354"/>
      <c r="O181" s="5355"/>
      <c r="P181" s="3386"/>
      <c r="Q181" s="3386"/>
      <c r="R181" s="3386"/>
      <c r="S181" s="2877"/>
      <c r="T181" s="3386"/>
      <c r="U181" s="5419"/>
      <c r="V181" s="5418"/>
      <c r="W181" s="5420"/>
      <c r="X181" s="5421"/>
      <c r="Y181" s="3389"/>
      <c r="Z181" s="3389"/>
      <c r="AA181" s="5395">
        <f t="shared" si="38"/>
        <v>0</v>
      </c>
      <c r="AB181" s="5396"/>
      <c r="AC181" s="2682"/>
      <c r="AD181" s="3289"/>
      <c r="AE181" s="2628"/>
      <c r="AF181" s="2629"/>
      <c r="AG181" s="2628"/>
      <c r="AH181" s="2629"/>
      <c r="AI181" s="2628"/>
      <c r="AJ181" s="2629"/>
      <c r="AK181" s="2671">
        <f t="shared" si="39"/>
        <v>0</v>
      </c>
      <c r="AL181" s="3464"/>
      <c r="AM181" s="3448"/>
      <c r="AN181" s="3448"/>
      <c r="AO181" s="3448"/>
      <c r="AP181" s="3448"/>
      <c r="AQ181" s="3448"/>
      <c r="AR181" s="3458" t="e">
        <f t="shared" si="40"/>
        <v>#DIV/0!</v>
      </c>
      <c r="AS181" s="3459">
        <f t="shared" si="37"/>
        <v>0</v>
      </c>
    </row>
    <row r="182" spans="1:45" s="1444" customFormat="1" ht="27.95" customHeight="1">
      <c r="A182" s="3386"/>
      <c r="B182" s="2151"/>
      <c r="C182" s="2150"/>
      <c r="D182" s="2147"/>
      <c r="E182" s="2147"/>
      <c r="F182" s="2147"/>
      <c r="G182" s="2149"/>
      <c r="H182" s="3386"/>
      <c r="I182" s="3386"/>
      <c r="J182" s="3386"/>
      <c r="K182" s="3386"/>
      <c r="L182" s="3671"/>
      <c r="M182" s="3672"/>
      <c r="N182" s="5349"/>
      <c r="O182" s="5350"/>
      <c r="P182" s="3386"/>
      <c r="Q182" s="3386"/>
      <c r="R182" s="3386"/>
      <c r="S182" s="2875"/>
      <c r="T182" s="3386"/>
      <c r="U182" s="5350"/>
      <c r="V182" s="5350"/>
      <c r="W182" s="5351"/>
      <c r="X182" s="5351"/>
      <c r="Y182" s="2692"/>
      <c r="Z182" s="3389"/>
      <c r="AA182" s="5395">
        <f t="shared" si="38"/>
        <v>0</v>
      </c>
      <c r="AB182" s="5396"/>
      <c r="AC182" s="2682"/>
      <c r="AD182" s="3289"/>
      <c r="AE182" s="2628"/>
      <c r="AF182" s="2629"/>
      <c r="AG182" s="2628"/>
      <c r="AH182" s="2629"/>
      <c r="AI182" s="2628"/>
      <c r="AJ182" s="2629"/>
      <c r="AK182" s="2672">
        <f t="shared" si="39"/>
        <v>0</v>
      </c>
      <c r="AL182" s="3464"/>
      <c r="AM182" s="3448"/>
      <c r="AN182" s="3448"/>
      <c r="AO182" s="3448"/>
      <c r="AP182" s="3448"/>
      <c r="AQ182" s="3448"/>
      <c r="AR182" s="3458" t="e">
        <f t="shared" si="40"/>
        <v>#DIV/0!</v>
      </c>
      <c r="AS182" s="3459">
        <f t="shared" si="37"/>
        <v>0</v>
      </c>
    </row>
    <row r="183" spans="1:45" s="1444" customFormat="1" ht="27.95" customHeight="1">
      <c r="A183" s="3273">
        <f>COUNTA(B157:G182)</f>
        <v>19</v>
      </c>
      <c r="B183" s="2961" t="str">
        <f>'[1]0564N'!$S$3</f>
        <v>m.roxana07@hotmail.com</v>
      </c>
      <c r="C183" s="2962"/>
      <c r="D183" s="2963"/>
      <c r="E183" s="2964" t="str">
        <f>'[4]0564N'!$C$8</f>
        <v>REG. 96 MZ. 23 L. 1 C. 12</v>
      </c>
      <c r="F183" s="2962"/>
      <c r="G183" s="2965"/>
      <c r="H183" s="3273">
        <f>COUNTIF(H158:H169,"X")</f>
        <v>5</v>
      </c>
      <c r="I183" s="3273">
        <f>COUNTIF(I158:I169,"X")</f>
        <v>7</v>
      </c>
      <c r="J183" s="2966">
        <f>COUNTIF(L157:M182,"docente")</f>
        <v>15</v>
      </c>
      <c r="K183" s="2967">
        <f>COUNTIF(L157:M182,"intendente")</f>
        <v>1</v>
      </c>
      <c r="L183" s="1665">
        <f>COUNTA(N157:O182)</f>
        <v>10</v>
      </c>
      <c r="M183" s="2968">
        <f>COUNTIF(Y157:Y182,"1º")</f>
        <v>2</v>
      </c>
      <c r="N183" s="3278">
        <f>COUNTIF(Y157:Y182,"2º")</f>
        <v>2</v>
      </c>
      <c r="O183" s="3278">
        <f>COUNTIF(Y157:Y182,"3º")</f>
        <v>2</v>
      </c>
      <c r="P183" s="3278">
        <f>COUNTIF(Y157:Y182,"4º")</f>
        <v>2</v>
      </c>
      <c r="Q183" s="3278">
        <f>COUNTIF(Y157:Y182,"5º")</f>
        <v>2</v>
      </c>
      <c r="R183" s="3278">
        <f>COUNTIF(Y157:Y182,"6º")</f>
        <v>2</v>
      </c>
      <c r="S183" s="2968">
        <f>SUM(M183:R183)</f>
        <v>12</v>
      </c>
      <c r="T183" s="3273">
        <f>COUNTA(T157:T182)</f>
        <v>6</v>
      </c>
      <c r="U183" s="2968">
        <f>COUNTIF(U157:V182,"10")</f>
        <v>17</v>
      </c>
      <c r="V183" s="2969">
        <f>COUNTIF(U157:V182,"20")</f>
        <v>1</v>
      </c>
      <c r="W183" s="5409" t="s">
        <v>1232</v>
      </c>
      <c r="X183" s="5409"/>
      <c r="Y183" s="5396"/>
      <c r="Z183" s="3286">
        <f>COUNTA(Z157:Z182)</f>
        <v>12</v>
      </c>
      <c r="AA183" s="5440">
        <f>SUM(AA157:AB182)</f>
        <v>357</v>
      </c>
      <c r="AB183" s="5441"/>
      <c r="AC183" s="2687">
        <f t="shared" ref="AC183:AJ183" si="41">SUM(AC157:AC182)</f>
        <v>192</v>
      </c>
      <c r="AD183" s="2688">
        <f t="shared" si="41"/>
        <v>178</v>
      </c>
      <c r="AE183" s="2630">
        <f t="shared" si="41"/>
        <v>8</v>
      </c>
      <c r="AF183" s="2631">
        <f t="shared" si="41"/>
        <v>5</v>
      </c>
      <c r="AG183" s="2632">
        <f t="shared" si="41"/>
        <v>16</v>
      </c>
      <c r="AH183" s="2633">
        <f t="shared" si="41"/>
        <v>10</v>
      </c>
      <c r="AI183" s="2634">
        <f t="shared" si="41"/>
        <v>0</v>
      </c>
      <c r="AJ183" s="2635">
        <f t="shared" si="41"/>
        <v>0</v>
      </c>
      <c r="AK183" s="317">
        <f t="shared" si="39"/>
        <v>370</v>
      </c>
      <c r="AL183" s="3461" t="e">
        <f>SUM(AL157:AL182)/AL184</f>
        <v>#DIV/0!</v>
      </c>
      <c r="AM183" s="3465">
        <f t="shared" ref="AM183" si="42">SUM(AM157:AM182)/AM184</f>
        <v>6.4083333333333323</v>
      </c>
      <c r="AN183" s="3460" t="e">
        <f t="shared" ref="AN183" si="43">SUM(AN157:AN182)/AN184</f>
        <v>#DIV/0!</v>
      </c>
      <c r="AO183" s="3460" t="e">
        <f t="shared" ref="AO183" si="44">SUM(AO157:AO182)/AO184</f>
        <v>#DIV/0!</v>
      </c>
      <c r="AP183" s="3460" t="e">
        <f t="shared" ref="AP183" si="45">SUM(AP157:AP182)/AP184</f>
        <v>#DIV/0!</v>
      </c>
      <c r="AQ183" s="3460" t="e">
        <f>SUM(AQ157:AQ182)/AQ184</f>
        <v>#DIV/0!</v>
      </c>
      <c r="AR183" s="3461" t="e">
        <f t="shared" si="40"/>
        <v>#DIV/0!</v>
      </c>
      <c r="AS183" s="3459">
        <f t="shared" si="37"/>
        <v>5</v>
      </c>
    </row>
    <row r="184" spans="1:45" s="1446" customFormat="1" ht="27.95" customHeight="1">
      <c r="A184" s="3690" t="s">
        <v>228</v>
      </c>
      <c r="B184" s="3691">
        <f>SUM(Estadisticas!AM28:AN28)</f>
        <v>3</v>
      </c>
      <c r="C184" s="3691">
        <f>SUM(Estadisticas!AO28:AP28)</f>
        <v>4</v>
      </c>
      <c r="D184" s="3691">
        <f>SUM(Estadisticas!AQ28:AR28)</f>
        <v>1</v>
      </c>
      <c r="E184" s="3691">
        <f>SUM(Estadisticas!AS28:AT28)</f>
        <v>2</v>
      </c>
      <c r="F184" s="3691">
        <f>SUM(Estadisticas!AU28:AV28)</f>
        <v>0</v>
      </c>
      <c r="G184" s="3691">
        <f>SUM(Estadisticas!AW28:AX28)</f>
        <v>3</v>
      </c>
      <c r="H184" s="5412">
        <f>SUM(B184:G184)</f>
        <v>13</v>
      </c>
      <c r="I184" s="5412"/>
      <c r="J184" s="3711"/>
      <c r="K184" s="3711"/>
      <c r="L184" s="3692" t="s">
        <v>1126</v>
      </c>
      <c r="M184" s="3690">
        <f>SUM(AK158:AK159)</f>
        <v>67</v>
      </c>
      <c r="N184" s="3690">
        <f>SUM(AK160:AK161)</f>
        <v>69</v>
      </c>
      <c r="O184" s="3690">
        <f>SUM(AK162:AK163)</f>
        <v>67</v>
      </c>
      <c r="P184" s="3690">
        <f>SUM(AK164:AK165)</f>
        <v>57</v>
      </c>
      <c r="Q184" s="3690">
        <f>SUM(AK166:AK167)</f>
        <v>50</v>
      </c>
      <c r="R184" s="3690">
        <f>SUM(AK168:AK169)</f>
        <v>60</v>
      </c>
      <c r="S184" s="3690">
        <f>SUM(M184:R184)</f>
        <v>370</v>
      </c>
      <c r="T184" s="3711">
        <f>'[1]0564N'!$V$23</f>
        <v>5</v>
      </c>
      <c r="U184" s="3711"/>
      <c r="V184" s="3711"/>
      <c r="W184" s="3711"/>
      <c r="X184" s="3711"/>
      <c r="Y184" s="2683">
        <f>COUNTA(Y157:Y182)</f>
        <v>12</v>
      </c>
      <c r="Z184" s="3711"/>
      <c r="AA184" s="5428">
        <f>'[1]0564N'!$X$35</f>
        <v>357</v>
      </c>
      <c r="AB184" s="5428"/>
      <c r="AC184" s="5334">
        <f>AC183+AD183</f>
        <v>370</v>
      </c>
      <c r="AD184" s="5334"/>
      <c r="AE184" s="5335">
        <f>AE183+AF183</f>
        <v>13</v>
      </c>
      <c r="AF184" s="5335"/>
      <c r="AG184" s="5335">
        <f>AG183+AH183</f>
        <v>26</v>
      </c>
      <c r="AH184" s="5335"/>
      <c r="AI184" s="2636"/>
      <c r="AJ184" s="2636"/>
      <c r="AK184" s="2636">
        <f>SUM(AC184:AD184)+AE184</f>
        <v>383</v>
      </c>
      <c r="AL184" s="3462">
        <f>COUNTA(AL157:AL182)</f>
        <v>0</v>
      </c>
      <c r="AM184" s="3462">
        <f t="shared" ref="AM184:AQ184" si="46">COUNTA(AM157:AM182)</f>
        <v>12</v>
      </c>
      <c r="AN184" s="3462">
        <f t="shared" si="46"/>
        <v>0</v>
      </c>
      <c r="AO184" s="3462">
        <f t="shared" si="46"/>
        <v>0</v>
      </c>
      <c r="AP184" s="3462">
        <f t="shared" si="46"/>
        <v>0</v>
      </c>
      <c r="AQ184" s="3462">
        <f t="shared" si="46"/>
        <v>0</v>
      </c>
      <c r="AR184" s="3462">
        <v>12</v>
      </c>
    </row>
    <row r="185" spans="1:45" s="1446" customFormat="1" ht="27.95" customHeight="1">
      <c r="A185" s="3695" t="s">
        <v>230</v>
      </c>
      <c r="B185" s="3695">
        <f>SUM(Estadisticas!AY28:AZ28)</f>
        <v>8</v>
      </c>
      <c r="C185" s="3695">
        <f>SUM(Estadisticas!BA28:BB28)</f>
        <v>3</v>
      </c>
      <c r="D185" s="3695">
        <f>SUM(Estadisticas!BC28:BD28)</f>
        <v>5</v>
      </c>
      <c r="E185" s="3695">
        <f>SUM(Estadisticas!BE28:BF28)</f>
        <v>3</v>
      </c>
      <c r="F185" s="3695">
        <f>SUM(Estadisticas!BG28:BH28)</f>
        <v>5</v>
      </c>
      <c r="G185" s="3695">
        <f>SUM(Estadisticas!BI28:BJ28)</f>
        <v>2</v>
      </c>
      <c r="H185" s="5413">
        <f>SUM(B185:G185)</f>
        <v>26</v>
      </c>
      <c r="I185" s="5413"/>
      <c r="J185" s="3711"/>
      <c r="K185" s="3711"/>
      <c r="L185" s="3696" t="s">
        <v>423</v>
      </c>
      <c r="M185" s="3695">
        <f>SUM(AE158:AF159)</f>
        <v>3</v>
      </c>
      <c r="N185" s="3695">
        <f>SUM(AE160:AF161)</f>
        <v>4</v>
      </c>
      <c r="O185" s="3695">
        <f>SUM(AE162:AF163)</f>
        <v>1</v>
      </c>
      <c r="P185" s="3695">
        <f>SUM(AE164:AF165)</f>
        <v>2</v>
      </c>
      <c r="Q185" s="3695">
        <f>SUM(AE166:AF167)</f>
        <v>0</v>
      </c>
      <c r="R185" s="3695">
        <f>SUM(AE168:AF169)</f>
        <v>3</v>
      </c>
      <c r="S185" s="3695">
        <f t="shared" ref="S185:S186" si="47">SUM(M185:R185)</f>
        <v>13</v>
      </c>
      <c r="T185" s="2618"/>
      <c r="U185" s="3711" t="str">
        <f>U65</f>
        <v>PRE</v>
      </c>
      <c r="V185" s="3712">
        <f>'[1]0564N'!$F$39</f>
        <v>2</v>
      </c>
      <c r="W185" s="3712">
        <f>'[1]0564N'!$I$39</f>
        <v>2</v>
      </c>
      <c r="X185" s="3712">
        <f>'[1]0564N'!$L$39</f>
        <v>2</v>
      </c>
      <c r="Y185" s="3712">
        <f>'[1]0564N'!$O$39</f>
        <v>2</v>
      </c>
      <c r="Z185" s="3712">
        <f>'[1]0564N'!$R$39</f>
        <v>2</v>
      </c>
      <c r="AA185" s="3712">
        <f>'[1]0564N'!$U$39</f>
        <v>2</v>
      </c>
      <c r="AB185" s="3712">
        <f>SUM(V185:AA185)</f>
        <v>12</v>
      </c>
      <c r="AC185" s="2683"/>
      <c r="AD185" s="3238"/>
      <c r="AE185" s="2620"/>
      <c r="AF185" s="2621"/>
      <c r="AG185" s="2620"/>
      <c r="AH185" s="2621"/>
      <c r="AN185" s="3448"/>
      <c r="AO185" s="3448"/>
      <c r="AP185" s="3448"/>
      <c r="AQ185" s="3448"/>
      <c r="AR185" s="3448"/>
    </row>
    <row r="186" spans="1:45" s="1441" customFormat="1" ht="27.95" customHeight="1">
      <c r="A186" s="3698" t="s">
        <v>478</v>
      </c>
      <c r="B186" s="3698">
        <f>SUM(Estadisticas!BK28:BL28)</f>
        <v>0</v>
      </c>
      <c r="C186" s="3698">
        <f>SUM(Estadisticas!BM28:BN28)</f>
        <v>0</v>
      </c>
      <c r="D186" s="3698">
        <f>SUM(Estadisticas!BO28:BP28)</f>
        <v>0</v>
      </c>
      <c r="E186" s="3698">
        <f>SUM(Estadisticas!BQ28:BR28)</f>
        <v>0</v>
      </c>
      <c r="F186" s="3698">
        <f>SUM(Estadisticas!BS28:BT28)</f>
        <v>0</v>
      </c>
      <c r="G186" s="3698">
        <f>SUM(Estadisticas!BU28:BV28)</f>
        <v>0</v>
      </c>
      <c r="H186" s="5414">
        <f>SUM(B186:G186)</f>
        <v>0</v>
      </c>
      <c r="I186" s="5414"/>
      <c r="J186" s="3713"/>
      <c r="K186" s="3714"/>
      <c r="L186" s="3701" t="s">
        <v>434</v>
      </c>
      <c r="M186" s="3702">
        <f>SUM(AG158:AH159)</f>
        <v>8</v>
      </c>
      <c r="N186" s="3702">
        <f>SUM(AG160:AH161)</f>
        <v>3</v>
      </c>
      <c r="O186" s="3702">
        <f>SUM(AG162:AH163)</f>
        <v>5</v>
      </c>
      <c r="P186" s="3702">
        <f>SUM(AG164:AH165)</f>
        <v>3</v>
      </c>
      <c r="Q186" s="3702">
        <f>SUM(AG166:AH167)</f>
        <v>5</v>
      </c>
      <c r="R186" s="3702">
        <f>SUM(AG168:AH169)</f>
        <v>2</v>
      </c>
      <c r="S186" s="3702">
        <f t="shared" si="47"/>
        <v>26</v>
      </c>
      <c r="T186" s="3713"/>
      <c r="U186" s="3712">
        <f>'[1]0564N'!$O$26</f>
        <v>0</v>
      </c>
      <c r="V186" s="3712">
        <f>'[1]0564N'!$F$35</f>
        <v>62</v>
      </c>
      <c r="W186" s="3712">
        <f>'[1]0564N'!$I$35</f>
        <v>70</v>
      </c>
      <c r="X186" s="3712">
        <f>'[1]0564N'!$L$35</f>
        <v>63</v>
      </c>
      <c r="Y186" s="3712">
        <f>'[1]0564N'!$O$35</f>
        <v>56</v>
      </c>
      <c r="Z186" s="3712">
        <f>'[1]0564N'!$R$35</f>
        <v>45</v>
      </c>
      <c r="AA186" s="3712">
        <f>'[1]0564N'!$U$35</f>
        <v>61</v>
      </c>
      <c r="AB186" s="3712">
        <f>SUM(V186:AA186)</f>
        <v>357</v>
      </c>
      <c r="AC186" s="2683"/>
      <c r="AD186" s="3238"/>
      <c r="AE186" s="2620"/>
      <c r="AF186" s="2621"/>
      <c r="AG186" s="2620"/>
      <c r="AH186" s="2621"/>
      <c r="AI186" s="1444"/>
      <c r="AJ186" s="1444"/>
      <c r="AK186" s="1444"/>
      <c r="AL186" s="1444"/>
      <c r="AM186" s="1444"/>
      <c r="AN186" s="3445"/>
      <c r="AO186" s="3445"/>
      <c r="AP186" s="3445"/>
      <c r="AQ186" s="3445"/>
      <c r="AR186" s="3445"/>
      <c r="AS186" s="108"/>
    </row>
    <row r="187" spans="1:45" s="1448" customFormat="1" ht="27.95" customHeight="1">
      <c r="A187" s="175"/>
      <c r="B187" s="1427"/>
      <c r="C187" s="173"/>
      <c r="D187" s="3262" t="s">
        <v>1193</v>
      </c>
      <c r="E187" s="5388" t="str">
        <f>B157</f>
        <v>CETINA CHAY * JUAN CARLOS</v>
      </c>
      <c r="F187" s="5388"/>
      <c r="G187" s="5388"/>
      <c r="H187" s="5388"/>
      <c r="I187" s="5388"/>
      <c r="J187" s="5388"/>
      <c r="K187" s="1603"/>
      <c r="L187" s="1428"/>
      <c r="M187" s="3262" t="s">
        <v>1234</v>
      </c>
      <c r="N187" s="5388" t="str">
        <f>N147</f>
        <v>RICALDE CASTRO JESUS MARTIN</v>
      </c>
      <c r="O187" s="5388"/>
      <c r="P187" s="5388"/>
      <c r="Q187" s="5388"/>
      <c r="R187" s="5388"/>
      <c r="S187" s="5388"/>
      <c r="T187" s="1603"/>
      <c r="U187" s="1603"/>
      <c r="V187" s="3262" t="s">
        <v>1195</v>
      </c>
      <c r="W187" s="5388" t="str">
        <f>W147</f>
        <v xml:space="preserve">ANCONA FLORES AURA EUGENIA </v>
      </c>
      <c r="X187" s="5388"/>
      <c r="Y187" s="5388"/>
      <c r="Z187" s="5388"/>
      <c r="AA187" s="5388"/>
      <c r="AB187" s="5388"/>
      <c r="AC187" s="2683"/>
      <c r="AD187" s="3238"/>
      <c r="AE187" s="2620"/>
      <c r="AF187" s="2621"/>
      <c r="AG187" s="2620"/>
      <c r="AH187" s="2621"/>
      <c r="AI187" s="2624"/>
      <c r="AJ187" s="2624"/>
      <c r="AK187" s="2636"/>
      <c r="AL187" s="3449"/>
      <c r="AM187" s="3449"/>
      <c r="AN187" s="3449"/>
      <c r="AO187" s="3449"/>
      <c r="AP187" s="3449"/>
      <c r="AQ187" s="3449"/>
      <c r="AR187" s="3449"/>
      <c r="AS187" s="3450"/>
    </row>
    <row r="188" spans="1:45" s="1430" customFormat="1" ht="27.95" customHeight="1">
      <c r="A188" s="1670"/>
      <c r="B188" s="1401"/>
      <c r="C188" s="1401"/>
      <c r="D188" s="1401"/>
      <c r="E188" s="1401"/>
      <c r="F188" s="1402"/>
      <c r="G188" s="1402"/>
      <c r="H188" s="1402"/>
      <c r="I188" s="1402"/>
      <c r="J188" s="1402"/>
      <c r="K188" s="27"/>
      <c r="M188" s="1431" t="s">
        <v>196</v>
      </c>
      <c r="N188" s="1402"/>
      <c r="O188" s="1402"/>
      <c r="P188" s="1402"/>
      <c r="Q188" s="1402"/>
      <c r="R188" s="1402"/>
      <c r="S188" s="1402"/>
      <c r="T188" s="1401"/>
      <c r="V188" s="3263"/>
      <c r="W188" s="1432" t="s">
        <v>764</v>
      </c>
      <c r="X188" s="5221" t="s">
        <v>247</v>
      </c>
      <c r="Y188" s="5221"/>
      <c r="Z188" s="5221"/>
      <c r="AA188" s="5221"/>
      <c r="AB188" s="1644"/>
      <c r="AC188" s="2683"/>
      <c r="AD188" s="3238"/>
      <c r="AE188" s="2637"/>
      <c r="AF188" s="2638"/>
      <c r="AG188" s="2637"/>
      <c r="AH188" s="2638"/>
      <c r="AI188" s="1449"/>
      <c r="AJ188" s="1449"/>
      <c r="AK188" s="2636"/>
      <c r="AL188" s="3451"/>
      <c r="AM188" s="3451"/>
      <c r="AN188" s="3451"/>
      <c r="AO188" s="3451"/>
      <c r="AP188" s="3451"/>
      <c r="AQ188" s="3451"/>
      <c r="AR188" s="3451"/>
      <c r="AS188" s="3452"/>
    </row>
    <row r="189" spans="1:45" ht="27.95" customHeight="1">
      <c r="A189" s="1663"/>
      <c r="B189" s="1406"/>
      <c r="C189" s="1406"/>
      <c r="D189" s="1406"/>
      <c r="E189" s="1406"/>
      <c r="F189" s="1407"/>
      <c r="G189" s="1407"/>
      <c r="H189" s="1407"/>
      <c r="I189" s="1407"/>
      <c r="J189" s="1407"/>
      <c r="K189" s="1407"/>
      <c r="L189" s="1407"/>
      <c r="M189" s="3260" t="s">
        <v>1148</v>
      </c>
      <c r="N189" s="1407"/>
      <c r="O189" s="1407"/>
      <c r="P189" s="1407"/>
      <c r="Q189" s="1407"/>
      <c r="R189" s="1407"/>
      <c r="S189" s="1407"/>
      <c r="T189" s="1408"/>
      <c r="U189" s="1408"/>
      <c r="V189" s="3263"/>
      <c r="W189" s="1432" t="s">
        <v>1149</v>
      </c>
      <c r="X189" s="5221" t="str">
        <f>X149</f>
        <v>2012 / 2013</v>
      </c>
      <c r="Y189" s="5221"/>
      <c r="Z189" s="5221"/>
      <c r="AA189" s="5221"/>
      <c r="AB189" s="1417"/>
      <c r="AC189" s="2683"/>
      <c r="AD189" s="3238"/>
      <c r="AE189" s="2620"/>
      <c r="AF189" s="2621"/>
      <c r="AG189" s="2620"/>
      <c r="AH189" s="2621"/>
      <c r="AK189" s="2636"/>
      <c r="AR189" s="3445"/>
    </row>
    <row r="190" spans="1:45" ht="27.95" customHeight="1">
      <c r="A190" s="1663"/>
      <c r="B190" s="1410"/>
      <c r="C190" s="1410"/>
      <c r="D190" s="1410"/>
      <c r="E190" s="1410"/>
      <c r="F190" s="1407"/>
      <c r="G190" s="1407"/>
      <c r="H190" s="1407"/>
      <c r="I190" s="1407"/>
      <c r="J190" s="1407"/>
      <c r="K190" s="1407"/>
      <c r="M190" s="3260" t="s">
        <v>1150</v>
      </c>
      <c r="N190" s="1407"/>
      <c r="O190" s="1407"/>
      <c r="P190" s="1407"/>
      <c r="Q190" s="1407"/>
      <c r="R190" s="1407"/>
      <c r="S190" s="1407"/>
      <c r="T190" s="1433"/>
      <c r="U190" s="1433"/>
      <c r="V190" s="1434"/>
      <c r="W190" s="3281" t="s">
        <v>42</v>
      </c>
      <c r="X190" s="5391" t="str">
        <f>X150</f>
        <v>042</v>
      </c>
      <c r="Y190" s="5391"/>
      <c r="Z190" s="5391"/>
      <c r="AA190" s="5391"/>
      <c r="AB190" s="1417"/>
      <c r="AC190" s="2683"/>
      <c r="AD190" s="3238"/>
      <c r="AE190" s="2620"/>
      <c r="AF190" s="2621"/>
      <c r="AG190" s="2620"/>
      <c r="AH190" s="2621"/>
      <c r="AK190" s="2636"/>
      <c r="AR190" s="3445"/>
    </row>
    <row r="191" spans="1:45" ht="27.95" customHeight="1">
      <c r="A191" s="1663"/>
      <c r="B191" s="1410"/>
      <c r="C191" s="1410"/>
      <c r="D191" s="1410"/>
      <c r="E191" s="1410"/>
      <c r="F191" s="1406"/>
      <c r="H191" s="1413"/>
      <c r="I191" s="1413"/>
      <c r="J191" s="1414"/>
      <c r="K191" s="1414"/>
      <c r="L191" s="1415" t="s">
        <v>1197</v>
      </c>
      <c r="M191" s="1415">
        <f>M151</f>
        <v>8</v>
      </c>
      <c r="N191" s="3271" t="s">
        <v>1152</v>
      </c>
      <c r="O191" s="5371" t="str">
        <f>O151</f>
        <v>AGOSTO</v>
      </c>
      <c r="P191" s="5371"/>
      <c r="Q191" s="1435" t="s">
        <v>1152</v>
      </c>
      <c r="R191" s="5371">
        <f>R151</f>
        <v>2012</v>
      </c>
      <c r="S191" s="5371"/>
      <c r="T191" s="1406"/>
      <c r="U191" s="5372" t="s">
        <v>246</v>
      </c>
      <c r="V191" s="5372"/>
      <c r="W191" s="5372"/>
      <c r="X191" s="5372"/>
      <c r="Y191" s="1436" t="s">
        <v>245</v>
      </c>
      <c r="Z191" s="1436"/>
      <c r="AA191" s="1436"/>
      <c r="AB191" s="1417"/>
      <c r="AC191" s="2683"/>
      <c r="AD191" s="3238"/>
      <c r="AE191" s="2620"/>
      <c r="AF191" s="2621"/>
      <c r="AG191" s="2620"/>
      <c r="AH191" s="2621"/>
      <c r="AK191" s="2636"/>
      <c r="AR191" s="3445"/>
    </row>
    <row r="192" spans="1:45" ht="27.95" customHeight="1">
      <c r="A192" s="5356" t="s">
        <v>1153</v>
      </c>
      <c r="B192" s="5356"/>
      <c r="C192" s="5356"/>
      <c r="D192" s="5389" t="s">
        <v>2314</v>
      </c>
      <c r="E192" s="5389"/>
      <c r="F192" s="5389"/>
      <c r="G192" s="5389"/>
      <c r="H192" s="5389"/>
      <c r="I192" s="5389"/>
      <c r="J192" s="5389"/>
      <c r="K192" s="5389"/>
      <c r="L192" s="3281" t="s">
        <v>19</v>
      </c>
      <c r="M192" s="5370" t="s">
        <v>1253</v>
      </c>
      <c r="N192" s="5370"/>
      <c r="O192" s="5390" t="s">
        <v>13</v>
      </c>
      <c r="P192" s="5390"/>
      <c r="Q192" s="5370" t="s">
        <v>77</v>
      </c>
      <c r="R192" s="5370"/>
      <c r="S192" s="5370"/>
      <c r="T192" s="174"/>
      <c r="U192" s="1418" t="s">
        <v>1157</v>
      </c>
      <c r="V192" s="5221" t="str">
        <f>V152</f>
        <v>2  BENITO JUAREZ</v>
      </c>
      <c r="W192" s="5221"/>
      <c r="X192" s="5221"/>
      <c r="Y192" s="5221"/>
      <c r="Z192" s="5221"/>
      <c r="AA192" s="5221"/>
      <c r="AB192" s="5221"/>
      <c r="AC192" s="2683"/>
      <c r="AD192" s="3238"/>
      <c r="AE192" s="2620"/>
      <c r="AF192" s="2621"/>
      <c r="AG192" s="2620"/>
      <c r="AH192" s="2621"/>
      <c r="AK192" s="2636"/>
      <c r="AR192" s="3445"/>
    </row>
    <row r="193" spans="1:45" s="1439" customFormat="1" ht="27.95" customHeight="1">
      <c r="A193" s="5356" t="s">
        <v>437</v>
      </c>
      <c r="B193" s="5356"/>
      <c r="C193" s="5389" t="s">
        <v>2315</v>
      </c>
      <c r="D193" s="5389"/>
      <c r="E193" s="5389"/>
      <c r="F193" s="5389"/>
      <c r="G193" s="5389"/>
      <c r="H193" s="5389"/>
      <c r="I193" s="5389"/>
      <c r="J193" s="5389"/>
      <c r="K193" s="5389"/>
      <c r="L193" s="5389"/>
      <c r="M193" s="5389"/>
      <c r="N193" s="1419"/>
      <c r="O193" s="3281" t="s">
        <v>863</v>
      </c>
      <c r="P193" s="5442" t="str">
        <f>'[1]0570Y'!$I$8</f>
        <v>9981-09-97-59</v>
      </c>
      <c r="Q193" s="5442"/>
      <c r="R193" s="5442"/>
      <c r="S193" s="5442"/>
      <c r="T193" s="5442"/>
      <c r="U193" s="1420"/>
      <c r="V193" s="3281"/>
      <c r="W193" s="3281" t="s">
        <v>1159</v>
      </c>
      <c r="X193" s="5358" t="str">
        <f>X153</f>
        <v>8  DE  AGOSTO  DE  2012</v>
      </c>
      <c r="Y193" s="5358"/>
      <c r="Z193" s="5358"/>
      <c r="AA193" s="5358"/>
      <c r="AB193" s="5358"/>
      <c r="AC193" s="5331" t="str">
        <f>D192</f>
        <v>DERECHOS DEL NIÑO</v>
      </c>
      <c r="AD193" s="5331"/>
      <c r="AE193" s="5331"/>
      <c r="AF193" s="5331"/>
      <c r="AG193" s="5331"/>
      <c r="AH193" s="5331"/>
      <c r="AI193" s="5332" t="str">
        <f>M192</f>
        <v>23DPR0570Y</v>
      </c>
      <c r="AJ193" s="5332"/>
      <c r="AK193" s="5332"/>
      <c r="AL193" s="3446"/>
      <c r="AM193" s="3446"/>
      <c r="AN193" s="3446"/>
      <c r="AO193" s="3446"/>
      <c r="AP193" s="3446"/>
      <c r="AQ193" s="3446"/>
      <c r="AR193" s="3446"/>
      <c r="AS193" s="2166"/>
    </row>
    <row r="194" spans="1:45" s="1441" customFormat="1" ht="9.9499999999999993" customHeight="1">
      <c r="A194" s="1421"/>
      <c r="B194" s="1422"/>
      <c r="C194" s="1422"/>
      <c r="D194" s="3261"/>
      <c r="E194" s="3261"/>
      <c r="F194" s="3261"/>
      <c r="G194" s="3261"/>
      <c r="H194" s="3261"/>
      <c r="I194" s="3261"/>
      <c r="J194" s="3261"/>
      <c r="K194" s="3261"/>
      <c r="L194" s="3261"/>
      <c r="M194" s="1421"/>
      <c r="N194" s="1423"/>
      <c r="O194" s="1423"/>
      <c r="P194" s="1423"/>
      <c r="Q194" s="1424"/>
      <c r="R194" s="1423"/>
      <c r="S194" s="1423"/>
      <c r="T194" s="1422"/>
      <c r="U194" s="1422"/>
      <c r="V194" s="3261"/>
      <c r="W194" s="3261"/>
      <c r="X194" s="3261"/>
      <c r="Y194" s="3261"/>
      <c r="Z194" s="1422"/>
      <c r="AA194" s="1422"/>
      <c r="AB194" s="1422"/>
      <c r="AC194" s="2689"/>
      <c r="AD194" s="2690"/>
      <c r="AE194" s="2639"/>
      <c r="AF194" s="2640"/>
      <c r="AG194" s="2639"/>
      <c r="AH194" s="2640"/>
      <c r="AI194" s="1444"/>
      <c r="AJ194" s="1444"/>
      <c r="AK194" s="2636"/>
      <c r="AL194" s="3445"/>
      <c r="AM194" s="3445"/>
      <c r="AN194" s="3445"/>
      <c r="AO194" s="3445"/>
      <c r="AP194" s="3445"/>
      <c r="AQ194" s="3445"/>
      <c r="AR194" s="3445"/>
      <c r="AS194" s="108"/>
    </row>
    <row r="195" spans="1:45" s="1442" customFormat="1" ht="27.95" customHeight="1">
      <c r="A195" s="5415" t="s">
        <v>1160</v>
      </c>
      <c r="B195" s="5416" t="s">
        <v>1235</v>
      </c>
      <c r="C195" s="5416"/>
      <c r="D195" s="5416"/>
      <c r="E195" s="5416"/>
      <c r="F195" s="5416"/>
      <c r="G195" s="5416"/>
      <c r="H195" s="5417" t="s">
        <v>1161</v>
      </c>
      <c r="I195" s="5417"/>
      <c r="J195" s="5417" t="s">
        <v>212</v>
      </c>
      <c r="K195" s="5417" t="s">
        <v>1162</v>
      </c>
      <c r="L195" s="5417" t="s">
        <v>1163</v>
      </c>
      <c r="M195" s="5417"/>
      <c r="N195" s="5417" t="s">
        <v>1164</v>
      </c>
      <c r="O195" s="5417"/>
      <c r="P195" s="5417" t="s">
        <v>1165</v>
      </c>
      <c r="Q195" s="5417"/>
      <c r="R195" s="5417" t="s">
        <v>1166</v>
      </c>
      <c r="S195" s="5417"/>
      <c r="T195" s="5417" t="s">
        <v>1167</v>
      </c>
      <c r="U195" s="5417" t="s">
        <v>1168</v>
      </c>
      <c r="V195" s="5417"/>
      <c r="W195" s="5417" t="s">
        <v>1169</v>
      </c>
      <c r="X195" s="5417"/>
      <c r="Y195" s="5417" t="s">
        <v>3</v>
      </c>
      <c r="Z195" s="5417" t="s">
        <v>4</v>
      </c>
      <c r="AA195" s="5417" t="s">
        <v>28</v>
      </c>
      <c r="AB195" s="5417"/>
      <c r="AC195" s="5340" t="str">
        <f>AC155</f>
        <v>INICIAL</v>
      </c>
      <c r="AD195" s="5340"/>
      <c r="AE195" s="5344" t="str">
        <f>AE155</f>
        <v>ALTAS</v>
      </c>
      <c r="AF195" s="5345"/>
      <c r="AG195" s="5346" t="str">
        <f>AG155</f>
        <v>BAJAS</v>
      </c>
      <c r="AH195" s="5347"/>
      <c r="AI195" s="5333" t="str">
        <f>AI155</f>
        <v>REP</v>
      </c>
      <c r="AJ195" s="5333"/>
      <c r="AK195" s="2625" t="str">
        <f>AK155</f>
        <v>INI</v>
      </c>
      <c r="AL195" s="5328" t="s">
        <v>2509</v>
      </c>
      <c r="AM195" s="5329"/>
      <c r="AN195" s="5329"/>
      <c r="AO195" s="5329"/>
      <c r="AP195" s="5329"/>
      <c r="AQ195" s="5329"/>
      <c r="AR195" s="5330"/>
    </row>
    <row r="196" spans="1:45" s="1442" customFormat="1" ht="27.95" customHeight="1">
      <c r="A196" s="5424"/>
      <c r="B196" s="5425"/>
      <c r="C196" s="5425"/>
      <c r="D196" s="5425"/>
      <c r="E196" s="5425"/>
      <c r="F196" s="5425"/>
      <c r="G196" s="5425"/>
      <c r="H196" s="3270" t="s">
        <v>407</v>
      </c>
      <c r="I196" s="3270" t="s">
        <v>403</v>
      </c>
      <c r="J196" s="5426"/>
      <c r="K196" s="5426"/>
      <c r="L196" s="5426"/>
      <c r="M196" s="5426"/>
      <c r="N196" s="5426"/>
      <c r="O196" s="5426"/>
      <c r="P196" s="3270" t="s">
        <v>1170</v>
      </c>
      <c r="Q196" s="3270" t="s">
        <v>1171</v>
      </c>
      <c r="R196" s="3270" t="s">
        <v>1172</v>
      </c>
      <c r="S196" s="3270" t="s">
        <v>1173</v>
      </c>
      <c r="T196" s="5426"/>
      <c r="U196" s="5426"/>
      <c r="V196" s="5426"/>
      <c r="W196" s="5426"/>
      <c r="X196" s="5426"/>
      <c r="Y196" s="5426"/>
      <c r="Z196" s="5426"/>
      <c r="AA196" s="5426"/>
      <c r="AB196" s="5426"/>
      <c r="AC196" s="3295" t="str">
        <f>AC156</f>
        <v>H</v>
      </c>
      <c r="AD196" s="2686" t="str">
        <f>AD156</f>
        <v>M</v>
      </c>
      <c r="AE196" s="3295" t="str">
        <f t="shared" ref="AE196:AJ196" si="48">AE156</f>
        <v>H</v>
      </c>
      <c r="AF196" s="2686" t="str">
        <f t="shared" si="48"/>
        <v>M</v>
      </c>
      <c r="AG196" s="3295" t="str">
        <f t="shared" si="48"/>
        <v>H</v>
      </c>
      <c r="AH196" s="2686" t="str">
        <f t="shared" si="48"/>
        <v>M</v>
      </c>
      <c r="AI196" s="3295" t="str">
        <f t="shared" si="48"/>
        <v>H</v>
      </c>
      <c r="AJ196" s="2686" t="str">
        <f t="shared" si="48"/>
        <v>M</v>
      </c>
      <c r="AK196" s="2627" t="str">
        <f>AK156</f>
        <v>TTS</v>
      </c>
      <c r="AL196" s="3455" t="s">
        <v>393</v>
      </c>
      <c r="AM196" s="3463" t="s">
        <v>8</v>
      </c>
      <c r="AN196" s="3456" t="s">
        <v>347</v>
      </c>
      <c r="AO196" s="3456" t="s">
        <v>348</v>
      </c>
      <c r="AP196" s="3456" t="s">
        <v>2062</v>
      </c>
      <c r="AQ196" s="3457" t="s">
        <v>2081</v>
      </c>
      <c r="AR196" s="3456" t="s">
        <v>2510</v>
      </c>
    </row>
    <row r="197" spans="1:45" s="1443" customFormat="1" ht="27.95" customHeight="1">
      <c r="A197" s="3274">
        <v>1</v>
      </c>
      <c r="B197" s="2158" t="s">
        <v>2636</v>
      </c>
      <c r="C197" s="3650"/>
      <c r="D197" s="2147"/>
      <c r="E197" s="2147"/>
      <c r="F197" s="2147"/>
      <c r="G197" s="2149"/>
      <c r="H197" s="3274" t="s">
        <v>78</v>
      </c>
      <c r="I197" s="3274"/>
      <c r="J197" s="3290" t="s">
        <v>1301</v>
      </c>
      <c r="K197" s="3290" t="s">
        <v>1891</v>
      </c>
      <c r="L197" s="3671" t="s">
        <v>93</v>
      </c>
      <c r="M197" s="3672"/>
      <c r="N197" s="5349" t="s">
        <v>1302</v>
      </c>
      <c r="O197" s="5350"/>
      <c r="P197" s="3243"/>
      <c r="Q197" s="3243" t="s">
        <v>79</v>
      </c>
      <c r="R197" s="3243"/>
      <c r="S197" s="2877" t="s">
        <v>2157</v>
      </c>
      <c r="T197" s="3274" t="s">
        <v>680</v>
      </c>
      <c r="U197" s="5350">
        <v>10</v>
      </c>
      <c r="V197" s="5350"/>
      <c r="W197" s="5394" t="s">
        <v>1246</v>
      </c>
      <c r="X197" s="5394"/>
      <c r="Y197" s="3286"/>
      <c r="Z197" s="3286"/>
      <c r="AA197" s="5396">
        <f>AC197+AD197+AE197+AF197-AG197-AH197</f>
        <v>0</v>
      </c>
      <c r="AB197" s="5396"/>
      <c r="AC197" s="2682"/>
      <c r="AD197" s="3289"/>
      <c r="AE197" s="2628"/>
      <c r="AF197" s="2629"/>
      <c r="AG197" s="2628"/>
      <c r="AH197" s="2629"/>
      <c r="AI197" s="2628"/>
      <c r="AJ197" s="2629"/>
      <c r="AK197" s="2670">
        <f t="shared" si="39"/>
        <v>0</v>
      </c>
      <c r="AL197" s="3464"/>
      <c r="AM197" s="3448"/>
      <c r="AN197" s="3448"/>
      <c r="AO197" s="3448"/>
      <c r="AP197" s="3448"/>
      <c r="AQ197" s="3448"/>
      <c r="AR197" s="3458" t="e">
        <f t="shared" ref="AR197:AR210" si="49">SUM(AM197:AQ197)/AS197</f>
        <v>#DIV/0!</v>
      </c>
      <c r="AS197" s="3459">
        <f>COUNTA(AM197:AQ197)</f>
        <v>0</v>
      </c>
    </row>
    <row r="198" spans="1:45" s="1443" customFormat="1" ht="27.95" customHeight="1">
      <c r="A198" s="3274">
        <v>2</v>
      </c>
      <c r="B198" s="2158" t="s">
        <v>2348</v>
      </c>
      <c r="C198" s="3650"/>
      <c r="D198" s="2147"/>
      <c r="E198" s="2147"/>
      <c r="F198" s="2147"/>
      <c r="G198" s="2149"/>
      <c r="H198" s="3636"/>
      <c r="I198" s="3636" t="s">
        <v>78</v>
      </c>
      <c r="J198" s="3646" t="s">
        <v>1305</v>
      </c>
      <c r="K198" s="3646" t="s">
        <v>1894</v>
      </c>
      <c r="L198" s="3671" t="s">
        <v>390</v>
      </c>
      <c r="M198" s="3672"/>
      <c r="N198" s="5349" t="s">
        <v>1306</v>
      </c>
      <c r="O198" s="5350"/>
      <c r="P198" s="3243"/>
      <c r="Q198" s="3243" t="s">
        <v>79</v>
      </c>
      <c r="R198" s="3243"/>
      <c r="S198" s="2877" t="s">
        <v>2159</v>
      </c>
      <c r="T198" s="3636" t="s">
        <v>683</v>
      </c>
      <c r="U198" s="5350">
        <v>10</v>
      </c>
      <c r="V198" s="5350"/>
      <c r="W198" s="5351" t="s">
        <v>1216</v>
      </c>
      <c r="X198" s="5351"/>
      <c r="Y198" s="3286" t="s">
        <v>765</v>
      </c>
      <c r="Z198" s="3286" t="s">
        <v>228</v>
      </c>
      <c r="AA198" s="5411">
        <f t="shared" ref="AA198:AA222" si="50">AC198+AD198+AE198+AF198-AG198-AH198</f>
        <v>28</v>
      </c>
      <c r="AB198" s="5411"/>
      <c r="AC198" s="2682">
        <v>13</v>
      </c>
      <c r="AD198" s="3289">
        <v>14</v>
      </c>
      <c r="AE198" s="2628">
        <v>1</v>
      </c>
      <c r="AF198" s="2629">
        <v>2</v>
      </c>
      <c r="AG198" s="2628">
        <v>2</v>
      </c>
      <c r="AH198" s="2629"/>
      <c r="AI198" s="2628"/>
      <c r="AJ198" s="2629"/>
      <c r="AK198" s="2671">
        <f t="shared" si="39"/>
        <v>27</v>
      </c>
      <c r="AL198" s="3464"/>
      <c r="AM198" s="3448">
        <v>7</v>
      </c>
      <c r="AN198" s="3448"/>
      <c r="AO198" s="3448"/>
      <c r="AP198" s="3448"/>
      <c r="AQ198" s="3448"/>
      <c r="AR198" s="3458">
        <f t="shared" si="49"/>
        <v>7</v>
      </c>
      <c r="AS198" s="3459">
        <f t="shared" ref="AS198:AS223" si="51">COUNTA(AM198:AQ198)</f>
        <v>1</v>
      </c>
    </row>
    <row r="199" spans="1:45" s="1443" customFormat="1" ht="27.95" customHeight="1">
      <c r="A199" s="3274">
        <v>3</v>
      </c>
      <c r="B199" s="2158" t="s">
        <v>2358</v>
      </c>
      <c r="C199" s="3650"/>
      <c r="D199" s="2147"/>
      <c r="E199" s="2147"/>
      <c r="F199" s="2147"/>
      <c r="G199" s="2149"/>
      <c r="H199" s="3636"/>
      <c r="I199" s="3636" t="s">
        <v>78</v>
      </c>
      <c r="J199" s="3646" t="s">
        <v>1290</v>
      </c>
      <c r="K199" s="3646" t="s">
        <v>1892</v>
      </c>
      <c r="L199" s="3671" t="s">
        <v>390</v>
      </c>
      <c r="M199" s="3672"/>
      <c r="N199" s="5354" t="s">
        <v>1277</v>
      </c>
      <c r="O199" s="5418"/>
      <c r="P199" s="3243"/>
      <c r="Q199" s="3243" t="s">
        <v>79</v>
      </c>
      <c r="R199" s="3243"/>
      <c r="S199" s="2877" t="s">
        <v>2158</v>
      </c>
      <c r="T199" s="3636" t="s">
        <v>680</v>
      </c>
      <c r="U199" s="5419">
        <v>10</v>
      </c>
      <c r="V199" s="5418"/>
      <c r="W199" s="5351" t="s">
        <v>1303</v>
      </c>
      <c r="X199" s="5351"/>
      <c r="Y199" s="3286" t="s">
        <v>766</v>
      </c>
      <c r="Z199" s="3286" t="s">
        <v>228</v>
      </c>
      <c r="AA199" s="5411">
        <f t="shared" si="50"/>
        <v>32</v>
      </c>
      <c r="AB199" s="5411"/>
      <c r="AC199" s="2682">
        <v>21</v>
      </c>
      <c r="AD199" s="3289">
        <v>14</v>
      </c>
      <c r="AE199" s="2628">
        <v>2</v>
      </c>
      <c r="AF199" s="2629">
        <v>1</v>
      </c>
      <c r="AG199" s="2628">
        <v>3</v>
      </c>
      <c r="AH199" s="2629">
        <v>3</v>
      </c>
      <c r="AI199" s="2628"/>
      <c r="AJ199" s="2629"/>
      <c r="AK199" s="2671">
        <f t="shared" si="39"/>
        <v>35</v>
      </c>
      <c r="AL199" s="3464"/>
      <c r="AM199" s="3448">
        <v>6</v>
      </c>
      <c r="AN199" s="3448"/>
      <c r="AO199" s="3448"/>
      <c r="AP199" s="3448"/>
      <c r="AQ199" s="3448"/>
      <c r="AR199" s="3458">
        <f t="shared" si="49"/>
        <v>6</v>
      </c>
      <c r="AS199" s="3459">
        <f t="shared" si="51"/>
        <v>1</v>
      </c>
    </row>
    <row r="200" spans="1:45" s="1443" customFormat="1" ht="27.95" customHeight="1">
      <c r="A200" s="3274">
        <v>4</v>
      </c>
      <c r="B200" s="2158" t="s">
        <v>2349</v>
      </c>
      <c r="C200" s="3650"/>
      <c r="D200" s="2147"/>
      <c r="E200" s="2147"/>
      <c r="F200" s="2147"/>
      <c r="G200" s="2149"/>
      <c r="H200" s="3636" t="s">
        <v>78</v>
      </c>
      <c r="I200" s="3636"/>
      <c r="J200" s="3646" t="s">
        <v>1291</v>
      </c>
      <c r="K200" s="3646" t="s">
        <v>1893</v>
      </c>
      <c r="L200" s="3671" t="s">
        <v>390</v>
      </c>
      <c r="M200" s="3672"/>
      <c r="N200" s="5354" t="s">
        <v>1277</v>
      </c>
      <c r="O200" s="5418"/>
      <c r="P200" s="3243"/>
      <c r="Q200" s="3243" t="s">
        <v>79</v>
      </c>
      <c r="R200" s="3243"/>
      <c r="S200" s="2877" t="s">
        <v>2152</v>
      </c>
      <c r="T200" s="3636" t="s">
        <v>680</v>
      </c>
      <c r="U200" s="5419">
        <v>10</v>
      </c>
      <c r="V200" s="5418"/>
      <c r="W200" s="5351" t="s">
        <v>1304</v>
      </c>
      <c r="X200" s="5351"/>
      <c r="Y200" s="3644" t="s">
        <v>767</v>
      </c>
      <c r="Z200" s="3286" t="s">
        <v>228</v>
      </c>
      <c r="AA200" s="5411">
        <f t="shared" si="50"/>
        <v>28</v>
      </c>
      <c r="AB200" s="5411"/>
      <c r="AC200" s="2682">
        <v>19</v>
      </c>
      <c r="AD200" s="3289">
        <v>12</v>
      </c>
      <c r="AE200" s="2628">
        <v>4</v>
      </c>
      <c r="AF200" s="2629">
        <v>2</v>
      </c>
      <c r="AG200" s="2628">
        <v>4</v>
      </c>
      <c r="AH200" s="2629">
        <v>5</v>
      </c>
      <c r="AI200" s="2628"/>
      <c r="AJ200" s="2629"/>
      <c r="AK200" s="2671">
        <f t="shared" si="39"/>
        <v>31</v>
      </c>
      <c r="AL200" s="3464"/>
      <c r="AM200" s="3448">
        <v>6.8</v>
      </c>
      <c r="AN200" s="3448"/>
      <c r="AO200" s="3448"/>
      <c r="AP200" s="3448"/>
      <c r="AQ200" s="3448"/>
      <c r="AR200" s="3458">
        <f t="shared" si="49"/>
        <v>6.8</v>
      </c>
      <c r="AS200" s="3459">
        <f t="shared" si="51"/>
        <v>1</v>
      </c>
    </row>
    <row r="201" spans="1:45" s="1443" customFormat="1" ht="27.95" customHeight="1">
      <c r="A201" s="3274">
        <v>5</v>
      </c>
      <c r="B201" s="2728" t="s">
        <v>2353</v>
      </c>
      <c r="C201" s="3650"/>
      <c r="D201" s="2152"/>
      <c r="E201" s="2152"/>
      <c r="F201" s="2152"/>
      <c r="G201" s="2153"/>
      <c r="H201" s="3643" t="s">
        <v>78</v>
      </c>
      <c r="I201" s="3643"/>
      <c r="J201" s="3646" t="s">
        <v>2347</v>
      </c>
      <c r="K201" s="3638" t="s">
        <v>2346</v>
      </c>
      <c r="L201" s="3671" t="s">
        <v>390</v>
      </c>
      <c r="M201" s="3676"/>
      <c r="N201" s="5354" t="s">
        <v>1277</v>
      </c>
      <c r="O201" s="5355"/>
      <c r="P201" s="3247"/>
      <c r="Q201" s="3247" t="s">
        <v>79</v>
      </c>
      <c r="R201" s="3247"/>
      <c r="S201" s="2878" t="s">
        <v>2153</v>
      </c>
      <c r="T201" s="3643"/>
      <c r="U201" s="5354">
        <v>10</v>
      </c>
      <c r="V201" s="5355"/>
      <c r="W201" s="5443"/>
      <c r="X201" s="5444"/>
      <c r="Y201" s="3286" t="s">
        <v>771</v>
      </c>
      <c r="Z201" s="3286" t="s">
        <v>228</v>
      </c>
      <c r="AA201" s="5411">
        <f t="shared" si="50"/>
        <v>26</v>
      </c>
      <c r="AB201" s="5411"/>
      <c r="AC201" s="2682">
        <v>13</v>
      </c>
      <c r="AD201" s="3289">
        <v>10</v>
      </c>
      <c r="AE201" s="2628">
        <v>4</v>
      </c>
      <c r="AF201" s="2629">
        <v>2</v>
      </c>
      <c r="AG201" s="2628">
        <v>3</v>
      </c>
      <c r="AH201" s="2629"/>
      <c r="AI201" s="2628"/>
      <c r="AJ201" s="2629"/>
      <c r="AK201" s="2671">
        <f t="shared" si="39"/>
        <v>23</v>
      </c>
      <c r="AL201" s="3464"/>
      <c r="AM201" s="3448">
        <v>7.1</v>
      </c>
      <c r="AN201" s="3448"/>
      <c r="AO201" s="3448"/>
      <c r="AP201" s="3448"/>
      <c r="AQ201" s="3448"/>
      <c r="AR201" s="3458">
        <f t="shared" si="49"/>
        <v>7.1</v>
      </c>
      <c r="AS201" s="3459">
        <f t="shared" si="51"/>
        <v>1</v>
      </c>
    </row>
    <row r="202" spans="1:45" s="1450" customFormat="1" ht="27.95" customHeight="1">
      <c r="A202" s="3285">
        <v>6</v>
      </c>
      <c r="B202" s="2728" t="s">
        <v>2354</v>
      </c>
      <c r="C202" s="3650"/>
      <c r="D202" s="2152"/>
      <c r="E202" s="2152"/>
      <c r="F202" s="2152"/>
      <c r="G202" s="2153"/>
      <c r="H202" s="3643"/>
      <c r="I202" s="3643" t="s">
        <v>78</v>
      </c>
      <c r="J202" s="3638" t="s">
        <v>1297</v>
      </c>
      <c r="K202" s="3638" t="s">
        <v>1895</v>
      </c>
      <c r="L202" s="3671" t="s">
        <v>390</v>
      </c>
      <c r="M202" s="3676"/>
      <c r="N202" s="5354" t="s">
        <v>1277</v>
      </c>
      <c r="O202" s="5355"/>
      <c r="P202" s="3247"/>
      <c r="Q202" s="3247" t="s">
        <v>79</v>
      </c>
      <c r="R202" s="3247"/>
      <c r="S202" s="2878" t="s">
        <v>2153</v>
      </c>
      <c r="T202" s="3643" t="s">
        <v>680</v>
      </c>
      <c r="U202" s="5354">
        <v>10</v>
      </c>
      <c r="V202" s="5355"/>
      <c r="W202" s="5443" t="s">
        <v>1307</v>
      </c>
      <c r="X202" s="5444"/>
      <c r="Y202" s="3275" t="s">
        <v>772</v>
      </c>
      <c r="Z202" s="3275" t="s">
        <v>228</v>
      </c>
      <c r="AA202" s="5411">
        <f t="shared" si="50"/>
        <v>31</v>
      </c>
      <c r="AB202" s="5411"/>
      <c r="AC202" s="2682">
        <v>18</v>
      </c>
      <c r="AD202" s="3289">
        <v>14</v>
      </c>
      <c r="AE202" s="2628">
        <v>1</v>
      </c>
      <c r="AF202" s="2629">
        <v>1</v>
      </c>
      <c r="AG202" s="2628">
        <v>2</v>
      </c>
      <c r="AH202" s="2629">
        <v>1</v>
      </c>
      <c r="AI202" s="2628"/>
      <c r="AJ202" s="2629"/>
      <c r="AK202" s="2671">
        <f t="shared" si="39"/>
        <v>32</v>
      </c>
      <c r="AL202" s="3464"/>
      <c r="AM202" s="3448">
        <v>7.8</v>
      </c>
      <c r="AN202" s="3448"/>
      <c r="AO202" s="3448"/>
      <c r="AP202" s="3448"/>
      <c r="AQ202" s="3448"/>
      <c r="AR202" s="3458">
        <f t="shared" si="49"/>
        <v>7.8</v>
      </c>
      <c r="AS202" s="3459">
        <f t="shared" si="51"/>
        <v>1</v>
      </c>
    </row>
    <row r="203" spans="1:45" s="1443" customFormat="1" ht="27.95" customHeight="1">
      <c r="A203" s="3274">
        <v>7</v>
      </c>
      <c r="B203" s="2158" t="s">
        <v>2350</v>
      </c>
      <c r="C203" s="3650"/>
      <c r="D203" s="2147"/>
      <c r="E203" s="2147"/>
      <c r="F203" s="2147"/>
      <c r="G203" s="2149"/>
      <c r="H203" s="3636" t="s">
        <v>78</v>
      </c>
      <c r="I203" s="3636"/>
      <c r="J203" s="3646" t="s">
        <v>1296</v>
      </c>
      <c r="K203" s="3646" t="s">
        <v>1896</v>
      </c>
      <c r="L203" s="3671" t="s">
        <v>390</v>
      </c>
      <c r="M203" s="3672"/>
      <c r="N203" s="5349" t="s">
        <v>1277</v>
      </c>
      <c r="O203" s="5350"/>
      <c r="P203" s="3243"/>
      <c r="Q203" s="3243"/>
      <c r="R203" s="3243"/>
      <c r="S203" s="2877" t="s">
        <v>2155</v>
      </c>
      <c r="T203" s="3636" t="s">
        <v>680</v>
      </c>
      <c r="U203" s="5350">
        <v>10</v>
      </c>
      <c r="V203" s="5350"/>
      <c r="W203" s="5420" t="s">
        <v>1203</v>
      </c>
      <c r="X203" s="5421"/>
      <c r="Y203" s="3564" t="s">
        <v>773</v>
      </c>
      <c r="Z203" s="3564" t="s">
        <v>228</v>
      </c>
      <c r="AA203" s="5411">
        <f>AC203+AD203+AE203+AF203-AG203-AH203</f>
        <v>31</v>
      </c>
      <c r="AB203" s="5411"/>
      <c r="AC203" s="2682">
        <v>17</v>
      </c>
      <c r="AD203" s="3289">
        <v>15</v>
      </c>
      <c r="AE203" s="2628"/>
      <c r="AF203" s="2629"/>
      <c r="AG203" s="2628">
        <v>1</v>
      </c>
      <c r="AH203" s="2629"/>
      <c r="AI203" s="2628"/>
      <c r="AJ203" s="2629"/>
      <c r="AK203" s="2671">
        <f>SUM(AC203:AD203)</f>
        <v>32</v>
      </c>
      <c r="AL203" s="3464"/>
      <c r="AM203" s="3448">
        <v>6</v>
      </c>
      <c r="AN203" s="3448"/>
      <c r="AO203" s="3448"/>
      <c r="AP203" s="3448"/>
      <c r="AQ203" s="3448"/>
      <c r="AR203" s="3458">
        <f t="shared" si="49"/>
        <v>6</v>
      </c>
      <c r="AS203" s="3459">
        <f t="shared" si="51"/>
        <v>1</v>
      </c>
    </row>
    <row r="204" spans="1:45" s="1443" customFormat="1" ht="27.95" customHeight="1">
      <c r="A204" s="3274">
        <v>8</v>
      </c>
      <c r="B204" s="2158" t="s">
        <v>2351</v>
      </c>
      <c r="C204" s="3650"/>
      <c r="D204" s="2147"/>
      <c r="E204" s="2147"/>
      <c r="F204" s="2147"/>
      <c r="G204" s="2149"/>
      <c r="H204" s="3636" t="s">
        <v>78</v>
      </c>
      <c r="I204" s="3636"/>
      <c r="J204" s="3646" t="s">
        <v>1372</v>
      </c>
      <c r="K204" s="3646" t="s">
        <v>1941</v>
      </c>
      <c r="L204" s="3671" t="s">
        <v>390</v>
      </c>
      <c r="M204" s="3672"/>
      <c r="N204" s="5349"/>
      <c r="O204" s="5350"/>
      <c r="P204" s="3243"/>
      <c r="Q204" s="3243" t="s">
        <v>79</v>
      </c>
      <c r="R204" s="3243"/>
      <c r="S204" s="2877" t="s">
        <v>2160</v>
      </c>
      <c r="T204" s="3636"/>
      <c r="U204" s="5419">
        <v>10</v>
      </c>
      <c r="V204" s="5418"/>
      <c r="W204" s="5420"/>
      <c r="X204" s="5421"/>
      <c r="Y204" s="3564" t="s">
        <v>773</v>
      </c>
      <c r="Z204" s="3564" t="s">
        <v>230</v>
      </c>
      <c r="AA204" s="5411">
        <f>AC204+AD204+AE204+AF204-AG204-AH204</f>
        <v>31</v>
      </c>
      <c r="AB204" s="5411"/>
      <c r="AC204" s="2682">
        <v>17</v>
      </c>
      <c r="AD204" s="3289">
        <v>16</v>
      </c>
      <c r="AE204" s="2628"/>
      <c r="AF204" s="2629"/>
      <c r="AG204" s="2628">
        <v>2</v>
      </c>
      <c r="AH204" s="2629"/>
      <c r="AI204" s="2628"/>
      <c r="AJ204" s="2629"/>
      <c r="AK204" s="2671">
        <f>SUM(AC204:AD204)</f>
        <v>33</v>
      </c>
      <c r="AL204" s="3464"/>
      <c r="AM204" s="3448">
        <v>6.9</v>
      </c>
      <c r="AN204" s="3448"/>
      <c r="AO204" s="3448"/>
      <c r="AP204" s="3448"/>
      <c r="AQ204" s="3448"/>
      <c r="AR204" s="3458">
        <f t="shared" si="49"/>
        <v>6.9</v>
      </c>
      <c r="AS204" s="3459">
        <f t="shared" si="51"/>
        <v>1</v>
      </c>
    </row>
    <row r="205" spans="1:45" s="1444" customFormat="1" ht="27.95" customHeight="1">
      <c r="A205" s="3274">
        <v>9</v>
      </c>
      <c r="B205" s="2158" t="s">
        <v>2355</v>
      </c>
      <c r="C205" s="3650"/>
      <c r="D205" s="2147"/>
      <c r="E205" s="2147"/>
      <c r="F205" s="2147"/>
      <c r="G205" s="2149"/>
      <c r="H205" s="3636" t="s">
        <v>78</v>
      </c>
      <c r="I205" s="3636"/>
      <c r="J205" s="3646" t="s">
        <v>1366</v>
      </c>
      <c r="K205" s="3646" t="s">
        <v>1938</v>
      </c>
      <c r="L205" s="3671" t="s">
        <v>401</v>
      </c>
      <c r="M205" s="3676"/>
      <c r="N205" s="5419"/>
      <c r="O205" s="5418"/>
      <c r="P205" s="3243"/>
      <c r="Q205" s="3243"/>
      <c r="R205" s="3243"/>
      <c r="S205" s="2877" t="s">
        <v>2202</v>
      </c>
      <c r="T205" s="3636"/>
      <c r="U205" s="5419">
        <v>10</v>
      </c>
      <c r="V205" s="5418"/>
      <c r="W205" s="5443"/>
      <c r="X205" s="5444"/>
      <c r="Y205" s="3286"/>
      <c r="Z205" s="3286"/>
      <c r="AA205" s="5411">
        <f>AC205+AD205+AE205+AF205-AG205-AH205</f>
        <v>0</v>
      </c>
      <c r="AB205" s="5411"/>
      <c r="AC205" s="2682"/>
      <c r="AD205" s="3289"/>
      <c r="AE205" s="2628"/>
      <c r="AF205" s="2629"/>
      <c r="AG205" s="2628"/>
      <c r="AH205" s="2629"/>
      <c r="AI205" s="2628"/>
      <c r="AJ205" s="2629"/>
      <c r="AK205" s="2671">
        <f>SUM(AC205:AD205)</f>
        <v>0</v>
      </c>
      <c r="AL205" s="3464"/>
      <c r="AM205" s="3448"/>
      <c r="AN205" s="3448"/>
      <c r="AO205" s="3448"/>
      <c r="AP205" s="3448"/>
      <c r="AQ205" s="3448"/>
      <c r="AR205" s="3458" t="e">
        <f t="shared" si="49"/>
        <v>#DIV/0!</v>
      </c>
      <c r="AS205" s="3459">
        <f t="shared" si="51"/>
        <v>0</v>
      </c>
    </row>
    <row r="206" spans="1:45" s="1444" customFormat="1" ht="27.95" customHeight="1">
      <c r="A206" s="3274">
        <v>10</v>
      </c>
      <c r="B206" s="2158" t="s">
        <v>2356</v>
      </c>
      <c r="C206" s="3650"/>
      <c r="D206" s="2147"/>
      <c r="E206" s="2147"/>
      <c r="F206" s="2147"/>
      <c r="G206" s="2149"/>
      <c r="H206" s="3636" t="s">
        <v>78</v>
      </c>
      <c r="I206" s="3636"/>
      <c r="J206" s="3646" t="s">
        <v>1308</v>
      </c>
      <c r="K206" s="3646" t="s">
        <v>1897</v>
      </c>
      <c r="L206" s="3671" t="s">
        <v>426</v>
      </c>
      <c r="M206" s="3676"/>
      <c r="N206" s="5419"/>
      <c r="O206" s="5418"/>
      <c r="P206" s="3243"/>
      <c r="Q206" s="3243" t="s">
        <v>79</v>
      </c>
      <c r="R206" s="3243"/>
      <c r="S206" s="2877" t="s">
        <v>2161</v>
      </c>
      <c r="T206" s="3636"/>
      <c r="U206" s="5419">
        <v>10</v>
      </c>
      <c r="V206" s="5418"/>
      <c r="W206" s="5443"/>
      <c r="X206" s="5444"/>
      <c r="Y206" s="3286"/>
      <c r="Z206" s="3286"/>
      <c r="AA206" s="5411">
        <f>AC206+AD206+AE206+AF206-AG206-AH206</f>
        <v>0</v>
      </c>
      <c r="AB206" s="5411"/>
      <c r="AC206" s="2682"/>
      <c r="AD206" s="3289"/>
      <c r="AE206" s="2628"/>
      <c r="AF206" s="2629"/>
      <c r="AG206" s="2628"/>
      <c r="AH206" s="2629"/>
      <c r="AI206" s="2628"/>
      <c r="AJ206" s="2629"/>
      <c r="AK206" s="2671">
        <f>SUM(AC206:AD206)</f>
        <v>0</v>
      </c>
      <c r="AL206" s="3464"/>
      <c r="AM206" s="3448"/>
      <c r="AN206" s="3448"/>
      <c r="AO206" s="3448"/>
      <c r="AP206" s="3448"/>
      <c r="AQ206" s="3448"/>
      <c r="AR206" s="3458" t="e">
        <f t="shared" si="49"/>
        <v>#DIV/0!</v>
      </c>
      <c r="AS206" s="3459">
        <f t="shared" si="51"/>
        <v>0</v>
      </c>
    </row>
    <row r="207" spans="1:45" s="1444" customFormat="1" ht="27.95" customHeight="1">
      <c r="A207" s="3274"/>
      <c r="B207" s="2158"/>
      <c r="C207" s="3650"/>
      <c r="D207" s="2147"/>
      <c r="E207" s="2147"/>
      <c r="F207" s="2147"/>
      <c r="G207" s="2149"/>
      <c r="H207" s="3274"/>
      <c r="I207" s="3274"/>
      <c r="J207" s="3290"/>
      <c r="K207" s="3290"/>
      <c r="L207" s="3671"/>
      <c r="M207" s="3676"/>
      <c r="N207" s="5419"/>
      <c r="O207" s="5418"/>
      <c r="P207" s="3243"/>
      <c r="Q207" s="3243"/>
      <c r="R207" s="3243"/>
      <c r="S207" s="2877"/>
      <c r="T207" s="3274"/>
      <c r="U207" s="5419"/>
      <c r="V207" s="5418"/>
      <c r="W207" s="5420"/>
      <c r="X207" s="5421"/>
      <c r="Y207" s="3286"/>
      <c r="Z207" s="3286"/>
      <c r="AA207" s="5396">
        <f t="shared" si="50"/>
        <v>0</v>
      </c>
      <c r="AB207" s="5396"/>
      <c r="AC207" s="2682"/>
      <c r="AD207" s="3289"/>
      <c r="AE207" s="2628"/>
      <c r="AF207" s="2629"/>
      <c r="AG207" s="2628"/>
      <c r="AH207" s="2629"/>
      <c r="AI207" s="2628"/>
      <c r="AJ207" s="2629"/>
      <c r="AK207" s="2671">
        <f t="shared" si="39"/>
        <v>0</v>
      </c>
      <c r="AL207" s="3464"/>
      <c r="AM207" s="3448"/>
      <c r="AN207" s="3448"/>
      <c r="AO207" s="3448"/>
      <c r="AP207" s="3448"/>
      <c r="AQ207" s="3448"/>
      <c r="AR207" s="3458" t="e">
        <f t="shared" si="49"/>
        <v>#DIV/0!</v>
      </c>
      <c r="AS207" s="3459">
        <f t="shared" si="51"/>
        <v>0</v>
      </c>
    </row>
    <row r="208" spans="1:45" s="1444" customFormat="1" ht="27.95" customHeight="1">
      <c r="A208" s="3274"/>
      <c r="B208" s="2158"/>
      <c r="C208" s="3650"/>
      <c r="D208" s="2147"/>
      <c r="E208" s="2147"/>
      <c r="F208" s="2147"/>
      <c r="G208" s="2149"/>
      <c r="H208" s="3274"/>
      <c r="I208" s="3274"/>
      <c r="J208" s="3290"/>
      <c r="K208" s="3290"/>
      <c r="L208" s="3671"/>
      <c r="M208" s="3676"/>
      <c r="N208" s="5419"/>
      <c r="O208" s="5418"/>
      <c r="P208" s="3243"/>
      <c r="Q208" s="3243"/>
      <c r="R208" s="3243"/>
      <c r="S208" s="2877"/>
      <c r="T208" s="3274"/>
      <c r="U208" s="5419"/>
      <c r="V208" s="5418"/>
      <c r="W208" s="5420"/>
      <c r="X208" s="5421"/>
      <c r="Y208" s="3286"/>
      <c r="Z208" s="3286"/>
      <c r="AA208" s="5396">
        <f t="shared" si="50"/>
        <v>0</v>
      </c>
      <c r="AB208" s="5396"/>
      <c r="AC208" s="2682"/>
      <c r="AD208" s="3289"/>
      <c r="AE208" s="2628"/>
      <c r="AF208" s="2629"/>
      <c r="AG208" s="2628"/>
      <c r="AH208" s="2629"/>
      <c r="AI208" s="2628"/>
      <c r="AJ208" s="2629"/>
      <c r="AK208" s="2671">
        <f t="shared" si="39"/>
        <v>0</v>
      </c>
      <c r="AL208" s="3464"/>
      <c r="AM208" s="3448"/>
      <c r="AN208" s="3448"/>
      <c r="AO208" s="3448"/>
      <c r="AP208" s="3448"/>
      <c r="AQ208" s="3448"/>
      <c r="AR208" s="3458" t="e">
        <f t="shared" si="49"/>
        <v>#DIV/0!</v>
      </c>
      <c r="AS208" s="3459">
        <f t="shared" si="51"/>
        <v>0</v>
      </c>
    </row>
    <row r="209" spans="1:45" s="1444" customFormat="1" ht="27.95" customHeight="1">
      <c r="A209" s="3274"/>
      <c r="B209" s="2151"/>
      <c r="C209" s="3650"/>
      <c r="D209" s="2147"/>
      <c r="E209" s="2147"/>
      <c r="F209" s="2147"/>
      <c r="G209" s="2149"/>
      <c r="H209" s="3274"/>
      <c r="I209" s="3274"/>
      <c r="J209" s="3290"/>
      <c r="K209" s="3290"/>
      <c r="L209" s="3671"/>
      <c r="M209" s="3672"/>
      <c r="N209" s="5354"/>
      <c r="O209" s="5418"/>
      <c r="P209" s="3243"/>
      <c r="Q209" s="3243"/>
      <c r="R209" s="3243"/>
      <c r="S209" s="2877"/>
      <c r="T209" s="3274"/>
      <c r="U209" s="5419"/>
      <c r="V209" s="5418"/>
      <c r="W209" s="5351"/>
      <c r="X209" s="5351"/>
      <c r="Y209" s="3286"/>
      <c r="Z209" s="3286"/>
      <c r="AA209" s="5396">
        <f t="shared" si="50"/>
        <v>0</v>
      </c>
      <c r="AB209" s="5396"/>
      <c r="AC209" s="2682"/>
      <c r="AD209" s="3289"/>
      <c r="AE209" s="2628"/>
      <c r="AF209" s="2629"/>
      <c r="AG209" s="2628"/>
      <c r="AH209" s="2629"/>
      <c r="AI209" s="2628"/>
      <c r="AJ209" s="2629"/>
      <c r="AK209" s="2671">
        <f t="shared" si="39"/>
        <v>0</v>
      </c>
      <c r="AL209" s="3464"/>
      <c r="AM209" s="3448"/>
      <c r="AN209" s="3448"/>
      <c r="AO209" s="3448"/>
      <c r="AP209" s="3448"/>
      <c r="AQ209" s="3448"/>
      <c r="AR209" s="3458" t="e">
        <f t="shared" si="49"/>
        <v>#DIV/0!</v>
      </c>
      <c r="AS209" s="3459">
        <f t="shared" si="51"/>
        <v>0</v>
      </c>
    </row>
    <row r="210" spans="1:45" s="1444" customFormat="1" ht="27.95" customHeight="1">
      <c r="A210" s="3274"/>
      <c r="B210" s="2151"/>
      <c r="C210" s="3650"/>
      <c r="D210" s="2147"/>
      <c r="E210" s="2147"/>
      <c r="F210" s="2147"/>
      <c r="G210" s="2149"/>
      <c r="H210" s="3274"/>
      <c r="I210" s="3274"/>
      <c r="J210" s="3290"/>
      <c r="K210" s="3290"/>
      <c r="L210" s="3671"/>
      <c r="M210" s="3672"/>
      <c r="N210" s="5354"/>
      <c r="O210" s="5418"/>
      <c r="P210" s="3243"/>
      <c r="Q210" s="3243"/>
      <c r="R210" s="3243"/>
      <c r="S210" s="3245"/>
      <c r="T210" s="3274"/>
      <c r="U210" s="5419"/>
      <c r="V210" s="5418"/>
      <c r="W210" s="5351"/>
      <c r="X210" s="5351"/>
      <c r="Y210" s="3286"/>
      <c r="Z210" s="3286"/>
      <c r="AA210" s="5396">
        <f t="shared" si="50"/>
        <v>0</v>
      </c>
      <c r="AB210" s="5396"/>
      <c r="AC210" s="2682"/>
      <c r="AD210" s="3289"/>
      <c r="AE210" s="2628"/>
      <c r="AF210" s="2629"/>
      <c r="AG210" s="2628"/>
      <c r="AH210" s="2629"/>
      <c r="AI210" s="2628"/>
      <c r="AJ210" s="2629"/>
      <c r="AK210" s="2671">
        <f t="shared" si="39"/>
        <v>0</v>
      </c>
      <c r="AL210" s="3464"/>
      <c r="AM210" s="3448"/>
      <c r="AN210" s="3448"/>
      <c r="AO210" s="3448"/>
      <c r="AP210" s="3448"/>
      <c r="AQ210" s="3448"/>
      <c r="AR210" s="3458" t="e">
        <f t="shared" si="49"/>
        <v>#DIV/0!</v>
      </c>
      <c r="AS210" s="3459">
        <f t="shared" si="51"/>
        <v>0</v>
      </c>
    </row>
    <row r="211" spans="1:45" s="1444" customFormat="1" ht="27.95" customHeight="1">
      <c r="A211" s="3274"/>
      <c r="B211" s="2158"/>
      <c r="C211" s="3650"/>
      <c r="D211" s="2147"/>
      <c r="E211" s="2147"/>
      <c r="F211" s="2147"/>
      <c r="G211" s="2149"/>
      <c r="H211" s="3636"/>
      <c r="I211" s="3636"/>
      <c r="J211" s="3646"/>
      <c r="K211" s="3646"/>
      <c r="L211" s="3671"/>
      <c r="M211" s="3672"/>
      <c r="N211" s="5349"/>
      <c r="O211" s="5350"/>
      <c r="P211" s="3243"/>
      <c r="Q211" s="3243"/>
      <c r="R211" s="3243"/>
      <c r="S211" s="2877"/>
      <c r="T211" s="3636"/>
      <c r="U211" s="5350"/>
      <c r="V211" s="5350"/>
      <c r="W211" s="5420"/>
      <c r="X211" s="5421"/>
      <c r="Y211" s="3286"/>
      <c r="Z211" s="3286"/>
      <c r="AA211" s="5396">
        <f t="shared" si="50"/>
        <v>0</v>
      </c>
      <c r="AB211" s="5396"/>
      <c r="AC211" s="2682"/>
      <c r="AD211" s="3289"/>
      <c r="AE211" s="2628"/>
      <c r="AF211" s="2629"/>
      <c r="AG211" s="2628"/>
      <c r="AH211" s="2629"/>
      <c r="AI211" s="2628"/>
      <c r="AJ211" s="2629"/>
      <c r="AK211" s="2671">
        <f t="shared" si="39"/>
        <v>0</v>
      </c>
      <c r="AL211" s="3464"/>
      <c r="AM211" s="3448"/>
      <c r="AN211" s="3448"/>
      <c r="AO211" s="3448"/>
      <c r="AP211" s="3448"/>
      <c r="AQ211" s="3448"/>
      <c r="AR211" s="3458" t="e">
        <f t="shared" ref="AR211:AR223" si="52">SUM(AM211:AQ211)/AS211</f>
        <v>#DIV/0!</v>
      </c>
      <c r="AS211" s="3459">
        <f t="shared" si="51"/>
        <v>0</v>
      </c>
    </row>
    <row r="212" spans="1:45" s="1444" customFormat="1" ht="27.95" customHeight="1">
      <c r="A212" s="3274"/>
      <c r="B212" s="2151"/>
      <c r="C212" s="3650"/>
      <c r="D212" s="2147"/>
      <c r="E212" s="2147"/>
      <c r="F212" s="2147"/>
      <c r="G212" s="2149"/>
      <c r="H212" s="3285"/>
      <c r="I212" s="3285"/>
      <c r="J212" s="3282"/>
      <c r="K212" s="3282"/>
      <c r="L212" s="3671"/>
      <c r="M212" s="3676"/>
      <c r="N212" s="5354"/>
      <c r="O212" s="5355"/>
      <c r="P212" s="3285"/>
      <c r="Q212" s="3285"/>
      <c r="R212" s="3285"/>
      <c r="S212" s="2878"/>
      <c r="T212" s="3285"/>
      <c r="U212" s="5354"/>
      <c r="V212" s="5355"/>
      <c r="W212" s="5422"/>
      <c r="X212" s="5422"/>
      <c r="Y212" s="3286"/>
      <c r="Z212" s="3286"/>
      <c r="AA212" s="5396">
        <f t="shared" si="50"/>
        <v>0</v>
      </c>
      <c r="AB212" s="5396"/>
      <c r="AC212" s="2682"/>
      <c r="AD212" s="3289"/>
      <c r="AE212" s="2628"/>
      <c r="AF212" s="2629"/>
      <c r="AG212" s="2628"/>
      <c r="AH212" s="2629"/>
      <c r="AI212" s="2628"/>
      <c r="AJ212" s="2629"/>
      <c r="AK212" s="2671">
        <f t="shared" si="39"/>
        <v>0</v>
      </c>
      <c r="AL212" s="3464"/>
      <c r="AM212" s="3448"/>
      <c r="AN212" s="3448"/>
      <c r="AO212" s="3448"/>
      <c r="AP212" s="3448"/>
      <c r="AQ212" s="3448"/>
      <c r="AR212" s="3458" t="e">
        <f t="shared" si="52"/>
        <v>#DIV/0!</v>
      </c>
      <c r="AS212" s="3459">
        <f t="shared" si="51"/>
        <v>0</v>
      </c>
    </row>
    <row r="213" spans="1:45" s="1444" customFormat="1" ht="27.95" customHeight="1">
      <c r="A213" s="3274"/>
      <c r="B213" s="2151"/>
      <c r="C213" s="3087"/>
      <c r="D213" s="2147"/>
      <c r="E213" s="2147"/>
      <c r="F213" s="2147"/>
      <c r="G213" s="2149"/>
      <c r="H213" s="3274"/>
      <c r="I213" s="3274"/>
      <c r="J213" s="3290"/>
      <c r="K213" s="3290"/>
      <c r="L213" s="3671"/>
      <c r="M213" s="3672"/>
      <c r="N213" s="5349"/>
      <c r="O213" s="5350"/>
      <c r="P213" s="3274"/>
      <c r="Q213" s="3274"/>
      <c r="R213" s="3274"/>
      <c r="S213" s="2877"/>
      <c r="T213" s="3274"/>
      <c r="U213" s="5350"/>
      <c r="V213" s="5350"/>
      <c r="W213" s="5420"/>
      <c r="X213" s="5421"/>
      <c r="Y213" s="3286"/>
      <c r="Z213" s="3286"/>
      <c r="AA213" s="5396">
        <f t="shared" si="50"/>
        <v>0</v>
      </c>
      <c r="AB213" s="5396"/>
      <c r="AC213" s="2682"/>
      <c r="AD213" s="3289"/>
      <c r="AE213" s="2628"/>
      <c r="AF213" s="2629"/>
      <c r="AG213" s="2628"/>
      <c r="AH213" s="2629"/>
      <c r="AI213" s="2628"/>
      <c r="AJ213" s="2629"/>
      <c r="AK213" s="2671">
        <f t="shared" si="39"/>
        <v>0</v>
      </c>
      <c r="AL213" s="3464"/>
      <c r="AM213" s="3448"/>
      <c r="AN213" s="3448"/>
      <c r="AO213" s="3448"/>
      <c r="AP213" s="3448"/>
      <c r="AQ213" s="3448"/>
      <c r="AR213" s="3458" t="e">
        <f t="shared" si="52"/>
        <v>#DIV/0!</v>
      </c>
      <c r="AS213" s="3459">
        <f t="shared" si="51"/>
        <v>0</v>
      </c>
    </row>
    <row r="214" spans="1:45" s="1444" customFormat="1" ht="27.95" customHeight="1">
      <c r="A214" s="3274"/>
      <c r="B214" s="2151"/>
      <c r="C214" s="3087"/>
      <c r="D214" s="2147"/>
      <c r="E214" s="2147"/>
      <c r="F214" s="2147"/>
      <c r="G214" s="2149"/>
      <c r="H214" s="3274"/>
      <c r="I214" s="3274"/>
      <c r="J214" s="3290"/>
      <c r="K214" s="3290"/>
      <c r="L214" s="3671"/>
      <c r="M214" s="3672"/>
      <c r="N214" s="5349"/>
      <c r="O214" s="5350"/>
      <c r="P214" s="3274"/>
      <c r="Q214" s="3274"/>
      <c r="R214" s="3274"/>
      <c r="S214" s="2877"/>
      <c r="T214" s="3274"/>
      <c r="U214" s="5419"/>
      <c r="V214" s="5418"/>
      <c r="W214" s="5420"/>
      <c r="X214" s="5421"/>
      <c r="Y214" s="3286"/>
      <c r="Z214" s="3286"/>
      <c r="AA214" s="5396">
        <f t="shared" si="50"/>
        <v>0</v>
      </c>
      <c r="AB214" s="5396"/>
      <c r="AC214" s="2682"/>
      <c r="AD214" s="3289"/>
      <c r="AE214" s="2628"/>
      <c r="AF214" s="2629"/>
      <c r="AG214" s="2628"/>
      <c r="AH214" s="2629"/>
      <c r="AI214" s="2628"/>
      <c r="AJ214" s="2629"/>
      <c r="AK214" s="2671">
        <f t="shared" si="39"/>
        <v>0</v>
      </c>
      <c r="AL214" s="3464"/>
      <c r="AM214" s="3448"/>
      <c r="AN214" s="3448"/>
      <c r="AO214" s="3448"/>
      <c r="AP214" s="3448"/>
      <c r="AQ214" s="3448"/>
      <c r="AR214" s="3458" t="e">
        <f t="shared" si="52"/>
        <v>#DIV/0!</v>
      </c>
      <c r="AS214" s="3459">
        <f t="shared" si="51"/>
        <v>0</v>
      </c>
    </row>
    <row r="215" spans="1:45" s="1444" customFormat="1" ht="27.95" customHeight="1">
      <c r="A215" s="3274"/>
      <c r="B215" s="2151"/>
      <c r="C215" s="3087"/>
      <c r="D215" s="2147"/>
      <c r="E215" s="2147"/>
      <c r="F215" s="2147"/>
      <c r="G215" s="2149"/>
      <c r="H215" s="3274"/>
      <c r="I215" s="3274"/>
      <c r="J215" s="3290"/>
      <c r="K215" s="3290"/>
      <c r="L215" s="3671"/>
      <c r="M215" s="3672"/>
      <c r="N215" s="5349"/>
      <c r="O215" s="5350"/>
      <c r="P215" s="3274"/>
      <c r="Q215" s="3274"/>
      <c r="R215" s="3274"/>
      <c r="S215" s="2877"/>
      <c r="T215" s="3274"/>
      <c r="U215" s="5419"/>
      <c r="V215" s="5418"/>
      <c r="W215" s="5351"/>
      <c r="X215" s="5351"/>
      <c r="Y215" s="3286"/>
      <c r="Z215" s="3286"/>
      <c r="AA215" s="5396">
        <f t="shared" si="50"/>
        <v>0</v>
      </c>
      <c r="AB215" s="5396"/>
      <c r="AC215" s="2682"/>
      <c r="AD215" s="3289"/>
      <c r="AE215" s="2628"/>
      <c r="AF215" s="2629"/>
      <c r="AG215" s="2628"/>
      <c r="AH215" s="2629"/>
      <c r="AI215" s="2628"/>
      <c r="AJ215" s="2629"/>
      <c r="AK215" s="2671">
        <f t="shared" si="39"/>
        <v>0</v>
      </c>
      <c r="AL215" s="3464"/>
      <c r="AM215" s="3448"/>
      <c r="AN215" s="3448"/>
      <c r="AO215" s="3448"/>
      <c r="AP215" s="3448"/>
      <c r="AQ215" s="3448"/>
      <c r="AR215" s="3458" t="e">
        <f t="shared" si="52"/>
        <v>#DIV/0!</v>
      </c>
      <c r="AS215" s="3459">
        <f t="shared" si="51"/>
        <v>0</v>
      </c>
    </row>
    <row r="216" spans="1:45" s="1444" customFormat="1" ht="27.95" customHeight="1">
      <c r="A216" s="3274"/>
      <c r="B216" s="2151"/>
      <c r="C216" s="3087"/>
      <c r="D216" s="2147"/>
      <c r="E216" s="2147"/>
      <c r="F216" s="2147"/>
      <c r="G216" s="2149"/>
      <c r="H216" s="3274"/>
      <c r="I216" s="3274"/>
      <c r="J216" s="3290"/>
      <c r="K216" s="3290"/>
      <c r="L216" s="3671"/>
      <c r="M216" s="3672"/>
      <c r="N216" s="5350"/>
      <c r="O216" s="5350"/>
      <c r="P216" s="3274"/>
      <c r="Q216" s="3274"/>
      <c r="R216" s="3274"/>
      <c r="S216" s="2877"/>
      <c r="T216" s="3274"/>
      <c r="U216" s="5350"/>
      <c r="V216" s="5350"/>
      <c r="W216" s="5351"/>
      <c r="X216" s="5351"/>
      <c r="Y216" s="3286"/>
      <c r="Z216" s="3286"/>
      <c r="AA216" s="5396">
        <f t="shared" si="50"/>
        <v>0</v>
      </c>
      <c r="AB216" s="5396"/>
      <c r="AC216" s="2682"/>
      <c r="AD216" s="3289"/>
      <c r="AE216" s="2628"/>
      <c r="AF216" s="2629"/>
      <c r="AG216" s="2628"/>
      <c r="AH216" s="2629"/>
      <c r="AI216" s="2628"/>
      <c r="AJ216" s="2629"/>
      <c r="AK216" s="2671">
        <f t="shared" si="39"/>
        <v>0</v>
      </c>
      <c r="AL216" s="3464"/>
      <c r="AM216" s="3448"/>
      <c r="AN216" s="3448"/>
      <c r="AO216" s="3448"/>
      <c r="AP216" s="3448"/>
      <c r="AQ216" s="3448"/>
      <c r="AR216" s="3458" t="e">
        <f t="shared" si="52"/>
        <v>#DIV/0!</v>
      </c>
      <c r="AS216" s="3459">
        <f t="shared" si="51"/>
        <v>0</v>
      </c>
    </row>
    <row r="217" spans="1:45" s="1444" customFormat="1" ht="27.95" customHeight="1">
      <c r="A217" s="3274"/>
      <c r="B217" s="2151"/>
      <c r="C217" s="3087"/>
      <c r="D217" s="2147"/>
      <c r="E217" s="2147"/>
      <c r="F217" s="2147"/>
      <c r="G217" s="2149"/>
      <c r="H217" s="3274"/>
      <c r="I217" s="3274"/>
      <c r="J217" s="3274"/>
      <c r="K217" s="3274"/>
      <c r="L217" s="3673"/>
      <c r="M217" s="3672"/>
      <c r="N217" s="5350"/>
      <c r="O217" s="5350"/>
      <c r="P217" s="3274"/>
      <c r="Q217" s="3274"/>
      <c r="R217" s="3274"/>
      <c r="S217" s="2875"/>
      <c r="T217" s="3274"/>
      <c r="U217" s="5350"/>
      <c r="V217" s="5350"/>
      <c r="W217" s="5351"/>
      <c r="X217" s="5351"/>
      <c r="Y217" s="3286"/>
      <c r="Z217" s="3286"/>
      <c r="AA217" s="5396">
        <f t="shared" si="50"/>
        <v>0</v>
      </c>
      <c r="AB217" s="5396"/>
      <c r="AC217" s="2682"/>
      <c r="AD217" s="3289"/>
      <c r="AE217" s="2628"/>
      <c r="AF217" s="2629"/>
      <c r="AG217" s="2628"/>
      <c r="AH217" s="2629"/>
      <c r="AI217" s="2628"/>
      <c r="AJ217" s="2629"/>
      <c r="AK217" s="2671">
        <f t="shared" si="39"/>
        <v>0</v>
      </c>
      <c r="AL217" s="3464"/>
      <c r="AM217" s="3448"/>
      <c r="AN217" s="3448"/>
      <c r="AO217" s="3448"/>
      <c r="AP217" s="3448"/>
      <c r="AQ217" s="3448"/>
      <c r="AR217" s="3458" t="e">
        <f t="shared" si="52"/>
        <v>#DIV/0!</v>
      </c>
      <c r="AS217" s="3459">
        <f t="shared" si="51"/>
        <v>0</v>
      </c>
    </row>
    <row r="218" spans="1:45" s="1444" customFormat="1" ht="27.95" customHeight="1">
      <c r="A218" s="3274"/>
      <c r="B218" s="2151"/>
      <c r="C218" s="2147"/>
      <c r="D218" s="2147"/>
      <c r="E218" s="2147"/>
      <c r="F218" s="2147"/>
      <c r="G218" s="2149"/>
      <c r="H218" s="3274"/>
      <c r="I218" s="3274"/>
      <c r="J218" s="3274"/>
      <c r="K218" s="3274"/>
      <c r="L218" s="3673"/>
      <c r="M218" s="3672"/>
      <c r="N218" s="5350"/>
      <c r="O218" s="5350"/>
      <c r="P218" s="3274"/>
      <c r="Q218" s="3274"/>
      <c r="R218" s="3274"/>
      <c r="S218" s="2875"/>
      <c r="T218" s="3274"/>
      <c r="U218" s="5350"/>
      <c r="V218" s="5350"/>
      <c r="W218" s="5351"/>
      <c r="X218" s="5351"/>
      <c r="Y218" s="3286"/>
      <c r="Z218" s="3286"/>
      <c r="AA218" s="5396">
        <f t="shared" si="50"/>
        <v>0</v>
      </c>
      <c r="AB218" s="5396"/>
      <c r="AC218" s="2682"/>
      <c r="AD218" s="3289"/>
      <c r="AE218" s="2628"/>
      <c r="AF218" s="2629"/>
      <c r="AG218" s="2628"/>
      <c r="AH218" s="2629"/>
      <c r="AI218" s="2628"/>
      <c r="AJ218" s="2629"/>
      <c r="AK218" s="2671">
        <f t="shared" si="39"/>
        <v>0</v>
      </c>
      <c r="AL218" s="3464"/>
      <c r="AM218" s="3448"/>
      <c r="AN218" s="3448"/>
      <c r="AO218" s="3448"/>
      <c r="AP218" s="3448"/>
      <c r="AQ218" s="3448"/>
      <c r="AR218" s="3458" t="e">
        <f t="shared" si="52"/>
        <v>#DIV/0!</v>
      </c>
      <c r="AS218" s="3459">
        <f t="shared" si="51"/>
        <v>0</v>
      </c>
    </row>
    <row r="219" spans="1:45" s="1444" customFormat="1" ht="27.95" customHeight="1">
      <c r="A219" s="3274"/>
      <c r="B219" s="2151"/>
      <c r="C219" s="2147"/>
      <c r="D219" s="2147"/>
      <c r="E219" s="2147"/>
      <c r="F219" s="2147"/>
      <c r="G219" s="2149"/>
      <c r="H219" s="3274"/>
      <c r="I219" s="3274"/>
      <c r="J219" s="3274"/>
      <c r="K219" s="3274"/>
      <c r="L219" s="3673"/>
      <c r="M219" s="3672"/>
      <c r="N219" s="5350"/>
      <c r="O219" s="5350"/>
      <c r="P219" s="3274"/>
      <c r="Q219" s="3274"/>
      <c r="R219" s="3274"/>
      <c r="S219" s="2875"/>
      <c r="T219" s="3274"/>
      <c r="U219" s="5350"/>
      <c r="V219" s="5350"/>
      <c r="W219" s="5351"/>
      <c r="X219" s="5351"/>
      <c r="Y219" s="3286"/>
      <c r="Z219" s="3286"/>
      <c r="AA219" s="5396">
        <f t="shared" si="50"/>
        <v>0</v>
      </c>
      <c r="AB219" s="5396"/>
      <c r="AC219" s="2682"/>
      <c r="AD219" s="3289"/>
      <c r="AE219" s="2628"/>
      <c r="AF219" s="2629"/>
      <c r="AG219" s="2628"/>
      <c r="AH219" s="2629"/>
      <c r="AI219" s="2628"/>
      <c r="AJ219" s="2629"/>
      <c r="AK219" s="2671">
        <f t="shared" si="39"/>
        <v>0</v>
      </c>
      <c r="AL219" s="3464"/>
      <c r="AM219" s="3448"/>
      <c r="AN219" s="3448"/>
      <c r="AO219" s="3448"/>
      <c r="AP219" s="3448"/>
      <c r="AQ219" s="3448"/>
      <c r="AR219" s="3458" t="e">
        <f t="shared" si="52"/>
        <v>#DIV/0!</v>
      </c>
      <c r="AS219" s="3459">
        <f t="shared" si="51"/>
        <v>0</v>
      </c>
    </row>
    <row r="220" spans="1:45" s="1444" customFormat="1" ht="27.95" customHeight="1">
      <c r="A220" s="3274"/>
      <c r="B220" s="2151"/>
      <c r="C220" s="2147"/>
      <c r="D220" s="2147"/>
      <c r="E220" s="2147"/>
      <c r="F220" s="2147"/>
      <c r="G220" s="2149"/>
      <c r="H220" s="3274"/>
      <c r="I220" s="3274"/>
      <c r="J220" s="3274"/>
      <c r="K220" s="3274"/>
      <c r="L220" s="3673"/>
      <c r="M220" s="3672"/>
      <c r="N220" s="5350"/>
      <c r="O220" s="5350"/>
      <c r="P220" s="3274"/>
      <c r="Q220" s="3274"/>
      <c r="R220" s="3274"/>
      <c r="S220" s="2875"/>
      <c r="T220" s="3274"/>
      <c r="U220" s="5350"/>
      <c r="V220" s="5350"/>
      <c r="W220" s="5351"/>
      <c r="X220" s="5351"/>
      <c r="Y220" s="3286"/>
      <c r="Z220" s="3286"/>
      <c r="AA220" s="5396">
        <f t="shared" si="50"/>
        <v>0</v>
      </c>
      <c r="AB220" s="5396"/>
      <c r="AC220" s="2682"/>
      <c r="AD220" s="3289"/>
      <c r="AE220" s="2628"/>
      <c r="AF220" s="2629"/>
      <c r="AG220" s="2628"/>
      <c r="AH220" s="2629"/>
      <c r="AI220" s="2628"/>
      <c r="AJ220" s="2629"/>
      <c r="AK220" s="2671">
        <f t="shared" si="39"/>
        <v>0</v>
      </c>
      <c r="AL220" s="3464"/>
      <c r="AM220" s="3448"/>
      <c r="AN220" s="3448"/>
      <c r="AO220" s="3448"/>
      <c r="AP220" s="3448"/>
      <c r="AQ220" s="3448"/>
      <c r="AR220" s="3458" t="e">
        <f t="shared" si="52"/>
        <v>#DIV/0!</v>
      </c>
      <c r="AS220" s="3459">
        <f t="shared" si="51"/>
        <v>0</v>
      </c>
    </row>
    <row r="221" spans="1:45" s="1444" customFormat="1" ht="27.95" customHeight="1">
      <c r="A221" s="3274"/>
      <c r="B221" s="2151"/>
      <c r="C221" s="2147"/>
      <c r="D221" s="2147"/>
      <c r="E221" s="2147"/>
      <c r="F221" s="2147"/>
      <c r="G221" s="2149"/>
      <c r="H221" s="3274"/>
      <c r="I221" s="3274"/>
      <c r="J221" s="3274"/>
      <c r="K221" s="3274"/>
      <c r="L221" s="3673"/>
      <c r="M221" s="3672"/>
      <c r="N221" s="5350"/>
      <c r="O221" s="5350"/>
      <c r="P221" s="3274"/>
      <c r="Q221" s="3274"/>
      <c r="R221" s="3274"/>
      <c r="S221" s="2875"/>
      <c r="T221" s="3274"/>
      <c r="U221" s="5350"/>
      <c r="V221" s="5350"/>
      <c r="W221" s="5351"/>
      <c r="X221" s="5351"/>
      <c r="Y221" s="3286"/>
      <c r="Z221" s="3286"/>
      <c r="AA221" s="5396">
        <f t="shared" si="50"/>
        <v>0</v>
      </c>
      <c r="AB221" s="5396"/>
      <c r="AC221" s="2682"/>
      <c r="AD221" s="3289"/>
      <c r="AE221" s="2628"/>
      <c r="AF221" s="2629"/>
      <c r="AG221" s="2628"/>
      <c r="AH221" s="2629"/>
      <c r="AI221" s="2628"/>
      <c r="AJ221" s="2629"/>
      <c r="AK221" s="2671">
        <f t="shared" si="39"/>
        <v>0</v>
      </c>
      <c r="AL221" s="3464"/>
      <c r="AM221" s="3448"/>
      <c r="AN221" s="3448"/>
      <c r="AO221" s="3448"/>
      <c r="AP221" s="3448"/>
      <c r="AQ221" s="3448"/>
      <c r="AR221" s="3458" t="e">
        <f t="shared" si="52"/>
        <v>#DIV/0!</v>
      </c>
      <c r="AS221" s="3459">
        <f t="shared" si="51"/>
        <v>0</v>
      </c>
    </row>
    <row r="222" spans="1:45" s="1444" customFormat="1" ht="27.95" customHeight="1">
      <c r="A222" s="3274"/>
      <c r="B222" s="2151"/>
      <c r="C222" s="2147"/>
      <c r="D222" s="2147"/>
      <c r="E222" s="2147"/>
      <c r="F222" s="2147"/>
      <c r="G222" s="2149"/>
      <c r="H222" s="3274"/>
      <c r="I222" s="3274"/>
      <c r="J222" s="3274"/>
      <c r="K222" s="3274"/>
      <c r="L222" s="3671"/>
      <c r="M222" s="3672"/>
      <c r="N222" s="5354"/>
      <c r="O222" s="5418"/>
      <c r="P222" s="3274"/>
      <c r="Q222" s="3274"/>
      <c r="R222" s="3274"/>
      <c r="S222" s="2875"/>
      <c r="T222" s="3274"/>
      <c r="U222" s="5419"/>
      <c r="V222" s="5418"/>
      <c r="W222" s="5351"/>
      <c r="X222" s="5351"/>
      <c r="Y222" s="3286"/>
      <c r="Z222" s="3286"/>
      <c r="AA222" s="5396">
        <f t="shared" si="50"/>
        <v>0</v>
      </c>
      <c r="AB222" s="5396"/>
      <c r="AC222" s="2682"/>
      <c r="AD222" s="3289"/>
      <c r="AE222" s="2628"/>
      <c r="AF222" s="2629"/>
      <c r="AG222" s="2628"/>
      <c r="AH222" s="2629"/>
      <c r="AI222" s="2628"/>
      <c r="AJ222" s="2629"/>
      <c r="AK222" s="2672">
        <f t="shared" si="39"/>
        <v>0</v>
      </c>
      <c r="AL222" s="3464"/>
      <c r="AM222" s="3448"/>
      <c r="AN222" s="3448"/>
      <c r="AO222" s="3448"/>
      <c r="AP222" s="3448"/>
      <c r="AQ222" s="3448"/>
      <c r="AR222" s="3458" t="e">
        <f t="shared" si="52"/>
        <v>#DIV/0!</v>
      </c>
      <c r="AS222" s="3459">
        <f t="shared" si="51"/>
        <v>0</v>
      </c>
    </row>
    <row r="223" spans="1:45" s="1444" customFormat="1" ht="27.95" customHeight="1">
      <c r="A223" s="3273">
        <f>COUNTA(B197:G222)</f>
        <v>10</v>
      </c>
      <c r="B223" s="2961" t="str">
        <f>'[1]0570Y'!$S$3</f>
        <v>carcox_68@hotmail.com</v>
      </c>
      <c r="C223" s="2962"/>
      <c r="D223" s="2963"/>
      <c r="E223" s="2964" t="str">
        <f>'[4]0570Y'!$C$8</f>
        <v>REG. 96 INFONAVIT</v>
      </c>
      <c r="F223" s="2962"/>
      <c r="G223" s="2965"/>
      <c r="H223" s="3273">
        <f>COUNTIF(H198:H206,"X")</f>
        <v>6</v>
      </c>
      <c r="I223" s="3273">
        <f>COUNTIF(I198:I206,"X")</f>
        <v>3</v>
      </c>
      <c r="J223" s="2966">
        <f>COUNTIF(L197:M222,"docente")</f>
        <v>7</v>
      </c>
      <c r="K223" s="2967">
        <f>COUNTIF(L197:M222,"intendente")</f>
        <v>1</v>
      </c>
      <c r="L223" s="1665">
        <f>COUNTA(N197:O222)</f>
        <v>7</v>
      </c>
      <c r="M223" s="2968">
        <f>COUNTIF(Y197:Y222,"1º")</f>
        <v>1</v>
      </c>
      <c r="N223" s="3278">
        <f>COUNTIF(Y197:Y222,"2º")</f>
        <v>1</v>
      </c>
      <c r="O223" s="3278">
        <f>COUNTIF(Y197:Y222,"3º")</f>
        <v>1</v>
      </c>
      <c r="P223" s="3278">
        <f>COUNTIF(Y197:Y222,"4º")</f>
        <v>1</v>
      </c>
      <c r="Q223" s="3278">
        <f>COUNTIF(Y197:Y222,"5º")</f>
        <v>1</v>
      </c>
      <c r="R223" s="3278">
        <f>COUNTIF(Y197:Y222,"6º")</f>
        <v>2</v>
      </c>
      <c r="S223" s="2968">
        <f>SUM(M223:R223)</f>
        <v>7</v>
      </c>
      <c r="T223" s="3273">
        <f>COUNTA(T197:T222)</f>
        <v>6</v>
      </c>
      <c r="U223" s="2968">
        <f>COUNTIF(U197:V222,"10")</f>
        <v>10</v>
      </c>
      <c r="V223" s="2969">
        <f>COUNTIF(U197:V222,"20")</f>
        <v>0</v>
      </c>
      <c r="W223" s="5409" t="s">
        <v>1232</v>
      </c>
      <c r="X223" s="5409"/>
      <c r="Y223" s="5409"/>
      <c r="Z223" s="3292">
        <f>COUNTA(Z197:Z222)</f>
        <v>7</v>
      </c>
      <c r="AA223" s="5441">
        <f>SUM(AA197:AB222)</f>
        <v>207</v>
      </c>
      <c r="AB223" s="5441"/>
      <c r="AC223" s="2687">
        <f t="shared" ref="AC223:AJ223" si="53">SUM(AC197:AC222)</f>
        <v>118</v>
      </c>
      <c r="AD223" s="2688">
        <f t="shared" si="53"/>
        <v>95</v>
      </c>
      <c r="AE223" s="2630">
        <f t="shared" si="53"/>
        <v>12</v>
      </c>
      <c r="AF223" s="2631">
        <f t="shared" si="53"/>
        <v>8</v>
      </c>
      <c r="AG223" s="2632">
        <f t="shared" si="53"/>
        <v>17</v>
      </c>
      <c r="AH223" s="2633">
        <f t="shared" si="53"/>
        <v>9</v>
      </c>
      <c r="AI223" s="2634">
        <f t="shared" si="53"/>
        <v>0</v>
      </c>
      <c r="AJ223" s="2635">
        <f t="shared" si="53"/>
        <v>0</v>
      </c>
      <c r="AK223" s="317">
        <f t="shared" si="39"/>
        <v>213</v>
      </c>
      <c r="AL223" s="3461" t="e">
        <f>SUM(AL197:AL222)/AL224</f>
        <v>#DIV/0!</v>
      </c>
      <c r="AM223" s="3465">
        <f t="shared" ref="AM223" si="54">SUM(AM197:AM222)/AM224</f>
        <v>6.7999999999999989</v>
      </c>
      <c r="AN223" s="3460" t="e">
        <f t="shared" ref="AN223" si="55">SUM(AN197:AN222)/AN224</f>
        <v>#DIV/0!</v>
      </c>
      <c r="AO223" s="3460" t="e">
        <f t="shared" ref="AO223" si="56">SUM(AO197:AO222)/AO224</f>
        <v>#DIV/0!</v>
      </c>
      <c r="AP223" s="3460" t="e">
        <f t="shared" ref="AP223" si="57">SUM(AP197:AP222)/AP224</f>
        <v>#DIV/0!</v>
      </c>
      <c r="AQ223" s="3460" t="e">
        <f>SUM(AQ197:AQ222)/AQ224</f>
        <v>#DIV/0!</v>
      </c>
      <c r="AR223" s="3461" t="e">
        <f t="shared" si="52"/>
        <v>#DIV/0!</v>
      </c>
      <c r="AS223" s="3459">
        <f t="shared" si="51"/>
        <v>5</v>
      </c>
    </row>
    <row r="224" spans="1:45" s="1446" customFormat="1" ht="27.95" customHeight="1">
      <c r="A224" s="3690" t="s">
        <v>228</v>
      </c>
      <c r="B224" s="3691">
        <f>SUM(Estadisticas!AM29:AN29)</f>
        <v>3</v>
      </c>
      <c r="C224" s="3691">
        <f>SUM(Estadisticas!AO29:AP29)</f>
        <v>3</v>
      </c>
      <c r="D224" s="3691">
        <f>SUM(Estadisticas!AQ29:AR29)</f>
        <v>6</v>
      </c>
      <c r="E224" s="3691">
        <f>SUM(Estadisticas!AS29:AT29)</f>
        <v>6</v>
      </c>
      <c r="F224" s="3691">
        <f>SUM(Estadisticas!AU29:AV29)</f>
        <v>2</v>
      </c>
      <c r="G224" s="3691">
        <f>SUM(Estadisticas!AW29:AX29)</f>
        <v>0</v>
      </c>
      <c r="H224" s="5412">
        <f>SUM(B224:G224)</f>
        <v>20</v>
      </c>
      <c r="I224" s="5412"/>
      <c r="J224" s="3705"/>
      <c r="K224" s="3705"/>
      <c r="L224" s="3692" t="s">
        <v>1126</v>
      </c>
      <c r="M224" s="3690">
        <f>AK198+AK199</f>
        <v>62</v>
      </c>
      <c r="N224" s="3690">
        <f>SUM(AK199)</f>
        <v>35</v>
      </c>
      <c r="O224" s="3690">
        <f>SUM(AK200)</f>
        <v>31</v>
      </c>
      <c r="P224" s="3690">
        <f>SUM(AK201)</f>
        <v>23</v>
      </c>
      <c r="Q224" s="3690">
        <f>SUM(AK202:AK204)</f>
        <v>97</v>
      </c>
      <c r="R224" s="3690">
        <f>SUM(AK205:AK206)</f>
        <v>0</v>
      </c>
      <c r="S224" s="3690">
        <f>SUM(M224:R224)</f>
        <v>248</v>
      </c>
      <c r="T224" s="3705">
        <f>'[1]0570Y'!$V$23</f>
        <v>7</v>
      </c>
      <c r="U224" s="3705"/>
      <c r="V224" s="3705"/>
      <c r="W224" s="3705"/>
      <c r="X224" s="3705"/>
      <c r="Y224" s="3695">
        <f>COUNTA(Y197:Y222)</f>
        <v>7</v>
      </c>
      <c r="Z224" s="3705"/>
      <c r="AA224" s="5445">
        <f>'[1]0570Y'!$X$35</f>
        <v>207</v>
      </c>
      <c r="AB224" s="5445"/>
      <c r="AC224" s="5334">
        <f>AC223+AD223</f>
        <v>213</v>
      </c>
      <c r="AD224" s="5334"/>
      <c r="AE224" s="5335">
        <f>AE223+AF223</f>
        <v>20</v>
      </c>
      <c r="AF224" s="5335"/>
      <c r="AG224" s="5335">
        <f>AG223+AH223</f>
        <v>26</v>
      </c>
      <c r="AH224" s="5335"/>
      <c r="AI224" s="2636"/>
      <c r="AJ224" s="2636"/>
      <c r="AK224" s="2636">
        <f>SUM(AC224:AD224)+AE224</f>
        <v>233</v>
      </c>
      <c r="AL224" s="3462">
        <f>COUNTA(AL197:AL222)</f>
        <v>0</v>
      </c>
      <c r="AM224" s="3462">
        <f t="shared" ref="AM224:AQ224" si="58">COUNTA(AM197:AM222)</f>
        <v>7</v>
      </c>
      <c r="AN224" s="3462">
        <f t="shared" si="58"/>
        <v>0</v>
      </c>
      <c r="AO224" s="3462">
        <f t="shared" si="58"/>
        <v>0</v>
      </c>
      <c r="AP224" s="3462">
        <f t="shared" si="58"/>
        <v>0</v>
      </c>
      <c r="AQ224" s="3462">
        <f t="shared" si="58"/>
        <v>0</v>
      </c>
      <c r="AR224" s="3462">
        <v>12</v>
      </c>
    </row>
    <row r="225" spans="1:45" s="1446" customFormat="1" ht="27.95" customHeight="1">
      <c r="A225" s="3695" t="s">
        <v>230</v>
      </c>
      <c r="B225" s="3695">
        <f>SUM(Estadisticas!AY29:AZ29)</f>
        <v>2</v>
      </c>
      <c r="C225" s="3695">
        <f>SUM(Estadisticas!BA29:BB29)</f>
        <v>6</v>
      </c>
      <c r="D225" s="3695">
        <f>SUM(Estadisticas!BC29:BD29)</f>
        <v>9</v>
      </c>
      <c r="E225" s="3695">
        <f>SUM(Estadisticas!BE29:BF29)</f>
        <v>3</v>
      </c>
      <c r="F225" s="3695">
        <f>SUM(Estadisticas!BG29:BH29)</f>
        <v>3</v>
      </c>
      <c r="G225" s="3695">
        <f>SUM(Estadisticas!BI29:BJ29)</f>
        <v>3</v>
      </c>
      <c r="H225" s="5413">
        <f>SUM(B225:G225)</f>
        <v>26</v>
      </c>
      <c r="I225" s="5413"/>
      <c r="J225" s="3705"/>
      <c r="K225" s="3705"/>
      <c r="L225" s="3696" t="s">
        <v>423</v>
      </c>
      <c r="M225" s="3695">
        <f>SUM(AE198:AF198)</f>
        <v>3</v>
      </c>
      <c r="N225" s="3695">
        <f>SUM(AE199:AF199)</f>
        <v>3</v>
      </c>
      <c r="O225" s="3695">
        <f>SUM(AE200:AF200)</f>
        <v>6</v>
      </c>
      <c r="P225" s="3695">
        <f>SUM(AE201:AF201)</f>
        <v>6</v>
      </c>
      <c r="Q225" s="3695">
        <f>SUM(AE202:AF204)</f>
        <v>2</v>
      </c>
      <c r="R225" s="3695">
        <f>SUM(AE205:AF206)</f>
        <v>0</v>
      </c>
      <c r="S225" s="3695">
        <f t="shared" ref="S225:S226" si="59">SUM(M225:R225)</f>
        <v>20</v>
      </c>
      <c r="T225" s="3706"/>
      <c r="U225" s="3705" t="str">
        <f>U65</f>
        <v>PRE</v>
      </c>
      <c r="V225" s="3707">
        <f>'[1]0570Y'!$F$39</f>
        <v>1</v>
      </c>
      <c r="W225" s="3707">
        <f>'[1]0570Y'!$I$39</f>
        <v>1</v>
      </c>
      <c r="X225" s="3707">
        <f>'[1]0570Y'!$L$39</f>
        <v>1</v>
      </c>
      <c r="Y225" s="3707">
        <f>'[1]0570Y'!$O$39</f>
        <v>1</v>
      </c>
      <c r="Z225" s="3707">
        <f>'[1]0570Y'!$R$39</f>
        <v>1</v>
      </c>
      <c r="AA225" s="3707">
        <f>'[1]0570Y'!$U$39</f>
        <v>2</v>
      </c>
      <c r="AB225" s="3707">
        <f>SUM(V225:AA225)</f>
        <v>7</v>
      </c>
      <c r="AC225" s="2683"/>
      <c r="AD225" s="3238"/>
      <c r="AE225" s="2620"/>
      <c r="AF225" s="2621"/>
      <c r="AG225" s="2620"/>
      <c r="AH225" s="2621"/>
      <c r="AK225" s="2636"/>
      <c r="AL225" s="3448"/>
      <c r="AM225" s="3448"/>
      <c r="AN225" s="3448"/>
      <c r="AO225" s="3448"/>
      <c r="AP225" s="3448"/>
      <c r="AQ225" s="3448"/>
      <c r="AR225" s="3448"/>
    </row>
    <row r="226" spans="1:45" s="1441" customFormat="1" ht="27.95" customHeight="1">
      <c r="A226" s="3715" t="s">
        <v>478</v>
      </c>
      <c r="B226" s="3715">
        <f>SUM(Estadisticas!BK29:BL29)</f>
        <v>0</v>
      </c>
      <c r="C226" s="3715">
        <f>SUM(Estadisticas!BM29:BN29)</f>
        <v>0</v>
      </c>
      <c r="D226" s="3715">
        <f>SUM(Estadisticas!BO29:BP29)</f>
        <v>0</v>
      </c>
      <c r="E226" s="3698">
        <f>SUM(Estadisticas!BQ29:BR29)</f>
        <v>0</v>
      </c>
      <c r="F226" s="3698">
        <f>SUM(Estadisticas!BS29:BT29)</f>
        <v>0</v>
      </c>
      <c r="G226" s="3698">
        <f>SUM(Estadisticas!BU29:BV29)</f>
        <v>0</v>
      </c>
      <c r="H226" s="5414">
        <f>SUM(B226:G226)</f>
        <v>0</v>
      </c>
      <c r="I226" s="5414"/>
      <c r="J226" s="3716"/>
      <c r="K226" s="3717"/>
      <c r="L226" s="3701" t="s">
        <v>434</v>
      </c>
      <c r="M226" s="3702">
        <f>SUM(AG198:AH198)</f>
        <v>2</v>
      </c>
      <c r="N226" s="3702">
        <f>SUM(AG199:AH199)</f>
        <v>6</v>
      </c>
      <c r="O226" s="3702">
        <f>SUM(AG200:AH200)</f>
        <v>9</v>
      </c>
      <c r="P226" s="3702">
        <f>SUM(AG201:AH201)</f>
        <v>3</v>
      </c>
      <c r="Q226" s="3702">
        <f>SUM(AG202:AH204)</f>
        <v>6</v>
      </c>
      <c r="R226" s="3702">
        <f>SUM(AG205:AH206)</f>
        <v>0</v>
      </c>
      <c r="S226" s="3702">
        <f t="shared" si="59"/>
        <v>26</v>
      </c>
      <c r="T226" s="3716"/>
      <c r="U226" s="3707">
        <f>'[1]0570Y'!$O$26</f>
        <v>0</v>
      </c>
      <c r="V226" s="3707">
        <f>'[1]0570Y'!$F$35</f>
        <v>28</v>
      </c>
      <c r="W226" s="3707">
        <f>'[1]0570Y'!$I$35</f>
        <v>32</v>
      </c>
      <c r="X226" s="3707">
        <f>'[1]0570Y'!$L$35</f>
        <v>28</v>
      </c>
      <c r="Y226" s="3707">
        <f>'[1]0570Y'!$O$35</f>
        <v>26</v>
      </c>
      <c r="Z226" s="3707">
        <f>'[1]0570Y'!$R$35</f>
        <v>31</v>
      </c>
      <c r="AA226" s="3707">
        <f>'[1]0570Y'!$U$35</f>
        <v>62</v>
      </c>
      <c r="AB226" s="3707">
        <f>SUM(V226:AA226)</f>
        <v>207</v>
      </c>
      <c r="AC226" s="2683"/>
      <c r="AD226" s="3238"/>
      <c r="AE226" s="2620"/>
      <c r="AF226" s="2621"/>
      <c r="AG226" s="2620"/>
      <c r="AH226" s="2621"/>
      <c r="AI226" s="1444"/>
      <c r="AJ226" s="1444"/>
      <c r="AK226" s="2636"/>
      <c r="AL226" s="3445"/>
      <c r="AM226" s="3445"/>
      <c r="AN226" s="3445"/>
      <c r="AO226" s="3445"/>
      <c r="AP226" s="3445"/>
      <c r="AQ226" s="3445"/>
      <c r="AR226" s="3445"/>
      <c r="AS226" s="108"/>
    </row>
    <row r="227" spans="1:45" s="1448" customFormat="1" ht="27.95" customHeight="1">
      <c r="A227" s="175"/>
      <c r="B227" s="1427"/>
      <c r="C227" s="173"/>
      <c r="D227" s="3262" t="s">
        <v>1193</v>
      </c>
      <c r="E227" s="5388" t="str">
        <f>B197</f>
        <v>COOX YAH * CARLOS  ENRIQUE</v>
      </c>
      <c r="F227" s="5388"/>
      <c r="G227" s="5388"/>
      <c r="H227" s="5388"/>
      <c r="I227" s="5388"/>
      <c r="J227" s="5388"/>
      <c r="K227" s="1603"/>
      <c r="L227" s="1428"/>
      <c r="M227" s="3262" t="s">
        <v>1234</v>
      </c>
      <c r="N227" s="5388" t="str">
        <f>N187</f>
        <v>RICALDE CASTRO JESUS MARTIN</v>
      </c>
      <c r="O227" s="5388"/>
      <c r="P227" s="5388"/>
      <c r="Q227" s="5388"/>
      <c r="R227" s="5388"/>
      <c r="S227" s="5388"/>
      <c r="T227" s="1603"/>
      <c r="U227" s="1603"/>
      <c r="V227" s="3262" t="s">
        <v>1195</v>
      </c>
      <c r="W227" s="5388" t="str">
        <f>W187</f>
        <v xml:space="preserve">ANCONA FLORES AURA EUGENIA </v>
      </c>
      <c r="X227" s="5388"/>
      <c r="Y227" s="5388"/>
      <c r="Z227" s="5388"/>
      <c r="AA227" s="5388"/>
      <c r="AB227" s="5388"/>
      <c r="AC227" s="2683"/>
      <c r="AD227" s="3238"/>
      <c r="AE227" s="2620"/>
      <c r="AF227" s="2621"/>
      <c r="AG227" s="2620"/>
      <c r="AH227" s="2621"/>
      <c r="AI227" s="2624"/>
      <c r="AJ227" s="2624"/>
      <c r="AK227" s="2636"/>
      <c r="AL227" s="3449"/>
      <c r="AM227" s="3449"/>
      <c r="AN227" s="3449"/>
      <c r="AO227" s="3449"/>
      <c r="AP227" s="3449"/>
      <c r="AQ227" s="3449"/>
      <c r="AR227" s="3449"/>
      <c r="AS227" s="3450"/>
    </row>
    <row r="228" spans="1:45" s="1430" customFormat="1" ht="27.95" customHeight="1">
      <c r="A228" s="1670"/>
      <c r="B228" s="1401"/>
      <c r="C228" s="1401"/>
      <c r="D228" s="1401"/>
      <c r="E228" s="1401"/>
      <c r="F228" s="1402"/>
      <c r="G228" s="1402"/>
      <c r="H228" s="1402"/>
      <c r="I228" s="1402"/>
      <c r="J228" s="1402"/>
      <c r="K228" s="27"/>
      <c r="M228" s="1431" t="s">
        <v>196</v>
      </c>
      <c r="N228" s="1402"/>
      <c r="O228" s="1402"/>
      <c r="P228" s="1402"/>
      <c r="Q228" s="1402"/>
      <c r="R228" s="1402"/>
      <c r="S228" s="1402"/>
      <c r="T228" s="1401"/>
      <c r="V228" s="3263"/>
      <c r="W228" s="1432" t="s">
        <v>764</v>
      </c>
      <c r="X228" s="5221" t="s">
        <v>247</v>
      </c>
      <c r="Y228" s="5221"/>
      <c r="Z228" s="5221"/>
      <c r="AA228" s="5221"/>
      <c r="AB228" s="1644"/>
      <c r="AC228" s="2683"/>
      <c r="AD228" s="3238"/>
      <c r="AE228" s="2637"/>
      <c r="AF228" s="2638"/>
      <c r="AG228" s="2637"/>
      <c r="AH228" s="2638"/>
      <c r="AI228" s="1449"/>
      <c r="AJ228" s="1449"/>
      <c r="AK228" s="2636"/>
      <c r="AL228" s="3451"/>
      <c r="AM228" s="3451"/>
      <c r="AN228" s="3451"/>
      <c r="AO228" s="3451"/>
      <c r="AP228" s="3451"/>
      <c r="AQ228" s="3451"/>
      <c r="AR228" s="3451"/>
      <c r="AS228" s="3452"/>
    </row>
    <row r="229" spans="1:45" ht="27.95" customHeight="1">
      <c r="A229" s="1663"/>
      <c r="B229" s="1406"/>
      <c r="C229" s="1406"/>
      <c r="D229" s="1406"/>
      <c r="E229" s="1406"/>
      <c r="F229" s="1407"/>
      <c r="G229" s="1407"/>
      <c r="H229" s="1407"/>
      <c r="I229" s="1407"/>
      <c r="J229" s="1407"/>
      <c r="K229" s="1407"/>
      <c r="L229" s="1407"/>
      <c r="M229" s="3260" t="s">
        <v>1148</v>
      </c>
      <c r="N229" s="1407"/>
      <c r="O229" s="1407"/>
      <c r="P229" s="1407"/>
      <c r="Q229" s="1407"/>
      <c r="R229" s="1407"/>
      <c r="S229" s="1407"/>
      <c r="T229" s="1408"/>
      <c r="U229" s="1408"/>
      <c r="V229" s="3263"/>
      <c r="W229" s="1432" t="s">
        <v>1149</v>
      </c>
      <c r="X229" s="5221" t="str">
        <f>X189</f>
        <v>2012 / 2013</v>
      </c>
      <c r="Y229" s="5221"/>
      <c r="Z229" s="5221"/>
      <c r="AA229" s="5221"/>
      <c r="AB229" s="1417"/>
      <c r="AC229" s="2683"/>
      <c r="AD229" s="3238"/>
      <c r="AE229" s="2620"/>
      <c r="AF229" s="2621"/>
      <c r="AG229" s="2620"/>
      <c r="AH229" s="2621"/>
      <c r="AK229" s="2636"/>
      <c r="AR229" s="3445"/>
    </row>
    <row r="230" spans="1:45" ht="27.95" customHeight="1">
      <c r="A230" s="1663"/>
      <c r="B230" s="1410"/>
      <c r="C230" s="1410"/>
      <c r="D230" s="1410"/>
      <c r="E230" s="1410"/>
      <c r="F230" s="1407"/>
      <c r="G230" s="1407"/>
      <c r="H230" s="1407"/>
      <c r="I230" s="1407"/>
      <c r="J230" s="1407"/>
      <c r="K230" s="1407"/>
      <c r="M230" s="3260" t="s">
        <v>1150</v>
      </c>
      <c r="N230" s="1407"/>
      <c r="O230" s="1407"/>
      <c r="P230" s="1407"/>
      <c r="Q230" s="1407"/>
      <c r="R230" s="1407"/>
      <c r="S230" s="1407"/>
      <c r="T230" s="1433"/>
      <c r="U230" s="1433"/>
      <c r="V230" s="1434"/>
      <c r="W230" s="3281" t="s">
        <v>42</v>
      </c>
      <c r="X230" s="5391" t="str">
        <f>X190</f>
        <v>042</v>
      </c>
      <c r="Y230" s="5391"/>
      <c r="Z230" s="5391"/>
      <c r="AA230" s="5391"/>
      <c r="AB230" s="1417"/>
      <c r="AC230" s="2683"/>
      <c r="AD230" s="3238"/>
      <c r="AE230" s="2620"/>
      <c r="AF230" s="2621"/>
      <c r="AG230" s="2620"/>
      <c r="AH230" s="2621"/>
      <c r="AK230" s="2636"/>
      <c r="AR230" s="3445"/>
    </row>
    <row r="231" spans="1:45" ht="27.95" customHeight="1">
      <c r="A231" s="1663"/>
      <c r="B231" s="1410"/>
      <c r="C231" s="1410"/>
      <c r="D231" s="1410"/>
      <c r="E231" s="1410"/>
      <c r="F231" s="1406"/>
      <c r="H231" s="1413"/>
      <c r="I231" s="1413"/>
      <c r="J231" s="1414"/>
      <c r="K231" s="1414"/>
      <c r="L231" s="1415" t="s">
        <v>1197</v>
      </c>
      <c r="M231" s="1415">
        <f>M191</f>
        <v>8</v>
      </c>
      <c r="N231" s="3271" t="s">
        <v>1152</v>
      </c>
      <c r="O231" s="5371" t="str">
        <f>O191</f>
        <v>AGOSTO</v>
      </c>
      <c r="P231" s="5371"/>
      <c r="Q231" s="1435" t="s">
        <v>1152</v>
      </c>
      <c r="R231" s="5371">
        <f>R191</f>
        <v>2012</v>
      </c>
      <c r="S231" s="5371"/>
      <c r="T231" s="1406"/>
      <c r="U231" s="5372" t="s">
        <v>246</v>
      </c>
      <c r="V231" s="5372"/>
      <c r="W231" s="5372"/>
      <c r="X231" s="5372"/>
      <c r="Y231" s="1436" t="s">
        <v>245</v>
      </c>
      <c r="Z231" s="1437"/>
      <c r="AA231" s="1437"/>
      <c r="AB231" s="1417"/>
      <c r="AC231" s="2683"/>
      <c r="AD231" s="3238"/>
      <c r="AE231" s="2620"/>
      <c r="AF231" s="2621"/>
      <c r="AG231" s="2620"/>
      <c r="AH231" s="2621"/>
      <c r="AK231" s="2636"/>
      <c r="AR231" s="3445"/>
    </row>
    <row r="232" spans="1:45" ht="27.95" customHeight="1">
      <c r="A232" s="5446" t="s">
        <v>1153</v>
      </c>
      <c r="B232" s="5446"/>
      <c r="C232" s="5446"/>
      <c r="D232" s="5389" t="s">
        <v>2316</v>
      </c>
      <c r="E232" s="5389"/>
      <c r="F232" s="5389"/>
      <c r="G232" s="5389"/>
      <c r="H232" s="5389"/>
      <c r="I232" s="5389"/>
      <c r="J232" s="5389"/>
      <c r="K232" s="5389"/>
      <c r="L232" s="3272" t="s">
        <v>19</v>
      </c>
      <c r="M232" s="5370" t="s">
        <v>2317</v>
      </c>
      <c r="N232" s="5370"/>
      <c r="O232" s="5447" t="s">
        <v>13</v>
      </c>
      <c r="P232" s="5447"/>
      <c r="Q232" s="5370" t="s">
        <v>69</v>
      </c>
      <c r="R232" s="5370"/>
      <c r="S232" s="5370"/>
      <c r="T232" s="1439"/>
      <c r="U232" s="1438" t="s">
        <v>1157</v>
      </c>
      <c r="V232" s="5221" t="str">
        <f>V192</f>
        <v>2  BENITO JUAREZ</v>
      </c>
      <c r="W232" s="5221"/>
      <c r="X232" s="5221"/>
      <c r="Y232" s="5221"/>
      <c r="Z232" s="5221"/>
      <c r="AA232" s="5221"/>
      <c r="AB232" s="5221"/>
      <c r="AC232" s="2683"/>
      <c r="AD232" s="3238"/>
      <c r="AE232" s="2620"/>
      <c r="AF232" s="2621"/>
      <c r="AG232" s="2620"/>
      <c r="AH232" s="2621"/>
      <c r="AK232" s="2636"/>
      <c r="AR232" s="3445"/>
    </row>
    <row r="233" spans="1:45" s="1439" customFormat="1" ht="27.95" customHeight="1">
      <c r="A233" s="5446" t="s">
        <v>437</v>
      </c>
      <c r="B233" s="5446"/>
      <c r="C233" s="5389" t="s">
        <v>2329</v>
      </c>
      <c r="D233" s="5389"/>
      <c r="E233" s="5389"/>
      <c r="F233" s="5389"/>
      <c r="G233" s="5389"/>
      <c r="H233" s="5389"/>
      <c r="I233" s="5389"/>
      <c r="J233" s="5389"/>
      <c r="K233" s="5389"/>
      <c r="L233" s="5389"/>
      <c r="M233" s="5389"/>
      <c r="N233" s="1423"/>
      <c r="O233" s="3272" t="s">
        <v>863</v>
      </c>
      <c r="P233" s="5370" t="str">
        <f>'[1]0572W'!$I$8</f>
        <v>9985 78 74 49</v>
      </c>
      <c r="Q233" s="5370"/>
      <c r="R233" s="5370"/>
      <c r="S233" s="5370"/>
      <c r="T233" s="5370"/>
      <c r="U233" s="1422"/>
      <c r="V233" s="3272"/>
      <c r="W233" s="3272" t="s">
        <v>1159</v>
      </c>
      <c r="X233" s="5358" t="str">
        <f>X193</f>
        <v>8  DE  AGOSTO  DE  2012</v>
      </c>
      <c r="Y233" s="5358"/>
      <c r="Z233" s="5358"/>
      <c r="AA233" s="5358"/>
      <c r="AB233" s="5358"/>
      <c r="AC233" s="5331" t="str">
        <f>D232</f>
        <v>CUITLAHUAC</v>
      </c>
      <c r="AD233" s="5331"/>
      <c r="AE233" s="5331"/>
      <c r="AF233" s="5331"/>
      <c r="AG233" s="5331"/>
      <c r="AH233" s="5331"/>
      <c r="AI233" s="5332" t="str">
        <f>M232</f>
        <v>23DPR572W</v>
      </c>
      <c r="AJ233" s="5332"/>
      <c r="AK233" s="5332"/>
      <c r="AL233" s="3446"/>
      <c r="AM233" s="3446"/>
      <c r="AN233" s="3446"/>
      <c r="AO233" s="3446"/>
      <c r="AP233" s="3446"/>
      <c r="AQ233" s="3446"/>
      <c r="AR233" s="3446"/>
      <c r="AS233" s="2166"/>
    </row>
    <row r="234" spans="1:45" s="1441" customFormat="1" ht="9.9499999999999993" customHeight="1">
      <c r="A234" s="1421"/>
      <c r="B234" s="1422"/>
      <c r="C234" s="1422"/>
      <c r="D234" s="3261"/>
      <c r="E234" s="3261"/>
      <c r="F234" s="3261"/>
      <c r="G234" s="3261"/>
      <c r="H234" s="3261"/>
      <c r="I234" s="3261"/>
      <c r="J234" s="3261"/>
      <c r="K234" s="3261"/>
      <c r="L234" s="3261"/>
      <c r="M234" s="1421"/>
      <c r="N234" s="1423"/>
      <c r="O234" s="2202" t="str">
        <f>'[4]0572W'!$I$8</f>
        <v xml:space="preserve">9985-78-74-49 </v>
      </c>
      <c r="P234" s="1423"/>
      <c r="Q234" s="1424"/>
      <c r="R234" s="1423"/>
      <c r="S234" s="1423"/>
      <c r="T234" s="1422"/>
      <c r="U234" s="1422"/>
      <c r="V234" s="3261"/>
      <c r="W234" s="3261"/>
      <c r="X234" s="3261"/>
      <c r="Y234" s="3261"/>
      <c r="Z234" s="1422"/>
      <c r="AA234" s="1422"/>
      <c r="AB234" s="1422"/>
      <c r="AC234" s="2689"/>
      <c r="AD234" s="2690"/>
      <c r="AE234" s="2639"/>
      <c r="AF234" s="2640"/>
      <c r="AG234" s="2639"/>
      <c r="AH234" s="2640"/>
      <c r="AI234" s="1444"/>
      <c r="AJ234" s="1444"/>
      <c r="AK234" s="2636"/>
      <c r="AL234" s="3445"/>
      <c r="AM234" s="3445"/>
      <c r="AN234" s="3445"/>
      <c r="AO234" s="3445"/>
      <c r="AP234" s="3445"/>
      <c r="AQ234" s="3445"/>
      <c r="AR234" s="3445"/>
      <c r="AS234" s="108"/>
    </row>
    <row r="235" spans="1:45" s="1442" customFormat="1" ht="27.95" customHeight="1">
      <c r="A235" s="5415" t="s">
        <v>1160</v>
      </c>
      <c r="B235" s="5416" t="s">
        <v>1235</v>
      </c>
      <c r="C235" s="5416"/>
      <c r="D235" s="5416"/>
      <c r="E235" s="5416"/>
      <c r="F235" s="5416"/>
      <c r="G235" s="5416"/>
      <c r="H235" s="5417" t="s">
        <v>1161</v>
      </c>
      <c r="I235" s="5417"/>
      <c r="J235" s="5417" t="s">
        <v>212</v>
      </c>
      <c r="K235" s="5417" t="s">
        <v>1162</v>
      </c>
      <c r="L235" s="5417" t="s">
        <v>1163</v>
      </c>
      <c r="M235" s="5417"/>
      <c r="N235" s="5417" t="s">
        <v>1164</v>
      </c>
      <c r="O235" s="5417"/>
      <c r="P235" s="5417" t="s">
        <v>1165</v>
      </c>
      <c r="Q235" s="5417"/>
      <c r="R235" s="5417" t="s">
        <v>1166</v>
      </c>
      <c r="S235" s="5417"/>
      <c r="T235" s="5417" t="s">
        <v>1167</v>
      </c>
      <c r="U235" s="5417" t="s">
        <v>1168</v>
      </c>
      <c r="V235" s="5417"/>
      <c r="W235" s="5417" t="s">
        <v>1169</v>
      </c>
      <c r="X235" s="5417"/>
      <c r="Y235" s="5417" t="s">
        <v>3</v>
      </c>
      <c r="Z235" s="5417" t="s">
        <v>4</v>
      </c>
      <c r="AA235" s="5417" t="s">
        <v>28</v>
      </c>
      <c r="AB235" s="5417"/>
      <c r="AC235" s="5340" t="str">
        <f>AC195</f>
        <v>INICIAL</v>
      </c>
      <c r="AD235" s="5340"/>
      <c r="AE235" s="5344" t="str">
        <f>AE195</f>
        <v>ALTAS</v>
      </c>
      <c r="AF235" s="5345"/>
      <c r="AG235" s="5346" t="str">
        <f>AG195</f>
        <v>BAJAS</v>
      </c>
      <c r="AH235" s="5347"/>
      <c r="AI235" s="5333" t="str">
        <f>AI195</f>
        <v>REP</v>
      </c>
      <c r="AJ235" s="5333"/>
      <c r="AK235" s="2625" t="str">
        <f>AK195</f>
        <v>INI</v>
      </c>
      <c r="AL235" s="5328" t="s">
        <v>2509</v>
      </c>
      <c r="AM235" s="5329"/>
      <c r="AN235" s="5329"/>
      <c r="AO235" s="5329"/>
      <c r="AP235" s="5329"/>
      <c r="AQ235" s="5329"/>
      <c r="AR235" s="5330"/>
    </row>
    <row r="236" spans="1:45" s="1442" customFormat="1" ht="27.95" customHeight="1">
      <c r="A236" s="5424"/>
      <c r="B236" s="5425"/>
      <c r="C236" s="5425"/>
      <c r="D236" s="5425"/>
      <c r="E236" s="5425"/>
      <c r="F236" s="5425"/>
      <c r="G236" s="5425"/>
      <c r="H236" s="3270" t="s">
        <v>407</v>
      </c>
      <c r="I236" s="3270" t="s">
        <v>403</v>
      </c>
      <c r="J236" s="5426"/>
      <c r="K236" s="5426"/>
      <c r="L236" s="5426"/>
      <c r="M236" s="5426"/>
      <c r="N236" s="5426"/>
      <c r="O236" s="5426"/>
      <c r="P236" s="3270" t="s">
        <v>1170</v>
      </c>
      <c r="Q236" s="3270" t="s">
        <v>1171</v>
      </c>
      <c r="R236" s="3270" t="s">
        <v>1172</v>
      </c>
      <c r="S236" s="3270" t="s">
        <v>1173</v>
      </c>
      <c r="T236" s="5426"/>
      <c r="U236" s="5426"/>
      <c r="V236" s="5426"/>
      <c r="W236" s="5426"/>
      <c r="X236" s="5426"/>
      <c r="Y236" s="5426"/>
      <c r="Z236" s="5426"/>
      <c r="AA236" s="5426"/>
      <c r="AB236" s="5426"/>
      <c r="AC236" s="3295" t="str">
        <f>AC196</f>
        <v>H</v>
      </c>
      <c r="AD236" s="2686" t="str">
        <f>AD196</f>
        <v>M</v>
      </c>
      <c r="AE236" s="3295" t="str">
        <f t="shared" ref="AE236:AJ236" si="60">AE196</f>
        <v>H</v>
      </c>
      <c r="AF236" s="2686" t="str">
        <f t="shared" si="60"/>
        <v>M</v>
      </c>
      <c r="AG236" s="3295" t="str">
        <f t="shared" si="60"/>
        <v>H</v>
      </c>
      <c r="AH236" s="2686" t="str">
        <f t="shared" si="60"/>
        <v>M</v>
      </c>
      <c r="AI236" s="3295" t="str">
        <f t="shared" si="60"/>
        <v>H</v>
      </c>
      <c r="AJ236" s="2686" t="str">
        <f t="shared" si="60"/>
        <v>M</v>
      </c>
      <c r="AK236" s="2627" t="str">
        <f>AK196</f>
        <v>TTS</v>
      </c>
      <c r="AL236" s="3455" t="s">
        <v>393</v>
      </c>
      <c r="AM236" s="3463" t="s">
        <v>8</v>
      </c>
      <c r="AN236" s="3456" t="s">
        <v>347</v>
      </c>
      <c r="AO236" s="3456" t="s">
        <v>348</v>
      </c>
      <c r="AP236" s="3456" t="s">
        <v>2062</v>
      </c>
      <c r="AQ236" s="3457" t="s">
        <v>2081</v>
      </c>
      <c r="AR236" s="3456" t="s">
        <v>2510</v>
      </c>
    </row>
    <row r="237" spans="1:45" s="1443" customFormat="1" ht="27.95" customHeight="1">
      <c r="A237" s="3274">
        <v>1</v>
      </c>
      <c r="B237" s="2145" t="s">
        <v>2378</v>
      </c>
      <c r="C237" s="2147"/>
      <c r="D237" s="2147"/>
      <c r="E237" s="2147"/>
      <c r="F237" s="2147"/>
      <c r="G237" s="2149"/>
      <c r="H237" s="3636" t="s">
        <v>78</v>
      </c>
      <c r="I237" s="3636"/>
      <c r="J237" s="3646" t="s">
        <v>1258</v>
      </c>
      <c r="K237" s="3646" t="s">
        <v>1912</v>
      </c>
      <c r="L237" s="3671" t="s">
        <v>93</v>
      </c>
      <c r="M237" s="3672"/>
      <c r="N237" s="5349" t="s">
        <v>1269</v>
      </c>
      <c r="O237" s="5350"/>
      <c r="P237" s="3636"/>
      <c r="Q237" s="3636"/>
      <c r="R237" s="3636"/>
      <c r="S237" s="2877" t="s">
        <v>2132</v>
      </c>
      <c r="T237" s="3636" t="s">
        <v>683</v>
      </c>
      <c r="U237" s="5350">
        <v>10</v>
      </c>
      <c r="V237" s="5350"/>
      <c r="W237" s="5394" t="s">
        <v>1328</v>
      </c>
      <c r="X237" s="5394"/>
      <c r="Y237" s="3286"/>
      <c r="Z237" s="3286"/>
      <c r="AA237" s="5395">
        <f>AC237+AD237+AE237+AF237-AG237-AH237</f>
        <v>0</v>
      </c>
      <c r="AB237" s="5396"/>
      <c r="AC237" s="2682"/>
      <c r="AD237" s="3289"/>
      <c r="AE237" s="2628"/>
      <c r="AF237" s="2629"/>
      <c r="AG237" s="2628"/>
      <c r="AH237" s="2629"/>
      <c r="AI237" s="2628"/>
      <c r="AJ237" s="2629"/>
      <c r="AK237" s="2670">
        <f t="shared" ref="AK237:AK294" si="61">SUM(AC237:AD237)</f>
        <v>0</v>
      </c>
      <c r="AL237" s="3464"/>
      <c r="AM237" s="3448"/>
      <c r="AN237" s="3448"/>
      <c r="AO237" s="3448"/>
      <c r="AP237" s="3448"/>
      <c r="AQ237" s="3448"/>
      <c r="AR237" s="3458" t="e">
        <f t="shared" ref="AR237:AR250" si="62">SUM(AM237:AQ237)/AS237</f>
        <v>#DIV/0!</v>
      </c>
      <c r="AS237" s="3459">
        <f>COUNTA(AM237:AQ237)</f>
        <v>0</v>
      </c>
    </row>
    <row r="238" spans="1:45" s="1443" customFormat="1" ht="27.95" customHeight="1">
      <c r="A238" s="3274">
        <v>2</v>
      </c>
      <c r="B238" s="2156" t="s">
        <v>2473</v>
      </c>
      <c r="C238" s="3087"/>
      <c r="D238" s="2147"/>
      <c r="E238" s="2147"/>
      <c r="F238" s="2147"/>
      <c r="G238" s="2149"/>
      <c r="H238" s="3636"/>
      <c r="I238" s="3636" t="s">
        <v>78</v>
      </c>
      <c r="J238" s="3646" t="s">
        <v>2474</v>
      </c>
      <c r="K238" s="3646" t="s">
        <v>2475</v>
      </c>
      <c r="L238" s="3685" t="s">
        <v>390</v>
      </c>
      <c r="M238" s="3672"/>
      <c r="N238" s="5349"/>
      <c r="O238" s="5350"/>
      <c r="P238" s="2155"/>
      <c r="Q238" s="2155"/>
      <c r="R238" s="2155"/>
      <c r="S238" s="2877" t="s">
        <v>2178</v>
      </c>
      <c r="T238" s="2155"/>
      <c r="U238" s="5350">
        <v>10</v>
      </c>
      <c r="V238" s="5350"/>
      <c r="W238" s="5351"/>
      <c r="X238" s="5351"/>
      <c r="Y238" s="3286" t="s">
        <v>765</v>
      </c>
      <c r="Z238" s="3286" t="s">
        <v>228</v>
      </c>
      <c r="AA238" s="5395">
        <f t="shared" ref="AA238:AA261" si="63">AC238+AD238+AE238+AF238-AG238-AH238</f>
        <v>31</v>
      </c>
      <c r="AB238" s="5396"/>
      <c r="AC238" s="2682">
        <v>16</v>
      </c>
      <c r="AD238" s="3289">
        <v>17</v>
      </c>
      <c r="AE238" s="2628">
        <v>1</v>
      </c>
      <c r="AF238" s="2629"/>
      <c r="AG238" s="2628">
        <v>1</v>
      </c>
      <c r="AH238" s="2629">
        <v>2</v>
      </c>
      <c r="AI238" s="2628"/>
      <c r="AJ238" s="2629"/>
      <c r="AK238" s="2671">
        <f t="shared" si="61"/>
        <v>33</v>
      </c>
      <c r="AL238" s="3464"/>
      <c r="AM238" s="3448">
        <v>7</v>
      </c>
      <c r="AN238" s="3448"/>
      <c r="AO238" s="3448"/>
      <c r="AP238" s="3448"/>
      <c r="AQ238" s="3448"/>
      <c r="AR238" s="3458">
        <f t="shared" si="62"/>
        <v>7</v>
      </c>
      <c r="AS238" s="3459">
        <f t="shared" ref="AS238:AS263" si="64">COUNTA(AM238:AQ238)</f>
        <v>1</v>
      </c>
    </row>
    <row r="239" spans="1:45" s="1443" customFormat="1" ht="27.95" customHeight="1">
      <c r="A239" s="3274">
        <v>3</v>
      </c>
      <c r="B239" s="2158" t="s">
        <v>2666</v>
      </c>
      <c r="C239" s="3087"/>
      <c r="D239" s="2147"/>
      <c r="E239" s="2147"/>
      <c r="F239" s="2147"/>
      <c r="G239" s="2149"/>
      <c r="H239" s="3274"/>
      <c r="I239" s="3636" t="s">
        <v>78</v>
      </c>
      <c r="J239" s="3646" t="s">
        <v>2667</v>
      </c>
      <c r="K239" s="3290"/>
      <c r="L239" s="3685" t="s">
        <v>390</v>
      </c>
      <c r="M239" s="3672"/>
      <c r="N239" s="5350"/>
      <c r="O239" s="5350"/>
      <c r="P239" s="2155"/>
      <c r="Q239" s="2155"/>
      <c r="R239" s="2155"/>
      <c r="S239" s="2877"/>
      <c r="T239" s="2155"/>
      <c r="U239" s="5350">
        <v>20</v>
      </c>
      <c r="V239" s="5350"/>
      <c r="W239" s="5351"/>
      <c r="X239" s="5351"/>
      <c r="Y239" s="3286" t="s">
        <v>765</v>
      </c>
      <c r="Z239" s="3288" t="s">
        <v>230</v>
      </c>
      <c r="AA239" s="5395">
        <f t="shared" si="63"/>
        <v>32</v>
      </c>
      <c r="AB239" s="5396"/>
      <c r="AC239" s="2682">
        <v>15</v>
      </c>
      <c r="AD239" s="3289">
        <v>17</v>
      </c>
      <c r="AE239" s="2628">
        <v>3</v>
      </c>
      <c r="AF239" s="2629">
        <v>2</v>
      </c>
      <c r="AG239" s="2628">
        <v>1</v>
      </c>
      <c r="AH239" s="2629">
        <v>4</v>
      </c>
      <c r="AI239" s="2628"/>
      <c r="AJ239" s="2629"/>
      <c r="AK239" s="2671">
        <f t="shared" si="61"/>
        <v>32</v>
      </c>
      <c r="AL239" s="3464"/>
      <c r="AM239" s="3448">
        <v>6.8</v>
      </c>
      <c r="AN239" s="3448"/>
      <c r="AO239" s="3448"/>
      <c r="AP239" s="3448"/>
      <c r="AQ239" s="3448"/>
      <c r="AR239" s="3458">
        <f t="shared" si="62"/>
        <v>6.8</v>
      </c>
      <c r="AS239" s="3459">
        <f t="shared" si="64"/>
        <v>1</v>
      </c>
    </row>
    <row r="240" spans="1:45" s="1443" customFormat="1" ht="27.95" customHeight="1">
      <c r="A240" s="3274">
        <v>4</v>
      </c>
      <c r="B240" s="2158" t="s">
        <v>2580</v>
      </c>
      <c r="C240" s="3087"/>
      <c r="D240" s="2147"/>
      <c r="E240" s="2147"/>
      <c r="F240" s="2147"/>
      <c r="G240" s="2149"/>
      <c r="H240" s="3636"/>
      <c r="I240" s="3636" t="s">
        <v>78</v>
      </c>
      <c r="J240" s="3646" t="s">
        <v>1309</v>
      </c>
      <c r="K240" s="3646" t="s">
        <v>1898</v>
      </c>
      <c r="L240" s="3685" t="s">
        <v>390</v>
      </c>
      <c r="M240" s="3672"/>
      <c r="N240" s="5349" t="s">
        <v>1310</v>
      </c>
      <c r="O240" s="5350"/>
      <c r="P240" s="2155"/>
      <c r="Q240" s="2155"/>
      <c r="R240" s="2155"/>
      <c r="S240" s="2877" t="s">
        <v>2164</v>
      </c>
      <c r="T240" s="2155"/>
      <c r="U240" s="5350">
        <v>10</v>
      </c>
      <c r="V240" s="5350"/>
      <c r="W240" s="5351" t="s">
        <v>1221</v>
      </c>
      <c r="X240" s="5351"/>
      <c r="Y240" s="3564" t="s">
        <v>765</v>
      </c>
      <c r="Z240" s="3644" t="s">
        <v>7</v>
      </c>
      <c r="AA240" s="5395">
        <f t="shared" si="63"/>
        <v>32</v>
      </c>
      <c r="AB240" s="5396"/>
      <c r="AC240" s="2682">
        <v>16</v>
      </c>
      <c r="AD240" s="3289">
        <v>15</v>
      </c>
      <c r="AE240" s="2628">
        <v>2</v>
      </c>
      <c r="AF240" s="2629"/>
      <c r="AG240" s="2628">
        <v>1</v>
      </c>
      <c r="AH240" s="2629"/>
      <c r="AI240" s="2628"/>
      <c r="AJ240" s="2629"/>
      <c r="AK240" s="2671">
        <f t="shared" si="61"/>
        <v>31</v>
      </c>
      <c r="AL240" s="3464"/>
      <c r="AM240" s="3448">
        <v>6</v>
      </c>
      <c r="AN240" s="3448"/>
      <c r="AO240" s="3448"/>
      <c r="AP240" s="3448"/>
      <c r="AQ240" s="3448"/>
      <c r="AR240" s="3458">
        <f t="shared" si="62"/>
        <v>6</v>
      </c>
      <c r="AS240" s="3459">
        <f t="shared" si="64"/>
        <v>1</v>
      </c>
    </row>
    <row r="241" spans="1:45" s="1443" customFormat="1" ht="27.95" customHeight="1">
      <c r="A241" s="3274">
        <v>5</v>
      </c>
      <c r="B241" s="2158" t="s">
        <v>2578</v>
      </c>
      <c r="C241" s="3087"/>
      <c r="D241" s="2147"/>
      <c r="E241" s="2147"/>
      <c r="F241" s="2147"/>
      <c r="G241" s="2149"/>
      <c r="H241" s="3636" t="s">
        <v>78</v>
      </c>
      <c r="I241" s="3636"/>
      <c r="J241" s="3646" t="s">
        <v>1312</v>
      </c>
      <c r="K241" s="3646" t="s">
        <v>1900</v>
      </c>
      <c r="L241" s="3685" t="s">
        <v>390</v>
      </c>
      <c r="M241" s="3672"/>
      <c r="N241" s="5349"/>
      <c r="O241" s="5350"/>
      <c r="P241" s="2155"/>
      <c r="Q241" s="2155"/>
      <c r="R241" s="2155"/>
      <c r="S241" s="2877" t="s">
        <v>2162</v>
      </c>
      <c r="T241" s="2155"/>
      <c r="U241" s="5350">
        <v>10</v>
      </c>
      <c r="V241" s="5350"/>
      <c r="W241" s="5351" t="s">
        <v>1833</v>
      </c>
      <c r="X241" s="5351"/>
      <c r="Y241" s="3286" t="s">
        <v>766</v>
      </c>
      <c r="Z241" s="3645" t="s">
        <v>228</v>
      </c>
      <c r="AA241" s="5395">
        <f t="shared" si="63"/>
        <v>27</v>
      </c>
      <c r="AB241" s="5396"/>
      <c r="AC241" s="2682">
        <v>14</v>
      </c>
      <c r="AD241" s="3289">
        <v>18</v>
      </c>
      <c r="AE241" s="2628">
        <v>2</v>
      </c>
      <c r="AF241" s="2629"/>
      <c r="AG241" s="2628">
        <v>3</v>
      </c>
      <c r="AH241" s="2629">
        <v>4</v>
      </c>
      <c r="AI241" s="2628"/>
      <c r="AJ241" s="2629"/>
      <c r="AK241" s="2671">
        <f t="shared" si="61"/>
        <v>32</v>
      </c>
      <c r="AL241" s="3464"/>
      <c r="AM241" s="3448">
        <v>6.9</v>
      </c>
      <c r="AN241" s="3448"/>
      <c r="AO241" s="3448"/>
      <c r="AP241" s="3448"/>
      <c r="AQ241" s="3448"/>
      <c r="AR241" s="3458">
        <f t="shared" si="62"/>
        <v>6.9</v>
      </c>
      <c r="AS241" s="3459">
        <f t="shared" si="64"/>
        <v>1</v>
      </c>
    </row>
    <row r="242" spans="1:45" s="1443" customFormat="1" ht="27.95" customHeight="1">
      <c r="A242" s="3274">
        <v>6</v>
      </c>
      <c r="B242" s="2158" t="s">
        <v>2579</v>
      </c>
      <c r="C242" s="3087"/>
      <c r="D242" s="2147"/>
      <c r="E242" s="2147"/>
      <c r="F242" s="2147"/>
      <c r="G242" s="2149"/>
      <c r="H242" s="3636"/>
      <c r="I242" s="3636" t="s">
        <v>78</v>
      </c>
      <c r="J242" s="3646" t="s">
        <v>1311</v>
      </c>
      <c r="K242" s="3646" t="s">
        <v>1899</v>
      </c>
      <c r="L242" s="3685" t="s">
        <v>390</v>
      </c>
      <c r="M242" s="3672"/>
      <c r="N242" s="5350"/>
      <c r="O242" s="5350"/>
      <c r="P242" s="2155"/>
      <c r="Q242" s="2155"/>
      <c r="R242" s="2155"/>
      <c r="S242" s="2877" t="s">
        <v>2163</v>
      </c>
      <c r="T242" s="2155" t="s">
        <v>688</v>
      </c>
      <c r="U242" s="5350">
        <v>10</v>
      </c>
      <c r="V242" s="5350"/>
      <c r="W242" s="5351" t="s">
        <v>1246</v>
      </c>
      <c r="X242" s="5351"/>
      <c r="Y242" s="3564" t="s">
        <v>766</v>
      </c>
      <c r="Z242" s="3644" t="s">
        <v>230</v>
      </c>
      <c r="AA242" s="5395">
        <f t="shared" si="63"/>
        <v>29</v>
      </c>
      <c r="AB242" s="5396"/>
      <c r="AC242" s="2682">
        <v>14</v>
      </c>
      <c r="AD242" s="3289">
        <v>16</v>
      </c>
      <c r="AE242" s="2628">
        <v>1</v>
      </c>
      <c r="AF242" s="2629"/>
      <c r="AG242" s="2628">
        <v>1</v>
      </c>
      <c r="AH242" s="2629">
        <v>1</v>
      </c>
      <c r="AI242" s="2628"/>
      <c r="AJ242" s="2629"/>
      <c r="AK242" s="2671">
        <f t="shared" si="61"/>
        <v>30</v>
      </c>
      <c r="AL242" s="3464"/>
      <c r="AM242" s="3448">
        <v>7.1</v>
      </c>
      <c r="AN242" s="3448"/>
      <c r="AO242" s="3448"/>
      <c r="AP242" s="3448"/>
      <c r="AQ242" s="3448"/>
      <c r="AR242" s="3458">
        <f t="shared" si="62"/>
        <v>7.1</v>
      </c>
      <c r="AS242" s="3459">
        <f t="shared" si="64"/>
        <v>1</v>
      </c>
    </row>
    <row r="243" spans="1:45" s="1443" customFormat="1" ht="27.95" customHeight="1">
      <c r="A243" s="3274">
        <v>7</v>
      </c>
      <c r="B243" s="2156" t="s">
        <v>2668</v>
      </c>
      <c r="C243" s="3087"/>
      <c r="D243" s="2147"/>
      <c r="E243" s="2147"/>
      <c r="F243" s="2147"/>
      <c r="G243" s="2149"/>
      <c r="H243" s="3636"/>
      <c r="I243" s="3636"/>
      <c r="J243" s="3646"/>
      <c r="K243" s="3646"/>
      <c r="L243" s="3685"/>
      <c r="M243" s="3672"/>
      <c r="N243" s="5349"/>
      <c r="O243" s="5350"/>
      <c r="P243" s="2155"/>
      <c r="Q243" s="2155"/>
      <c r="R243" s="2155"/>
      <c r="S243" s="2877"/>
      <c r="T243" s="2155"/>
      <c r="U243" s="5350"/>
      <c r="V243" s="5350"/>
      <c r="W243" s="5351"/>
      <c r="X243" s="5351"/>
      <c r="Y243" s="3286" t="s">
        <v>767</v>
      </c>
      <c r="Z243" s="3645" t="s">
        <v>228</v>
      </c>
      <c r="AA243" s="5395">
        <f t="shared" si="63"/>
        <v>27</v>
      </c>
      <c r="AB243" s="5396"/>
      <c r="AC243" s="2682">
        <v>11</v>
      </c>
      <c r="AD243" s="3289">
        <v>15</v>
      </c>
      <c r="AE243" s="2628">
        <v>2</v>
      </c>
      <c r="AF243" s="2629">
        <v>2</v>
      </c>
      <c r="AG243" s="2628">
        <v>1</v>
      </c>
      <c r="AH243" s="2629">
        <v>2</v>
      </c>
      <c r="AI243" s="2628"/>
      <c r="AJ243" s="2629"/>
      <c r="AK243" s="2671">
        <f t="shared" si="61"/>
        <v>26</v>
      </c>
      <c r="AL243" s="3464"/>
      <c r="AM243" s="3448">
        <v>7</v>
      </c>
      <c r="AN243" s="3448"/>
      <c r="AO243" s="3448"/>
      <c r="AP243" s="3448"/>
      <c r="AQ243" s="3448"/>
      <c r="AR243" s="3458">
        <f t="shared" si="62"/>
        <v>7</v>
      </c>
      <c r="AS243" s="3459">
        <f t="shared" si="64"/>
        <v>1</v>
      </c>
    </row>
    <row r="244" spans="1:45" s="1443" customFormat="1" ht="27.95" customHeight="1">
      <c r="A244" s="3274">
        <v>8</v>
      </c>
      <c r="B244" s="2158" t="s">
        <v>2585</v>
      </c>
      <c r="C244" s="3087"/>
      <c r="D244" s="2147"/>
      <c r="E244" s="2147"/>
      <c r="F244" s="2147"/>
      <c r="G244" s="2149"/>
      <c r="H244" s="3636"/>
      <c r="I244" s="3636" t="s">
        <v>78</v>
      </c>
      <c r="J244" s="3646" t="s">
        <v>1316</v>
      </c>
      <c r="K244" s="3646" t="s">
        <v>1903</v>
      </c>
      <c r="L244" s="3685" t="s">
        <v>390</v>
      </c>
      <c r="M244" s="3672"/>
      <c r="N244" s="5349" t="s">
        <v>1220</v>
      </c>
      <c r="O244" s="5350"/>
      <c r="P244" s="2155"/>
      <c r="Q244" s="2155"/>
      <c r="R244" s="2155"/>
      <c r="S244" s="2877" t="s">
        <v>2169</v>
      </c>
      <c r="T244" s="2155" t="s">
        <v>683</v>
      </c>
      <c r="U244" s="5350">
        <v>10</v>
      </c>
      <c r="V244" s="5350"/>
      <c r="W244" s="5351" t="s">
        <v>1205</v>
      </c>
      <c r="X244" s="5351"/>
      <c r="Y244" s="3564" t="s">
        <v>767</v>
      </c>
      <c r="Z244" s="3644" t="s">
        <v>230</v>
      </c>
      <c r="AA244" s="5395">
        <f t="shared" si="63"/>
        <v>27</v>
      </c>
      <c r="AB244" s="5396"/>
      <c r="AC244" s="2682">
        <v>12</v>
      </c>
      <c r="AD244" s="3289">
        <v>15</v>
      </c>
      <c r="AE244" s="2628">
        <v>2</v>
      </c>
      <c r="AF244" s="2629">
        <v>1</v>
      </c>
      <c r="AG244" s="2628">
        <v>3</v>
      </c>
      <c r="AH244" s="2629"/>
      <c r="AI244" s="2628"/>
      <c r="AJ244" s="2629"/>
      <c r="AK244" s="2671">
        <f t="shared" si="61"/>
        <v>27</v>
      </c>
      <c r="AL244" s="3464"/>
      <c r="AM244" s="3448">
        <v>7.3</v>
      </c>
      <c r="AN244" s="3448"/>
      <c r="AO244" s="3448"/>
      <c r="AP244" s="3448"/>
      <c r="AQ244" s="3448"/>
      <c r="AR244" s="3458">
        <f t="shared" si="62"/>
        <v>7.3</v>
      </c>
      <c r="AS244" s="3459">
        <f t="shared" si="64"/>
        <v>1</v>
      </c>
    </row>
    <row r="245" spans="1:45" s="1444" customFormat="1" ht="27.95" customHeight="1">
      <c r="A245" s="3274">
        <v>9</v>
      </c>
      <c r="B245" s="2158" t="s">
        <v>2470</v>
      </c>
      <c r="C245" s="3087"/>
      <c r="D245" s="2147"/>
      <c r="E245" s="2147"/>
      <c r="F245" s="2147"/>
      <c r="G245" s="2149"/>
      <c r="H245" s="3636"/>
      <c r="I245" s="3636" t="s">
        <v>78</v>
      </c>
      <c r="J245" s="3646" t="s">
        <v>2471</v>
      </c>
      <c r="K245" s="3646" t="s">
        <v>2472</v>
      </c>
      <c r="L245" s="3685" t="s">
        <v>390</v>
      </c>
      <c r="M245" s="3672"/>
      <c r="N245" s="5349"/>
      <c r="O245" s="5350"/>
      <c r="P245" s="2155"/>
      <c r="Q245" s="2155"/>
      <c r="R245" s="2155"/>
      <c r="S245" s="2877" t="s">
        <v>2476</v>
      </c>
      <c r="T245" s="2155"/>
      <c r="U245" s="5350">
        <v>10</v>
      </c>
      <c r="V245" s="5350"/>
      <c r="W245" s="5351"/>
      <c r="X245" s="5351"/>
      <c r="Y245" s="3286" t="s">
        <v>771</v>
      </c>
      <c r="Z245" s="3645" t="s">
        <v>228</v>
      </c>
      <c r="AA245" s="5395">
        <f t="shared" si="63"/>
        <v>33</v>
      </c>
      <c r="AB245" s="5396"/>
      <c r="AC245" s="2682">
        <v>15</v>
      </c>
      <c r="AD245" s="3289">
        <v>18</v>
      </c>
      <c r="AE245" s="2628"/>
      <c r="AF245" s="2629"/>
      <c r="AG245" s="2628"/>
      <c r="AH245" s="2629"/>
      <c r="AI245" s="2628"/>
      <c r="AJ245" s="2629"/>
      <c r="AK245" s="2671">
        <f t="shared" si="61"/>
        <v>33</v>
      </c>
      <c r="AL245" s="3464"/>
      <c r="AM245" s="3448">
        <v>6.8</v>
      </c>
      <c r="AN245" s="3448"/>
      <c r="AO245" s="3448"/>
      <c r="AP245" s="3448"/>
      <c r="AQ245" s="3448"/>
      <c r="AR245" s="3458">
        <f t="shared" si="62"/>
        <v>6.8</v>
      </c>
      <c r="AS245" s="3459">
        <f t="shared" si="64"/>
        <v>1</v>
      </c>
    </row>
    <row r="246" spans="1:45" s="1444" customFormat="1" ht="27.95" customHeight="1">
      <c r="A246" s="3274">
        <v>10</v>
      </c>
      <c r="B246" s="2158" t="s">
        <v>2582</v>
      </c>
      <c r="C246" s="3087"/>
      <c r="D246" s="2147"/>
      <c r="E246" s="2147"/>
      <c r="F246" s="2147"/>
      <c r="G246" s="2149"/>
      <c r="H246" s="3636"/>
      <c r="I246" s="3636" t="s">
        <v>78</v>
      </c>
      <c r="J246" s="3646" t="s">
        <v>1313</v>
      </c>
      <c r="K246" s="3646" t="s">
        <v>1901</v>
      </c>
      <c r="L246" s="3685" t="s">
        <v>390</v>
      </c>
      <c r="M246" s="3672"/>
      <c r="N246" s="5350"/>
      <c r="O246" s="5350"/>
      <c r="P246" s="3248"/>
      <c r="Q246" s="3248"/>
      <c r="R246" s="3248"/>
      <c r="S246" s="2877" t="s">
        <v>2165</v>
      </c>
      <c r="T246" s="2155" t="s">
        <v>683</v>
      </c>
      <c r="U246" s="5350">
        <v>10</v>
      </c>
      <c r="V246" s="5350"/>
      <c r="W246" s="5351" t="s">
        <v>1223</v>
      </c>
      <c r="X246" s="5351"/>
      <c r="Y246" s="3644" t="s">
        <v>771</v>
      </c>
      <c r="Z246" s="3645" t="s">
        <v>230</v>
      </c>
      <c r="AA246" s="5395">
        <f t="shared" si="63"/>
        <v>33</v>
      </c>
      <c r="AB246" s="5396"/>
      <c r="AC246" s="2682">
        <v>18</v>
      </c>
      <c r="AD246" s="3289">
        <v>15</v>
      </c>
      <c r="AE246" s="2628">
        <v>1</v>
      </c>
      <c r="AF246" s="2629">
        <v>2</v>
      </c>
      <c r="AG246" s="2628">
        <v>2</v>
      </c>
      <c r="AH246" s="2629">
        <v>1</v>
      </c>
      <c r="AI246" s="2628"/>
      <c r="AJ246" s="2629"/>
      <c r="AK246" s="2671">
        <f t="shared" si="61"/>
        <v>33</v>
      </c>
      <c r="AL246" s="3464"/>
      <c r="AM246" s="3448">
        <v>6</v>
      </c>
      <c r="AN246" s="3448"/>
      <c r="AO246" s="3448"/>
      <c r="AP246" s="3448"/>
      <c r="AQ246" s="3448"/>
      <c r="AR246" s="3458">
        <f t="shared" si="62"/>
        <v>6</v>
      </c>
      <c r="AS246" s="3459">
        <f t="shared" si="64"/>
        <v>1</v>
      </c>
    </row>
    <row r="247" spans="1:45" s="1444" customFormat="1" ht="27.95" customHeight="1">
      <c r="A247" s="3274">
        <v>11</v>
      </c>
      <c r="B247" s="2158" t="s">
        <v>2583</v>
      </c>
      <c r="C247" s="3087"/>
      <c r="D247" s="2147"/>
      <c r="E247" s="2147"/>
      <c r="F247" s="2147"/>
      <c r="G247" s="2149"/>
      <c r="H247" s="3636" t="s">
        <v>78</v>
      </c>
      <c r="I247" s="3636"/>
      <c r="J247" s="3646" t="s">
        <v>1317</v>
      </c>
      <c r="K247" s="3646" t="s">
        <v>1905</v>
      </c>
      <c r="L247" s="3685" t="s">
        <v>390</v>
      </c>
      <c r="M247" s="3672"/>
      <c r="N247" s="5349"/>
      <c r="O247" s="5350"/>
      <c r="P247" s="2155"/>
      <c r="Q247" s="2155"/>
      <c r="R247" s="2155"/>
      <c r="S247" s="2877" t="s">
        <v>2166</v>
      </c>
      <c r="T247" s="2155" t="s">
        <v>689</v>
      </c>
      <c r="U247" s="5350">
        <v>10</v>
      </c>
      <c r="V247" s="5350"/>
      <c r="W247" s="5351" t="s">
        <v>1238</v>
      </c>
      <c r="X247" s="5351"/>
      <c r="Y247" s="3286" t="s">
        <v>772</v>
      </c>
      <c r="Z247" s="3644" t="s">
        <v>228</v>
      </c>
      <c r="AA247" s="5395">
        <f t="shared" si="63"/>
        <v>34</v>
      </c>
      <c r="AB247" s="5396"/>
      <c r="AC247" s="2682">
        <v>13</v>
      </c>
      <c r="AD247" s="3289">
        <v>21</v>
      </c>
      <c r="AE247" s="2628"/>
      <c r="AF247" s="2629">
        <v>1</v>
      </c>
      <c r="AG247" s="2628"/>
      <c r="AH247" s="2629">
        <v>1</v>
      </c>
      <c r="AI247" s="2628"/>
      <c r="AJ247" s="2629"/>
      <c r="AK247" s="2671">
        <f t="shared" si="61"/>
        <v>34</v>
      </c>
      <c r="AL247" s="3464"/>
      <c r="AM247" s="3448">
        <v>6.1</v>
      </c>
      <c r="AN247" s="3448"/>
      <c r="AO247" s="3448"/>
      <c r="AP247" s="3448"/>
      <c r="AQ247" s="3448"/>
      <c r="AR247" s="3458">
        <f t="shared" si="62"/>
        <v>6.1</v>
      </c>
      <c r="AS247" s="3459">
        <f t="shared" si="64"/>
        <v>1</v>
      </c>
    </row>
    <row r="248" spans="1:45" s="1444" customFormat="1" ht="26.25" customHeight="1">
      <c r="A248" s="3274">
        <v>12</v>
      </c>
      <c r="B248" s="2158" t="s">
        <v>2387</v>
      </c>
      <c r="C248" s="3087"/>
      <c r="D248" s="2147"/>
      <c r="E248" s="2147"/>
      <c r="F248" s="2147"/>
      <c r="G248" s="2149"/>
      <c r="H248" s="3274"/>
      <c r="I248" s="3274" t="s">
        <v>78</v>
      </c>
      <c r="J248" s="3290" t="s">
        <v>1280</v>
      </c>
      <c r="K248" s="3290" t="s">
        <v>1904</v>
      </c>
      <c r="L248" s="3685" t="s">
        <v>390</v>
      </c>
      <c r="M248" s="3672"/>
      <c r="N248" s="5349" t="s">
        <v>1237</v>
      </c>
      <c r="O248" s="5350"/>
      <c r="P248" s="2155"/>
      <c r="Q248" s="2155"/>
      <c r="R248" s="2155"/>
      <c r="S248" s="2877" t="s">
        <v>2167</v>
      </c>
      <c r="T248" s="2155" t="s">
        <v>686</v>
      </c>
      <c r="U248" s="5350">
        <v>10</v>
      </c>
      <c r="V248" s="5350"/>
      <c r="W248" s="5351"/>
      <c r="X248" s="5351"/>
      <c r="Y248" s="3644" t="s">
        <v>772</v>
      </c>
      <c r="Z248" s="3645" t="s">
        <v>230</v>
      </c>
      <c r="AA248" s="5395">
        <f t="shared" si="63"/>
        <v>35</v>
      </c>
      <c r="AB248" s="5396"/>
      <c r="AC248" s="2682">
        <v>12</v>
      </c>
      <c r="AD248" s="3289">
        <v>22</v>
      </c>
      <c r="AE248" s="2628">
        <v>2</v>
      </c>
      <c r="AF248" s="2629">
        <v>1</v>
      </c>
      <c r="AG248" s="2628">
        <v>1</v>
      </c>
      <c r="AH248" s="2629">
        <v>1</v>
      </c>
      <c r="AI248" s="2628"/>
      <c r="AJ248" s="2629"/>
      <c r="AK248" s="2671">
        <f t="shared" si="61"/>
        <v>34</v>
      </c>
      <c r="AL248" s="3464"/>
      <c r="AM248" s="3448">
        <v>6.6</v>
      </c>
      <c r="AN248" s="3448"/>
      <c r="AO248" s="3448"/>
      <c r="AP248" s="3448"/>
      <c r="AQ248" s="3448"/>
      <c r="AR248" s="3458">
        <f t="shared" si="62"/>
        <v>6.6</v>
      </c>
      <c r="AS248" s="3459">
        <f t="shared" si="64"/>
        <v>1</v>
      </c>
    </row>
    <row r="249" spans="1:45" s="1444" customFormat="1" ht="27.95" customHeight="1">
      <c r="A249" s="3274">
        <v>13</v>
      </c>
      <c r="B249" s="2158" t="s">
        <v>2669</v>
      </c>
      <c r="C249" s="3087"/>
      <c r="D249" s="2147"/>
      <c r="E249" s="2147"/>
      <c r="F249" s="2147"/>
      <c r="G249" s="2149"/>
      <c r="H249" s="3274"/>
      <c r="I249" s="3274" t="s">
        <v>78</v>
      </c>
      <c r="J249" s="3646"/>
      <c r="K249" s="3290" t="s">
        <v>1902</v>
      </c>
      <c r="L249" s="3685" t="s">
        <v>390</v>
      </c>
      <c r="M249" s="3672"/>
      <c r="N249" s="5349" t="s">
        <v>1245</v>
      </c>
      <c r="O249" s="5350"/>
      <c r="P249" s="2155"/>
      <c r="Q249" s="2155"/>
      <c r="R249" s="2155"/>
      <c r="S249" s="2877" t="s">
        <v>2168</v>
      </c>
      <c r="T249" s="2155" t="s">
        <v>683</v>
      </c>
      <c r="U249" s="5350">
        <v>10</v>
      </c>
      <c r="V249" s="5350"/>
      <c r="W249" s="5351" t="s">
        <v>1829</v>
      </c>
      <c r="X249" s="5351"/>
      <c r="Y249" s="3286" t="s">
        <v>773</v>
      </c>
      <c r="Z249" s="3645" t="s">
        <v>228</v>
      </c>
      <c r="AA249" s="5395">
        <f t="shared" si="63"/>
        <v>35</v>
      </c>
      <c r="AB249" s="5396"/>
      <c r="AC249" s="2682">
        <v>16</v>
      </c>
      <c r="AD249" s="3289">
        <v>19</v>
      </c>
      <c r="AE249" s="2628"/>
      <c r="AF249" s="2629"/>
      <c r="AG249" s="2628"/>
      <c r="AH249" s="2629"/>
      <c r="AI249" s="2628"/>
      <c r="AJ249" s="2629"/>
      <c r="AK249" s="2671">
        <f t="shared" si="61"/>
        <v>35</v>
      </c>
      <c r="AL249" s="3464"/>
      <c r="AM249" s="3448">
        <v>6.2</v>
      </c>
      <c r="AN249" s="3448"/>
      <c r="AO249" s="3448"/>
      <c r="AP249" s="3448"/>
      <c r="AQ249" s="3448"/>
      <c r="AR249" s="3458">
        <f t="shared" si="62"/>
        <v>6.2</v>
      </c>
      <c r="AS249" s="3459">
        <f t="shared" si="64"/>
        <v>1</v>
      </c>
    </row>
    <row r="250" spans="1:45" s="1444" customFormat="1" ht="27.95" customHeight="1">
      <c r="A250" s="3274">
        <v>14</v>
      </c>
      <c r="B250" s="2156" t="s">
        <v>2584</v>
      </c>
      <c r="C250" s="3087"/>
      <c r="D250" s="2147"/>
      <c r="E250" s="2147"/>
      <c r="F250" s="2147"/>
      <c r="G250" s="2149"/>
      <c r="H250" s="3636" t="s">
        <v>78</v>
      </c>
      <c r="I250" s="3636"/>
      <c r="J250" s="3646" t="s">
        <v>1244</v>
      </c>
      <c r="K250" s="3646" t="s">
        <v>1909</v>
      </c>
      <c r="L250" s="3685" t="s">
        <v>390</v>
      </c>
      <c r="M250" s="3672"/>
      <c r="N250" s="5349"/>
      <c r="O250" s="5350"/>
      <c r="P250" s="2155"/>
      <c r="Q250" s="2155"/>
      <c r="R250" s="2155"/>
      <c r="S250" s="2877" t="s">
        <v>2173</v>
      </c>
      <c r="T250" s="2155"/>
      <c r="U250" s="5350">
        <v>10</v>
      </c>
      <c r="V250" s="5350"/>
      <c r="W250" s="5351"/>
      <c r="X250" s="5351"/>
      <c r="Y250" s="3286" t="s">
        <v>773</v>
      </c>
      <c r="Z250" s="3644" t="s">
        <v>230</v>
      </c>
      <c r="AA250" s="5395">
        <f t="shared" si="63"/>
        <v>35</v>
      </c>
      <c r="AB250" s="5396"/>
      <c r="AC250" s="2682">
        <v>22</v>
      </c>
      <c r="AD250" s="3289">
        <v>11</v>
      </c>
      <c r="AE250" s="2628"/>
      <c r="AF250" s="2629">
        <v>2</v>
      </c>
      <c r="AG250" s="2628"/>
      <c r="AH250" s="2629"/>
      <c r="AI250" s="2628"/>
      <c r="AJ250" s="2629"/>
      <c r="AK250" s="2671">
        <f t="shared" si="61"/>
        <v>33</v>
      </c>
      <c r="AL250" s="3464"/>
      <c r="AM250" s="3448">
        <v>6</v>
      </c>
      <c r="AN250" s="3448"/>
      <c r="AO250" s="3448"/>
      <c r="AP250" s="3448"/>
      <c r="AQ250" s="3448"/>
      <c r="AR250" s="3458">
        <f t="shared" si="62"/>
        <v>6</v>
      </c>
      <c r="AS250" s="3459">
        <f t="shared" si="64"/>
        <v>1</v>
      </c>
    </row>
    <row r="251" spans="1:45" s="1444" customFormat="1" ht="27.95" customHeight="1">
      <c r="A251" s="3274">
        <v>15</v>
      </c>
      <c r="B251" s="2156"/>
      <c r="C251" s="3087"/>
      <c r="D251" s="2147"/>
      <c r="E251" s="2147"/>
      <c r="F251" s="2147"/>
      <c r="G251" s="2149"/>
      <c r="H251" s="3274"/>
      <c r="I251" s="3274"/>
      <c r="J251" s="3290"/>
      <c r="K251" s="3290"/>
      <c r="L251" s="3686" t="s">
        <v>401</v>
      </c>
      <c r="M251" s="3672"/>
      <c r="N251" s="5402"/>
      <c r="O251" s="5350"/>
      <c r="P251" s="2155"/>
      <c r="Q251" s="2155"/>
      <c r="R251" s="2155"/>
      <c r="S251" s="2877" t="s">
        <v>2170</v>
      </c>
      <c r="T251" s="2155"/>
      <c r="U251" s="5350"/>
      <c r="V251" s="5350"/>
      <c r="W251" s="5351"/>
      <c r="X251" s="5351"/>
      <c r="Y251" s="3286"/>
      <c r="Z251" s="3288"/>
      <c r="AA251" s="5395">
        <f t="shared" si="63"/>
        <v>0</v>
      </c>
      <c r="AB251" s="5396"/>
      <c r="AC251" s="2682"/>
      <c r="AD251" s="3289"/>
      <c r="AE251" s="2628"/>
      <c r="AF251" s="2629"/>
      <c r="AG251" s="2628"/>
      <c r="AH251" s="2629"/>
      <c r="AI251" s="2628"/>
      <c r="AJ251" s="2629"/>
      <c r="AK251" s="2671">
        <f t="shared" si="61"/>
        <v>0</v>
      </c>
      <c r="AL251" s="3464"/>
      <c r="AM251" s="3448"/>
      <c r="AN251" s="3448"/>
      <c r="AO251" s="3448"/>
      <c r="AP251" s="3448"/>
      <c r="AQ251" s="3448"/>
      <c r="AR251" s="3458" t="e">
        <f t="shared" ref="AR251:AR263" si="65">SUM(AM251:AQ251)/AS251</f>
        <v>#DIV/0!</v>
      </c>
      <c r="AS251" s="3459">
        <f t="shared" si="64"/>
        <v>0</v>
      </c>
    </row>
    <row r="252" spans="1:45" s="1444" customFormat="1" ht="27.95" customHeight="1">
      <c r="A252" s="3274">
        <v>16</v>
      </c>
      <c r="B252" s="2158" t="s">
        <v>1319</v>
      </c>
      <c r="C252" s="3087"/>
      <c r="D252" s="2147"/>
      <c r="E252" s="2147"/>
      <c r="F252" s="2147"/>
      <c r="G252" s="2149"/>
      <c r="H252" s="3274"/>
      <c r="I252" s="3274" t="s">
        <v>78</v>
      </c>
      <c r="J252" s="3290" t="s">
        <v>1320</v>
      </c>
      <c r="K252" s="3290" t="s">
        <v>1906</v>
      </c>
      <c r="L252" s="3671" t="s">
        <v>426</v>
      </c>
      <c r="M252" s="3672"/>
      <c r="N252" s="5350"/>
      <c r="O252" s="5350"/>
      <c r="P252" s="2155"/>
      <c r="Q252" s="2155"/>
      <c r="R252" s="2155"/>
      <c r="S252" s="2877" t="s">
        <v>2171</v>
      </c>
      <c r="T252" s="2155"/>
      <c r="U252" s="5350">
        <v>10</v>
      </c>
      <c r="V252" s="5350"/>
      <c r="W252" s="5351" t="s">
        <v>1831</v>
      </c>
      <c r="X252" s="5351"/>
      <c r="Y252" s="3286"/>
      <c r="Z252" s="3286"/>
      <c r="AA252" s="5395">
        <f t="shared" si="63"/>
        <v>0</v>
      </c>
      <c r="AB252" s="5396"/>
      <c r="AC252" s="2682"/>
      <c r="AD252" s="3289"/>
      <c r="AE252" s="2628"/>
      <c r="AF252" s="2629"/>
      <c r="AG252" s="2628"/>
      <c r="AH252" s="2629"/>
      <c r="AI252" s="2628"/>
      <c r="AJ252" s="2629"/>
      <c r="AK252" s="2671">
        <f t="shared" si="61"/>
        <v>0</v>
      </c>
      <c r="AL252" s="3464"/>
      <c r="AM252" s="3448"/>
      <c r="AN252" s="3448"/>
      <c r="AO252" s="3448"/>
      <c r="AP252" s="3448"/>
      <c r="AQ252" s="3448"/>
      <c r="AR252" s="3458" t="e">
        <f t="shared" si="65"/>
        <v>#DIV/0!</v>
      </c>
      <c r="AS252" s="3459">
        <f t="shared" si="64"/>
        <v>0</v>
      </c>
    </row>
    <row r="253" spans="1:45" s="1444" customFormat="1" ht="27.95" customHeight="1">
      <c r="A253" s="3274">
        <v>17</v>
      </c>
      <c r="B253" s="2156" t="s">
        <v>1326</v>
      </c>
      <c r="C253" s="3087"/>
      <c r="D253" s="2147"/>
      <c r="E253" s="2147"/>
      <c r="F253" s="2147"/>
      <c r="G253" s="2149"/>
      <c r="H253" s="3274" t="s">
        <v>78</v>
      </c>
      <c r="I253" s="3274"/>
      <c r="J253" s="3290" t="s">
        <v>1327</v>
      </c>
      <c r="K253" s="3290" t="s">
        <v>1906</v>
      </c>
      <c r="L253" s="3685" t="s">
        <v>426</v>
      </c>
      <c r="M253" s="3672"/>
      <c r="N253" s="5349"/>
      <c r="O253" s="5350"/>
      <c r="P253" s="2155"/>
      <c r="Q253" s="2155"/>
      <c r="R253" s="2155"/>
      <c r="S253" s="2877"/>
      <c r="T253" s="2155"/>
      <c r="U253" s="5350"/>
      <c r="V253" s="5350"/>
      <c r="W253" s="5351"/>
      <c r="X253" s="5351"/>
      <c r="Y253" s="3286"/>
      <c r="Z253" s="3286"/>
      <c r="AA253" s="5395">
        <f t="shared" si="63"/>
        <v>0</v>
      </c>
      <c r="AB253" s="5396"/>
      <c r="AC253" s="2682"/>
      <c r="AD253" s="3289"/>
      <c r="AE253" s="2628"/>
      <c r="AF253" s="2629"/>
      <c r="AG253" s="2628"/>
      <c r="AH253" s="2629"/>
      <c r="AI253" s="2628"/>
      <c r="AJ253" s="2629"/>
      <c r="AK253" s="2671">
        <f t="shared" si="61"/>
        <v>0</v>
      </c>
      <c r="AL253" s="3464"/>
      <c r="AM253" s="3448"/>
      <c r="AN253" s="3448"/>
      <c r="AO253" s="3448"/>
      <c r="AP253" s="3448"/>
      <c r="AQ253" s="3448"/>
      <c r="AR253" s="3458" t="e">
        <f t="shared" si="65"/>
        <v>#DIV/0!</v>
      </c>
      <c r="AS253" s="3459">
        <f t="shared" si="64"/>
        <v>0</v>
      </c>
    </row>
    <row r="254" spans="1:45" s="1444" customFormat="1" ht="27.95" customHeight="1">
      <c r="A254" s="3274"/>
      <c r="B254" s="2158"/>
      <c r="C254" s="3087"/>
      <c r="D254" s="2147"/>
      <c r="E254" s="2147"/>
      <c r="F254" s="2147"/>
      <c r="G254" s="2149"/>
      <c r="H254" s="3636"/>
      <c r="I254" s="3636"/>
      <c r="J254" s="3646"/>
      <c r="K254" s="3646"/>
      <c r="L254" s="3685"/>
      <c r="M254" s="3672"/>
      <c r="N254" s="5350"/>
      <c r="O254" s="5350"/>
      <c r="P254" s="3248"/>
      <c r="Q254" s="3248"/>
      <c r="R254" s="3248"/>
      <c r="S254" s="2877"/>
      <c r="T254" s="2155"/>
      <c r="U254" s="5350"/>
      <c r="V254" s="5350"/>
      <c r="W254" s="5351"/>
      <c r="X254" s="5351"/>
      <c r="Y254" s="3286"/>
      <c r="Z254" s="3286"/>
      <c r="AA254" s="5395">
        <f t="shared" si="63"/>
        <v>0</v>
      </c>
      <c r="AB254" s="5396"/>
      <c r="AC254" s="2682"/>
      <c r="AD254" s="3289"/>
      <c r="AE254" s="2628"/>
      <c r="AF254" s="2629"/>
      <c r="AG254" s="2628"/>
      <c r="AH254" s="2629"/>
      <c r="AI254" s="2628"/>
      <c r="AJ254" s="2629"/>
      <c r="AK254" s="2671">
        <f t="shared" si="61"/>
        <v>0</v>
      </c>
      <c r="AL254" s="3464"/>
      <c r="AM254" s="3448"/>
      <c r="AN254" s="3448"/>
      <c r="AO254" s="3448"/>
      <c r="AP254" s="3448"/>
      <c r="AQ254" s="3448"/>
      <c r="AR254" s="3458" t="e">
        <f t="shared" si="65"/>
        <v>#DIV/0!</v>
      </c>
      <c r="AS254" s="3459">
        <f t="shared" si="64"/>
        <v>0</v>
      </c>
    </row>
    <row r="255" spans="1:45" s="1444" customFormat="1" ht="27.95" customHeight="1">
      <c r="A255" s="3274"/>
      <c r="B255" s="2158"/>
      <c r="C255" s="3087"/>
      <c r="D255" s="2147"/>
      <c r="E255" s="2147"/>
      <c r="F255" s="2147"/>
      <c r="G255" s="2149"/>
      <c r="H255" s="3636"/>
      <c r="I255" s="3636"/>
      <c r="J255" s="3646"/>
      <c r="K255" s="3646"/>
      <c r="L255" s="3685"/>
      <c r="M255" s="3672"/>
      <c r="N255" s="5349"/>
      <c r="O255" s="5350"/>
      <c r="P255" s="2155"/>
      <c r="Q255" s="2155"/>
      <c r="R255" s="2155"/>
      <c r="S255" s="2877"/>
      <c r="T255" s="2155"/>
      <c r="U255" s="5350"/>
      <c r="V255" s="5350"/>
      <c r="W255" s="5351"/>
      <c r="X255" s="5351"/>
      <c r="Y255" s="3286"/>
      <c r="Z255" s="3286"/>
      <c r="AA255" s="5395">
        <f t="shared" si="63"/>
        <v>0</v>
      </c>
      <c r="AB255" s="5396"/>
      <c r="AC255" s="2682"/>
      <c r="AD255" s="3289"/>
      <c r="AE255" s="2628"/>
      <c r="AF255" s="2629"/>
      <c r="AG255" s="2628"/>
      <c r="AH255" s="2629"/>
      <c r="AI255" s="2628"/>
      <c r="AJ255" s="2629"/>
      <c r="AK255" s="2671">
        <f t="shared" si="61"/>
        <v>0</v>
      </c>
      <c r="AL255" s="3464"/>
      <c r="AM255" s="3448"/>
      <c r="AN255" s="3448"/>
      <c r="AO255" s="3448"/>
      <c r="AP255" s="3448"/>
      <c r="AQ255" s="3448"/>
      <c r="AR255" s="3458" t="e">
        <f t="shared" si="65"/>
        <v>#DIV/0!</v>
      </c>
      <c r="AS255" s="3459">
        <f t="shared" si="64"/>
        <v>0</v>
      </c>
    </row>
    <row r="256" spans="1:45" s="1444" customFormat="1" ht="27.95" customHeight="1">
      <c r="A256" s="3274"/>
      <c r="B256" s="2158"/>
      <c r="C256" s="3087"/>
      <c r="D256" s="2147"/>
      <c r="E256" s="2147"/>
      <c r="F256" s="2147"/>
      <c r="G256" s="2149"/>
      <c r="H256" s="3636"/>
      <c r="I256" s="3636"/>
      <c r="J256" s="3646"/>
      <c r="K256" s="3646"/>
      <c r="L256" s="3685"/>
      <c r="M256" s="3672"/>
      <c r="N256" s="5349"/>
      <c r="O256" s="5350"/>
      <c r="P256" s="2155"/>
      <c r="Q256" s="2155"/>
      <c r="R256" s="2155"/>
      <c r="S256" s="2877"/>
      <c r="T256" s="2155"/>
      <c r="U256" s="5350"/>
      <c r="V256" s="5350"/>
      <c r="W256" s="5351"/>
      <c r="X256" s="5351"/>
      <c r="Y256" s="3286"/>
      <c r="Z256" s="3286"/>
      <c r="AA256" s="5395">
        <f t="shared" si="63"/>
        <v>0</v>
      </c>
      <c r="AB256" s="5396"/>
      <c r="AC256" s="2682"/>
      <c r="AD256" s="3289"/>
      <c r="AE256" s="2628"/>
      <c r="AF256" s="2629"/>
      <c r="AG256" s="2628"/>
      <c r="AH256" s="2629"/>
      <c r="AI256" s="2628"/>
      <c r="AJ256" s="2629"/>
      <c r="AK256" s="2671">
        <f t="shared" si="61"/>
        <v>0</v>
      </c>
      <c r="AL256" s="3464"/>
      <c r="AM256" s="3448"/>
      <c r="AN256" s="3448"/>
      <c r="AO256" s="3448"/>
      <c r="AP256" s="3448"/>
      <c r="AQ256" s="3448"/>
      <c r="AR256" s="3458" t="e">
        <f t="shared" si="65"/>
        <v>#DIV/0!</v>
      </c>
      <c r="AS256" s="3459">
        <f t="shared" si="64"/>
        <v>0</v>
      </c>
    </row>
    <row r="257" spans="1:45" s="1444" customFormat="1" ht="27.95" customHeight="1">
      <c r="A257" s="3274"/>
      <c r="B257" s="2158"/>
      <c r="C257" s="3087"/>
      <c r="D257" s="2147"/>
      <c r="E257" s="2147"/>
      <c r="F257" s="2147"/>
      <c r="G257" s="2149"/>
      <c r="H257" s="3636"/>
      <c r="I257" s="3636"/>
      <c r="J257" s="3646"/>
      <c r="K257" s="3646"/>
      <c r="L257" s="3685"/>
      <c r="M257" s="3672"/>
      <c r="N257" s="5350"/>
      <c r="O257" s="5350"/>
      <c r="P257" s="2155"/>
      <c r="Q257" s="2155"/>
      <c r="R257" s="2155"/>
      <c r="S257" s="2877"/>
      <c r="T257" s="2155"/>
      <c r="U257" s="5350"/>
      <c r="V257" s="5350"/>
      <c r="W257" s="5351"/>
      <c r="X257" s="5351"/>
      <c r="Y257" s="3286"/>
      <c r="Z257" s="3286"/>
      <c r="AA257" s="5395">
        <f t="shared" si="63"/>
        <v>0</v>
      </c>
      <c r="AB257" s="5396"/>
      <c r="AC257" s="2682"/>
      <c r="AD257" s="3289"/>
      <c r="AE257" s="2628"/>
      <c r="AF257" s="2629"/>
      <c r="AG257" s="2628"/>
      <c r="AH257" s="2629"/>
      <c r="AI257" s="2628"/>
      <c r="AJ257" s="2629"/>
      <c r="AK257" s="2671">
        <f t="shared" si="61"/>
        <v>0</v>
      </c>
      <c r="AL257" s="3464"/>
      <c r="AM257" s="3448"/>
      <c r="AN257" s="3448"/>
      <c r="AO257" s="3448"/>
      <c r="AP257" s="3448"/>
      <c r="AQ257" s="3448"/>
      <c r="AR257" s="3458" t="e">
        <f t="shared" si="65"/>
        <v>#DIV/0!</v>
      </c>
      <c r="AS257" s="3459">
        <f t="shared" si="64"/>
        <v>0</v>
      </c>
    </row>
    <row r="258" spans="1:45" s="1444" customFormat="1" ht="27.95" customHeight="1">
      <c r="A258" s="3274"/>
      <c r="B258" s="2158"/>
      <c r="C258" s="3087"/>
      <c r="D258" s="2147"/>
      <c r="E258" s="2147"/>
      <c r="F258" s="2147"/>
      <c r="G258" s="2149"/>
      <c r="H258" s="3636"/>
      <c r="I258" s="3636"/>
      <c r="J258" s="3646"/>
      <c r="K258" s="3646"/>
      <c r="L258" s="3685"/>
      <c r="M258" s="3672"/>
      <c r="N258" s="5350"/>
      <c r="O258" s="5350"/>
      <c r="P258" s="2155"/>
      <c r="Q258" s="2155"/>
      <c r="R258" s="2155"/>
      <c r="S258" s="2877"/>
      <c r="T258" s="2155"/>
      <c r="U258" s="5350"/>
      <c r="V258" s="5350"/>
      <c r="W258" s="5351"/>
      <c r="X258" s="5351"/>
      <c r="Y258" s="3286"/>
      <c r="Z258" s="3286"/>
      <c r="AA258" s="5395">
        <f t="shared" si="63"/>
        <v>0</v>
      </c>
      <c r="AB258" s="5396"/>
      <c r="AC258" s="2682"/>
      <c r="AD258" s="3289"/>
      <c r="AE258" s="2628"/>
      <c r="AF258" s="2629"/>
      <c r="AG258" s="2628"/>
      <c r="AH258" s="2629"/>
      <c r="AI258" s="2628"/>
      <c r="AJ258" s="2629"/>
      <c r="AK258" s="2671">
        <f t="shared" si="61"/>
        <v>0</v>
      </c>
      <c r="AL258" s="3464"/>
      <c r="AM258" s="3448"/>
      <c r="AN258" s="3448"/>
      <c r="AO258" s="3448"/>
      <c r="AP258" s="3448"/>
      <c r="AQ258" s="3448"/>
      <c r="AR258" s="3458" t="e">
        <f t="shared" si="65"/>
        <v>#DIV/0!</v>
      </c>
      <c r="AS258" s="3459">
        <f t="shared" si="64"/>
        <v>0</v>
      </c>
    </row>
    <row r="259" spans="1:45" s="1444" customFormat="1" ht="27.95" customHeight="1">
      <c r="A259" s="3274"/>
      <c r="B259" s="2158"/>
      <c r="C259" s="3087"/>
      <c r="D259" s="2147"/>
      <c r="E259" s="2147"/>
      <c r="F259" s="2147"/>
      <c r="G259" s="2149"/>
      <c r="H259" s="3636"/>
      <c r="I259" s="3636"/>
      <c r="J259" s="3646"/>
      <c r="K259" s="3646"/>
      <c r="L259" s="3685"/>
      <c r="M259" s="3672"/>
      <c r="N259" s="5349"/>
      <c r="O259" s="5350"/>
      <c r="P259" s="2155"/>
      <c r="Q259" s="2155"/>
      <c r="R259" s="2155"/>
      <c r="S259" s="2877"/>
      <c r="T259" s="2155"/>
      <c r="U259" s="5350"/>
      <c r="V259" s="5350"/>
      <c r="W259" s="5351"/>
      <c r="X259" s="5351"/>
      <c r="Y259" s="3286"/>
      <c r="Z259" s="3286"/>
      <c r="AA259" s="5395">
        <f t="shared" si="63"/>
        <v>0</v>
      </c>
      <c r="AB259" s="5396"/>
      <c r="AC259" s="2682"/>
      <c r="AD259" s="3289"/>
      <c r="AE259" s="2628"/>
      <c r="AF259" s="2629"/>
      <c r="AG259" s="2628"/>
      <c r="AH259" s="2629"/>
      <c r="AI259" s="2628"/>
      <c r="AJ259" s="2629"/>
      <c r="AK259" s="2671">
        <f t="shared" si="61"/>
        <v>0</v>
      </c>
      <c r="AL259" s="3464"/>
      <c r="AM259" s="3448"/>
      <c r="AN259" s="3448"/>
      <c r="AO259" s="3448"/>
      <c r="AP259" s="3448"/>
      <c r="AQ259" s="3448"/>
      <c r="AR259" s="3458" t="e">
        <f t="shared" si="65"/>
        <v>#DIV/0!</v>
      </c>
      <c r="AS259" s="3459">
        <f t="shared" si="64"/>
        <v>0</v>
      </c>
    </row>
    <row r="260" spans="1:45" s="1444" customFormat="1" ht="27.95" customHeight="1">
      <c r="A260" s="3274"/>
      <c r="B260" s="2158"/>
      <c r="C260" s="3087"/>
      <c r="D260" s="2147"/>
      <c r="E260" s="2147"/>
      <c r="F260" s="2147"/>
      <c r="G260" s="2149"/>
      <c r="H260" s="3636"/>
      <c r="I260" s="3636"/>
      <c r="J260" s="3646"/>
      <c r="K260" s="3646"/>
      <c r="L260" s="3685"/>
      <c r="M260" s="3672"/>
      <c r="N260" s="5349"/>
      <c r="O260" s="5350"/>
      <c r="P260" s="2155"/>
      <c r="Q260" s="2155"/>
      <c r="R260" s="2155"/>
      <c r="S260" s="2877"/>
      <c r="T260" s="2155"/>
      <c r="U260" s="5350"/>
      <c r="V260" s="5350"/>
      <c r="W260" s="5351"/>
      <c r="X260" s="5351"/>
      <c r="Y260" s="3286"/>
      <c r="Z260" s="3286"/>
      <c r="AA260" s="5395">
        <f t="shared" si="63"/>
        <v>0</v>
      </c>
      <c r="AB260" s="5396"/>
      <c r="AC260" s="2682"/>
      <c r="AD260" s="3289"/>
      <c r="AE260" s="2628"/>
      <c r="AF260" s="2629"/>
      <c r="AG260" s="2628"/>
      <c r="AH260" s="2629"/>
      <c r="AI260" s="2628"/>
      <c r="AJ260" s="2629"/>
      <c r="AK260" s="2671">
        <f t="shared" si="61"/>
        <v>0</v>
      </c>
      <c r="AL260" s="3464"/>
      <c r="AM260" s="3448"/>
      <c r="AN260" s="3448"/>
      <c r="AO260" s="3448"/>
      <c r="AP260" s="3448"/>
      <c r="AQ260" s="3448"/>
      <c r="AR260" s="3458" t="e">
        <f t="shared" si="65"/>
        <v>#DIV/0!</v>
      </c>
      <c r="AS260" s="3459">
        <f t="shared" si="64"/>
        <v>0</v>
      </c>
    </row>
    <row r="261" spans="1:45" s="1444" customFormat="1" ht="27.95" customHeight="1">
      <c r="A261" s="3274"/>
      <c r="B261" s="2156"/>
      <c r="C261" s="3087"/>
      <c r="D261" s="2147"/>
      <c r="E261" s="2147"/>
      <c r="F261" s="2147"/>
      <c r="G261" s="2149"/>
      <c r="H261" s="3636"/>
      <c r="I261" s="3636"/>
      <c r="J261" s="3646"/>
      <c r="K261" s="3646"/>
      <c r="L261" s="3685"/>
      <c r="M261" s="3672"/>
      <c r="N261" s="5349"/>
      <c r="O261" s="5350"/>
      <c r="P261" s="2155"/>
      <c r="Q261" s="2155"/>
      <c r="R261" s="2155"/>
      <c r="S261" s="2877"/>
      <c r="T261" s="2155"/>
      <c r="U261" s="5350"/>
      <c r="V261" s="5350"/>
      <c r="W261" s="5351"/>
      <c r="X261" s="5351"/>
      <c r="Y261" s="3286"/>
      <c r="Z261" s="3286"/>
      <c r="AA261" s="5395">
        <f t="shared" si="63"/>
        <v>0</v>
      </c>
      <c r="AB261" s="5396"/>
      <c r="AC261" s="2682"/>
      <c r="AD261" s="3289"/>
      <c r="AE261" s="2628"/>
      <c r="AF261" s="2629"/>
      <c r="AG261" s="2628"/>
      <c r="AH261" s="2629"/>
      <c r="AI261" s="2628"/>
      <c r="AJ261" s="2629"/>
      <c r="AK261" s="2671">
        <f t="shared" si="61"/>
        <v>0</v>
      </c>
      <c r="AL261" s="3464"/>
      <c r="AM261" s="3448"/>
      <c r="AN261" s="3448"/>
      <c r="AO261" s="3448"/>
      <c r="AP261" s="3448"/>
      <c r="AQ261" s="3448"/>
      <c r="AR261" s="3458" t="e">
        <f t="shared" si="65"/>
        <v>#DIV/0!</v>
      </c>
      <c r="AS261" s="3459">
        <f t="shared" si="64"/>
        <v>0</v>
      </c>
    </row>
    <row r="262" spans="1:45" s="1444" customFormat="1" ht="27.95" customHeight="1">
      <c r="A262" s="3274"/>
      <c r="B262" s="2156"/>
      <c r="C262" s="2147"/>
      <c r="D262" s="2147"/>
      <c r="E262" s="2147"/>
      <c r="F262" s="2147"/>
      <c r="G262" s="2149"/>
      <c r="H262" s="3274"/>
      <c r="I262" s="3274"/>
      <c r="J262" s="3290"/>
      <c r="K262" s="3290"/>
      <c r="L262" s="3685"/>
      <c r="M262" s="3672"/>
      <c r="N262" s="5349"/>
      <c r="O262" s="5350"/>
      <c r="P262" s="2155"/>
      <c r="Q262" s="2155"/>
      <c r="R262" s="2155"/>
      <c r="S262" s="2877"/>
      <c r="T262" s="2155"/>
      <c r="U262" s="5350"/>
      <c r="V262" s="5350"/>
      <c r="W262" s="5351"/>
      <c r="X262" s="5351"/>
      <c r="Y262" s="3286"/>
      <c r="Z262" s="3286"/>
      <c r="AA262" s="5410">
        <f>AC262+AD262+AE262+AF262-AG262-AH262</f>
        <v>0</v>
      </c>
      <c r="AB262" s="5411"/>
      <c r="AC262" s="2682"/>
      <c r="AD262" s="3289"/>
      <c r="AE262" s="2628"/>
      <c r="AF262" s="2629"/>
      <c r="AG262" s="2628"/>
      <c r="AH262" s="2629"/>
      <c r="AI262" s="2628"/>
      <c r="AJ262" s="2629"/>
      <c r="AK262" s="2672">
        <f t="shared" si="61"/>
        <v>0</v>
      </c>
      <c r="AL262" s="3464"/>
      <c r="AM262" s="3448"/>
      <c r="AN262" s="3448"/>
      <c r="AO262" s="3448"/>
      <c r="AP262" s="3448"/>
      <c r="AQ262" s="3448"/>
      <c r="AR262" s="3458" t="e">
        <f t="shared" si="65"/>
        <v>#DIV/0!</v>
      </c>
      <c r="AS262" s="3459">
        <f t="shared" si="64"/>
        <v>0</v>
      </c>
    </row>
    <row r="263" spans="1:45" s="1444" customFormat="1" ht="27.95" customHeight="1">
      <c r="A263" s="3273">
        <f>COUNTA(B237:G262)</f>
        <v>16</v>
      </c>
      <c r="B263" s="2961" t="str">
        <f>'[1]0572W'!$S$3</f>
        <v>neydi_carrillo@hotmail.com</v>
      </c>
      <c r="C263" s="2962"/>
      <c r="D263" s="2963"/>
      <c r="E263" s="2964" t="str">
        <f>'[4]0572W'!$C$8</f>
        <v>REG. 510 MZ. 36 L. 1 Y 2 COL JACINTO PAT</v>
      </c>
      <c r="F263" s="2962"/>
      <c r="G263" s="2965"/>
      <c r="H263" s="3273">
        <f>COUNTIF(H238:H250,"X")</f>
        <v>3</v>
      </c>
      <c r="I263" s="3273">
        <f>COUNTIF(I238:I250,"X")</f>
        <v>9</v>
      </c>
      <c r="J263" s="2966">
        <f>COUNTIF(L237:M262,"docente")</f>
        <v>12</v>
      </c>
      <c r="K263" s="2967">
        <f>COUNTIF(L237:M262,"intendente")</f>
        <v>2</v>
      </c>
      <c r="L263" s="1665">
        <f>COUNTA(N237:O262)</f>
        <v>5</v>
      </c>
      <c r="M263" s="2968">
        <f>COUNTIF(Y237:Y262,"1º")</f>
        <v>3</v>
      </c>
      <c r="N263" s="3278">
        <f>COUNTIF(Y237:Y262,"2º")</f>
        <v>2</v>
      </c>
      <c r="O263" s="3278">
        <f>COUNTIF(Y237:Y262,"3º")</f>
        <v>2</v>
      </c>
      <c r="P263" s="3278">
        <f>COUNTIF(Y237:Y262,"4º")</f>
        <v>2</v>
      </c>
      <c r="Q263" s="3278">
        <f>COUNTIF(Y237:Y262,"5º")</f>
        <v>2</v>
      </c>
      <c r="R263" s="3278">
        <f>COUNTIF(Y237:Y262,"6º")</f>
        <v>2</v>
      </c>
      <c r="S263" s="2968">
        <f>SUM(M263:R263)</f>
        <v>13</v>
      </c>
      <c r="T263" s="3273">
        <f>COUNTA(T237:T262)</f>
        <v>7</v>
      </c>
      <c r="U263" s="2968">
        <f>COUNTIF(U237:V262,"10")</f>
        <v>13</v>
      </c>
      <c r="V263" s="2969">
        <f>COUNTIF(U237:V262,"20")</f>
        <v>1</v>
      </c>
      <c r="W263" s="5409" t="s">
        <v>1232</v>
      </c>
      <c r="X263" s="5409"/>
      <c r="Y263" s="5409"/>
      <c r="Z263" s="3286">
        <f>COUNTA(Z237:Z262)</f>
        <v>13</v>
      </c>
      <c r="AA263" s="5411">
        <f>SUM(AA237:AB262)</f>
        <v>410</v>
      </c>
      <c r="AB263" s="5411"/>
      <c r="AC263" s="2687">
        <f t="shared" ref="AC263:AJ263" si="66">SUM(AC237:AC262)</f>
        <v>194</v>
      </c>
      <c r="AD263" s="2688">
        <f t="shared" si="66"/>
        <v>219</v>
      </c>
      <c r="AE263" s="2630">
        <f t="shared" si="66"/>
        <v>16</v>
      </c>
      <c r="AF263" s="2631">
        <f t="shared" si="66"/>
        <v>11</v>
      </c>
      <c r="AG263" s="2632">
        <f t="shared" si="66"/>
        <v>14</v>
      </c>
      <c r="AH263" s="2633">
        <f t="shared" si="66"/>
        <v>16</v>
      </c>
      <c r="AI263" s="2634">
        <f t="shared" si="66"/>
        <v>0</v>
      </c>
      <c r="AJ263" s="2635">
        <f t="shared" si="66"/>
        <v>0</v>
      </c>
      <c r="AK263" s="317">
        <f t="shared" si="61"/>
        <v>413</v>
      </c>
      <c r="AL263" s="3461" t="e">
        <f>SUM(AL237:AL262)/AL264</f>
        <v>#DIV/0!</v>
      </c>
      <c r="AM263" s="3465">
        <f t="shared" ref="AM263" si="67">SUM(AM237:AM262)/AM264</f>
        <v>6.6</v>
      </c>
      <c r="AN263" s="3460" t="e">
        <f t="shared" ref="AN263" si="68">SUM(AN237:AN262)/AN264</f>
        <v>#DIV/0!</v>
      </c>
      <c r="AO263" s="3460" t="e">
        <f t="shared" ref="AO263" si="69">SUM(AO237:AO262)/AO264</f>
        <v>#DIV/0!</v>
      </c>
      <c r="AP263" s="3460" t="e">
        <f t="shared" ref="AP263" si="70">SUM(AP237:AP262)/AP264</f>
        <v>#DIV/0!</v>
      </c>
      <c r="AQ263" s="3460" t="e">
        <f>SUM(AQ237:AQ262)/AQ264</f>
        <v>#DIV/0!</v>
      </c>
      <c r="AR263" s="3461" t="e">
        <f t="shared" si="65"/>
        <v>#DIV/0!</v>
      </c>
      <c r="AS263" s="3459">
        <f t="shared" si="64"/>
        <v>5</v>
      </c>
    </row>
    <row r="264" spans="1:45" s="1446" customFormat="1" ht="27.95" customHeight="1">
      <c r="A264" s="3690" t="s">
        <v>228</v>
      </c>
      <c r="B264" s="3691">
        <f>SUM(Estadisticas!AM30:AN30)</f>
        <v>8</v>
      </c>
      <c r="C264" s="3691">
        <f>SUM(Estadisticas!AO30:AP30)</f>
        <v>3</v>
      </c>
      <c r="D264" s="3691">
        <f>SUM(Estadisticas!AQ30:AR30)</f>
        <v>7</v>
      </c>
      <c r="E264" s="3691">
        <f>SUM(Estadisticas!AS30:AT30)</f>
        <v>3</v>
      </c>
      <c r="F264" s="3691">
        <f>SUM(Estadisticas!AU30:AV30)</f>
        <v>4</v>
      </c>
      <c r="G264" s="3691">
        <f>SUM(Estadisticas!AW30:AX30)</f>
        <v>2</v>
      </c>
      <c r="H264" s="5412">
        <f>SUM(B264:G264)</f>
        <v>27</v>
      </c>
      <c r="I264" s="5412"/>
      <c r="J264" s="3711"/>
      <c r="K264" s="3711"/>
      <c r="L264" s="3692" t="s">
        <v>1126</v>
      </c>
      <c r="M264" s="3690">
        <f>SUM(AK238:AK239)</f>
        <v>65</v>
      </c>
      <c r="N264" s="3690">
        <f>SUM(AK240:AK241)</f>
        <v>63</v>
      </c>
      <c r="O264" s="3690">
        <f>SUM(AK242:AK243)</f>
        <v>56</v>
      </c>
      <c r="P264" s="3690">
        <f>SUM(AK244:AK245)</f>
        <v>60</v>
      </c>
      <c r="Q264" s="3690">
        <f>SUM(AK246:AK247)</f>
        <v>67</v>
      </c>
      <c r="R264" s="3690">
        <f>SUM(AK248:AK250)</f>
        <v>102</v>
      </c>
      <c r="S264" s="3690">
        <f>SUM(M264:R264)</f>
        <v>413</v>
      </c>
      <c r="T264" s="3711">
        <f>'[1]0572W'!$V$23</f>
        <v>8</v>
      </c>
      <c r="U264" s="3711"/>
      <c r="V264" s="3711"/>
      <c r="W264" s="3711"/>
      <c r="X264" s="3711"/>
      <c r="Y264" s="2683">
        <f>COUNTA(Y237:Y262)</f>
        <v>13</v>
      </c>
      <c r="Z264" s="3711"/>
      <c r="AA264" s="5428">
        <f>'[1]0572W'!$X$35</f>
        <v>410</v>
      </c>
      <c r="AB264" s="5428"/>
      <c r="AC264" s="5334">
        <f>AC263+AD263</f>
        <v>413</v>
      </c>
      <c r="AD264" s="5334"/>
      <c r="AE264" s="5335">
        <f>AE263+AF263</f>
        <v>27</v>
      </c>
      <c r="AF264" s="5335"/>
      <c r="AG264" s="5335">
        <f>AG263+AH263</f>
        <v>30</v>
      </c>
      <c r="AH264" s="5335"/>
      <c r="AI264" s="2636"/>
      <c r="AJ264" s="2636"/>
      <c r="AK264" s="2636">
        <f>SUM(AC264:AD264)+AE264</f>
        <v>440</v>
      </c>
      <c r="AL264" s="3462">
        <f>COUNTA(AL237:AL262)</f>
        <v>0</v>
      </c>
      <c r="AM264" s="3462">
        <f t="shared" ref="AM264:AQ264" si="71">COUNTA(AM237:AM262)</f>
        <v>13</v>
      </c>
      <c r="AN264" s="3462">
        <f t="shared" si="71"/>
        <v>0</v>
      </c>
      <c r="AO264" s="3462">
        <f t="shared" si="71"/>
        <v>0</v>
      </c>
      <c r="AP264" s="3462">
        <f t="shared" si="71"/>
        <v>0</v>
      </c>
      <c r="AQ264" s="3462">
        <f t="shared" si="71"/>
        <v>0</v>
      </c>
      <c r="AR264" s="3462">
        <v>12</v>
      </c>
    </row>
    <row r="265" spans="1:45" s="1446" customFormat="1" ht="27.95" customHeight="1">
      <c r="A265" s="3695" t="s">
        <v>230</v>
      </c>
      <c r="B265" s="3695">
        <f>SUM(Estadisticas!AY30:AZ30)</f>
        <v>9</v>
      </c>
      <c r="C265" s="3695">
        <f>SUM(Estadisticas!BA30:BB30)</f>
        <v>9</v>
      </c>
      <c r="D265" s="3695">
        <f>SUM(Estadisticas!BC30:BD30)</f>
        <v>6</v>
      </c>
      <c r="E265" s="3695">
        <f>SUM(Estadisticas!BE30:BF30)</f>
        <v>3</v>
      </c>
      <c r="F265" s="3695">
        <f>SUM(Estadisticas!BG30:BH30)</f>
        <v>3</v>
      </c>
      <c r="G265" s="3695">
        <f>SUM(Estadisticas!BI30:BJ30)</f>
        <v>0</v>
      </c>
      <c r="H265" s="5413">
        <f>SUM(B265:G265)</f>
        <v>30</v>
      </c>
      <c r="I265" s="5413"/>
      <c r="J265" s="3711"/>
      <c r="K265" s="3711"/>
      <c r="L265" s="3696" t="s">
        <v>423</v>
      </c>
      <c r="M265" s="3695">
        <f>SUM(AE238:AF239)</f>
        <v>6</v>
      </c>
      <c r="N265" s="3695">
        <f>SUM(AE240:AF241)</f>
        <v>4</v>
      </c>
      <c r="O265" s="3695">
        <f>SUM(AE242:AF243)</f>
        <v>5</v>
      </c>
      <c r="P265" s="3695">
        <f>SUM(AE244:AF245)</f>
        <v>3</v>
      </c>
      <c r="Q265" s="3695">
        <f>SUM(AE246:AF247)</f>
        <v>4</v>
      </c>
      <c r="R265" s="3695">
        <f>SUM(AE248:AF250)</f>
        <v>5</v>
      </c>
      <c r="S265" s="3695">
        <f t="shared" ref="S265:S266" si="72">SUM(M265:R265)</f>
        <v>27</v>
      </c>
      <c r="T265" s="2618"/>
      <c r="U265" s="3705" t="str">
        <f>U65</f>
        <v>PRE</v>
      </c>
      <c r="V265" s="3707">
        <f>'[1]0572W'!$F$39</f>
        <v>3</v>
      </c>
      <c r="W265" s="3707">
        <f>'[1]0572W'!$I$39</f>
        <v>2</v>
      </c>
      <c r="X265" s="3707">
        <f>'[1]0572W'!$L$39</f>
        <v>2</v>
      </c>
      <c r="Y265" s="3707">
        <f>'[1]0572W'!$O$39</f>
        <v>2</v>
      </c>
      <c r="Z265" s="3707">
        <f>'[1]0572W'!$R$39</f>
        <v>2</v>
      </c>
      <c r="AA265" s="3707">
        <f>'[1]0572W'!$U$39</f>
        <v>2</v>
      </c>
      <c r="AB265" s="3707">
        <f>SUM(V265:AA265)</f>
        <v>13</v>
      </c>
      <c r="AC265" s="2683"/>
      <c r="AD265" s="3238"/>
      <c r="AE265" s="2620"/>
      <c r="AF265" s="2621"/>
      <c r="AG265" s="2620"/>
      <c r="AH265" s="2621"/>
      <c r="AK265" s="2636"/>
      <c r="AL265" s="3448"/>
      <c r="AM265" s="3448"/>
      <c r="AN265" s="3448"/>
      <c r="AO265" s="3448"/>
      <c r="AP265" s="3448"/>
      <c r="AQ265" s="3448"/>
      <c r="AR265" s="3448"/>
    </row>
    <row r="266" spans="1:45" s="1441" customFormat="1" ht="27.95" customHeight="1">
      <c r="A266" s="3698" t="s">
        <v>478</v>
      </c>
      <c r="B266" s="3698">
        <f>SUM(Estadisticas!BK30:BL30)</f>
        <v>0</v>
      </c>
      <c r="C266" s="3698">
        <f>SUM(Estadisticas!BM30:BN30)</f>
        <v>0</v>
      </c>
      <c r="D266" s="3698">
        <f>SUM(Estadisticas!BO30:BP30)</f>
        <v>0</v>
      </c>
      <c r="E266" s="3698">
        <f>SUM(Estadisticas!BQ30:BR30)</f>
        <v>0</v>
      </c>
      <c r="F266" s="3698">
        <f>SUM(Estadisticas!BS30:BT30)</f>
        <v>0</v>
      </c>
      <c r="G266" s="3698">
        <f>SUM(Estadisticas!BU30:BV30)</f>
        <v>0</v>
      </c>
      <c r="H266" s="5414">
        <f>SUM(B266:G266)</f>
        <v>0</v>
      </c>
      <c r="I266" s="5414"/>
      <c r="J266" s="3713"/>
      <c r="K266" s="3714"/>
      <c r="L266" s="3701" t="s">
        <v>434</v>
      </c>
      <c r="M266" s="3702">
        <f>SUM(AG238:AH239)</f>
        <v>8</v>
      </c>
      <c r="N266" s="3702">
        <f>SUM(AG240:AH241)</f>
        <v>8</v>
      </c>
      <c r="O266" s="3702">
        <f>SUM(AG242:AH243)</f>
        <v>5</v>
      </c>
      <c r="P266" s="3702">
        <f>SUM(AG244:AH245)</f>
        <v>3</v>
      </c>
      <c r="Q266" s="3702">
        <f>SUM(AG246:AH247)</f>
        <v>4</v>
      </c>
      <c r="R266" s="3702">
        <f>SUM(AG248:AH250)</f>
        <v>2</v>
      </c>
      <c r="S266" s="3702">
        <f t="shared" si="72"/>
        <v>30</v>
      </c>
      <c r="T266" s="3713"/>
      <c r="U266" s="3710">
        <f>'[1]0572W'!$O$26</f>
        <v>68</v>
      </c>
      <c r="V266" s="3710">
        <f>'[1]0572W'!$F$35</f>
        <v>95</v>
      </c>
      <c r="W266" s="3710">
        <f>'[1]0572W'!$I$35</f>
        <v>56</v>
      </c>
      <c r="X266" s="3710">
        <f>'[1]0572W'!$L$35</f>
        <v>54</v>
      </c>
      <c r="Y266" s="3710">
        <f>'[1]0572W'!$O$35</f>
        <v>66</v>
      </c>
      <c r="Z266" s="3710">
        <f>'[1]0572W'!$R$35</f>
        <v>69</v>
      </c>
      <c r="AA266" s="3710">
        <f>'[1]0572W'!$U$35</f>
        <v>70</v>
      </c>
      <c r="AB266" s="3710">
        <f>SUM(V266:AA266)</f>
        <v>410</v>
      </c>
      <c r="AC266" s="2683"/>
      <c r="AD266" s="3238"/>
      <c r="AE266" s="2620"/>
      <c r="AF266" s="2621"/>
      <c r="AG266" s="2620"/>
      <c r="AH266" s="2621"/>
      <c r="AI266" s="1444"/>
      <c r="AJ266" s="1444"/>
      <c r="AK266" s="2636"/>
      <c r="AL266" s="3445"/>
      <c r="AM266" s="3445"/>
      <c r="AN266" s="3445"/>
      <c r="AO266" s="3445"/>
      <c r="AP266" s="3445"/>
      <c r="AQ266" s="3445"/>
      <c r="AR266" s="3445"/>
      <c r="AS266" s="108"/>
    </row>
    <row r="267" spans="1:45" s="1448" customFormat="1" ht="27.95" customHeight="1">
      <c r="A267" s="175"/>
      <c r="B267" s="1427"/>
      <c r="C267" s="173"/>
      <c r="D267" s="3262" t="s">
        <v>1193</v>
      </c>
      <c r="E267" s="5388" t="str">
        <f>B237</f>
        <v>DZIB TUZ * MANUEL JESUS</v>
      </c>
      <c r="F267" s="5388"/>
      <c r="G267" s="5388"/>
      <c r="H267" s="5388"/>
      <c r="I267" s="5388"/>
      <c r="J267" s="5388"/>
      <c r="K267" s="1603"/>
      <c r="L267" s="1428"/>
      <c r="M267" s="3262" t="s">
        <v>1234</v>
      </c>
      <c r="N267" s="5388" t="str">
        <f>N227</f>
        <v>RICALDE CASTRO JESUS MARTIN</v>
      </c>
      <c r="O267" s="5388"/>
      <c r="P267" s="5388"/>
      <c r="Q267" s="5388"/>
      <c r="R267" s="5388"/>
      <c r="S267" s="5388"/>
      <c r="T267" s="1603"/>
      <c r="U267" s="1603"/>
      <c r="V267" s="3262" t="s">
        <v>1195</v>
      </c>
      <c r="W267" s="5388" t="str">
        <f>W227</f>
        <v xml:space="preserve">ANCONA FLORES AURA EUGENIA </v>
      </c>
      <c r="X267" s="5388"/>
      <c r="Y267" s="5388"/>
      <c r="Z267" s="5388"/>
      <c r="AA267" s="5388"/>
      <c r="AB267" s="5388"/>
      <c r="AC267" s="2683"/>
      <c r="AD267" s="3238"/>
      <c r="AE267" s="2620"/>
      <c r="AF267" s="2621"/>
      <c r="AG267" s="2620"/>
      <c r="AH267" s="2621"/>
      <c r="AI267" s="2624"/>
      <c r="AJ267" s="2624"/>
      <c r="AK267" s="2636"/>
      <c r="AL267" s="3449"/>
      <c r="AM267" s="3449"/>
      <c r="AN267" s="3449"/>
      <c r="AO267" s="3449"/>
      <c r="AP267" s="3449"/>
      <c r="AQ267" s="3449"/>
      <c r="AR267" s="3449"/>
      <c r="AS267" s="3450"/>
    </row>
    <row r="268" spans="1:45" s="1430" customFormat="1" ht="27.95" customHeight="1">
      <c r="A268" s="1670"/>
      <c r="B268" s="1401"/>
      <c r="C268" s="1401"/>
      <c r="D268" s="1401"/>
      <c r="E268" s="1401"/>
      <c r="F268" s="1402"/>
      <c r="G268" s="1402"/>
      <c r="H268" s="1402"/>
      <c r="I268" s="1402"/>
      <c r="J268" s="1402"/>
      <c r="K268" s="27"/>
      <c r="M268" s="1431" t="s">
        <v>196</v>
      </c>
      <c r="N268" s="1402"/>
      <c r="O268" s="1402"/>
      <c r="P268" s="1402"/>
      <c r="Q268" s="1402"/>
      <c r="R268" s="1402"/>
      <c r="S268" s="1402"/>
      <c r="T268" s="1401"/>
      <c r="V268" s="3263"/>
      <c r="W268" s="1432" t="s">
        <v>764</v>
      </c>
      <c r="X268" s="5221" t="s">
        <v>247</v>
      </c>
      <c r="Y268" s="5221"/>
      <c r="Z268" s="5221"/>
      <c r="AA268" s="5221"/>
      <c r="AB268" s="1644"/>
      <c r="AC268" s="2683"/>
      <c r="AD268" s="3238"/>
      <c r="AE268" s="2637"/>
      <c r="AF268" s="2638"/>
      <c r="AG268" s="2637"/>
      <c r="AH268" s="2638"/>
      <c r="AI268" s="1449"/>
      <c r="AJ268" s="1449"/>
      <c r="AK268" s="2636"/>
      <c r="AL268" s="3451"/>
      <c r="AM268" s="3451"/>
      <c r="AN268" s="3451"/>
      <c r="AO268" s="3451"/>
      <c r="AP268" s="3451"/>
      <c r="AQ268" s="3451"/>
      <c r="AR268" s="3451"/>
      <c r="AS268" s="3452"/>
    </row>
    <row r="269" spans="1:45" ht="27.95" customHeight="1">
      <c r="A269" s="1663"/>
      <c r="B269" s="1406"/>
      <c r="C269" s="1406"/>
      <c r="D269" s="1406"/>
      <c r="E269" s="1406"/>
      <c r="F269" s="1407"/>
      <c r="G269" s="1407"/>
      <c r="H269" s="1407"/>
      <c r="I269" s="1407"/>
      <c r="J269" s="1407"/>
      <c r="K269" s="1407"/>
      <c r="L269" s="1407"/>
      <c r="M269" s="3260" t="s">
        <v>1148</v>
      </c>
      <c r="N269" s="1407"/>
      <c r="O269" s="1407"/>
      <c r="P269" s="1407"/>
      <c r="Q269" s="1407"/>
      <c r="R269" s="1407"/>
      <c r="S269" s="1407"/>
      <c r="T269" s="1408"/>
      <c r="U269" s="1408"/>
      <c r="V269" s="3263"/>
      <c r="W269" s="1432" t="s">
        <v>1149</v>
      </c>
      <c r="X269" s="5221" t="str">
        <f>X229</f>
        <v>2012 / 2013</v>
      </c>
      <c r="Y269" s="5221"/>
      <c r="Z269" s="5221"/>
      <c r="AA269" s="5221"/>
      <c r="AB269" s="1417"/>
      <c r="AC269" s="2683"/>
      <c r="AD269" s="3238"/>
      <c r="AE269" s="2620"/>
      <c r="AF269" s="2621"/>
      <c r="AG269" s="2620"/>
      <c r="AH269" s="2621"/>
      <c r="AK269" s="2636"/>
      <c r="AR269" s="3445"/>
    </row>
    <row r="270" spans="1:45" ht="27.95" customHeight="1">
      <c r="A270" s="1663"/>
      <c r="B270" s="1410"/>
      <c r="C270" s="1410"/>
      <c r="D270" s="1410"/>
      <c r="E270" s="1410"/>
      <c r="F270" s="1407"/>
      <c r="G270" s="1407"/>
      <c r="H270" s="1407"/>
      <c r="I270" s="1407"/>
      <c r="J270" s="1407"/>
      <c r="K270" s="1407"/>
      <c r="M270" s="3260" t="s">
        <v>1150</v>
      </c>
      <c r="N270" s="1407"/>
      <c r="O270" s="1407"/>
      <c r="P270" s="1407"/>
      <c r="Q270" s="1407"/>
      <c r="R270" s="1407"/>
      <c r="S270" s="1407"/>
      <c r="T270" s="1433"/>
      <c r="U270" s="1433"/>
      <c r="V270" s="1434"/>
      <c r="W270" s="3281" t="s">
        <v>42</v>
      </c>
      <c r="X270" s="5391" t="str">
        <f>X230</f>
        <v>042</v>
      </c>
      <c r="Y270" s="5391"/>
      <c r="Z270" s="5391"/>
      <c r="AA270" s="5391"/>
      <c r="AB270" s="1417"/>
      <c r="AC270" s="2683"/>
      <c r="AD270" s="3238"/>
      <c r="AE270" s="2620"/>
      <c r="AF270" s="2621"/>
      <c r="AG270" s="2620"/>
      <c r="AH270" s="2621"/>
      <c r="AK270" s="2636"/>
      <c r="AR270" s="3445"/>
    </row>
    <row r="271" spans="1:45" ht="27.95" customHeight="1">
      <c r="A271" s="1663"/>
      <c r="B271" s="1410"/>
      <c r="C271" s="1410"/>
      <c r="D271" s="1410"/>
      <c r="E271" s="1410"/>
      <c r="F271" s="1406"/>
      <c r="H271" s="1413"/>
      <c r="I271" s="1413"/>
      <c r="J271" s="1414"/>
      <c r="K271" s="1414"/>
      <c r="L271" s="1415" t="s">
        <v>1197</v>
      </c>
      <c r="M271" s="1415">
        <f>M231</f>
        <v>8</v>
      </c>
      <c r="N271" s="3271" t="s">
        <v>1152</v>
      </c>
      <c r="O271" s="5371" t="str">
        <f>O231</f>
        <v>AGOSTO</v>
      </c>
      <c r="P271" s="5371"/>
      <c r="Q271" s="1435" t="s">
        <v>1152</v>
      </c>
      <c r="R271" s="5371">
        <f>R231</f>
        <v>2012</v>
      </c>
      <c r="S271" s="5371"/>
      <c r="T271" s="1406"/>
      <c r="U271" s="5372" t="s">
        <v>246</v>
      </c>
      <c r="V271" s="5372"/>
      <c r="W271" s="5372"/>
      <c r="X271" s="5372"/>
      <c r="Y271" s="1436" t="s">
        <v>245</v>
      </c>
      <c r="Z271" s="1436"/>
      <c r="AA271" s="1437"/>
      <c r="AB271" s="1417"/>
      <c r="AC271" s="2683"/>
      <c r="AD271" s="3238"/>
      <c r="AE271" s="2620"/>
      <c r="AF271" s="2621"/>
      <c r="AG271" s="2620"/>
      <c r="AH271" s="2621"/>
      <c r="AK271" s="2636"/>
      <c r="AR271" s="3445"/>
    </row>
    <row r="272" spans="1:45" ht="27.95" customHeight="1">
      <c r="A272" s="5356" t="s">
        <v>1153</v>
      </c>
      <c r="B272" s="5356"/>
      <c r="C272" s="5356"/>
      <c r="D272" s="5389" t="s">
        <v>2316</v>
      </c>
      <c r="E272" s="5389"/>
      <c r="F272" s="5389"/>
      <c r="G272" s="5389"/>
      <c r="H272" s="5389"/>
      <c r="I272" s="5389"/>
      <c r="J272" s="5389"/>
      <c r="K272" s="5389"/>
      <c r="L272" s="3281" t="s">
        <v>19</v>
      </c>
      <c r="M272" s="5370" t="s">
        <v>1245</v>
      </c>
      <c r="N272" s="5370"/>
      <c r="O272" s="5390" t="s">
        <v>13</v>
      </c>
      <c r="P272" s="5390"/>
      <c r="Q272" s="5370" t="s">
        <v>77</v>
      </c>
      <c r="R272" s="5370"/>
      <c r="S272" s="5370"/>
      <c r="T272" s="174"/>
      <c r="U272" s="1418" t="s">
        <v>1157</v>
      </c>
      <c r="V272" s="5221" t="str">
        <f>V232</f>
        <v>2  BENITO JUAREZ</v>
      </c>
      <c r="W272" s="5221"/>
      <c r="X272" s="5221"/>
      <c r="Y272" s="5221"/>
      <c r="Z272" s="5221"/>
      <c r="AA272" s="5221"/>
      <c r="AB272" s="5221"/>
      <c r="AC272" s="2683"/>
      <c r="AD272" s="3238"/>
      <c r="AE272" s="2620"/>
      <c r="AF272" s="2621"/>
      <c r="AG272" s="2620"/>
      <c r="AH272" s="2621"/>
      <c r="AK272" s="2636"/>
      <c r="AR272" s="3445"/>
    </row>
    <row r="273" spans="1:45" s="1439" customFormat="1" ht="27.95" customHeight="1">
      <c r="A273" s="5356" t="s">
        <v>437</v>
      </c>
      <c r="B273" s="5356"/>
      <c r="C273" s="5389" t="s">
        <v>2330</v>
      </c>
      <c r="D273" s="5389"/>
      <c r="E273" s="5389"/>
      <c r="F273" s="5389"/>
      <c r="G273" s="5389"/>
      <c r="H273" s="5389"/>
      <c r="I273" s="5389"/>
      <c r="J273" s="5389"/>
      <c r="K273" s="5389"/>
      <c r="L273" s="5389"/>
      <c r="M273" s="5389"/>
      <c r="N273" s="1419"/>
      <c r="O273" s="3281" t="s">
        <v>863</v>
      </c>
      <c r="P273" s="5370" t="str">
        <f>'[1]0581D'!$I$8</f>
        <v>9987-34-95-64</v>
      </c>
      <c r="Q273" s="5370"/>
      <c r="R273" s="5370"/>
      <c r="S273" s="5370"/>
      <c r="T273" s="5370"/>
      <c r="U273" s="1420"/>
      <c r="V273" s="3281"/>
      <c r="W273" s="3281" t="s">
        <v>1159</v>
      </c>
      <c r="X273" s="5358" t="str">
        <f>X233</f>
        <v>8  DE  AGOSTO  DE  2012</v>
      </c>
      <c r="Y273" s="5358"/>
      <c r="Z273" s="5358"/>
      <c r="AA273" s="5358"/>
      <c r="AB273" s="5358"/>
      <c r="AC273" s="5331" t="str">
        <f>D272</f>
        <v>CUITLAHUAC</v>
      </c>
      <c r="AD273" s="5331"/>
      <c r="AE273" s="5331"/>
      <c r="AF273" s="5331"/>
      <c r="AG273" s="5331"/>
      <c r="AH273" s="5331"/>
      <c r="AI273" s="5332" t="str">
        <f>M272</f>
        <v>23DPR0581D</v>
      </c>
      <c r="AJ273" s="5332"/>
      <c r="AK273" s="5332"/>
      <c r="AL273" s="3446"/>
      <c r="AM273" s="3446"/>
      <c r="AN273" s="3446"/>
      <c r="AO273" s="3446"/>
      <c r="AP273" s="3446"/>
      <c r="AQ273" s="3446"/>
      <c r="AR273" s="3446"/>
      <c r="AS273" s="2166"/>
    </row>
    <row r="274" spans="1:45" s="1441" customFormat="1" ht="9.9499999999999993" customHeight="1">
      <c r="A274" s="1421"/>
      <c r="B274" s="1422"/>
      <c r="C274" s="1668" t="str">
        <f>'[4]0581D'!$C$8</f>
        <v>REG. 510 MZ. 36 L. 1 Y 2</v>
      </c>
      <c r="D274" s="3261"/>
      <c r="E274" s="3261"/>
      <c r="F274" s="3261"/>
      <c r="G274" s="3261"/>
      <c r="H274" s="3261"/>
      <c r="I274" s="3261"/>
      <c r="J274" s="3261"/>
      <c r="K274" s="3261"/>
      <c r="L274" s="3261"/>
      <c r="M274" s="1421"/>
      <c r="N274" s="1423"/>
      <c r="O274" s="2202" t="str">
        <f>'[4]0581D'!$I$8</f>
        <v>9987-34-95-64</v>
      </c>
      <c r="P274" s="1423"/>
      <c r="Q274" s="1424"/>
      <c r="R274" s="1423"/>
      <c r="S274" s="1423"/>
      <c r="T274" s="1422"/>
      <c r="U274" s="1422"/>
      <c r="V274" s="3261"/>
      <c r="W274" s="3261"/>
      <c r="X274" s="3261"/>
      <c r="Y274" s="3261"/>
      <c r="Z274" s="1422"/>
      <c r="AA274" s="1422"/>
      <c r="AB274" s="1422"/>
      <c r="AC274" s="2689"/>
      <c r="AD274" s="2690"/>
      <c r="AE274" s="2639"/>
      <c r="AF274" s="2640"/>
      <c r="AG274" s="2639"/>
      <c r="AH274" s="2640"/>
      <c r="AI274" s="1444"/>
      <c r="AJ274" s="1444"/>
      <c r="AK274" s="2636"/>
      <c r="AL274" s="3445"/>
      <c r="AM274" s="3445"/>
      <c r="AN274" s="3445"/>
      <c r="AO274" s="3445"/>
      <c r="AP274" s="3445"/>
      <c r="AQ274" s="3445"/>
      <c r="AR274" s="3445"/>
      <c r="AS274" s="108"/>
    </row>
    <row r="275" spans="1:45" s="1442" customFormat="1" ht="27.95" customHeight="1">
      <c r="A275" s="5415" t="s">
        <v>1160</v>
      </c>
      <c r="B275" s="5416" t="s">
        <v>1235</v>
      </c>
      <c r="C275" s="5416"/>
      <c r="D275" s="5416"/>
      <c r="E275" s="5416"/>
      <c r="F275" s="5416"/>
      <c r="G275" s="5416"/>
      <c r="H275" s="5417" t="s">
        <v>1161</v>
      </c>
      <c r="I275" s="5417"/>
      <c r="J275" s="5417" t="s">
        <v>212</v>
      </c>
      <c r="K275" s="5417" t="s">
        <v>1162</v>
      </c>
      <c r="L275" s="5417" t="s">
        <v>1163</v>
      </c>
      <c r="M275" s="5417"/>
      <c r="N275" s="5417" t="s">
        <v>1164</v>
      </c>
      <c r="O275" s="5417"/>
      <c r="P275" s="5417" t="s">
        <v>1165</v>
      </c>
      <c r="Q275" s="5417"/>
      <c r="R275" s="5417" t="s">
        <v>1166</v>
      </c>
      <c r="S275" s="5417"/>
      <c r="T275" s="5417" t="s">
        <v>1167</v>
      </c>
      <c r="U275" s="5417" t="s">
        <v>1168</v>
      </c>
      <c r="V275" s="5417"/>
      <c r="W275" s="5417" t="s">
        <v>1169</v>
      </c>
      <c r="X275" s="5417"/>
      <c r="Y275" s="5417" t="s">
        <v>3</v>
      </c>
      <c r="Z275" s="5417" t="s">
        <v>4</v>
      </c>
      <c r="AA275" s="5417" t="s">
        <v>28</v>
      </c>
      <c r="AB275" s="5417"/>
      <c r="AC275" s="5340" t="str">
        <f>AC235</f>
        <v>INICIAL</v>
      </c>
      <c r="AD275" s="5340"/>
      <c r="AE275" s="5344" t="str">
        <f>AE235</f>
        <v>ALTAS</v>
      </c>
      <c r="AF275" s="5345"/>
      <c r="AG275" s="5346" t="str">
        <f>AG235</f>
        <v>BAJAS</v>
      </c>
      <c r="AH275" s="5347"/>
      <c r="AI275" s="5333" t="str">
        <f>AI235</f>
        <v>REP</v>
      </c>
      <c r="AJ275" s="5333"/>
      <c r="AK275" s="2625" t="str">
        <f>AK235</f>
        <v>INI</v>
      </c>
      <c r="AL275" s="5328" t="s">
        <v>2509</v>
      </c>
      <c r="AM275" s="5329"/>
      <c r="AN275" s="5329"/>
      <c r="AO275" s="5329"/>
      <c r="AP275" s="5329"/>
      <c r="AQ275" s="5329"/>
      <c r="AR275" s="5330"/>
    </row>
    <row r="276" spans="1:45" s="1442" customFormat="1" ht="27.95" customHeight="1">
      <c r="A276" s="5424"/>
      <c r="B276" s="5425"/>
      <c r="C276" s="5425"/>
      <c r="D276" s="5425"/>
      <c r="E276" s="5425"/>
      <c r="F276" s="5425"/>
      <c r="G276" s="5425"/>
      <c r="H276" s="3270" t="s">
        <v>407</v>
      </c>
      <c r="I276" s="3270" t="s">
        <v>403</v>
      </c>
      <c r="J276" s="5426"/>
      <c r="K276" s="5426"/>
      <c r="L276" s="5426"/>
      <c r="M276" s="5426"/>
      <c r="N276" s="5426"/>
      <c r="O276" s="5426"/>
      <c r="P276" s="3270" t="s">
        <v>1170</v>
      </c>
      <c r="Q276" s="3270" t="s">
        <v>1171</v>
      </c>
      <c r="R276" s="3270" t="s">
        <v>1172</v>
      </c>
      <c r="S276" s="3270" t="s">
        <v>1173</v>
      </c>
      <c r="T276" s="5426"/>
      <c r="U276" s="5426"/>
      <c r="V276" s="5426"/>
      <c r="W276" s="5426"/>
      <c r="X276" s="5426"/>
      <c r="Y276" s="5426"/>
      <c r="Z276" s="5426"/>
      <c r="AA276" s="5426"/>
      <c r="AB276" s="5426"/>
      <c r="AC276" s="3295" t="str">
        <f>AC236</f>
        <v>H</v>
      </c>
      <c r="AD276" s="2686" t="str">
        <f>AD236</f>
        <v>M</v>
      </c>
      <c r="AE276" s="3295" t="str">
        <f t="shared" ref="AE276:AJ276" si="73">AE236</f>
        <v>H</v>
      </c>
      <c r="AF276" s="2686" t="str">
        <f t="shared" si="73"/>
        <v>M</v>
      </c>
      <c r="AG276" s="3295" t="str">
        <f t="shared" si="73"/>
        <v>H</v>
      </c>
      <c r="AH276" s="2686" t="str">
        <f t="shared" si="73"/>
        <v>M</v>
      </c>
      <c r="AI276" s="3295" t="str">
        <f t="shared" si="73"/>
        <v>H</v>
      </c>
      <c r="AJ276" s="2686" t="str">
        <f t="shared" si="73"/>
        <v>M</v>
      </c>
      <c r="AK276" s="2627" t="str">
        <f>AK236</f>
        <v>TTS</v>
      </c>
      <c r="AL276" s="3455" t="s">
        <v>393</v>
      </c>
      <c r="AM276" s="3463" t="s">
        <v>8</v>
      </c>
      <c r="AN276" s="3456" t="s">
        <v>347</v>
      </c>
      <c r="AO276" s="3456" t="s">
        <v>348</v>
      </c>
      <c r="AP276" s="3456" t="s">
        <v>2062</v>
      </c>
      <c r="AQ276" s="3457" t="s">
        <v>2081</v>
      </c>
      <c r="AR276" s="3456" t="s">
        <v>2510</v>
      </c>
    </row>
    <row r="277" spans="1:45" s="1443" customFormat="1" ht="27.95" customHeight="1">
      <c r="A277" s="3274">
        <v>1</v>
      </c>
      <c r="B277" s="3623" t="s">
        <v>2357</v>
      </c>
      <c r="C277" s="3626"/>
      <c r="D277" s="1437"/>
      <c r="E277" s="1437"/>
      <c r="F277" s="1437"/>
      <c r="G277" s="3610"/>
      <c r="H277" s="3734"/>
      <c r="I277" s="3734" t="s">
        <v>78</v>
      </c>
      <c r="J277" s="3397" t="s">
        <v>1286</v>
      </c>
      <c r="K277" s="3397" t="s">
        <v>1878</v>
      </c>
      <c r="L277" s="3679" t="s">
        <v>93</v>
      </c>
      <c r="M277" s="3680"/>
      <c r="N277" s="5430"/>
      <c r="O277" s="5398"/>
      <c r="P277" s="3734"/>
      <c r="Q277" s="3734"/>
      <c r="R277" s="3734"/>
      <c r="S277" s="3733" t="s">
        <v>2149</v>
      </c>
      <c r="T277" s="3611" t="s">
        <v>680</v>
      </c>
      <c r="U277" s="5398">
        <v>10</v>
      </c>
      <c r="V277" s="5398"/>
      <c r="W277" s="5427" t="s">
        <v>1243</v>
      </c>
      <c r="X277" s="5427"/>
      <c r="Y277" s="3644"/>
      <c r="Z277" s="3644"/>
      <c r="AA277" s="5352">
        <f>AC277+AD277+AE277+AF277-AG277-AH277</f>
        <v>0</v>
      </c>
      <c r="AB277" s="5396"/>
      <c r="AC277" s="2682"/>
      <c r="AD277" s="3289"/>
      <c r="AE277" s="2628"/>
      <c r="AF277" s="2629"/>
      <c r="AG277" s="2628"/>
      <c r="AH277" s="2629"/>
      <c r="AI277" s="2628"/>
      <c r="AJ277" s="2629"/>
      <c r="AK277" s="2670">
        <f t="shared" si="61"/>
        <v>0</v>
      </c>
      <c r="AL277" s="3464"/>
      <c r="AM277" s="3448"/>
      <c r="AN277" s="3448"/>
      <c r="AO277" s="3448"/>
      <c r="AP277" s="3448"/>
      <c r="AQ277" s="3448"/>
      <c r="AR277" s="3458" t="e">
        <f t="shared" ref="AR277:AR290" si="74">SUM(AM277:AQ277)/AS277</f>
        <v>#DIV/0!</v>
      </c>
      <c r="AS277" s="3459">
        <f>COUNTA(AM277:AQ277)</f>
        <v>0</v>
      </c>
    </row>
    <row r="278" spans="1:45" s="1443" customFormat="1" ht="27.95" customHeight="1">
      <c r="A278" s="3274">
        <v>2</v>
      </c>
      <c r="B278" s="2156" t="s">
        <v>2473</v>
      </c>
      <c r="C278" s="3087"/>
      <c r="D278" s="2147"/>
      <c r="E278" s="2147"/>
      <c r="F278" s="2147"/>
      <c r="G278" s="2149"/>
      <c r="H278" s="3636"/>
      <c r="I278" s="3636" t="s">
        <v>78</v>
      </c>
      <c r="J278" s="3646" t="s">
        <v>2474</v>
      </c>
      <c r="K278" s="3290"/>
      <c r="L278" s="3671" t="s">
        <v>390</v>
      </c>
      <c r="M278" s="3672"/>
      <c r="N278" s="5349"/>
      <c r="O278" s="5350"/>
      <c r="P278" s="3274"/>
      <c r="Q278" s="3274"/>
      <c r="R278" s="3274"/>
      <c r="S278" s="2877"/>
      <c r="T278" s="3274"/>
      <c r="U278" s="5350"/>
      <c r="V278" s="5350"/>
      <c r="W278" s="5351"/>
      <c r="X278" s="5351"/>
      <c r="Y278" s="3564" t="s">
        <v>767</v>
      </c>
      <c r="Z278" s="3286" t="s">
        <v>228</v>
      </c>
      <c r="AA278" s="5352">
        <f t="shared" ref="AA278:AA301" si="75">AC278+AD278+AE278+AF278-AG278-AH278</f>
        <v>21</v>
      </c>
      <c r="AB278" s="5396"/>
      <c r="AC278" s="2682">
        <v>12</v>
      </c>
      <c r="AD278" s="3289">
        <v>10</v>
      </c>
      <c r="AE278" s="2628">
        <v>1</v>
      </c>
      <c r="AF278" s="2629"/>
      <c r="AG278" s="2628">
        <v>2</v>
      </c>
      <c r="AH278" s="2629"/>
      <c r="AI278" s="2628"/>
      <c r="AJ278" s="2629"/>
      <c r="AK278" s="2671">
        <f t="shared" si="61"/>
        <v>22</v>
      </c>
      <c r="AL278" s="3464"/>
      <c r="AM278" s="3448">
        <v>7</v>
      </c>
      <c r="AN278" s="3448"/>
      <c r="AO278" s="3448"/>
      <c r="AP278" s="3448"/>
      <c r="AQ278" s="3448"/>
      <c r="AR278" s="3458">
        <f t="shared" si="74"/>
        <v>7</v>
      </c>
      <c r="AS278" s="3459">
        <f t="shared" ref="AS278:AS303" si="76">COUNTA(AM278:AQ278)</f>
        <v>1</v>
      </c>
    </row>
    <row r="279" spans="1:45" s="1443" customFormat="1" ht="27.95" customHeight="1">
      <c r="A279" s="3274">
        <v>3</v>
      </c>
      <c r="B279" s="2157" t="s">
        <v>2588</v>
      </c>
      <c r="C279" s="3651"/>
      <c r="D279" s="2152"/>
      <c r="E279" s="2152"/>
      <c r="F279" s="2152"/>
      <c r="G279" s="2153"/>
      <c r="H279" s="3737"/>
      <c r="I279" s="3737" t="s">
        <v>78</v>
      </c>
      <c r="J279" s="3646" t="s">
        <v>1241</v>
      </c>
      <c r="K279" s="3646" t="s">
        <v>1908</v>
      </c>
      <c r="L279" s="3677" t="s">
        <v>390</v>
      </c>
      <c r="M279" s="3678"/>
      <c r="N279" s="5353"/>
      <c r="O279" s="5353"/>
      <c r="P279" s="3737"/>
      <c r="Q279" s="3737"/>
      <c r="R279" s="3737"/>
      <c r="S279" s="2877" t="s">
        <v>2175</v>
      </c>
      <c r="T279" s="3737" t="s">
        <v>680</v>
      </c>
      <c r="U279" s="5353">
        <v>10</v>
      </c>
      <c r="V279" s="5353"/>
      <c r="W279" s="5427" t="s">
        <v>1243</v>
      </c>
      <c r="X279" s="5427"/>
      <c r="Y279" s="2693" t="s">
        <v>771</v>
      </c>
      <c r="Z279" s="2693" t="s">
        <v>228</v>
      </c>
      <c r="AA279" s="5352">
        <f t="shared" si="75"/>
        <v>21</v>
      </c>
      <c r="AB279" s="5396"/>
      <c r="AC279" s="2682">
        <v>13</v>
      </c>
      <c r="AD279" s="3289">
        <v>9</v>
      </c>
      <c r="AE279" s="2628"/>
      <c r="AF279" s="2629">
        <v>1</v>
      </c>
      <c r="AG279" s="2628">
        <v>2</v>
      </c>
      <c r="AH279" s="2629"/>
      <c r="AI279" s="2628"/>
      <c r="AJ279" s="2629"/>
      <c r="AK279" s="2671">
        <f t="shared" si="61"/>
        <v>22</v>
      </c>
      <c r="AL279" s="3464"/>
      <c r="AM279" s="3448">
        <v>7.1</v>
      </c>
      <c r="AN279" s="3448"/>
      <c r="AO279" s="3448"/>
      <c r="AP279" s="3448"/>
      <c r="AQ279" s="3448"/>
      <c r="AR279" s="3458">
        <f t="shared" si="74"/>
        <v>7.1</v>
      </c>
      <c r="AS279" s="3459">
        <f t="shared" si="76"/>
        <v>1</v>
      </c>
    </row>
    <row r="280" spans="1:45" s="1443" customFormat="1" ht="27.95" customHeight="1">
      <c r="A280" s="3735">
        <v>4</v>
      </c>
      <c r="B280" s="2158" t="s">
        <v>2586</v>
      </c>
      <c r="C280" s="3087"/>
      <c r="D280" s="2147"/>
      <c r="E280" s="2147"/>
      <c r="F280" s="2147"/>
      <c r="G280" s="2149"/>
      <c r="H280" s="3735" t="s">
        <v>78</v>
      </c>
      <c r="I280" s="3735"/>
      <c r="J280" s="3646" t="s">
        <v>1321</v>
      </c>
      <c r="K280" s="3646" t="s">
        <v>1907</v>
      </c>
      <c r="L280" s="3671" t="s">
        <v>390</v>
      </c>
      <c r="M280" s="3672"/>
      <c r="N280" s="5354"/>
      <c r="O280" s="5418"/>
      <c r="P280" s="3735"/>
      <c r="Q280" s="3735"/>
      <c r="R280" s="3735"/>
      <c r="S280" s="2877" t="s">
        <v>2172</v>
      </c>
      <c r="T280" s="3735" t="s">
        <v>680</v>
      </c>
      <c r="U280" s="5353">
        <v>10</v>
      </c>
      <c r="V280" s="5353"/>
      <c r="W280" s="5351" t="s">
        <v>1199</v>
      </c>
      <c r="X280" s="5351"/>
      <c r="Y280" s="3736" t="s">
        <v>772</v>
      </c>
      <c r="Z280" s="3286" t="s">
        <v>228</v>
      </c>
      <c r="AA280" s="5352">
        <f t="shared" si="75"/>
        <v>25</v>
      </c>
      <c r="AB280" s="5396"/>
      <c r="AC280" s="2682">
        <v>16</v>
      </c>
      <c r="AD280" s="3289">
        <v>11</v>
      </c>
      <c r="AE280" s="2628">
        <v>1</v>
      </c>
      <c r="AF280" s="2629"/>
      <c r="AG280" s="2628"/>
      <c r="AH280" s="2629">
        <v>3</v>
      </c>
      <c r="AI280" s="2628"/>
      <c r="AJ280" s="2629"/>
      <c r="AK280" s="2671">
        <f t="shared" si="61"/>
        <v>27</v>
      </c>
      <c r="AL280" s="3464"/>
      <c r="AM280" s="3448">
        <v>7</v>
      </c>
      <c r="AN280" s="3448"/>
      <c r="AO280" s="3448"/>
      <c r="AP280" s="3448"/>
      <c r="AQ280" s="3448"/>
      <c r="AR280" s="3458">
        <f t="shared" si="74"/>
        <v>7</v>
      </c>
      <c r="AS280" s="3459">
        <f t="shared" si="76"/>
        <v>1</v>
      </c>
    </row>
    <row r="281" spans="1:45" s="1443" customFormat="1" ht="27.95" customHeight="1">
      <c r="A281" s="3735">
        <v>5</v>
      </c>
      <c r="B281" s="3405" t="s">
        <v>2569</v>
      </c>
      <c r="C281" s="3087"/>
      <c r="D281" s="3408"/>
      <c r="E281" s="3409"/>
      <c r="F281" s="3409"/>
      <c r="G281" s="3410"/>
      <c r="H281" s="3735" t="s">
        <v>78</v>
      </c>
      <c r="I281" s="3735"/>
      <c r="J281" s="3406" t="s">
        <v>1217</v>
      </c>
      <c r="K281" s="3646"/>
      <c r="L281" s="3671" t="s">
        <v>390</v>
      </c>
      <c r="M281" s="3672"/>
      <c r="N281" s="5354"/>
      <c r="O281" s="5418"/>
      <c r="P281" s="3735"/>
      <c r="Q281" s="3735"/>
      <c r="R281" s="3735"/>
      <c r="S281" s="2877"/>
      <c r="T281" s="3735"/>
      <c r="U281" s="5349"/>
      <c r="V281" s="5350"/>
      <c r="W281" s="5351"/>
      <c r="X281" s="5351"/>
      <c r="Y281" s="3564" t="s">
        <v>773</v>
      </c>
      <c r="Z281" s="3736" t="s">
        <v>228</v>
      </c>
      <c r="AA281" s="5352">
        <f t="shared" si="75"/>
        <v>22</v>
      </c>
      <c r="AB281" s="5396"/>
      <c r="AC281" s="2682">
        <v>10</v>
      </c>
      <c r="AD281" s="3289">
        <v>13</v>
      </c>
      <c r="AE281" s="2628"/>
      <c r="AF281" s="2629"/>
      <c r="AG281" s="2628">
        <v>1</v>
      </c>
      <c r="AH281" s="2629"/>
      <c r="AI281" s="2628"/>
      <c r="AJ281" s="2629"/>
      <c r="AK281" s="2671">
        <f t="shared" si="61"/>
        <v>23</v>
      </c>
      <c r="AL281" s="3464"/>
      <c r="AM281" s="3448">
        <v>7.2</v>
      </c>
      <c r="AN281" s="3448"/>
      <c r="AO281" s="3448"/>
      <c r="AP281" s="3448"/>
      <c r="AQ281" s="3448"/>
      <c r="AR281" s="3458">
        <f t="shared" si="74"/>
        <v>7.2</v>
      </c>
      <c r="AS281" s="3459">
        <f t="shared" si="76"/>
        <v>1</v>
      </c>
    </row>
    <row r="282" spans="1:45" s="1450" customFormat="1" ht="27.95" customHeight="1">
      <c r="A282" s="3735">
        <v>6</v>
      </c>
      <c r="B282" s="2158" t="s">
        <v>2587</v>
      </c>
      <c r="C282" s="3087"/>
      <c r="D282" s="2147"/>
      <c r="E282" s="2147"/>
      <c r="F282" s="2147"/>
      <c r="G282" s="2149"/>
      <c r="H282" s="3735" t="s">
        <v>78</v>
      </c>
      <c r="I282" s="3735"/>
      <c r="J282" s="3646" t="s">
        <v>1322</v>
      </c>
      <c r="K282" s="3646" t="s">
        <v>1910</v>
      </c>
      <c r="L282" s="3671" t="s">
        <v>390</v>
      </c>
      <c r="M282" s="3672"/>
      <c r="N282" s="5354" t="s">
        <v>1323</v>
      </c>
      <c r="O282" s="5355"/>
      <c r="P282" s="3735"/>
      <c r="Q282" s="3735"/>
      <c r="R282" s="3735"/>
      <c r="S282" s="2877" t="s">
        <v>2174</v>
      </c>
      <c r="T282" s="3735" t="s">
        <v>691</v>
      </c>
      <c r="U282" s="5349">
        <v>10</v>
      </c>
      <c r="V282" s="5350"/>
      <c r="W282" s="5351" t="s">
        <v>1307</v>
      </c>
      <c r="X282" s="5351"/>
      <c r="Y282" s="3736" t="s">
        <v>773</v>
      </c>
      <c r="Z282" s="3736" t="s">
        <v>230</v>
      </c>
      <c r="AA282" s="5411">
        <f t="shared" si="75"/>
        <v>20</v>
      </c>
      <c r="AB282" s="5411"/>
      <c r="AC282" s="2682">
        <v>12</v>
      </c>
      <c r="AD282" s="3289">
        <v>9</v>
      </c>
      <c r="AE282" s="2628"/>
      <c r="AF282" s="2629"/>
      <c r="AG282" s="2628"/>
      <c r="AH282" s="2629">
        <v>1</v>
      </c>
      <c r="AI282" s="2628"/>
      <c r="AJ282" s="2629"/>
      <c r="AK282" s="2671">
        <f t="shared" si="61"/>
        <v>21</v>
      </c>
      <c r="AL282" s="3464"/>
      <c r="AM282" s="3448">
        <v>6.8</v>
      </c>
      <c r="AN282" s="3448"/>
      <c r="AO282" s="3448"/>
      <c r="AP282" s="3448"/>
      <c r="AQ282" s="3448"/>
      <c r="AR282" s="3458">
        <f t="shared" si="74"/>
        <v>6.8</v>
      </c>
      <c r="AS282" s="3459">
        <f t="shared" si="76"/>
        <v>1</v>
      </c>
    </row>
    <row r="283" spans="1:45" s="1443" customFormat="1" ht="27.95" customHeight="1">
      <c r="A283" s="3735">
        <v>7</v>
      </c>
      <c r="B283" s="2158" t="s">
        <v>2589</v>
      </c>
      <c r="C283" s="3087"/>
      <c r="D283" s="2147"/>
      <c r="E283" s="2147"/>
      <c r="F283" s="2147"/>
      <c r="G283" s="2149"/>
      <c r="H283" s="3735" t="s">
        <v>78</v>
      </c>
      <c r="I283" s="3735"/>
      <c r="J283" s="3646" t="s">
        <v>1324</v>
      </c>
      <c r="K283" s="3646" t="s">
        <v>1911</v>
      </c>
      <c r="L283" s="3671" t="s">
        <v>401</v>
      </c>
      <c r="M283" s="3672"/>
      <c r="N283" s="5349" t="s">
        <v>1325</v>
      </c>
      <c r="O283" s="5350"/>
      <c r="P283" s="3735"/>
      <c r="Q283" s="3735"/>
      <c r="R283" s="3735"/>
      <c r="S283" s="2877" t="s">
        <v>2176</v>
      </c>
      <c r="T283" s="3735"/>
      <c r="U283" s="5349">
        <v>10</v>
      </c>
      <c r="V283" s="5350"/>
      <c r="W283" s="5351" t="s">
        <v>1830</v>
      </c>
      <c r="X283" s="5351"/>
      <c r="Y283" s="3286"/>
      <c r="Z283" s="3286"/>
      <c r="AA283" s="5352">
        <f t="shared" si="75"/>
        <v>0</v>
      </c>
      <c r="AB283" s="5396"/>
      <c r="AC283" s="2682"/>
      <c r="AD283" s="3289"/>
      <c r="AE283" s="2628"/>
      <c r="AF283" s="2629"/>
      <c r="AG283" s="2628"/>
      <c r="AH283" s="2629"/>
      <c r="AI283" s="2628"/>
      <c r="AJ283" s="2629"/>
      <c r="AK283" s="2671">
        <f t="shared" si="61"/>
        <v>0</v>
      </c>
      <c r="AL283" s="3464"/>
      <c r="AM283" s="3448"/>
      <c r="AN283" s="3448"/>
      <c r="AO283" s="3448"/>
      <c r="AP283" s="3448"/>
      <c r="AQ283" s="3448"/>
      <c r="AR283" s="3458" t="e">
        <f t="shared" si="74"/>
        <v>#DIV/0!</v>
      </c>
      <c r="AS283" s="3459">
        <f t="shared" si="76"/>
        <v>0</v>
      </c>
    </row>
    <row r="284" spans="1:45" s="1443" customFormat="1" ht="27.95" customHeight="1">
      <c r="A284" s="3735">
        <v>8</v>
      </c>
      <c r="B284" s="2158" t="s">
        <v>2477</v>
      </c>
      <c r="C284" s="3087"/>
      <c r="D284" s="2147"/>
      <c r="E284" s="2147"/>
      <c r="F284" s="2147"/>
      <c r="G284" s="2149"/>
      <c r="H284" s="3735" t="s">
        <v>78</v>
      </c>
      <c r="I284" s="3735"/>
      <c r="J284" s="3646" t="s">
        <v>2478</v>
      </c>
      <c r="K284" s="3646" t="s">
        <v>2479</v>
      </c>
      <c r="L284" s="3671" t="s">
        <v>426</v>
      </c>
      <c r="M284" s="3672"/>
      <c r="N284" s="5349"/>
      <c r="O284" s="5350"/>
      <c r="P284" s="3735"/>
      <c r="Q284" s="3735"/>
      <c r="R284" s="3735"/>
      <c r="S284" s="2877" t="s">
        <v>2177</v>
      </c>
      <c r="T284" s="3735"/>
      <c r="U284" s="5349">
        <v>10</v>
      </c>
      <c r="V284" s="5350"/>
      <c r="W284" s="5351"/>
      <c r="X284" s="5351"/>
      <c r="Y284" s="3286"/>
      <c r="Z284" s="3286"/>
      <c r="AA284" s="5352">
        <f t="shared" si="75"/>
        <v>0</v>
      </c>
      <c r="AB284" s="5396"/>
      <c r="AC284" s="2682"/>
      <c r="AD284" s="3289"/>
      <c r="AE284" s="2628"/>
      <c r="AF284" s="2629"/>
      <c r="AG284" s="2628"/>
      <c r="AH284" s="2629"/>
      <c r="AI284" s="2628"/>
      <c r="AJ284" s="2629"/>
      <c r="AK284" s="2671">
        <f t="shared" si="61"/>
        <v>0</v>
      </c>
      <c r="AL284" s="3464"/>
      <c r="AM284" s="3448"/>
      <c r="AN284" s="3448"/>
      <c r="AO284" s="3448"/>
      <c r="AP284" s="3448"/>
      <c r="AQ284" s="3448"/>
      <c r="AR284" s="3458" t="e">
        <f t="shared" si="74"/>
        <v>#DIV/0!</v>
      </c>
      <c r="AS284" s="3459">
        <f t="shared" si="76"/>
        <v>0</v>
      </c>
    </row>
    <row r="285" spans="1:45" s="1444" customFormat="1" ht="27.95" customHeight="1">
      <c r="A285" s="3274"/>
      <c r="B285" s="2158"/>
      <c r="C285" s="3087"/>
      <c r="D285" s="2147"/>
      <c r="E285" s="2147"/>
      <c r="F285" s="2147"/>
      <c r="G285" s="2149"/>
      <c r="H285" s="3274"/>
      <c r="I285" s="3274"/>
      <c r="J285" s="3290"/>
      <c r="K285" s="3290"/>
      <c r="L285" s="3671"/>
      <c r="M285" s="3672"/>
      <c r="N285" s="5349"/>
      <c r="O285" s="5350"/>
      <c r="P285" s="3274"/>
      <c r="Q285" s="3274"/>
      <c r="R285" s="3274"/>
      <c r="S285" s="2877"/>
      <c r="T285" s="3274"/>
      <c r="U285" s="5349"/>
      <c r="V285" s="5350"/>
      <c r="W285" s="5351"/>
      <c r="X285" s="5351"/>
      <c r="Y285" s="3286"/>
      <c r="Z285" s="3286"/>
      <c r="AA285" s="5352">
        <f t="shared" si="75"/>
        <v>0</v>
      </c>
      <c r="AB285" s="5396"/>
      <c r="AC285" s="2682"/>
      <c r="AD285" s="3289"/>
      <c r="AE285" s="2628"/>
      <c r="AF285" s="2629"/>
      <c r="AG285" s="2628"/>
      <c r="AH285" s="2629"/>
      <c r="AI285" s="2628"/>
      <c r="AJ285" s="2629"/>
      <c r="AK285" s="2671">
        <f t="shared" si="61"/>
        <v>0</v>
      </c>
      <c r="AL285" s="3464"/>
      <c r="AM285" s="3448"/>
      <c r="AN285" s="3448"/>
      <c r="AO285" s="3448"/>
      <c r="AP285" s="3448"/>
      <c r="AQ285" s="3448"/>
      <c r="AR285" s="3458" t="e">
        <f t="shared" si="74"/>
        <v>#DIV/0!</v>
      </c>
      <c r="AS285" s="3459">
        <f t="shared" si="76"/>
        <v>0</v>
      </c>
    </row>
    <row r="286" spans="1:45" s="1444" customFormat="1" ht="27.95" customHeight="1">
      <c r="A286" s="3274"/>
      <c r="B286" s="2147"/>
      <c r="C286" s="3087"/>
      <c r="D286" s="2147"/>
      <c r="E286" s="2147"/>
      <c r="F286" s="2147"/>
      <c r="G286" s="2149"/>
      <c r="H286" s="3274"/>
      <c r="I286" s="3274"/>
      <c r="J286" s="3290"/>
      <c r="K286" s="3290"/>
      <c r="L286" s="3671"/>
      <c r="M286" s="3672"/>
      <c r="N286" s="5349"/>
      <c r="O286" s="5350"/>
      <c r="P286" s="3274"/>
      <c r="Q286" s="3274"/>
      <c r="R286" s="3274"/>
      <c r="S286" s="2877"/>
      <c r="T286" s="3274"/>
      <c r="U286" s="5349"/>
      <c r="V286" s="5350"/>
      <c r="W286" s="5351"/>
      <c r="X286" s="5351"/>
      <c r="Y286" s="3286"/>
      <c r="Z286" s="3286"/>
      <c r="AA286" s="5352">
        <f t="shared" si="75"/>
        <v>0</v>
      </c>
      <c r="AB286" s="5396"/>
      <c r="AC286" s="2682"/>
      <c r="AD286" s="3289"/>
      <c r="AE286" s="2628"/>
      <c r="AF286" s="2629"/>
      <c r="AG286" s="2628"/>
      <c r="AH286" s="2629"/>
      <c r="AI286" s="2628"/>
      <c r="AJ286" s="2629"/>
      <c r="AK286" s="2671">
        <f t="shared" si="61"/>
        <v>0</v>
      </c>
      <c r="AL286" s="3464"/>
      <c r="AM286" s="3448"/>
      <c r="AN286" s="3448"/>
      <c r="AO286" s="3448"/>
      <c r="AP286" s="3448"/>
      <c r="AQ286" s="3448"/>
      <c r="AR286" s="3458" t="e">
        <f t="shared" si="74"/>
        <v>#DIV/0!</v>
      </c>
      <c r="AS286" s="3459">
        <f t="shared" si="76"/>
        <v>0</v>
      </c>
    </row>
    <row r="287" spans="1:45" s="1444" customFormat="1" ht="27.95" customHeight="1">
      <c r="A287" s="3274"/>
      <c r="B287" s="3623"/>
      <c r="C287" s="3626"/>
      <c r="D287" s="1437"/>
      <c r="E287" s="1437"/>
      <c r="F287" s="1437"/>
      <c r="G287" s="3610"/>
      <c r="H287" s="3734"/>
      <c r="I287" s="3734"/>
      <c r="J287" s="3397"/>
      <c r="K287" s="3397"/>
      <c r="L287" s="3679"/>
      <c r="M287" s="3680"/>
      <c r="N287" s="5430"/>
      <c r="O287" s="5398"/>
      <c r="P287" s="3734"/>
      <c r="Q287" s="3734"/>
      <c r="R287" s="3734"/>
      <c r="S287" s="3733"/>
      <c r="T287" s="3611"/>
      <c r="U287" s="5398"/>
      <c r="V287" s="5398"/>
      <c r="W287" s="5351"/>
      <c r="X287" s="5351"/>
      <c r="Y287" s="3286"/>
      <c r="Z287" s="3286"/>
      <c r="AA287" s="5352">
        <f t="shared" si="75"/>
        <v>0</v>
      </c>
      <c r="AB287" s="5396"/>
      <c r="AC287" s="2682"/>
      <c r="AD287" s="3289"/>
      <c r="AE287" s="2628"/>
      <c r="AF287" s="2629"/>
      <c r="AG287" s="2628"/>
      <c r="AH287" s="2629"/>
      <c r="AI287" s="2628"/>
      <c r="AJ287" s="2629"/>
      <c r="AK287" s="2671">
        <f t="shared" si="61"/>
        <v>0</v>
      </c>
      <c r="AL287" s="3464"/>
      <c r="AM287" s="3448"/>
      <c r="AN287" s="3448"/>
      <c r="AO287" s="3448"/>
      <c r="AP287" s="3448"/>
      <c r="AQ287" s="3448"/>
      <c r="AR287" s="3458" t="e">
        <f t="shared" si="74"/>
        <v>#DIV/0!</v>
      </c>
      <c r="AS287" s="3459">
        <f t="shared" si="76"/>
        <v>0</v>
      </c>
    </row>
    <row r="288" spans="1:45" s="1444" customFormat="1" ht="27.95" customHeight="1">
      <c r="A288" s="3274"/>
      <c r="B288" s="2147"/>
      <c r="C288" s="3087"/>
      <c r="D288" s="2147"/>
      <c r="E288" s="2147"/>
      <c r="F288" s="2147"/>
      <c r="G288" s="2149"/>
      <c r="H288" s="3274"/>
      <c r="I288" s="3274"/>
      <c r="J288" s="3290"/>
      <c r="K288" s="3290"/>
      <c r="L288" s="3671"/>
      <c r="M288" s="3672"/>
      <c r="N288" s="5349"/>
      <c r="O288" s="5350"/>
      <c r="P288" s="3274"/>
      <c r="Q288" s="3274"/>
      <c r="R288" s="3274"/>
      <c r="S288" s="2877"/>
      <c r="T288" s="3274"/>
      <c r="U288" s="5350"/>
      <c r="V288" s="5350"/>
      <c r="W288" s="5351"/>
      <c r="X288" s="5351"/>
      <c r="Y288" s="3286"/>
      <c r="Z288" s="3286"/>
      <c r="AA288" s="5352">
        <f t="shared" si="75"/>
        <v>0</v>
      </c>
      <c r="AB288" s="5396"/>
      <c r="AC288" s="2682"/>
      <c r="AD288" s="3289"/>
      <c r="AE288" s="2628"/>
      <c r="AF288" s="2629"/>
      <c r="AG288" s="2628"/>
      <c r="AH288" s="2629"/>
      <c r="AI288" s="2628"/>
      <c r="AJ288" s="2629"/>
      <c r="AK288" s="2671">
        <f t="shared" si="61"/>
        <v>0</v>
      </c>
      <c r="AL288" s="3464"/>
      <c r="AM288" s="3448"/>
      <c r="AN288" s="3448"/>
      <c r="AO288" s="3448"/>
      <c r="AP288" s="3448"/>
      <c r="AQ288" s="3448"/>
      <c r="AR288" s="3458" t="e">
        <f t="shared" si="74"/>
        <v>#DIV/0!</v>
      </c>
      <c r="AS288" s="3459">
        <f t="shared" si="76"/>
        <v>0</v>
      </c>
    </row>
    <row r="289" spans="1:45" s="1444" customFormat="1" ht="27.95" customHeight="1">
      <c r="A289" s="3274"/>
      <c r="B289" s="2147"/>
      <c r="C289" s="3087"/>
      <c r="D289" s="2147"/>
      <c r="E289" s="2147"/>
      <c r="F289" s="2147"/>
      <c r="G289" s="2149"/>
      <c r="H289" s="3274"/>
      <c r="I289" s="3274"/>
      <c r="J289" s="3290"/>
      <c r="K289" s="3290"/>
      <c r="L289" s="3671"/>
      <c r="M289" s="3672"/>
      <c r="N289" s="5349"/>
      <c r="O289" s="5350"/>
      <c r="P289" s="3274"/>
      <c r="Q289" s="3274"/>
      <c r="R289" s="3274"/>
      <c r="S289" s="2877"/>
      <c r="T289" s="3274"/>
      <c r="U289" s="5350"/>
      <c r="V289" s="5350"/>
      <c r="W289" s="5351"/>
      <c r="X289" s="5351"/>
      <c r="Y289" s="3286"/>
      <c r="Z289" s="3286"/>
      <c r="AA289" s="5352">
        <f t="shared" si="75"/>
        <v>0</v>
      </c>
      <c r="AB289" s="5396"/>
      <c r="AC289" s="2682"/>
      <c r="AD289" s="3289"/>
      <c r="AE289" s="2628"/>
      <c r="AF289" s="2629"/>
      <c r="AG289" s="2628"/>
      <c r="AH289" s="2629"/>
      <c r="AI289" s="2628"/>
      <c r="AJ289" s="2629"/>
      <c r="AK289" s="2671">
        <f t="shared" si="61"/>
        <v>0</v>
      </c>
      <c r="AL289" s="3464"/>
      <c r="AM289" s="3448"/>
      <c r="AN289" s="3448"/>
      <c r="AO289" s="3448"/>
      <c r="AP289" s="3448"/>
      <c r="AQ289" s="3448"/>
      <c r="AR289" s="3458" t="e">
        <f t="shared" si="74"/>
        <v>#DIV/0!</v>
      </c>
      <c r="AS289" s="3459">
        <f t="shared" si="76"/>
        <v>0</v>
      </c>
    </row>
    <row r="290" spans="1:45" s="1444" customFormat="1" ht="27.95" customHeight="1">
      <c r="A290" s="3274"/>
      <c r="B290" s="2147"/>
      <c r="C290" s="3087"/>
      <c r="D290" s="2152"/>
      <c r="E290" s="2152"/>
      <c r="F290" s="2152"/>
      <c r="G290" s="2153"/>
      <c r="H290" s="3636"/>
      <c r="I290" s="3636"/>
      <c r="J290" s="3646"/>
      <c r="K290" s="3646"/>
      <c r="L290" s="3671"/>
      <c r="M290" s="3672"/>
      <c r="N290" s="5354"/>
      <c r="O290" s="5418"/>
      <c r="P290" s="3636"/>
      <c r="Q290" s="3636"/>
      <c r="R290" s="3636"/>
      <c r="S290" s="2877"/>
      <c r="T290" s="3636"/>
      <c r="U290" s="5349"/>
      <c r="V290" s="5350"/>
      <c r="W290" s="5351"/>
      <c r="X290" s="5351"/>
      <c r="Y290" s="3286"/>
      <c r="Z290" s="3286"/>
      <c r="AA290" s="5352">
        <f t="shared" si="75"/>
        <v>0</v>
      </c>
      <c r="AB290" s="5396"/>
      <c r="AC290" s="2682"/>
      <c r="AD290" s="3289"/>
      <c r="AE290" s="2628"/>
      <c r="AF290" s="2629"/>
      <c r="AG290" s="2628"/>
      <c r="AH290" s="2629"/>
      <c r="AI290" s="2628"/>
      <c r="AJ290" s="2629"/>
      <c r="AK290" s="2671">
        <f t="shared" si="61"/>
        <v>0</v>
      </c>
      <c r="AL290" s="3464"/>
      <c r="AM290" s="3448"/>
      <c r="AN290" s="3448"/>
      <c r="AO290" s="3448"/>
      <c r="AP290" s="3448"/>
      <c r="AQ290" s="3448"/>
      <c r="AR290" s="3458" t="e">
        <f t="shared" si="74"/>
        <v>#DIV/0!</v>
      </c>
      <c r="AS290" s="3459">
        <f t="shared" si="76"/>
        <v>0</v>
      </c>
    </row>
    <row r="291" spans="1:45" s="1444" customFormat="1" ht="27.95" customHeight="1">
      <c r="A291" s="3274"/>
      <c r="B291" s="2147"/>
      <c r="C291" s="3087"/>
      <c r="D291" s="2147"/>
      <c r="E291" s="2147"/>
      <c r="F291" s="2147"/>
      <c r="G291" s="2149"/>
      <c r="H291" s="3274"/>
      <c r="I291" s="3274"/>
      <c r="J291" s="3290"/>
      <c r="K291" s="3290"/>
      <c r="L291" s="3671"/>
      <c r="M291" s="3672"/>
      <c r="N291" s="5354"/>
      <c r="O291" s="5418"/>
      <c r="P291" s="3274"/>
      <c r="Q291" s="3274"/>
      <c r="R291" s="3274"/>
      <c r="S291" s="2877"/>
      <c r="T291" s="3274"/>
      <c r="U291" s="5353"/>
      <c r="V291" s="5353"/>
      <c r="W291" s="5351"/>
      <c r="X291" s="5351"/>
      <c r="Y291" s="3286"/>
      <c r="Z291" s="3286"/>
      <c r="AA291" s="5352">
        <f t="shared" si="75"/>
        <v>0</v>
      </c>
      <c r="AB291" s="5396"/>
      <c r="AC291" s="2682"/>
      <c r="AD291" s="3289"/>
      <c r="AE291" s="2628"/>
      <c r="AF291" s="2629"/>
      <c r="AG291" s="2628"/>
      <c r="AH291" s="2629"/>
      <c r="AI291" s="2628"/>
      <c r="AJ291" s="2629"/>
      <c r="AK291" s="2671">
        <f t="shared" si="61"/>
        <v>0</v>
      </c>
      <c r="AL291" s="3464"/>
      <c r="AM291" s="3448"/>
      <c r="AN291" s="3448"/>
      <c r="AO291" s="3448"/>
      <c r="AP291" s="3448"/>
      <c r="AQ291" s="3448"/>
      <c r="AR291" s="3458" t="e">
        <f t="shared" ref="AR291:AR303" si="77">SUM(AM291:AQ291)/AS291</f>
        <v>#DIV/0!</v>
      </c>
      <c r="AS291" s="3459">
        <f t="shared" si="76"/>
        <v>0</v>
      </c>
    </row>
    <row r="292" spans="1:45" s="1444" customFormat="1" ht="27.95" customHeight="1">
      <c r="A292" s="3274"/>
      <c r="B292" s="2147"/>
      <c r="C292" s="3087"/>
      <c r="D292" s="2147"/>
      <c r="E292" s="2147"/>
      <c r="F292" s="2147"/>
      <c r="G292" s="2149"/>
      <c r="H292" s="3274"/>
      <c r="I292" s="3274"/>
      <c r="J292" s="3290"/>
      <c r="K292" s="3290"/>
      <c r="L292" s="3671"/>
      <c r="M292" s="3676"/>
      <c r="N292" s="5419"/>
      <c r="O292" s="5418"/>
      <c r="P292" s="3274"/>
      <c r="Q292" s="3274"/>
      <c r="R292" s="3274"/>
      <c r="S292" s="2877"/>
      <c r="T292" s="3274"/>
      <c r="U292" s="5419"/>
      <c r="V292" s="5418"/>
      <c r="W292" s="5351"/>
      <c r="X292" s="5351"/>
      <c r="Y292" s="3286"/>
      <c r="Z292" s="3286"/>
      <c r="AA292" s="5352">
        <f t="shared" si="75"/>
        <v>0</v>
      </c>
      <c r="AB292" s="5396"/>
      <c r="AC292" s="2682"/>
      <c r="AD292" s="3289"/>
      <c r="AE292" s="2628"/>
      <c r="AF292" s="2629"/>
      <c r="AG292" s="2628"/>
      <c r="AH292" s="2629"/>
      <c r="AI292" s="2628"/>
      <c r="AJ292" s="2629"/>
      <c r="AK292" s="2671">
        <f t="shared" si="61"/>
        <v>0</v>
      </c>
      <c r="AL292" s="3464"/>
      <c r="AM292" s="3448"/>
      <c r="AN292" s="3448"/>
      <c r="AO292" s="3448"/>
      <c r="AP292" s="3448"/>
      <c r="AQ292" s="3448"/>
      <c r="AR292" s="3458" t="e">
        <f t="shared" si="77"/>
        <v>#DIV/0!</v>
      </c>
      <c r="AS292" s="3459">
        <f t="shared" si="76"/>
        <v>0</v>
      </c>
    </row>
    <row r="293" spans="1:45" s="1444" customFormat="1" ht="27.95" customHeight="1">
      <c r="A293" s="3274"/>
      <c r="B293" s="2147"/>
      <c r="C293" s="3087"/>
      <c r="D293" s="2147"/>
      <c r="E293" s="2152"/>
      <c r="F293" s="2152"/>
      <c r="G293" s="2153"/>
      <c r="H293" s="3291"/>
      <c r="I293" s="3291"/>
      <c r="J293" s="3290"/>
      <c r="K293" s="3290"/>
      <c r="L293" s="3677"/>
      <c r="M293" s="3678"/>
      <c r="N293" s="5353"/>
      <c r="O293" s="5353"/>
      <c r="P293" s="3291"/>
      <c r="Q293" s="3291"/>
      <c r="R293" s="3291"/>
      <c r="S293" s="2877"/>
      <c r="T293" s="3291"/>
      <c r="U293" s="5353"/>
      <c r="V293" s="5353"/>
      <c r="W293" s="5427"/>
      <c r="X293" s="5427"/>
      <c r="Y293" s="3286"/>
      <c r="Z293" s="3286"/>
      <c r="AA293" s="5352">
        <f t="shared" si="75"/>
        <v>0</v>
      </c>
      <c r="AB293" s="5396"/>
      <c r="AC293" s="2682"/>
      <c r="AD293" s="3289"/>
      <c r="AE293" s="2628"/>
      <c r="AF293" s="2629"/>
      <c r="AG293" s="2628"/>
      <c r="AH293" s="2629"/>
      <c r="AI293" s="2628"/>
      <c r="AJ293" s="2629"/>
      <c r="AK293" s="2671">
        <f t="shared" si="61"/>
        <v>0</v>
      </c>
      <c r="AL293" s="3464"/>
      <c r="AM293" s="3448"/>
      <c r="AN293" s="3448"/>
      <c r="AO293" s="3448"/>
      <c r="AP293" s="3448"/>
      <c r="AQ293" s="3448"/>
      <c r="AR293" s="3458" t="e">
        <f t="shared" si="77"/>
        <v>#DIV/0!</v>
      </c>
      <c r="AS293" s="3459">
        <f t="shared" si="76"/>
        <v>0</v>
      </c>
    </row>
    <row r="294" spans="1:45" s="1444" customFormat="1" ht="27.95" customHeight="1">
      <c r="A294" s="3274"/>
      <c r="B294" s="2147"/>
      <c r="C294" s="3087"/>
      <c r="D294" s="2147"/>
      <c r="E294" s="2152"/>
      <c r="F294" s="2152"/>
      <c r="G294" s="2153"/>
      <c r="H294" s="3274"/>
      <c r="I294" s="3274"/>
      <c r="J294" s="3290"/>
      <c r="K294" s="3290"/>
      <c r="L294" s="3671"/>
      <c r="M294" s="3672"/>
      <c r="N294" s="5354"/>
      <c r="O294" s="5418"/>
      <c r="P294" s="3274"/>
      <c r="Q294" s="3274"/>
      <c r="R294" s="3274"/>
      <c r="S294" s="2877"/>
      <c r="T294" s="3274"/>
      <c r="U294" s="5349"/>
      <c r="V294" s="5350"/>
      <c r="W294" s="5351"/>
      <c r="X294" s="5351"/>
      <c r="Y294" s="3286"/>
      <c r="Z294" s="3286"/>
      <c r="AA294" s="5352">
        <f t="shared" si="75"/>
        <v>0</v>
      </c>
      <c r="AB294" s="5396"/>
      <c r="AC294" s="2682"/>
      <c r="AD294" s="3289"/>
      <c r="AE294" s="2628"/>
      <c r="AF294" s="2629"/>
      <c r="AG294" s="2628"/>
      <c r="AH294" s="2629"/>
      <c r="AI294" s="2628"/>
      <c r="AJ294" s="2629"/>
      <c r="AK294" s="2671">
        <f t="shared" si="61"/>
        <v>0</v>
      </c>
      <c r="AL294" s="3464"/>
      <c r="AM294" s="3448"/>
      <c r="AN294" s="3448"/>
      <c r="AO294" s="3448"/>
      <c r="AP294" s="3448"/>
      <c r="AQ294" s="3448"/>
      <c r="AR294" s="3458" t="e">
        <f t="shared" si="77"/>
        <v>#DIV/0!</v>
      </c>
      <c r="AS294" s="3459">
        <f t="shared" si="76"/>
        <v>0</v>
      </c>
    </row>
    <row r="295" spans="1:45" s="1444" customFormat="1" ht="27.95" customHeight="1">
      <c r="A295" s="3274"/>
      <c r="B295" s="2147"/>
      <c r="C295" s="3087"/>
      <c r="D295" s="2147"/>
      <c r="E295" s="2147"/>
      <c r="F295" s="2147"/>
      <c r="G295" s="2149"/>
      <c r="H295" s="3274"/>
      <c r="I295" s="3274"/>
      <c r="J295" s="3290"/>
      <c r="K295" s="3290"/>
      <c r="L295" s="3671"/>
      <c r="M295" s="3672"/>
      <c r="N295" s="5354"/>
      <c r="O295" s="5355"/>
      <c r="P295" s="3274"/>
      <c r="Q295" s="3274"/>
      <c r="R295" s="3274"/>
      <c r="S295" s="2877"/>
      <c r="T295" s="3274"/>
      <c r="U295" s="5349"/>
      <c r="V295" s="5350"/>
      <c r="W295" s="5351"/>
      <c r="X295" s="5351"/>
      <c r="Y295" s="3286"/>
      <c r="Z295" s="3286"/>
      <c r="AA295" s="5352">
        <f t="shared" si="75"/>
        <v>0</v>
      </c>
      <c r="AB295" s="5396"/>
      <c r="AC295" s="2682"/>
      <c r="AD295" s="3289"/>
      <c r="AE295" s="2628"/>
      <c r="AF295" s="2629"/>
      <c r="AG295" s="2628"/>
      <c r="AH295" s="2629"/>
      <c r="AI295" s="2628"/>
      <c r="AJ295" s="2629"/>
      <c r="AK295" s="2671">
        <f t="shared" ref="AK295:AK358" si="78">SUM(AC295:AD295)</f>
        <v>0</v>
      </c>
      <c r="AL295" s="3464"/>
      <c r="AM295" s="3448"/>
      <c r="AN295" s="3448"/>
      <c r="AO295" s="3448"/>
      <c r="AP295" s="3448"/>
      <c r="AQ295" s="3448"/>
      <c r="AR295" s="3458" t="e">
        <f t="shared" si="77"/>
        <v>#DIV/0!</v>
      </c>
      <c r="AS295" s="3459">
        <f t="shared" si="76"/>
        <v>0</v>
      </c>
    </row>
    <row r="296" spans="1:45" s="1444" customFormat="1" ht="27.95" customHeight="1">
      <c r="A296" s="3274"/>
      <c r="B296" s="2147"/>
      <c r="C296" s="3087"/>
      <c r="D296" s="2147"/>
      <c r="E296" s="2147"/>
      <c r="F296" s="2147"/>
      <c r="G296" s="2149"/>
      <c r="H296" s="3274"/>
      <c r="I296" s="3274"/>
      <c r="J296" s="3290"/>
      <c r="K296" s="3290"/>
      <c r="L296" s="3671"/>
      <c r="M296" s="3672"/>
      <c r="N296" s="5419"/>
      <c r="O296" s="5418"/>
      <c r="P296" s="3274"/>
      <c r="Q296" s="3274"/>
      <c r="R296" s="3274"/>
      <c r="S296" s="2877"/>
      <c r="T296" s="3274"/>
      <c r="U296" s="5349"/>
      <c r="V296" s="5350"/>
      <c r="W296" s="5351"/>
      <c r="X296" s="5351"/>
      <c r="Y296" s="3286"/>
      <c r="Z296" s="3286"/>
      <c r="AA296" s="5352">
        <f t="shared" si="75"/>
        <v>0</v>
      </c>
      <c r="AB296" s="5396"/>
      <c r="AC296" s="2682"/>
      <c r="AD296" s="3289"/>
      <c r="AE296" s="2628"/>
      <c r="AF296" s="2629"/>
      <c r="AG296" s="2628"/>
      <c r="AH296" s="2629"/>
      <c r="AI296" s="2628"/>
      <c r="AJ296" s="2629"/>
      <c r="AK296" s="2671">
        <f t="shared" si="78"/>
        <v>0</v>
      </c>
      <c r="AL296" s="3464"/>
      <c r="AM296" s="3448"/>
      <c r="AN296" s="3448"/>
      <c r="AO296" s="3448"/>
      <c r="AP296" s="3448"/>
      <c r="AQ296" s="3448"/>
      <c r="AR296" s="3458" t="e">
        <f t="shared" si="77"/>
        <v>#DIV/0!</v>
      </c>
      <c r="AS296" s="3459">
        <f t="shared" si="76"/>
        <v>0</v>
      </c>
    </row>
    <row r="297" spans="1:45" s="1444" customFormat="1" ht="27.95" customHeight="1">
      <c r="A297" s="3274"/>
      <c r="B297" s="2147"/>
      <c r="C297" s="3087"/>
      <c r="D297" s="2147"/>
      <c r="E297" s="2147"/>
      <c r="F297" s="2147"/>
      <c r="G297" s="2149"/>
      <c r="H297" s="3274"/>
      <c r="I297" s="3274"/>
      <c r="J297" s="3290"/>
      <c r="K297" s="3290"/>
      <c r="L297" s="3671"/>
      <c r="M297" s="3672"/>
      <c r="N297" s="5349"/>
      <c r="O297" s="5350"/>
      <c r="P297" s="3274"/>
      <c r="Q297" s="3274"/>
      <c r="R297" s="3274"/>
      <c r="S297" s="2877"/>
      <c r="T297" s="3274"/>
      <c r="U297" s="5349"/>
      <c r="V297" s="5350"/>
      <c r="W297" s="5351"/>
      <c r="X297" s="5351"/>
      <c r="Y297" s="3286"/>
      <c r="Z297" s="3286"/>
      <c r="AA297" s="5352">
        <f t="shared" si="75"/>
        <v>0</v>
      </c>
      <c r="AB297" s="5396"/>
      <c r="AC297" s="2682"/>
      <c r="AD297" s="3289"/>
      <c r="AE297" s="2628"/>
      <c r="AF297" s="2629"/>
      <c r="AG297" s="2628"/>
      <c r="AH297" s="2629"/>
      <c r="AI297" s="2628"/>
      <c r="AJ297" s="2629"/>
      <c r="AK297" s="2671">
        <f t="shared" si="78"/>
        <v>0</v>
      </c>
      <c r="AL297" s="3464"/>
      <c r="AM297" s="3448"/>
      <c r="AN297" s="3448"/>
      <c r="AO297" s="3448"/>
      <c r="AP297" s="3448"/>
      <c r="AQ297" s="3448"/>
      <c r="AR297" s="3458" t="e">
        <f t="shared" si="77"/>
        <v>#DIV/0!</v>
      </c>
      <c r="AS297" s="3459">
        <f t="shared" si="76"/>
        <v>0</v>
      </c>
    </row>
    <row r="298" spans="1:45" s="1444" customFormat="1" ht="27.95" customHeight="1">
      <c r="A298" s="3274"/>
      <c r="B298" s="2147"/>
      <c r="C298" s="3087"/>
      <c r="D298" s="2147"/>
      <c r="E298" s="2147"/>
      <c r="F298" s="2147"/>
      <c r="G298" s="2149"/>
      <c r="H298" s="3274"/>
      <c r="I298" s="3274"/>
      <c r="J298" s="3290"/>
      <c r="K298" s="3290"/>
      <c r="L298" s="3671"/>
      <c r="M298" s="3672"/>
      <c r="N298" s="5349"/>
      <c r="O298" s="5350"/>
      <c r="P298" s="3274"/>
      <c r="Q298" s="3274"/>
      <c r="R298" s="3274"/>
      <c r="S298" s="2877"/>
      <c r="T298" s="3274"/>
      <c r="U298" s="5349"/>
      <c r="V298" s="5350"/>
      <c r="W298" s="5351"/>
      <c r="X298" s="5351"/>
      <c r="Y298" s="3286"/>
      <c r="Z298" s="3286"/>
      <c r="AA298" s="5352">
        <f t="shared" si="75"/>
        <v>0</v>
      </c>
      <c r="AB298" s="5396"/>
      <c r="AC298" s="2682"/>
      <c r="AD298" s="3289"/>
      <c r="AE298" s="2628"/>
      <c r="AF298" s="2629"/>
      <c r="AG298" s="2628"/>
      <c r="AH298" s="2629"/>
      <c r="AI298" s="2628"/>
      <c r="AJ298" s="2629"/>
      <c r="AK298" s="2671">
        <f t="shared" si="78"/>
        <v>0</v>
      </c>
      <c r="AL298" s="3464"/>
      <c r="AM298" s="3448"/>
      <c r="AN298" s="3448"/>
      <c r="AO298" s="3448"/>
      <c r="AP298" s="3448"/>
      <c r="AQ298" s="3448"/>
      <c r="AR298" s="3458" t="e">
        <f t="shared" si="77"/>
        <v>#DIV/0!</v>
      </c>
      <c r="AS298" s="3459">
        <f t="shared" si="76"/>
        <v>0</v>
      </c>
    </row>
    <row r="299" spans="1:45" s="1444" customFormat="1" ht="27.95" customHeight="1">
      <c r="A299" s="3274"/>
      <c r="B299" s="2147"/>
      <c r="C299" s="2147"/>
      <c r="D299" s="2147"/>
      <c r="E299" s="2147"/>
      <c r="F299" s="2147"/>
      <c r="G299" s="2149"/>
      <c r="H299" s="3274"/>
      <c r="I299" s="3274"/>
      <c r="J299" s="3274"/>
      <c r="K299" s="3274"/>
      <c r="L299" s="3671"/>
      <c r="M299" s="3672"/>
      <c r="N299" s="5350"/>
      <c r="O299" s="5350"/>
      <c r="P299" s="3274"/>
      <c r="Q299" s="3274"/>
      <c r="R299" s="3274"/>
      <c r="S299" s="2875"/>
      <c r="T299" s="3274"/>
      <c r="U299" s="5349"/>
      <c r="V299" s="5350"/>
      <c r="W299" s="5351"/>
      <c r="X299" s="5351"/>
      <c r="Y299" s="3286"/>
      <c r="Z299" s="3286"/>
      <c r="AA299" s="5352">
        <f t="shared" si="75"/>
        <v>0</v>
      </c>
      <c r="AB299" s="5396"/>
      <c r="AC299" s="2682"/>
      <c r="AD299" s="3289"/>
      <c r="AE299" s="2628"/>
      <c r="AF299" s="2629"/>
      <c r="AG299" s="2628"/>
      <c r="AH299" s="2629"/>
      <c r="AI299" s="2628"/>
      <c r="AJ299" s="2629"/>
      <c r="AK299" s="2671">
        <f t="shared" si="78"/>
        <v>0</v>
      </c>
      <c r="AL299" s="3464"/>
      <c r="AM299" s="3448"/>
      <c r="AN299" s="3448"/>
      <c r="AO299" s="3448"/>
      <c r="AP299" s="3448"/>
      <c r="AQ299" s="3448"/>
      <c r="AR299" s="3458" t="e">
        <f t="shared" si="77"/>
        <v>#DIV/0!</v>
      </c>
      <c r="AS299" s="3459">
        <f t="shared" si="76"/>
        <v>0</v>
      </c>
    </row>
    <row r="300" spans="1:45" s="1444" customFormat="1" ht="27.95" customHeight="1">
      <c r="A300" s="3274"/>
      <c r="B300" s="2151"/>
      <c r="C300" s="2147"/>
      <c r="D300" s="2147"/>
      <c r="E300" s="2147"/>
      <c r="F300" s="2147"/>
      <c r="G300" s="2149"/>
      <c r="H300" s="3274"/>
      <c r="I300" s="3274"/>
      <c r="J300" s="3274"/>
      <c r="K300" s="3274"/>
      <c r="L300" s="3671"/>
      <c r="M300" s="3672"/>
      <c r="N300" s="5350"/>
      <c r="O300" s="5350"/>
      <c r="P300" s="3274"/>
      <c r="Q300" s="3274"/>
      <c r="R300" s="3274"/>
      <c r="S300" s="2875"/>
      <c r="T300" s="3274"/>
      <c r="U300" s="5350"/>
      <c r="V300" s="5350"/>
      <c r="W300" s="5351"/>
      <c r="X300" s="5351"/>
      <c r="Y300" s="3286"/>
      <c r="Z300" s="3286"/>
      <c r="AA300" s="5352">
        <f t="shared" si="75"/>
        <v>0</v>
      </c>
      <c r="AB300" s="5396"/>
      <c r="AC300" s="2682"/>
      <c r="AD300" s="3289"/>
      <c r="AE300" s="2628"/>
      <c r="AF300" s="2629"/>
      <c r="AG300" s="2628"/>
      <c r="AH300" s="2629"/>
      <c r="AI300" s="2628"/>
      <c r="AJ300" s="2629"/>
      <c r="AK300" s="2671">
        <f t="shared" si="78"/>
        <v>0</v>
      </c>
      <c r="AL300" s="3464"/>
      <c r="AM300" s="3448"/>
      <c r="AN300" s="3448"/>
      <c r="AO300" s="3448"/>
      <c r="AP300" s="3448"/>
      <c r="AQ300" s="3448"/>
      <c r="AR300" s="3458" t="e">
        <f t="shared" si="77"/>
        <v>#DIV/0!</v>
      </c>
      <c r="AS300" s="3459">
        <f t="shared" si="76"/>
        <v>0</v>
      </c>
    </row>
    <row r="301" spans="1:45" s="1444" customFormat="1" ht="27.95" customHeight="1">
      <c r="A301" s="3274"/>
      <c r="B301" s="2151"/>
      <c r="C301" s="2147"/>
      <c r="D301" s="2147"/>
      <c r="E301" s="2147"/>
      <c r="F301" s="2147"/>
      <c r="G301" s="2149"/>
      <c r="H301" s="3274"/>
      <c r="I301" s="3274"/>
      <c r="J301" s="3274"/>
      <c r="K301" s="3274"/>
      <c r="L301" s="3671"/>
      <c r="M301" s="3672"/>
      <c r="N301" s="5350"/>
      <c r="O301" s="5350"/>
      <c r="P301" s="3274"/>
      <c r="Q301" s="3274"/>
      <c r="R301" s="3274"/>
      <c r="S301" s="2875"/>
      <c r="T301" s="3274"/>
      <c r="U301" s="5350"/>
      <c r="V301" s="5350"/>
      <c r="W301" s="5351"/>
      <c r="X301" s="5351"/>
      <c r="Y301" s="3286"/>
      <c r="Z301" s="3286"/>
      <c r="AA301" s="5352">
        <f t="shared" si="75"/>
        <v>0</v>
      </c>
      <c r="AB301" s="5396"/>
      <c r="AC301" s="2682"/>
      <c r="AD301" s="3289"/>
      <c r="AE301" s="2628"/>
      <c r="AF301" s="2629"/>
      <c r="AG301" s="2628"/>
      <c r="AH301" s="2629"/>
      <c r="AI301" s="2628"/>
      <c r="AJ301" s="2629"/>
      <c r="AK301" s="2671">
        <f t="shared" si="78"/>
        <v>0</v>
      </c>
      <c r="AL301" s="3464"/>
      <c r="AM301" s="3448"/>
      <c r="AN301" s="3448"/>
      <c r="AO301" s="3448"/>
      <c r="AP301" s="3448"/>
      <c r="AQ301" s="3448"/>
      <c r="AR301" s="3458" t="e">
        <f t="shared" si="77"/>
        <v>#DIV/0!</v>
      </c>
      <c r="AS301" s="3459">
        <f t="shared" si="76"/>
        <v>0</v>
      </c>
    </row>
    <row r="302" spans="1:45" s="1444" customFormat="1" ht="27.95" customHeight="1">
      <c r="A302" s="3274"/>
      <c r="B302" s="2151"/>
      <c r="C302" s="2147"/>
      <c r="D302" s="2147"/>
      <c r="E302" s="2147"/>
      <c r="F302" s="2147"/>
      <c r="G302" s="2149"/>
      <c r="H302" s="3274"/>
      <c r="I302" s="3274"/>
      <c r="J302" s="3274"/>
      <c r="K302" s="3274"/>
      <c r="L302" s="3673"/>
      <c r="M302" s="3672"/>
      <c r="N302" s="5350"/>
      <c r="O302" s="5350"/>
      <c r="P302" s="3274"/>
      <c r="Q302" s="3274"/>
      <c r="R302" s="3274"/>
      <c r="S302" s="2875"/>
      <c r="T302" s="3274"/>
      <c r="U302" s="5350"/>
      <c r="V302" s="5350"/>
      <c r="W302" s="5351"/>
      <c r="X302" s="5351"/>
      <c r="Y302" s="3286"/>
      <c r="Z302" s="3286"/>
      <c r="AA302" s="5352">
        <f>AC302+AD302+AE302+AF302-AG302-AH302</f>
        <v>0</v>
      </c>
      <c r="AB302" s="5396"/>
      <c r="AC302" s="2682"/>
      <c r="AD302" s="3289"/>
      <c r="AE302" s="2628"/>
      <c r="AF302" s="2629"/>
      <c r="AG302" s="2628"/>
      <c r="AH302" s="2629"/>
      <c r="AI302" s="2628"/>
      <c r="AJ302" s="2629"/>
      <c r="AK302" s="2672">
        <f t="shared" si="78"/>
        <v>0</v>
      </c>
      <c r="AL302" s="3464"/>
      <c r="AM302" s="3448"/>
      <c r="AN302" s="3448"/>
      <c r="AO302" s="3448"/>
      <c r="AP302" s="3448"/>
      <c r="AQ302" s="3448"/>
      <c r="AR302" s="3458" t="e">
        <f t="shared" si="77"/>
        <v>#DIV/0!</v>
      </c>
      <c r="AS302" s="3459">
        <f t="shared" si="76"/>
        <v>0</v>
      </c>
    </row>
    <row r="303" spans="1:45" s="1444" customFormat="1" ht="27.95" customHeight="1">
      <c r="A303" s="3273">
        <f>COUNTA(B277:G302)</f>
        <v>8</v>
      </c>
      <c r="B303" s="2961" t="str">
        <f>'[1]0581D'!$S$3</f>
        <v>gemelamarcar@hotmail.com</v>
      </c>
      <c r="C303" s="2970"/>
      <c r="D303" s="2963"/>
      <c r="E303" s="2964" t="str">
        <f>'[4]0581D'!$C$8</f>
        <v>REG. 510 MZ. 36 L. 1 Y 2</v>
      </c>
      <c r="F303" s="2962"/>
      <c r="G303" s="2965"/>
      <c r="H303" s="3273">
        <f>COUNTIF(H278:H283,"X")</f>
        <v>4</v>
      </c>
      <c r="I303" s="3273">
        <f>COUNTIF(I278:I283,"X")</f>
        <v>2</v>
      </c>
      <c r="J303" s="2966">
        <f>COUNTIF(L277:M302,"docente")</f>
        <v>5</v>
      </c>
      <c r="K303" s="2967">
        <f>COUNTIF(L277:M302,"intendente")</f>
        <v>1</v>
      </c>
      <c r="L303" s="1665">
        <f>COUNTA(N277:O302)</f>
        <v>2</v>
      </c>
      <c r="M303" s="2968">
        <f>COUNTIF(Y277:Y302,"1º")</f>
        <v>0</v>
      </c>
      <c r="N303" s="3278">
        <f>COUNTIF(Y277:Y302,"2º")</f>
        <v>0</v>
      </c>
      <c r="O303" s="3278">
        <f>COUNTIF(Y277:Y302,"3º")</f>
        <v>1</v>
      </c>
      <c r="P303" s="3278">
        <f>COUNTIF(Y277:Y302,"4º")</f>
        <v>1</v>
      </c>
      <c r="Q303" s="3278">
        <f>COUNTIF(Y277:Y302,"5º")</f>
        <v>1</v>
      </c>
      <c r="R303" s="3278">
        <f>COUNTIF(Y277:Y302,"6º")</f>
        <v>2</v>
      </c>
      <c r="S303" s="2968">
        <f>SUM(M303:R303)</f>
        <v>5</v>
      </c>
      <c r="T303" s="3273">
        <f>COUNTA(T277:T302)</f>
        <v>4</v>
      </c>
      <c r="U303" s="2968">
        <f>COUNTIF(U277:V302,"10")</f>
        <v>6</v>
      </c>
      <c r="V303" s="2969">
        <f>COUNTIF(U277:V302,"20")</f>
        <v>0</v>
      </c>
      <c r="W303" s="5396" t="s">
        <v>1232</v>
      </c>
      <c r="X303" s="5396"/>
      <c r="Y303" s="5396"/>
      <c r="Z303" s="3276">
        <f>COUNTA(Z277:Z302)</f>
        <v>5</v>
      </c>
      <c r="AA303" s="5411">
        <f>SUM(AA277:AB302)</f>
        <v>109</v>
      </c>
      <c r="AB303" s="5411"/>
      <c r="AC303" s="2687">
        <f t="shared" ref="AC303:AJ303" si="79">SUM(AC277:AC302)</f>
        <v>63</v>
      </c>
      <c r="AD303" s="2688">
        <f t="shared" si="79"/>
        <v>52</v>
      </c>
      <c r="AE303" s="2630">
        <f t="shared" si="79"/>
        <v>2</v>
      </c>
      <c r="AF303" s="2631">
        <f t="shared" si="79"/>
        <v>1</v>
      </c>
      <c r="AG303" s="2632">
        <f t="shared" si="79"/>
        <v>5</v>
      </c>
      <c r="AH303" s="2633">
        <f t="shared" si="79"/>
        <v>4</v>
      </c>
      <c r="AI303" s="2634">
        <f t="shared" si="79"/>
        <v>0</v>
      </c>
      <c r="AJ303" s="2635">
        <f t="shared" si="79"/>
        <v>0</v>
      </c>
      <c r="AK303" s="317">
        <f t="shared" si="78"/>
        <v>115</v>
      </c>
      <c r="AL303" s="3461" t="e">
        <f>SUM(AL277:AL302)/AL304</f>
        <v>#DIV/0!</v>
      </c>
      <c r="AM303" s="3465">
        <f t="shared" ref="AM303" si="80">SUM(AM277:AM302)/AM304</f>
        <v>7.0200000000000005</v>
      </c>
      <c r="AN303" s="3460" t="e">
        <f t="shared" ref="AN303" si="81">SUM(AN277:AN302)/AN304</f>
        <v>#DIV/0!</v>
      </c>
      <c r="AO303" s="3460" t="e">
        <f t="shared" ref="AO303" si="82">SUM(AO277:AO302)/AO304</f>
        <v>#DIV/0!</v>
      </c>
      <c r="AP303" s="3460" t="e">
        <f t="shared" ref="AP303" si="83">SUM(AP277:AP302)/AP304</f>
        <v>#DIV/0!</v>
      </c>
      <c r="AQ303" s="3460" t="e">
        <f>SUM(AQ277:AQ302)/AQ304</f>
        <v>#DIV/0!</v>
      </c>
      <c r="AR303" s="3461" t="e">
        <f t="shared" si="77"/>
        <v>#DIV/0!</v>
      </c>
      <c r="AS303" s="3459">
        <f t="shared" si="76"/>
        <v>5</v>
      </c>
    </row>
    <row r="304" spans="1:45" s="1446" customFormat="1" ht="27.95" customHeight="1">
      <c r="A304" s="3690" t="s">
        <v>228</v>
      </c>
      <c r="B304" s="3691">
        <f>SUM(Estadisticas!AM31:AN31)</f>
        <v>0</v>
      </c>
      <c r="C304" s="3691">
        <f>SUM(Estadisticas!AO31:AP31)</f>
        <v>0</v>
      </c>
      <c r="D304" s="3691">
        <f>SUM(Estadisticas!AQ31:AR31)</f>
        <v>2</v>
      </c>
      <c r="E304" s="3691">
        <f>SUM(Estadisticas!AS31:AT31)</f>
        <v>1</v>
      </c>
      <c r="F304" s="3691">
        <f>SUM(Estadisticas!AU31:AV31)</f>
        <v>1</v>
      </c>
      <c r="G304" s="3691">
        <f>SUM(Estadisticas!AW31:AX31)</f>
        <v>1</v>
      </c>
      <c r="H304" s="5412">
        <f>SUM(B304:G304)</f>
        <v>5</v>
      </c>
      <c r="I304" s="5412"/>
      <c r="J304" s="3705"/>
      <c r="K304" s="3705"/>
      <c r="L304" s="3692" t="s">
        <v>1126</v>
      </c>
      <c r="M304" s="3690">
        <f>SUM(AK277)</f>
        <v>0</v>
      </c>
      <c r="N304" s="3690">
        <f>SUM(AK278)</f>
        <v>22</v>
      </c>
      <c r="O304" s="3690">
        <f>SUM(AK279)</f>
        <v>22</v>
      </c>
      <c r="P304" s="3690">
        <f>SUM(AK280)</f>
        <v>27</v>
      </c>
      <c r="Q304" s="3690">
        <f>SUM(AK281:AK282)</f>
        <v>44</v>
      </c>
      <c r="R304" s="3690">
        <f>SUM(AK283)</f>
        <v>0</v>
      </c>
      <c r="S304" s="3690">
        <f>SUM(M304:R304)</f>
        <v>115</v>
      </c>
      <c r="T304" s="3705">
        <f>'[1]0581D'!$V$23</f>
        <v>3</v>
      </c>
      <c r="U304" s="3705"/>
      <c r="V304" s="3705"/>
      <c r="W304" s="3705"/>
      <c r="X304" s="3705"/>
      <c r="Y304" s="3695">
        <f>COUNTA(Y277:Y302)</f>
        <v>5</v>
      </c>
      <c r="Z304" s="3705"/>
      <c r="AA304" s="5445">
        <f>'[1]0581D'!$X$35</f>
        <v>110</v>
      </c>
      <c r="AB304" s="5445"/>
      <c r="AC304" s="5334">
        <f>AC303+AD303</f>
        <v>115</v>
      </c>
      <c r="AD304" s="5334"/>
      <c r="AE304" s="5335">
        <f>AE303+AF303</f>
        <v>3</v>
      </c>
      <c r="AF304" s="5335"/>
      <c r="AG304" s="5335">
        <f>AG303+AH303</f>
        <v>9</v>
      </c>
      <c r="AH304" s="5335"/>
      <c r="AI304" s="2636"/>
      <c r="AJ304" s="2636"/>
      <c r="AK304" s="2636">
        <f>SUM(AC304:AD304)+AE304</f>
        <v>118</v>
      </c>
      <c r="AL304" s="3462">
        <f>COUNTA(AL277:AL302)</f>
        <v>0</v>
      </c>
      <c r="AM304" s="3462">
        <f t="shared" ref="AM304:AQ304" si="84">COUNTA(AM277:AM302)</f>
        <v>5</v>
      </c>
      <c r="AN304" s="3462">
        <f t="shared" si="84"/>
        <v>0</v>
      </c>
      <c r="AO304" s="3462">
        <f t="shared" si="84"/>
        <v>0</v>
      </c>
      <c r="AP304" s="3462">
        <f t="shared" si="84"/>
        <v>0</v>
      </c>
      <c r="AQ304" s="3462">
        <f t="shared" si="84"/>
        <v>0</v>
      </c>
      <c r="AR304" s="3462">
        <v>12</v>
      </c>
    </row>
    <row r="305" spans="1:45" s="1446" customFormat="1" ht="27.95" customHeight="1">
      <c r="A305" s="3695" t="s">
        <v>230</v>
      </c>
      <c r="B305" s="3695">
        <f>SUM(Estadisticas!AY31:AZ31)</f>
        <v>0</v>
      </c>
      <c r="C305" s="3695">
        <f>SUM(Estadisticas!BA31:BB31)</f>
        <v>0</v>
      </c>
      <c r="D305" s="3695">
        <f>SUM(Estadisticas!BC31:BD31)</f>
        <v>2</v>
      </c>
      <c r="E305" s="3695">
        <f>SUM(Estadisticas!BE31:BF31)</f>
        <v>2</v>
      </c>
      <c r="F305" s="3695">
        <f>SUM(Estadisticas!BG31:BH31)</f>
        <v>4</v>
      </c>
      <c r="G305" s="3695">
        <f>SUM(Estadisticas!BI31:BJ31)</f>
        <v>2</v>
      </c>
      <c r="H305" s="5413">
        <f>SUM(B305:G305)</f>
        <v>10</v>
      </c>
      <c r="I305" s="5413"/>
      <c r="J305" s="3705"/>
      <c r="K305" s="3705"/>
      <c r="L305" s="3696" t="s">
        <v>423</v>
      </c>
      <c r="M305" s="3695">
        <f>SUM(AE277:AF277)</f>
        <v>0</v>
      </c>
      <c r="N305" s="3695">
        <f>SUM(AE278:AF278)</f>
        <v>1</v>
      </c>
      <c r="O305" s="3695">
        <f>SUM(AE279:AF279)</f>
        <v>1</v>
      </c>
      <c r="P305" s="3695">
        <f>SUM(AE280:AF280)</f>
        <v>1</v>
      </c>
      <c r="Q305" s="3695">
        <f>SUM(AE281:AF282)</f>
        <v>0</v>
      </c>
      <c r="R305" s="3695">
        <f>SUM(AE283:AF283)</f>
        <v>0</v>
      </c>
      <c r="S305" s="3695">
        <f t="shared" ref="S305:S306" si="85">SUM(M305:R305)</f>
        <v>3</v>
      </c>
      <c r="T305" s="3706"/>
      <c r="U305" s="3705" t="str">
        <f>U65</f>
        <v>PRE</v>
      </c>
      <c r="V305" s="3707">
        <f>'[1]0581D'!$F$39</f>
        <v>0</v>
      </c>
      <c r="W305" s="3707">
        <f>'[1]0581D'!$I$39</f>
        <v>0</v>
      </c>
      <c r="X305" s="3707">
        <f>'[1]0581D'!$L$39</f>
        <v>1</v>
      </c>
      <c r="Y305" s="3707">
        <f>'[1]0581D'!$O$39</f>
        <v>1</v>
      </c>
      <c r="Z305" s="3707">
        <f>'[1]0581D'!$R$39</f>
        <v>1</v>
      </c>
      <c r="AA305" s="3707">
        <f>'[1]0581D'!$U$39</f>
        <v>2</v>
      </c>
      <c r="AB305" s="3707">
        <f>SUM(V305:AA305)</f>
        <v>5</v>
      </c>
      <c r="AC305" s="2683"/>
      <c r="AD305" s="3238"/>
      <c r="AE305" s="2620"/>
      <c r="AF305" s="2621"/>
      <c r="AG305" s="2620"/>
      <c r="AH305" s="2621"/>
      <c r="AK305" s="2636"/>
      <c r="AL305" s="3448"/>
      <c r="AM305" s="3448"/>
      <c r="AN305" s="3448"/>
      <c r="AO305" s="3448"/>
      <c r="AP305" s="3448"/>
      <c r="AQ305" s="3448"/>
      <c r="AR305" s="3448"/>
    </row>
    <row r="306" spans="1:45" s="1441" customFormat="1" ht="27.95" customHeight="1">
      <c r="A306" s="3698" t="s">
        <v>478</v>
      </c>
      <c r="B306" s="3698">
        <f>SUM(Estadisticas!BK31:BL31)</f>
        <v>0</v>
      </c>
      <c r="C306" s="3698">
        <f>SUM(Estadisticas!BM31:BN31)</f>
        <v>0</v>
      </c>
      <c r="D306" s="3698">
        <f>SUM(Estadisticas!BO31:BP31)</f>
        <v>0</v>
      </c>
      <c r="E306" s="3698">
        <f>SUM(Estadisticas!BQ31:BR31)</f>
        <v>0</v>
      </c>
      <c r="F306" s="3698">
        <f>SUM(Estadisticas!BS31:BT31)</f>
        <v>0</v>
      </c>
      <c r="G306" s="3698">
        <f>SUM(Estadisticas!BU31:BV31)</f>
        <v>0</v>
      </c>
      <c r="H306" s="5414">
        <f>SUM(B306:G306)</f>
        <v>0</v>
      </c>
      <c r="I306" s="5414"/>
      <c r="J306" s="3716"/>
      <c r="K306" s="3717"/>
      <c r="L306" s="3701" t="s">
        <v>434</v>
      </c>
      <c r="M306" s="3702">
        <f>SUM(AG277:AH277)</f>
        <v>0</v>
      </c>
      <c r="N306" s="3702">
        <f>SUM(AG278:AH278)</f>
        <v>2</v>
      </c>
      <c r="O306" s="3702">
        <f>SUM(AG279:AH279)</f>
        <v>2</v>
      </c>
      <c r="P306" s="3702">
        <f>SUM(AG280:AH280)</f>
        <v>3</v>
      </c>
      <c r="Q306" s="3702">
        <f>SUM(AG281:AH282)</f>
        <v>2</v>
      </c>
      <c r="R306" s="3702">
        <f>SUM(AG283:AH283)</f>
        <v>0</v>
      </c>
      <c r="S306" s="3702">
        <f t="shared" si="85"/>
        <v>9</v>
      </c>
      <c r="T306" s="3716"/>
      <c r="U306" s="3710">
        <f>'[1]0581D'!$O$26</f>
        <v>0</v>
      </c>
      <c r="V306" s="3710">
        <f>'[1]0581D'!$F$35</f>
        <v>0</v>
      </c>
      <c r="W306" s="3710">
        <f>'[1]0581D'!$I$35</f>
        <v>0</v>
      </c>
      <c r="X306" s="3710">
        <f>'[1]0581D'!$L$35</f>
        <v>22</v>
      </c>
      <c r="Y306" s="3710">
        <f>'[1]0581D'!$O$35</f>
        <v>21</v>
      </c>
      <c r="Z306" s="3710">
        <f>'[1]0581D'!$R$35</f>
        <v>24</v>
      </c>
      <c r="AA306" s="3710">
        <f>'[1]0581D'!$U$35</f>
        <v>43</v>
      </c>
      <c r="AB306" s="3710">
        <f>SUM(V306:AA306)</f>
        <v>110</v>
      </c>
      <c r="AC306" s="2683"/>
      <c r="AD306" s="3238"/>
      <c r="AE306" s="2620"/>
      <c r="AF306" s="2621"/>
      <c r="AG306" s="2620"/>
      <c r="AH306" s="2621"/>
      <c r="AI306" s="1444"/>
      <c r="AJ306" s="1444"/>
      <c r="AK306" s="2636"/>
      <c r="AL306" s="3445"/>
      <c r="AM306" s="3445"/>
      <c r="AN306" s="3445"/>
      <c r="AO306" s="3445"/>
      <c r="AP306" s="3445"/>
      <c r="AQ306" s="3445"/>
      <c r="AR306" s="3445"/>
      <c r="AS306" s="108"/>
    </row>
    <row r="307" spans="1:45" s="1448" customFormat="1" ht="27.95" customHeight="1">
      <c r="A307" s="175"/>
      <c r="B307" s="1427"/>
      <c r="C307" s="173"/>
      <c r="D307" s="3262" t="s">
        <v>1193</v>
      </c>
      <c r="E307" s="5388" t="str">
        <f>B277</f>
        <v>PUCH GOMEZ * MADAI ROXANA</v>
      </c>
      <c r="F307" s="5388"/>
      <c r="G307" s="5388"/>
      <c r="H307" s="5388"/>
      <c r="I307" s="5388"/>
      <c r="J307" s="5388"/>
      <c r="K307" s="1603"/>
      <c r="L307" s="1428"/>
      <c r="M307" s="3262" t="s">
        <v>1234</v>
      </c>
      <c r="N307" s="5388" t="str">
        <f>N267</f>
        <v>RICALDE CASTRO JESUS MARTIN</v>
      </c>
      <c r="O307" s="5388"/>
      <c r="P307" s="5388"/>
      <c r="Q307" s="5388"/>
      <c r="R307" s="5388"/>
      <c r="S307" s="5388"/>
      <c r="T307" s="1603"/>
      <c r="U307" s="1603"/>
      <c r="V307" s="3262" t="s">
        <v>1195</v>
      </c>
      <c r="W307" s="5388" t="str">
        <f>W267</f>
        <v xml:space="preserve">ANCONA FLORES AURA EUGENIA </v>
      </c>
      <c r="X307" s="5388"/>
      <c r="Y307" s="5388"/>
      <c r="Z307" s="5388"/>
      <c r="AA307" s="5388"/>
      <c r="AB307" s="5388"/>
      <c r="AC307" s="2683"/>
      <c r="AD307" s="3238"/>
      <c r="AE307" s="2620"/>
      <c r="AF307" s="2621"/>
      <c r="AG307" s="2620"/>
      <c r="AH307" s="2621"/>
      <c r="AI307" s="2624"/>
      <c r="AJ307" s="2624"/>
      <c r="AK307" s="2636"/>
      <c r="AL307" s="3449"/>
      <c r="AM307" s="3449"/>
      <c r="AN307" s="3449"/>
      <c r="AO307" s="3449"/>
      <c r="AP307" s="3449"/>
      <c r="AQ307" s="3449"/>
      <c r="AR307" s="3449"/>
      <c r="AS307" s="3450"/>
    </row>
    <row r="308" spans="1:45" s="1430" customFormat="1" ht="27.95" customHeight="1">
      <c r="A308" s="1670"/>
      <c r="B308" s="1401"/>
      <c r="C308" s="1401"/>
      <c r="D308" s="1401"/>
      <c r="E308" s="1401"/>
      <c r="F308" s="1402"/>
      <c r="G308" s="1402"/>
      <c r="H308" s="1402"/>
      <c r="I308" s="1402"/>
      <c r="J308" s="1402"/>
      <c r="K308" s="27"/>
      <c r="M308" s="1431" t="s">
        <v>196</v>
      </c>
      <c r="N308" s="1402"/>
      <c r="O308" s="1402"/>
      <c r="P308" s="1402"/>
      <c r="Q308" s="1402"/>
      <c r="R308" s="1402"/>
      <c r="S308" s="1402"/>
      <c r="T308" s="1401"/>
      <c r="V308" s="3263"/>
      <c r="W308" s="1432" t="s">
        <v>764</v>
      </c>
      <c r="X308" s="5221" t="s">
        <v>247</v>
      </c>
      <c r="Y308" s="5221"/>
      <c r="Z308" s="5221"/>
      <c r="AA308" s="5221"/>
      <c r="AB308" s="1644"/>
      <c r="AC308" s="2683"/>
      <c r="AD308" s="3238"/>
      <c r="AE308" s="2637"/>
      <c r="AF308" s="2638"/>
      <c r="AG308" s="2637"/>
      <c r="AH308" s="2638"/>
      <c r="AI308" s="1449"/>
      <c r="AJ308" s="1449"/>
      <c r="AK308" s="2636"/>
      <c r="AL308" s="3451"/>
      <c r="AM308" s="3451"/>
      <c r="AN308" s="3451"/>
      <c r="AO308" s="3451"/>
      <c r="AP308" s="3451"/>
      <c r="AQ308" s="3451"/>
      <c r="AR308" s="3451"/>
      <c r="AS308" s="3452"/>
    </row>
    <row r="309" spans="1:45" ht="27.95" customHeight="1">
      <c r="A309" s="1663"/>
      <c r="B309" s="1406"/>
      <c r="C309" s="1406"/>
      <c r="D309" s="1406"/>
      <c r="E309" s="1406"/>
      <c r="F309" s="1407"/>
      <c r="G309" s="1407"/>
      <c r="H309" s="1407"/>
      <c r="I309" s="1407"/>
      <c r="J309" s="1407"/>
      <c r="K309" s="1407"/>
      <c r="L309" s="1407"/>
      <c r="M309" s="3260" t="s">
        <v>1148</v>
      </c>
      <c r="N309" s="1407"/>
      <c r="O309" s="1407"/>
      <c r="P309" s="1407"/>
      <c r="Q309" s="1407"/>
      <c r="R309" s="1407"/>
      <c r="S309" s="1407"/>
      <c r="T309" s="1408"/>
      <c r="U309" s="1408"/>
      <c r="V309" s="3263"/>
      <c r="W309" s="1432" t="s">
        <v>1149</v>
      </c>
      <c r="X309" s="5221" t="str">
        <f>X269</f>
        <v>2012 / 2013</v>
      </c>
      <c r="Y309" s="5221"/>
      <c r="Z309" s="5221"/>
      <c r="AA309" s="5221"/>
      <c r="AB309" s="1417"/>
      <c r="AC309" s="2683"/>
      <c r="AD309" s="3238"/>
      <c r="AE309" s="2620"/>
      <c r="AF309" s="2621"/>
      <c r="AG309" s="2620"/>
      <c r="AH309" s="2621"/>
      <c r="AK309" s="2636"/>
      <c r="AR309" s="3445"/>
    </row>
    <row r="310" spans="1:45" ht="27.95" customHeight="1">
      <c r="A310" s="1663"/>
      <c r="B310" s="1410"/>
      <c r="C310" s="1410"/>
      <c r="D310" s="1410"/>
      <c r="E310" s="1410"/>
      <c r="F310" s="1407"/>
      <c r="G310" s="1407"/>
      <c r="H310" s="1407"/>
      <c r="I310" s="1407"/>
      <c r="J310" s="1407"/>
      <c r="K310" s="1407"/>
      <c r="M310" s="3260" t="s">
        <v>1150</v>
      </c>
      <c r="N310" s="1407"/>
      <c r="O310" s="1407"/>
      <c r="P310" s="1407"/>
      <c r="Q310" s="1407"/>
      <c r="R310" s="1407"/>
      <c r="S310" s="1407"/>
      <c r="T310" s="1433"/>
      <c r="U310" s="1433"/>
      <c r="V310" s="1434"/>
      <c r="W310" s="3281" t="s">
        <v>42</v>
      </c>
      <c r="X310" s="5391" t="str">
        <f>X270</f>
        <v>042</v>
      </c>
      <c r="Y310" s="5391"/>
      <c r="Z310" s="5391"/>
      <c r="AA310" s="5391"/>
      <c r="AB310" s="1417"/>
      <c r="AC310" s="2683"/>
      <c r="AD310" s="3238"/>
      <c r="AE310" s="2620"/>
      <c r="AF310" s="2621"/>
      <c r="AG310" s="2620"/>
      <c r="AH310" s="2621"/>
      <c r="AK310" s="2636"/>
      <c r="AR310" s="3445"/>
    </row>
    <row r="311" spans="1:45" ht="27.95" customHeight="1">
      <c r="A311" s="1663"/>
      <c r="B311" s="1410"/>
      <c r="C311" s="1410"/>
      <c r="D311" s="1410"/>
      <c r="E311" s="1410"/>
      <c r="F311" s="1406"/>
      <c r="H311" s="1413"/>
      <c r="I311" s="1413"/>
      <c r="J311" s="1414"/>
      <c r="K311" s="1414"/>
      <c r="L311" s="1415" t="s">
        <v>1197</v>
      </c>
      <c r="M311" s="1415">
        <f>M271</f>
        <v>8</v>
      </c>
      <c r="N311" s="3271" t="s">
        <v>1152</v>
      </c>
      <c r="O311" s="5371" t="str">
        <f>O271</f>
        <v>AGOSTO</v>
      </c>
      <c r="P311" s="5371"/>
      <c r="Q311" s="1435" t="s">
        <v>1152</v>
      </c>
      <c r="R311" s="5371">
        <f>R271</f>
        <v>2012</v>
      </c>
      <c r="S311" s="5371"/>
      <c r="T311" s="1406"/>
      <c r="U311" s="5372" t="s">
        <v>246</v>
      </c>
      <c r="V311" s="5372"/>
      <c r="W311" s="5372"/>
      <c r="X311" s="5372"/>
      <c r="Y311" s="1436" t="s">
        <v>245</v>
      </c>
      <c r="Z311" s="1436"/>
      <c r="AA311" s="1437"/>
      <c r="AB311" s="1417"/>
      <c r="AC311" s="2683"/>
      <c r="AD311" s="3238"/>
      <c r="AE311" s="2620"/>
      <c r="AF311" s="2621"/>
      <c r="AG311" s="2620"/>
      <c r="AH311" s="2621"/>
      <c r="AK311" s="2636"/>
      <c r="AR311" s="3445"/>
    </row>
    <row r="312" spans="1:45" ht="27.95" customHeight="1">
      <c r="A312" s="5356" t="s">
        <v>1153</v>
      </c>
      <c r="B312" s="5356"/>
      <c r="C312" s="5356"/>
      <c r="D312" s="5389" t="s">
        <v>2318</v>
      </c>
      <c r="E312" s="5389"/>
      <c r="F312" s="5389"/>
      <c r="G312" s="5389"/>
      <c r="H312" s="5389"/>
      <c r="I312" s="5389"/>
      <c r="J312" s="5389"/>
      <c r="K312" s="5389"/>
      <c r="L312" s="3281" t="s">
        <v>19</v>
      </c>
      <c r="M312" s="5370" t="s">
        <v>1201</v>
      </c>
      <c r="N312" s="5370"/>
      <c r="O312" s="5390" t="s">
        <v>13</v>
      </c>
      <c r="P312" s="5390"/>
      <c r="Q312" s="5370" t="s">
        <v>77</v>
      </c>
      <c r="R312" s="5370"/>
      <c r="S312" s="5370"/>
      <c r="T312" s="174"/>
      <c r="U312" s="1418" t="s">
        <v>1157</v>
      </c>
      <c r="V312" s="5221" t="str">
        <f>V272</f>
        <v>2  BENITO JUAREZ</v>
      </c>
      <c r="W312" s="5221"/>
      <c r="X312" s="5221"/>
      <c r="Y312" s="5221"/>
      <c r="Z312" s="5221"/>
      <c r="AA312" s="5221"/>
      <c r="AB312" s="5221"/>
      <c r="AC312" s="2683"/>
      <c r="AD312" s="3238"/>
      <c r="AE312" s="2620"/>
      <c r="AF312" s="2621"/>
      <c r="AG312" s="2620"/>
      <c r="AH312" s="2621"/>
      <c r="AK312" s="2636"/>
      <c r="AR312" s="3445"/>
    </row>
    <row r="313" spans="1:45" s="1439" customFormat="1" ht="27.95" customHeight="1">
      <c r="A313" s="5356" t="s">
        <v>437</v>
      </c>
      <c r="B313" s="5356"/>
      <c r="C313" s="5389" t="s">
        <v>2331</v>
      </c>
      <c r="D313" s="5389"/>
      <c r="E313" s="5389"/>
      <c r="F313" s="5389"/>
      <c r="G313" s="5389"/>
      <c r="H313" s="5389"/>
      <c r="I313" s="5389"/>
      <c r="J313" s="5389"/>
      <c r="K313" s="5389"/>
      <c r="L313" s="5389"/>
      <c r="M313" s="5389"/>
      <c r="N313" s="1419"/>
      <c r="O313" s="3281" t="s">
        <v>863</v>
      </c>
      <c r="P313" s="5370" t="str">
        <f>'[1]0593I'!$I$8</f>
        <v>998 2-51-88-28</v>
      </c>
      <c r="Q313" s="5370"/>
      <c r="R313" s="5370"/>
      <c r="S313" s="5370"/>
      <c r="T313" s="5370"/>
      <c r="U313" s="1420"/>
      <c r="V313" s="3281"/>
      <c r="W313" s="3281" t="s">
        <v>1159</v>
      </c>
      <c r="X313" s="5358" t="str">
        <f>X273</f>
        <v>8  DE  AGOSTO  DE  2012</v>
      </c>
      <c r="Y313" s="5358"/>
      <c r="Z313" s="5358"/>
      <c r="AA313" s="5358"/>
      <c r="AB313" s="5358"/>
      <c r="AC313" s="5331" t="str">
        <f>D312</f>
        <v>KABAH</v>
      </c>
      <c r="AD313" s="5331"/>
      <c r="AE313" s="5331"/>
      <c r="AF313" s="5331"/>
      <c r="AG313" s="5331"/>
      <c r="AH313" s="5331"/>
      <c r="AI313" s="5332" t="str">
        <f>M312</f>
        <v>23DPR0593I</v>
      </c>
      <c r="AJ313" s="5332"/>
      <c r="AK313" s="5332"/>
      <c r="AL313" s="3446"/>
      <c r="AM313" s="3446"/>
      <c r="AN313" s="3446"/>
      <c r="AO313" s="3446"/>
      <c r="AP313" s="3446"/>
      <c r="AQ313" s="3446"/>
      <c r="AR313" s="3446"/>
      <c r="AS313" s="2166"/>
    </row>
    <row r="314" spans="1:45" s="1441" customFormat="1" ht="9.9499999999999993" customHeight="1">
      <c r="A314" s="1421"/>
      <c r="B314" s="1422"/>
      <c r="C314" s="1668" t="str">
        <f>'[4]0593I'!$C$8</f>
        <v>SMZ. 48 MZA. 13 L. 2 C. OCOSINGO</v>
      </c>
      <c r="D314" s="3261"/>
      <c r="E314" s="3261"/>
      <c r="F314" s="3261"/>
      <c r="G314" s="3261"/>
      <c r="H314" s="3261"/>
      <c r="I314" s="3261"/>
      <c r="J314" s="3261"/>
      <c r="K314" s="3261"/>
      <c r="L314" s="3261"/>
      <c r="M314" s="1421"/>
      <c r="N314" s="2995" t="str">
        <f>'[4]0593I'!$I$8</f>
        <v>998 2-51-88-28</v>
      </c>
      <c r="O314" s="1423"/>
      <c r="P314" s="1423"/>
      <c r="Q314" s="1424"/>
      <c r="R314" s="1423"/>
      <c r="S314" s="1423"/>
      <c r="T314" s="1422"/>
      <c r="U314" s="1422"/>
      <c r="V314" s="3261"/>
      <c r="W314" s="3261"/>
      <c r="X314" s="3261"/>
      <c r="Y314" s="3261"/>
      <c r="Z314" s="1422"/>
      <c r="AA314" s="1422"/>
      <c r="AB314" s="1422"/>
      <c r="AC314" s="2689"/>
      <c r="AD314" s="2690"/>
      <c r="AE314" s="2639"/>
      <c r="AF314" s="2640"/>
      <c r="AG314" s="2639"/>
      <c r="AH314" s="2640"/>
      <c r="AI314" s="1444"/>
      <c r="AJ314" s="1444"/>
      <c r="AK314" s="2636"/>
      <c r="AL314" s="3445"/>
      <c r="AM314" s="3445"/>
      <c r="AN314" s="3445"/>
      <c r="AO314" s="3445"/>
      <c r="AP314" s="3445"/>
      <c r="AQ314" s="3445"/>
      <c r="AR314" s="3445"/>
      <c r="AS314" s="108"/>
    </row>
    <row r="315" spans="1:45" s="1442" customFormat="1" ht="27.95" customHeight="1">
      <c r="A315" s="5415" t="s">
        <v>1160</v>
      </c>
      <c r="B315" s="5416" t="s">
        <v>1235</v>
      </c>
      <c r="C315" s="5416"/>
      <c r="D315" s="5416"/>
      <c r="E315" s="5416"/>
      <c r="F315" s="5416"/>
      <c r="G315" s="5416"/>
      <c r="H315" s="5417" t="s">
        <v>1161</v>
      </c>
      <c r="I315" s="5417"/>
      <c r="J315" s="5417" t="s">
        <v>212</v>
      </c>
      <c r="K315" s="5417" t="s">
        <v>1162</v>
      </c>
      <c r="L315" s="5417" t="s">
        <v>1163</v>
      </c>
      <c r="M315" s="5417"/>
      <c r="N315" s="5417" t="s">
        <v>1164</v>
      </c>
      <c r="O315" s="5417"/>
      <c r="P315" s="5417" t="s">
        <v>1165</v>
      </c>
      <c r="Q315" s="5417"/>
      <c r="R315" s="5417" t="s">
        <v>1166</v>
      </c>
      <c r="S315" s="5417"/>
      <c r="T315" s="5417" t="s">
        <v>1167</v>
      </c>
      <c r="U315" s="5417" t="s">
        <v>1168</v>
      </c>
      <c r="V315" s="5417"/>
      <c r="W315" s="5417" t="s">
        <v>1169</v>
      </c>
      <c r="X315" s="5417"/>
      <c r="Y315" s="5417" t="s">
        <v>3</v>
      </c>
      <c r="Z315" s="5417" t="s">
        <v>4</v>
      </c>
      <c r="AA315" s="5417" t="s">
        <v>28</v>
      </c>
      <c r="AB315" s="5417"/>
      <c r="AC315" s="5340" t="str">
        <f>AC275</f>
        <v>INICIAL</v>
      </c>
      <c r="AD315" s="5340"/>
      <c r="AE315" s="5344" t="str">
        <f>AE275</f>
        <v>ALTAS</v>
      </c>
      <c r="AF315" s="5345"/>
      <c r="AG315" s="5346" t="str">
        <f>AG275</f>
        <v>BAJAS</v>
      </c>
      <c r="AH315" s="5347"/>
      <c r="AI315" s="5333" t="str">
        <f>AI275</f>
        <v>REP</v>
      </c>
      <c r="AJ315" s="5333"/>
      <c r="AK315" s="2625" t="str">
        <f>AK275</f>
        <v>INI</v>
      </c>
      <c r="AL315" s="5328" t="s">
        <v>2509</v>
      </c>
      <c r="AM315" s="5329"/>
      <c r="AN315" s="5329"/>
      <c r="AO315" s="5329"/>
      <c r="AP315" s="5329"/>
      <c r="AQ315" s="5329"/>
      <c r="AR315" s="5330"/>
    </row>
    <row r="316" spans="1:45" s="1442" customFormat="1" ht="27.95" customHeight="1">
      <c r="A316" s="5424"/>
      <c r="B316" s="5425"/>
      <c r="C316" s="5425"/>
      <c r="D316" s="5425"/>
      <c r="E316" s="5425"/>
      <c r="F316" s="5425"/>
      <c r="G316" s="5425"/>
      <c r="H316" s="3270" t="s">
        <v>407</v>
      </c>
      <c r="I316" s="3270" t="s">
        <v>403</v>
      </c>
      <c r="J316" s="5426"/>
      <c r="K316" s="5426"/>
      <c r="L316" s="5426"/>
      <c r="M316" s="5426"/>
      <c r="N316" s="5426"/>
      <c r="O316" s="5426"/>
      <c r="P316" s="3270" t="s">
        <v>1170</v>
      </c>
      <c r="Q316" s="3270" t="s">
        <v>1171</v>
      </c>
      <c r="R316" s="3270" t="s">
        <v>1172</v>
      </c>
      <c r="S316" s="3270" t="s">
        <v>1173</v>
      </c>
      <c r="T316" s="5426"/>
      <c r="U316" s="5426"/>
      <c r="V316" s="5426"/>
      <c r="W316" s="5426"/>
      <c r="X316" s="5426"/>
      <c r="Y316" s="5426"/>
      <c r="Z316" s="5426"/>
      <c r="AA316" s="5426"/>
      <c r="AB316" s="5426"/>
      <c r="AC316" s="3295" t="str">
        <f>AC276</f>
        <v>H</v>
      </c>
      <c r="AD316" s="2686" t="str">
        <f>AD276</f>
        <v>M</v>
      </c>
      <c r="AE316" s="3295" t="str">
        <f t="shared" ref="AE316:AJ316" si="86">AE276</f>
        <v>H</v>
      </c>
      <c r="AF316" s="2686" t="str">
        <f t="shared" si="86"/>
        <v>M</v>
      </c>
      <c r="AG316" s="3295" t="str">
        <f t="shared" si="86"/>
        <v>H</v>
      </c>
      <c r="AH316" s="2686" t="str">
        <f t="shared" si="86"/>
        <v>M</v>
      </c>
      <c r="AI316" s="3295" t="str">
        <f t="shared" si="86"/>
        <v>H</v>
      </c>
      <c r="AJ316" s="2686" t="str">
        <f t="shared" si="86"/>
        <v>M</v>
      </c>
      <c r="AK316" s="2627" t="str">
        <f>AK276</f>
        <v>TTS</v>
      </c>
      <c r="AL316" s="3455" t="s">
        <v>393</v>
      </c>
      <c r="AM316" s="3463" t="s">
        <v>8</v>
      </c>
      <c r="AN316" s="3456" t="s">
        <v>347</v>
      </c>
      <c r="AO316" s="3456" t="s">
        <v>348</v>
      </c>
      <c r="AP316" s="3456" t="s">
        <v>2062</v>
      </c>
      <c r="AQ316" s="3457" t="s">
        <v>2081</v>
      </c>
      <c r="AR316" s="3456" t="s">
        <v>2510</v>
      </c>
    </row>
    <row r="317" spans="1:45" s="1443" customFormat="1" ht="27.95" customHeight="1">
      <c r="A317" s="3274">
        <v>1</v>
      </c>
      <c r="B317" s="2146" t="s">
        <v>2378</v>
      </c>
      <c r="C317" s="3087"/>
      <c r="D317" s="2147"/>
      <c r="E317" s="2147"/>
      <c r="F317" s="2147"/>
      <c r="G317" s="2149"/>
      <c r="H317" s="3636" t="s">
        <v>78</v>
      </c>
      <c r="I317" s="3636"/>
      <c r="J317" s="2148" t="s">
        <v>1258</v>
      </c>
      <c r="K317" s="2148" t="s">
        <v>1860</v>
      </c>
      <c r="L317" s="3673" t="s">
        <v>390</v>
      </c>
      <c r="M317" s="3672"/>
      <c r="N317" s="5354" t="s">
        <v>1259</v>
      </c>
      <c r="O317" s="5355"/>
      <c r="P317" s="3636"/>
      <c r="Q317" s="3636" t="s">
        <v>79</v>
      </c>
      <c r="R317" s="3636"/>
      <c r="S317" s="3413" t="s">
        <v>2132</v>
      </c>
      <c r="T317" s="3636"/>
      <c r="U317" s="5419">
        <v>10</v>
      </c>
      <c r="V317" s="5418"/>
      <c r="W317" s="5420" t="s">
        <v>1246</v>
      </c>
      <c r="X317" s="5421"/>
      <c r="Y317" s="3644" t="s">
        <v>772</v>
      </c>
      <c r="Z317" s="3644" t="s">
        <v>228</v>
      </c>
      <c r="AA317" s="5352">
        <f t="shared" ref="AA317:AA342" si="87">AC317+AD317+AE317+AF317-AG317-AH317</f>
        <v>19</v>
      </c>
      <c r="AB317" s="5396"/>
      <c r="AC317" s="2682">
        <v>9</v>
      </c>
      <c r="AD317" s="3289">
        <v>11</v>
      </c>
      <c r="AE317" s="2628"/>
      <c r="AF317" s="2629">
        <v>1</v>
      </c>
      <c r="AG317" s="2628">
        <v>1</v>
      </c>
      <c r="AH317" s="2629">
        <v>1</v>
      </c>
      <c r="AI317" s="2628"/>
      <c r="AJ317" s="2629"/>
      <c r="AK317" s="2670">
        <f t="shared" si="78"/>
        <v>20</v>
      </c>
      <c r="AL317" s="3464"/>
      <c r="AM317" s="3448">
        <v>7.8</v>
      </c>
      <c r="AN317" s="3448"/>
      <c r="AO317" s="3448"/>
      <c r="AP317" s="3448"/>
      <c r="AQ317" s="3448"/>
      <c r="AR317" s="3458">
        <f t="shared" ref="AR317:AR330" si="88">SUM(AM317:AQ317)/AS317</f>
        <v>7.8</v>
      </c>
      <c r="AS317" s="3459">
        <f>COUNTA(AM317:AQ317)</f>
        <v>1</v>
      </c>
    </row>
    <row r="318" spans="1:45" s="1443" customFormat="1" ht="27.95" customHeight="1">
      <c r="A318" s="3274">
        <v>2</v>
      </c>
      <c r="B318" s="3652" t="s">
        <v>2590</v>
      </c>
      <c r="C318" s="3630"/>
      <c r="D318" s="2147"/>
      <c r="E318" s="2147"/>
      <c r="F318" s="2147"/>
      <c r="G318" s="2149"/>
      <c r="H318" s="3636"/>
      <c r="I318" s="3636" t="s">
        <v>78</v>
      </c>
      <c r="J318" s="3646" t="s">
        <v>1331</v>
      </c>
      <c r="K318" s="3646" t="s">
        <v>1915</v>
      </c>
      <c r="L318" s="3671" t="s">
        <v>390</v>
      </c>
      <c r="M318" s="3672"/>
      <c r="N318" s="5349" t="s">
        <v>1271</v>
      </c>
      <c r="O318" s="5350"/>
      <c r="P318" s="3636"/>
      <c r="Q318" s="3636"/>
      <c r="R318" s="3636"/>
      <c r="S318" s="2877" t="s">
        <v>2179</v>
      </c>
      <c r="T318" s="3636" t="s">
        <v>680</v>
      </c>
      <c r="U318" s="5350">
        <v>10</v>
      </c>
      <c r="V318" s="5350"/>
      <c r="W318" s="5351" t="s">
        <v>1332</v>
      </c>
      <c r="X318" s="5351"/>
      <c r="Y318" s="3644" t="s">
        <v>773</v>
      </c>
      <c r="Z318" s="3286" t="s">
        <v>228</v>
      </c>
      <c r="AA318" s="5352">
        <f t="shared" si="87"/>
        <v>23</v>
      </c>
      <c r="AB318" s="5396"/>
      <c r="AC318" s="2682">
        <v>16</v>
      </c>
      <c r="AD318" s="3289">
        <v>12</v>
      </c>
      <c r="AE318" s="2628">
        <v>1</v>
      </c>
      <c r="AF318" s="2629"/>
      <c r="AG318" s="2628">
        <v>4</v>
      </c>
      <c r="AH318" s="2629">
        <v>2</v>
      </c>
      <c r="AI318" s="2628"/>
      <c r="AJ318" s="2629"/>
      <c r="AK318" s="2671">
        <f t="shared" si="78"/>
        <v>28</v>
      </c>
      <c r="AL318" s="3464"/>
      <c r="AM318" s="3448">
        <v>7.6</v>
      </c>
      <c r="AN318" s="3448"/>
      <c r="AO318" s="3448"/>
      <c r="AP318" s="3448"/>
      <c r="AQ318" s="3448"/>
      <c r="AR318" s="3458">
        <f t="shared" si="88"/>
        <v>7.6</v>
      </c>
      <c r="AS318" s="3459">
        <f t="shared" ref="AS318:AS343" si="89">COUNTA(AM318:AQ318)</f>
        <v>1</v>
      </c>
    </row>
    <row r="319" spans="1:45" s="1443" customFormat="1" ht="27.95" customHeight="1">
      <c r="A319" s="3283">
        <v>3</v>
      </c>
      <c r="B319" s="2158" t="s">
        <v>2591</v>
      </c>
      <c r="C319" s="3087"/>
      <c r="D319" s="2147"/>
      <c r="E319" s="2147"/>
      <c r="F319" s="2147"/>
      <c r="G319" s="2149"/>
      <c r="H319" s="3636" t="s">
        <v>78</v>
      </c>
      <c r="I319" s="3636"/>
      <c r="J319" s="3646" t="s">
        <v>1334</v>
      </c>
      <c r="K319" s="3646" t="s">
        <v>1916</v>
      </c>
      <c r="L319" s="3671" t="s">
        <v>401</v>
      </c>
      <c r="M319" s="3676"/>
      <c r="N319" s="5354"/>
      <c r="O319" s="5355"/>
      <c r="P319" s="3636"/>
      <c r="Q319" s="3636"/>
      <c r="R319" s="3636"/>
      <c r="S319" s="2877" t="s">
        <v>2180</v>
      </c>
      <c r="T319" s="3636"/>
      <c r="U319" s="5419">
        <v>10</v>
      </c>
      <c r="V319" s="5418"/>
      <c r="W319" s="5420" t="s">
        <v>1226</v>
      </c>
      <c r="X319" s="5421"/>
      <c r="Y319" s="3564"/>
      <c r="Z319" s="3286"/>
      <c r="AA319" s="5352">
        <f t="shared" si="87"/>
        <v>0</v>
      </c>
      <c r="AB319" s="5396"/>
      <c r="AC319" s="2682"/>
      <c r="AD319" s="3289"/>
      <c r="AE319" s="2628"/>
      <c r="AF319" s="2629"/>
      <c r="AG319" s="2628"/>
      <c r="AH319" s="2629"/>
      <c r="AI319" s="2628"/>
      <c r="AJ319" s="2629"/>
      <c r="AK319" s="2671">
        <f t="shared" si="78"/>
        <v>0</v>
      </c>
      <c r="AL319" s="3464"/>
      <c r="AM319" s="3448"/>
      <c r="AN319" s="3448"/>
      <c r="AO319" s="3448"/>
      <c r="AP319" s="3448"/>
      <c r="AQ319" s="3448"/>
      <c r="AR319" s="3458" t="e">
        <f t="shared" si="88"/>
        <v>#DIV/0!</v>
      </c>
      <c r="AS319" s="3459">
        <f t="shared" si="89"/>
        <v>0</v>
      </c>
    </row>
    <row r="320" spans="1:45" s="1443" customFormat="1" ht="27.95" customHeight="1">
      <c r="A320" s="3274">
        <v>4</v>
      </c>
      <c r="B320" s="2158" t="s">
        <v>2592</v>
      </c>
      <c r="C320" s="3087"/>
      <c r="D320" s="2147"/>
      <c r="E320" s="2147"/>
      <c r="F320" s="2147"/>
      <c r="G320" s="2149"/>
      <c r="H320" s="3636"/>
      <c r="I320" s="3636" t="s">
        <v>78</v>
      </c>
      <c r="J320" s="3646" t="s">
        <v>1335</v>
      </c>
      <c r="K320" s="3646" t="s">
        <v>1917</v>
      </c>
      <c r="L320" s="3671" t="s">
        <v>426</v>
      </c>
      <c r="M320" s="3672"/>
      <c r="N320" s="5349"/>
      <c r="O320" s="5350"/>
      <c r="P320" s="3636"/>
      <c r="Q320" s="3636"/>
      <c r="R320" s="3636"/>
      <c r="S320" s="2877" t="s">
        <v>2181</v>
      </c>
      <c r="T320" s="3636"/>
      <c r="U320" s="5350">
        <v>10</v>
      </c>
      <c r="V320" s="5350"/>
      <c r="W320" s="5351"/>
      <c r="X320" s="5351"/>
      <c r="Y320" s="3286"/>
      <c r="Z320" s="3286"/>
      <c r="AA320" s="5352">
        <f t="shared" si="87"/>
        <v>0</v>
      </c>
      <c r="AB320" s="5396"/>
      <c r="AC320" s="2682"/>
      <c r="AD320" s="3289"/>
      <c r="AE320" s="2628"/>
      <c r="AF320" s="2629"/>
      <c r="AG320" s="2628"/>
      <c r="AH320" s="2629"/>
      <c r="AI320" s="2628"/>
      <c r="AJ320" s="2629"/>
      <c r="AK320" s="2671">
        <f t="shared" si="78"/>
        <v>0</v>
      </c>
      <c r="AL320" s="3464"/>
      <c r="AM320" s="3448"/>
      <c r="AN320" s="3448"/>
      <c r="AO320" s="3448"/>
      <c r="AP320" s="3448"/>
      <c r="AQ320" s="3448"/>
      <c r="AR320" s="3458" t="e">
        <f t="shared" si="88"/>
        <v>#DIV/0!</v>
      </c>
      <c r="AS320" s="3459">
        <f t="shared" si="89"/>
        <v>0</v>
      </c>
    </row>
    <row r="321" spans="1:45" s="1443" customFormat="1" ht="27.95" customHeight="1">
      <c r="A321" s="3274"/>
      <c r="B321" s="2158"/>
      <c r="C321" s="3087"/>
      <c r="D321" s="2147"/>
      <c r="E321" s="2147"/>
      <c r="F321" s="2147"/>
      <c r="G321" s="2149"/>
      <c r="H321" s="3274"/>
      <c r="I321" s="3274"/>
      <c r="J321" s="3290"/>
      <c r="K321" s="3290"/>
      <c r="L321" s="3671"/>
      <c r="M321" s="3676"/>
      <c r="N321" s="5354"/>
      <c r="O321" s="5355"/>
      <c r="P321" s="3274"/>
      <c r="Q321" s="3274"/>
      <c r="R321" s="3274"/>
      <c r="S321" s="2877"/>
      <c r="T321" s="3274"/>
      <c r="U321" s="5419"/>
      <c r="V321" s="5418"/>
      <c r="W321" s="5420"/>
      <c r="X321" s="5421"/>
      <c r="Y321" s="3286"/>
      <c r="Z321" s="3286"/>
      <c r="AA321" s="5352">
        <f t="shared" si="87"/>
        <v>0</v>
      </c>
      <c r="AB321" s="5396"/>
      <c r="AC321" s="2682"/>
      <c r="AD321" s="3289"/>
      <c r="AE321" s="2628"/>
      <c r="AF321" s="2629"/>
      <c r="AG321" s="2628"/>
      <c r="AH321" s="2629"/>
      <c r="AI321" s="2628"/>
      <c r="AJ321" s="2629"/>
      <c r="AK321" s="2671">
        <f t="shared" si="78"/>
        <v>0</v>
      </c>
      <c r="AL321" s="3464"/>
      <c r="AM321" s="3448"/>
      <c r="AN321" s="3448"/>
      <c r="AO321" s="3448"/>
      <c r="AP321" s="3448"/>
      <c r="AQ321" s="3448"/>
      <c r="AR321" s="3458" t="e">
        <f t="shared" si="88"/>
        <v>#DIV/0!</v>
      </c>
      <c r="AS321" s="3459">
        <f t="shared" si="89"/>
        <v>0</v>
      </c>
    </row>
    <row r="322" spans="1:45" s="1443" customFormat="1" ht="27.95" customHeight="1">
      <c r="A322" s="3274"/>
      <c r="B322" s="2158"/>
      <c r="C322" s="3087"/>
      <c r="D322" s="2147"/>
      <c r="E322" s="2147"/>
      <c r="F322" s="2147"/>
      <c r="G322" s="2149"/>
      <c r="H322" s="3274"/>
      <c r="I322" s="3274"/>
      <c r="J322" s="3290"/>
      <c r="K322" s="3290"/>
      <c r="L322" s="3671"/>
      <c r="M322" s="3672"/>
      <c r="N322" s="5349"/>
      <c r="O322" s="5350"/>
      <c r="P322" s="3274"/>
      <c r="Q322" s="3274"/>
      <c r="R322" s="3274"/>
      <c r="S322" s="2877"/>
      <c r="T322" s="3274"/>
      <c r="U322" s="5350"/>
      <c r="V322" s="5350"/>
      <c r="W322" s="5351"/>
      <c r="X322" s="5351"/>
      <c r="Y322" s="3286"/>
      <c r="Z322" s="3286"/>
      <c r="AA322" s="5352">
        <f t="shared" si="87"/>
        <v>0</v>
      </c>
      <c r="AB322" s="5396"/>
      <c r="AC322" s="2682"/>
      <c r="AD322" s="3289"/>
      <c r="AE322" s="2628"/>
      <c r="AF322" s="2629"/>
      <c r="AG322" s="2628"/>
      <c r="AH322" s="2629"/>
      <c r="AI322" s="2628"/>
      <c r="AJ322" s="2629"/>
      <c r="AK322" s="2671">
        <f t="shared" si="78"/>
        <v>0</v>
      </c>
      <c r="AL322" s="3464"/>
      <c r="AM322" s="3448"/>
      <c r="AN322" s="3448"/>
      <c r="AO322" s="3448"/>
      <c r="AP322" s="3448"/>
      <c r="AQ322" s="3448"/>
      <c r="AR322" s="3458" t="e">
        <f t="shared" si="88"/>
        <v>#DIV/0!</v>
      </c>
      <c r="AS322" s="3459">
        <f t="shared" si="89"/>
        <v>0</v>
      </c>
    </row>
    <row r="323" spans="1:45" s="1443" customFormat="1" ht="27.95" customHeight="1">
      <c r="A323" s="3274"/>
      <c r="B323" s="2151"/>
      <c r="C323" s="3087"/>
      <c r="D323" s="2147"/>
      <c r="E323" s="2147"/>
      <c r="F323" s="2147"/>
      <c r="G323" s="2149"/>
      <c r="H323" s="3274"/>
      <c r="I323" s="3274"/>
      <c r="J323" s="3290"/>
      <c r="K323" s="3290"/>
      <c r="L323" s="3671"/>
      <c r="M323" s="3672"/>
      <c r="N323" s="5349"/>
      <c r="O323" s="5350"/>
      <c r="P323" s="3274"/>
      <c r="Q323" s="3274"/>
      <c r="R323" s="3274"/>
      <c r="S323" s="2877"/>
      <c r="T323" s="3274"/>
      <c r="U323" s="5350"/>
      <c r="V323" s="5350"/>
      <c r="W323" s="5351"/>
      <c r="X323" s="5351"/>
      <c r="Y323" s="3286"/>
      <c r="Z323" s="3286"/>
      <c r="AA323" s="5352">
        <f t="shared" si="87"/>
        <v>0</v>
      </c>
      <c r="AB323" s="5396"/>
      <c r="AC323" s="2682"/>
      <c r="AD323" s="3289"/>
      <c r="AE323" s="2628"/>
      <c r="AF323" s="2629"/>
      <c r="AG323" s="2628"/>
      <c r="AH323" s="2629"/>
      <c r="AI323" s="2628"/>
      <c r="AJ323" s="2629"/>
      <c r="AK323" s="2671">
        <f t="shared" si="78"/>
        <v>0</v>
      </c>
      <c r="AL323" s="3464"/>
      <c r="AM323" s="3448"/>
      <c r="AN323" s="3448"/>
      <c r="AO323" s="3448"/>
      <c r="AP323" s="3448"/>
      <c r="AQ323" s="3448"/>
      <c r="AR323" s="3458" t="e">
        <f t="shared" si="88"/>
        <v>#DIV/0!</v>
      </c>
      <c r="AS323" s="3459">
        <f t="shared" si="89"/>
        <v>0</v>
      </c>
    </row>
    <row r="324" spans="1:45" s="1443" customFormat="1" ht="27.95" customHeight="1">
      <c r="A324" s="3274"/>
      <c r="B324" s="2151"/>
      <c r="C324" s="3087"/>
      <c r="D324" s="2147"/>
      <c r="E324" s="2147"/>
      <c r="F324" s="2147"/>
      <c r="G324" s="2149"/>
      <c r="H324" s="3274"/>
      <c r="I324" s="3274"/>
      <c r="J324" s="3274"/>
      <c r="K324" s="3274"/>
      <c r="L324" s="3671"/>
      <c r="M324" s="3672"/>
      <c r="N324" s="5349"/>
      <c r="O324" s="5350"/>
      <c r="P324" s="3274"/>
      <c r="Q324" s="3274"/>
      <c r="R324" s="3274"/>
      <c r="S324" s="2875"/>
      <c r="T324" s="3274"/>
      <c r="U324" s="5350"/>
      <c r="V324" s="5350"/>
      <c r="W324" s="5351"/>
      <c r="X324" s="5351"/>
      <c r="Y324" s="3286"/>
      <c r="Z324" s="3286"/>
      <c r="AA324" s="5352">
        <f t="shared" si="87"/>
        <v>0</v>
      </c>
      <c r="AB324" s="5396"/>
      <c r="AC324" s="2682"/>
      <c r="AD324" s="3289"/>
      <c r="AE324" s="2628"/>
      <c r="AF324" s="2629"/>
      <c r="AG324" s="2628"/>
      <c r="AH324" s="2629"/>
      <c r="AI324" s="2628"/>
      <c r="AJ324" s="2629"/>
      <c r="AK324" s="2671">
        <f t="shared" si="78"/>
        <v>0</v>
      </c>
      <c r="AL324" s="3464"/>
      <c r="AM324" s="3448"/>
      <c r="AN324" s="3448"/>
      <c r="AO324" s="3448"/>
      <c r="AP324" s="3448"/>
      <c r="AQ324" s="3448"/>
      <c r="AR324" s="3458" t="e">
        <f t="shared" si="88"/>
        <v>#DIV/0!</v>
      </c>
      <c r="AS324" s="3459">
        <f t="shared" si="89"/>
        <v>0</v>
      </c>
    </row>
    <row r="325" spans="1:45" s="1444" customFormat="1" ht="27.95" customHeight="1">
      <c r="A325" s="3274"/>
      <c r="B325" s="2151"/>
      <c r="C325" s="3087"/>
      <c r="D325" s="2147"/>
      <c r="E325" s="2147"/>
      <c r="F325" s="2147"/>
      <c r="G325" s="2149"/>
      <c r="H325" s="3274"/>
      <c r="I325" s="3274"/>
      <c r="J325" s="3274"/>
      <c r="K325" s="3274"/>
      <c r="L325" s="3671"/>
      <c r="M325" s="3672"/>
      <c r="N325" s="5350"/>
      <c r="O325" s="5350"/>
      <c r="P325" s="3274"/>
      <c r="Q325" s="3274"/>
      <c r="R325" s="3274"/>
      <c r="S325" s="2875"/>
      <c r="T325" s="3274"/>
      <c r="U325" s="5350"/>
      <c r="V325" s="5350"/>
      <c r="W325" s="5351"/>
      <c r="X325" s="5351"/>
      <c r="Y325" s="3286"/>
      <c r="Z325" s="3286"/>
      <c r="AA325" s="5352">
        <f t="shared" si="87"/>
        <v>0</v>
      </c>
      <c r="AB325" s="5396"/>
      <c r="AC325" s="2682"/>
      <c r="AD325" s="3289"/>
      <c r="AE325" s="2628"/>
      <c r="AF325" s="2629"/>
      <c r="AG325" s="2628"/>
      <c r="AH325" s="2629"/>
      <c r="AI325" s="2628"/>
      <c r="AJ325" s="2629"/>
      <c r="AK325" s="2671">
        <f t="shared" si="78"/>
        <v>0</v>
      </c>
      <c r="AL325" s="3464"/>
      <c r="AM325" s="3448"/>
      <c r="AN325" s="3448"/>
      <c r="AO325" s="3448"/>
      <c r="AP325" s="3448"/>
      <c r="AQ325" s="3448"/>
      <c r="AR325" s="3458" t="e">
        <f t="shared" si="88"/>
        <v>#DIV/0!</v>
      </c>
      <c r="AS325" s="3459">
        <f t="shared" si="89"/>
        <v>0</v>
      </c>
    </row>
    <row r="326" spans="1:45" s="1444" customFormat="1" ht="27.95" customHeight="1">
      <c r="A326" s="3274"/>
      <c r="B326" s="2151"/>
      <c r="C326" s="3087"/>
      <c r="D326" s="2147"/>
      <c r="E326" s="2147"/>
      <c r="F326" s="2147"/>
      <c r="G326" s="2149"/>
      <c r="H326" s="3274"/>
      <c r="I326" s="3274"/>
      <c r="J326" s="3290"/>
      <c r="K326" s="3290"/>
      <c r="L326" s="3671"/>
      <c r="M326" s="3672"/>
      <c r="N326" s="5350"/>
      <c r="O326" s="5350"/>
      <c r="P326" s="2806"/>
      <c r="Q326" s="2806"/>
      <c r="R326" s="2806"/>
      <c r="S326" s="2877"/>
      <c r="T326" s="3274"/>
      <c r="U326" s="5350"/>
      <c r="V326" s="5350"/>
      <c r="W326" s="5351"/>
      <c r="X326" s="5351"/>
      <c r="Y326" s="3286"/>
      <c r="Z326" s="3286"/>
      <c r="AA326" s="5352">
        <f t="shared" si="87"/>
        <v>0</v>
      </c>
      <c r="AB326" s="5396"/>
      <c r="AC326" s="2682"/>
      <c r="AD326" s="3289"/>
      <c r="AE326" s="2628"/>
      <c r="AF326" s="2629"/>
      <c r="AG326" s="2628"/>
      <c r="AH326" s="2629"/>
      <c r="AI326" s="2628"/>
      <c r="AJ326" s="2629"/>
      <c r="AK326" s="2671">
        <f t="shared" si="78"/>
        <v>0</v>
      </c>
      <c r="AL326" s="3464"/>
      <c r="AM326" s="3448"/>
      <c r="AN326" s="3448"/>
      <c r="AO326" s="3448"/>
      <c r="AP326" s="3448"/>
      <c r="AQ326" s="3448"/>
      <c r="AR326" s="3458" t="e">
        <f t="shared" si="88"/>
        <v>#DIV/0!</v>
      </c>
      <c r="AS326" s="3459">
        <f t="shared" si="89"/>
        <v>0</v>
      </c>
    </row>
    <row r="327" spans="1:45" s="1444" customFormat="1" ht="27.95" customHeight="1">
      <c r="A327" s="3274"/>
      <c r="B327" s="2151"/>
      <c r="C327" s="3087"/>
      <c r="D327" s="2147"/>
      <c r="E327" s="2147"/>
      <c r="F327" s="2147"/>
      <c r="G327" s="2149"/>
      <c r="H327" s="3274"/>
      <c r="I327" s="3274"/>
      <c r="J327" s="3274"/>
      <c r="K327" s="3274"/>
      <c r="L327" s="3673"/>
      <c r="M327" s="3672"/>
      <c r="N327" s="5350"/>
      <c r="O327" s="5350"/>
      <c r="P327" s="3274"/>
      <c r="Q327" s="3274"/>
      <c r="R327" s="3274"/>
      <c r="S327" s="2875"/>
      <c r="T327" s="3274"/>
      <c r="U327" s="5350"/>
      <c r="V327" s="5350"/>
      <c r="W327" s="5351"/>
      <c r="X327" s="5351"/>
      <c r="Y327" s="3286"/>
      <c r="Z327" s="3286"/>
      <c r="AA327" s="5352">
        <f t="shared" si="87"/>
        <v>0</v>
      </c>
      <c r="AB327" s="5396"/>
      <c r="AC327" s="2682"/>
      <c r="AD327" s="3289"/>
      <c r="AE327" s="2628"/>
      <c r="AF327" s="2629"/>
      <c r="AG327" s="2628"/>
      <c r="AH327" s="2629"/>
      <c r="AI327" s="2628"/>
      <c r="AJ327" s="2629"/>
      <c r="AK327" s="2671">
        <f t="shared" si="78"/>
        <v>0</v>
      </c>
      <c r="AL327" s="3464"/>
      <c r="AM327" s="3448"/>
      <c r="AN327" s="3448"/>
      <c r="AO327" s="3448"/>
      <c r="AP327" s="3448"/>
      <c r="AQ327" s="3448"/>
      <c r="AR327" s="3458" t="e">
        <f t="shared" si="88"/>
        <v>#DIV/0!</v>
      </c>
      <c r="AS327" s="3459">
        <f t="shared" si="89"/>
        <v>0</v>
      </c>
    </row>
    <row r="328" spans="1:45" s="1444" customFormat="1" ht="27.95" customHeight="1">
      <c r="A328" s="3274"/>
      <c r="B328" s="2151"/>
      <c r="C328" s="3087"/>
      <c r="D328" s="2147"/>
      <c r="E328" s="2147"/>
      <c r="F328" s="2147"/>
      <c r="G328" s="2149"/>
      <c r="H328" s="3274"/>
      <c r="I328" s="3274"/>
      <c r="J328" s="3274"/>
      <c r="K328" s="3274"/>
      <c r="L328" s="3671"/>
      <c r="M328" s="3672"/>
      <c r="N328" s="5350"/>
      <c r="O328" s="5350"/>
      <c r="P328" s="3274"/>
      <c r="Q328" s="3274"/>
      <c r="R328" s="3274"/>
      <c r="S328" s="2875"/>
      <c r="T328" s="3274"/>
      <c r="U328" s="5350"/>
      <c r="V328" s="5350"/>
      <c r="W328" s="5351"/>
      <c r="X328" s="5351"/>
      <c r="Y328" s="3286"/>
      <c r="Z328" s="3286"/>
      <c r="AA328" s="5352">
        <f t="shared" si="87"/>
        <v>0</v>
      </c>
      <c r="AB328" s="5396"/>
      <c r="AC328" s="2682"/>
      <c r="AD328" s="3289"/>
      <c r="AE328" s="2628"/>
      <c r="AF328" s="2629"/>
      <c r="AG328" s="2628"/>
      <c r="AH328" s="2629"/>
      <c r="AI328" s="2628"/>
      <c r="AJ328" s="2629"/>
      <c r="AK328" s="2671">
        <f t="shared" si="78"/>
        <v>0</v>
      </c>
      <c r="AL328" s="3464"/>
      <c r="AM328" s="3448"/>
      <c r="AN328" s="3448"/>
      <c r="AO328" s="3448"/>
      <c r="AP328" s="3448"/>
      <c r="AQ328" s="3448"/>
      <c r="AR328" s="3458" t="e">
        <f t="shared" si="88"/>
        <v>#DIV/0!</v>
      </c>
      <c r="AS328" s="3459">
        <f t="shared" si="89"/>
        <v>0</v>
      </c>
    </row>
    <row r="329" spans="1:45" s="1444" customFormat="1" ht="27.95" customHeight="1">
      <c r="A329" s="3274"/>
      <c r="B329" s="2151"/>
      <c r="C329" s="3087"/>
      <c r="D329" s="2147"/>
      <c r="E329" s="2147"/>
      <c r="F329" s="2147"/>
      <c r="G329" s="2149"/>
      <c r="H329" s="3274"/>
      <c r="I329" s="3274"/>
      <c r="J329" s="3274"/>
      <c r="K329" s="3274"/>
      <c r="L329" s="3671"/>
      <c r="M329" s="3672"/>
      <c r="N329" s="5349"/>
      <c r="O329" s="5350"/>
      <c r="P329" s="3274"/>
      <c r="Q329" s="3274"/>
      <c r="R329" s="3274"/>
      <c r="S329" s="2875"/>
      <c r="T329" s="3274"/>
      <c r="U329" s="5350"/>
      <c r="V329" s="5350"/>
      <c r="W329" s="5351"/>
      <c r="X329" s="5351"/>
      <c r="Y329" s="3286"/>
      <c r="Z329" s="3286"/>
      <c r="AA329" s="5352">
        <f t="shared" si="87"/>
        <v>0</v>
      </c>
      <c r="AB329" s="5396"/>
      <c r="AC329" s="2682"/>
      <c r="AD329" s="3289"/>
      <c r="AE329" s="2628"/>
      <c r="AF329" s="2629"/>
      <c r="AG329" s="2628"/>
      <c r="AH329" s="2629"/>
      <c r="AI329" s="2628"/>
      <c r="AJ329" s="2629"/>
      <c r="AK329" s="2671">
        <f t="shared" si="78"/>
        <v>0</v>
      </c>
      <c r="AL329" s="3464"/>
      <c r="AM329" s="3448"/>
      <c r="AN329" s="3448"/>
      <c r="AO329" s="3448"/>
      <c r="AP329" s="3448"/>
      <c r="AQ329" s="3448"/>
      <c r="AR329" s="3458" t="e">
        <f t="shared" si="88"/>
        <v>#DIV/0!</v>
      </c>
      <c r="AS329" s="3459">
        <f t="shared" si="89"/>
        <v>0</v>
      </c>
    </row>
    <row r="330" spans="1:45" s="1444" customFormat="1" ht="27.95" customHeight="1">
      <c r="A330" s="3274"/>
      <c r="B330" s="2151"/>
      <c r="C330" s="3087"/>
      <c r="D330" s="2147"/>
      <c r="E330" s="2147"/>
      <c r="F330" s="2147"/>
      <c r="G330" s="2149"/>
      <c r="H330" s="3274"/>
      <c r="I330" s="3274"/>
      <c r="J330" s="3274"/>
      <c r="K330" s="3274"/>
      <c r="L330" s="3673"/>
      <c r="M330" s="3672"/>
      <c r="N330" s="5350"/>
      <c r="O330" s="5350"/>
      <c r="P330" s="3274"/>
      <c r="Q330" s="3274"/>
      <c r="R330" s="3274"/>
      <c r="S330" s="2875"/>
      <c r="T330" s="3274"/>
      <c r="U330" s="5350"/>
      <c r="V330" s="5350"/>
      <c r="W330" s="5351"/>
      <c r="X330" s="5351"/>
      <c r="Y330" s="3286"/>
      <c r="Z330" s="3286"/>
      <c r="AA330" s="5352">
        <f t="shared" si="87"/>
        <v>0</v>
      </c>
      <c r="AB330" s="5396"/>
      <c r="AC330" s="2682"/>
      <c r="AD330" s="3289"/>
      <c r="AE330" s="2628"/>
      <c r="AF330" s="2629"/>
      <c r="AG330" s="2628"/>
      <c r="AH330" s="2629"/>
      <c r="AI330" s="2628"/>
      <c r="AJ330" s="2629"/>
      <c r="AK330" s="2671">
        <f t="shared" si="78"/>
        <v>0</v>
      </c>
      <c r="AL330" s="3464"/>
      <c r="AM330" s="3448"/>
      <c r="AN330" s="3448"/>
      <c r="AO330" s="3448"/>
      <c r="AP330" s="3448"/>
      <c r="AQ330" s="3448"/>
      <c r="AR330" s="3458" t="e">
        <f t="shared" si="88"/>
        <v>#DIV/0!</v>
      </c>
      <c r="AS330" s="3459">
        <f t="shared" si="89"/>
        <v>0</v>
      </c>
    </row>
    <row r="331" spans="1:45" s="1444" customFormat="1" ht="27.95" customHeight="1">
      <c r="A331" s="3274"/>
      <c r="B331" s="2151"/>
      <c r="C331" s="3087"/>
      <c r="D331" s="2147"/>
      <c r="E331" s="2147"/>
      <c r="F331" s="2147"/>
      <c r="G331" s="2149"/>
      <c r="H331" s="3274"/>
      <c r="I331" s="3274"/>
      <c r="J331" s="3274"/>
      <c r="K331" s="3274"/>
      <c r="L331" s="3673"/>
      <c r="M331" s="3672"/>
      <c r="N331" s="5350"/>
      <c r="O331" s="5350"/>
      <c r="P331" s="3274"/>
      <c r="Q331" s="3274"/>
      <c r="R331" s="3274"/>
      <c r="S331" s="2875"/>
      <c r="T331" s="3274"/>
      <c r="U331" s="5350"/>
      <c r="V331" s="5350"/>
      <c r="W331" s="5351"/>
      <c r="X331" s="5351"/>
      <c r="Y331" s="3286"/>
      <c r="Z331" s="3286"/>
      <c r="AA331" s="5352">
        <f t="shared" si="87"/>
        <v>0</v>
      </c>
      <c r="AB331" s="5396"/>
      <c r="AC331" s="2682"/>
      <c r="AD331" s="3289"/>
      <c r="AE331" s="2628"/>
      <c r="AF331" s="2629"/>
      <c r="AG331" s="2628"/>
      <c r="AH331" s="2629"/>
      <c r="AI331" s="2628"/>
      <c r="AJ331" s="2629"/>
      <c r="AK331" s="2671">
        <f t="shared" si="78"/>
        <v>0</v>
      </c>
      <c r="AL331" s="3464"/>
      <c r="AM331" s="3448"/>
      <c r="AN331" s="3448"/>
      <c r="AO331" s="3448"/>
      <c r="AP331" s="3448"/>
      <c r="AQ331" s="3448"/>
      <c r="AR331" s="3458" t="e">
        <f t="shared" ref="AR331:AR343" si="90">SUM(AM331:AQ331)/AS331</f>
        <v>#DIV/0!</v>
      </c>
      <c r="AS331" s="3459">
        <f t="shared" si="89"/>
        <v>0</v>
      </c>
    </row>
    <row r="332" spans="1:45" s="1444" customFormat="1" ht="27.95" customHeight="1">
      <c r="A332" s="3274"/>
      <c r="B332" s="2151"/>
      <c r="C332" s="3087"/>
      <c r="D332" s="2147"/>
      <c r="E332" s="2147"/>
      <c r="F332" s="2147"/>
      <c r="G332" s="2149"/>
      <c r="H332" s="3274"/>
      <c r="I332" s="3274"/>
      <c r="J332" s="3274"/>
      <c r="K332" s="3274"/>
      <c r="L332" s="3673"/>
      <c r="M332" s="3672"/>
      <c r="N332" s="5350"/>
      <c r="O332" s="5350"/>
      <c r="P332" s="3274"/>
      <c r="Q332" s="3274"/>
      <c r="R332" s="3274"/>
      <c r="S332" s="2875"/>
      <c r="T332" s="3274"/>
      <c r="U332" s="5350"/>
      <c r="V332" s="5350"/>
      <c r="W332" s="5351"/>
      <c r="X332" s="5351"/>
      <c r="Y332" s="3286"/>
      <c r="Z332" s="3286"/>
      <c r="AA332" s="5352">
        <f t="shared" si="87"/>
        <v>0</v>
      </c>
      <c r="AB332" s="5396"/>
      <c r="AC332" s="2682"/>
      <c r="AD332" s="3289"/>
      <c r="AE332" s="2628"/>
      <c r="AF332" s="2629"/>
      <c r="AG332" s="2628"/>
      <c r="AH332" s="2629"/>
      <c r="AI332" s="2628"/>
      <c r="AJ332" s="2629"/>
      <c r="AK332" s="2671">
        <f t="shared" si="78"/>
        <v>0</v>
      </c>
      <c r="AL332" s="3464"/>
      <c r="AM332" s="3448"/>
      <c r="AN332" s="3448"/>
      <c r="AO332" s="3448"/>
      <c r="AP332" s="3448"/>
      <c r="AQ332" s="3448"/>
      <c r="AR332" s="3458" t="e">
        <f t="shared" si="90"/>
        <v>#DIV/0!</v>
      </c>
      <c r="AS332" s="3459">
        <f t="shared" si="89"/>
        <v>0</v>
      </c>
    </row>
    <row r="333" spans="1:45" s="1444" customFormat="1" ht="27.95" customHeight="1">
      <c r="A333" s="3274"/>
      <c r="B333" s="2151"/>
      <c r="C333" s="3087"/>
      <c r="D333" s="2147"/>
      <c r="E333" s="2147"/>
      <c r="F333" s="2147"/>
      <c r="G333" s="2149"/>
      <c r="H333" s="3274"/>
      <c r="I333" s="3274"/>
      <c r="J333" s="3274"/>
      <c r="K333" s="3274"/>
      <c r="L333" s="3673"/>
      <c r="M333" s="3672"/>
      <c r="N333" s="5350"/>
      <c r="O333" s="5350"/>
      <c r="P333" s="3274"/>
      <c r="Q333" s="3274"/>
      <c r="R333" s="3274"/>
      <c r="S333" s="2875"/>
      <c r="T333" s="3274"/>
      <c r="U333" s="5350"/>
      <c r="V333" s="5350"/>
      <c r="W333" s="5351"/>
      <c r="X333" s="5351"/>
      <c r="Y333" s="3286"/>
      <c r="Z333" s="3286"/>
      <c r="AA333" s="5352">
        <f t="shared" si="87"/>
        <v>0</v>
      </c>
      <c r="AB333" s="5396"/>
      <c r="AC333" s="2682"/>
      <c r="AD333" s="3289"/>
      <c r="AE333" s="2628"/>
      <c r="AF333" s="2629"/>
      <c r="AG333" s="2628"/>
      <c r="AH333" s="2629"/>
      <c r="AI333" s="2628"/>
      <c r="AJ333" s="2629"/>
      <c r="AK333" s="2671">
        <f t="shared" si="78"/>
        <v>0</v>
      </c>
      <c r="AL333" s="3464"/>
      <c r="AM333" s="3448"/>
      <c r="AN333" s="3448"/>
      <c r="AO333" s="3448"/>
      <c r="AP333" s="3448"/>
      <c r="AQ333" s="3448"/>
      <c r="AR333" s="3458" t="e">
        <f t="shared" si="90"/>
        <v>#DIV/0!</v>
      </c>
      <c r="AS333" s="3459">
        <f t="shared" si="89"/>
        <v>0</v>
      </c>
    </row>
    <row r="334" spans="1:45" s="1444" customFormat="1" ht="27.95" customHeight="1">
      <c r="A334" s="3274"/>
      <c r="B334" s="2151"/>
      <c r="C334" s="3087"/>
      <c r="D334" s="2147"/>
      <c r="E334" s="2147"/>
      <c r="F334" s="2147"/>
      <c r="G334" s="2149"/>
      <c r="H334" s="3274"/>
      <c r="I334" s="3274"/>
      <c r="J334" s="3274"/>
      <c r="K334" s="3274"/>
      <c r="L334" s="3673"/>
      <c r="M334" s="3672"/>
      <c r="N334" s="5350"/>
      <c r="O334" s="5350"/>
      <c r="P334" s="3274"/>
      <c r="Q334" s="3274"/>
      <c r="R334" s="3274"/>
      <c r="S334" s="2875"/>
      <c r="T334" s="3274"/>
      <c r="U334" s="5350"/>
      <c r="V334" s="5350"/>
      <c r="W334" s="5351"/>
      <c r="X334" s="5351"/>
      <c r="Y334" s="3286"/>
      <c r="Z334" s="3286"/>
      <c r="AA334" s="5352">
        <f t="shared" si="87"/>
        <v>0</v>
      </c>
      <c r="AB334" s="5396"/>
      <c r="AC334" s="2682"/>
      <c r="AD334" s="3289"/>
      <c r="AE334" s="2628"/>
      <c r="AF334" s="2629"/>
      <c r="AG334" s="2628"/>
      <c r="AH334" s="2629"/>
      <c r="AI334" s="2628"/>
      <c r="AJ334" s="2629"/>
      <c r="AK334" s="2671">
        <f t="shared" si="78"/>
        <v>0</v>
      </c>
      <c r="AL334" s="3464"/>
      <c r="AM334" s="3448"/>
      <c r="AN334" s="3448"/>
      <c r="AO334" s="3448"/>
      <c r="AP334" s="3448"/>
      <c r="AQ334" s="3448"/>
      <c r="AR334" s="3458" t="e">
        <f t="shared" si="90"/>
        <v>#DIV/0!</v>
      </c>
      <c r="AS334" s="3459">
        <f t="shared" si="89"/>
        <v>0</v>
      </c>
    </row>
    <row r="335" spans="1:45" s="1444" customFormat="1" ht="27.95" customHeight="1">
      <c r="A335" s="3274"/>
      <c r="B335" s="2151"/>
      <c r="C335" s="3087"/>
      <c r="D335" s="2147"/>
      <c r="E335" s="2147"/>
      <c r="F335" s="2147"/>
      <c r="G335" s="2149"/>
      <c r="H335" s="3274"/>
      <c r="I335" s="3274"/>
      <c r="J335" s="3274"/>
      <c r="K335" s="3274"/>
      <c r="L335" s="3673"/>
      <c r="M335" s="3672"/>
      <c r="N335" s="5350"/>
      <c r="O335" s="5350"/>
      <c r="P335" s="3274"/>
      <c r="Q335" s="3274"/>
      <c r="R335" s="3274"/>
      <c r="S335" s="2875"/>
      <c r="T335" s="3274"/>
      <c r="U335" s="5350"/>
      <c r="V335" s="5350"/>
      <c r="W335" s="5351"/>
      <c r="X335" s="5351"/>
      <c r="Y335" s="3286"/>
      <c r="Z335" s="3286"/>
      <c r="AA335" s="5352">
        <f t="shared" si="87"/>
        <v>0</v>
      </c>
      <c r="AB335" s="5396"/>
      <c r="AC335" s="2682"/>
      <c r="AD335" s="3289"/>
      <c r="AE335" s="2628"/>
      <c r="AF335" s="2629"/>
      <c r="AG335" s="2628"/>
      <c r="AH335" s="2629"/>
      <c r="AI335" s="2628"/>
      <c r="AJ335" s="2629"/>
      <c r="AK335" s="2671">
        <f t="shared" si="78"/>
        <v>0</v>
      </c>
      <c r="AL335" s="3464"/>
      <c r="AM335" s="3448"/>
      <c r="AN335" s="3448"/>
      <c r="AO335" s="3448"/>
      <c r="AP335" s="3448"/>
      <c r="AQ335" s="3448"/>
      <c r="AR335" s="3458" t="e">
        <f t="shared" si="90"/>
        <v>#DIV/0!</v>
      </c>
      <c r="AS335" s="3459">
        <f t="shared" si="89"/>
        <v>0</v>
      </c>
    </row>
    <row r="336" spans="1:45" s="1444" customFormat="1" ht="27.95" customHeight="1">
      <c r="A336" s="3274"/>
      <c r="B336" s="2151"/>
      <c r="C336" s="3087"/>
      <c r="D336" s="2147"/>
      <c r="E336" s="2147"/>
      <c r="F336" s="2147"/>
      <c r="G336" s="2149"/>
      <c r="H336" s="3274"/>
      <c r="I336" s="3274"/>
      <c r="J336" s="3274"/>
      <c r="K336" s="3274"/>
      <c r="L336" s="3673"/>
      <c r="M336" s="3672"/>
      <c r="N336" s="5350"/>
      <c r="O336" s="5350"/>
      <c r="P336" s="3274"/>
      <c r="Q336" s="3274"/>
      <c r="R336" s="3274"/>
      <c r="S336" s="2875"/>
      <c r="T336" s="3274"/>
      <c r="U336" s="5350"/>
      <c r="V336" s="5350"/>
      <c r="W336" s="5351"/>
      <c r="X336" s="5351"/>
      <c r="Y336" s="3286"/>
      <c r="Z336" s="3286"/>
      <c r="AA336" s="5352">
        <f t="shared" si="87"/>
        <v>0</v>
      </c>
      <c r="AB336" s="5396"/>
      <c r="AC336" s="2682"/>
      <c r="AD336" s="3289"/>
      <c r="AE336" s="2628"/>
      <c r="AF336" s="2629"/>
      <c r="AG336" s="2628"/>
      <c r="AH336" s="2629"/>
      <c r="AI336" s="2628"/>
      <c r="AJ336" s="2629"/>
      <c r="AK336" s="2671">
        <f t="shared" si="78"/>
        <v>0</v>
      </c>
      <c r="AL336" s="3464"/>
      <c r="AM336" s="3448"/>
      <c r="AN336" s="3448"/>
      <c r="AO336" s="3448"/>
      <c r="AP336" s="3448"/>
      <c r="AQ336" s="3448"/>
      <c r="AR336" s="3458" t="e">
        <f t="shared" si="90"/>
        <v>#DIV/0!</v>
      </c>
      <c r="AS336" s="3459">
        <f t="shared" si="89"/>
        <v>0</v>
      </c>
    </row>
    <row r="337" spans="1:45" s="1444" customFormat="1" ht="27.95" customHeight="1">
      <c r="A337" s="3274"/>
      <c r="B337" s="2151"/>
      <c r="C337" s="3087"/>
      <c r="D337" s="2147"/>
      <c r="E337" s="2147"/>
      <c r="F337" s="2147"/>
      <c r="G337" s="2149"/>
      <c r="H337" s="3274"/>
      <c r="I337" s="3274"/>
      <c r="J337" s="3274"/>
      <c r="K337" s="3274"/>
      <c r="L337" s="3673"/>
      <c r="M337" s="3672"/>
      <c r="N337" s="5350"/>
      <c r="O337" s="5350"/>
      <c r="P337" s="3274"/>
      <c r="Q337" s="3274"/>
      <c r="R337" s="3274"/>
      <c r="S337" s="2875"/>
      <c r="T337" s="3274"/>
      <c r="U337" s="5350"/>
      <c r="V337" s="5350"/>
      <c r="W337" s="5351"/>
      <c r="X337" s="5351"/>
      <c r="Y337" s="3286"/>
      <c r="Z337" s="3286"/>
      <c r="AA337" s="5352">
        <f t="shared" si="87"/>
        <v>0</v>
      </c>
      <c r="AB337" s="5396"/>
      <c r="AC337" s="2682"/>
      <c r="AD337" s="3289"/>
      <c r="AE337" s="2628"/>
      <c r="AF337" s="2629"/>
      <c r="AG337" s="2628"/>
      <c r="AH337" s="2629"/>
      <c r="AI337" s="2628"/>
      <c r="AJ337" s="2629"/>
      <c r="AK337" s="2671">
        <f t="shared" si="78"/>
        <v>0</v>
      </c>
      <c r="AL337" s="3464"/>
      <c r="AM337" s="3448"/>
      <c r="AN337" s="3448"/>
      <c r="AO337" s="3448"/>
      <c r="AP337" s="3448"/>
      <c r="AQ337" s="3448"/>
      <c r="AR337" s="3458" t="e">
        <f t="shared" si="90"/>
        <v>#DIV/0!</v>
      </c>
      <c r="AS337" s="3459">
        <f t="shared" si="89"/>
        <v>0</v>
      </c>
    </row>
    <row r="338" spans="1:45" s="1444" customFormat="1" ht="27.95" customHeight="1">
      <c r="A338" s="3274"/>
      <c r="B338" s="2151"/>
      <c r="C338" s="3087"/>
      <c r="D338" s="2147"/>
      <c r="E338" s="2147"/>
      <c r="F338" s="2147"/>
      <c r="G338" s="2149"/>
      <c r="H338" s="3274"/>
      <c r="I338" s="3274"/>
      <c r="J338" s="3274"/>
      <c r="K338" s="3274"/>
      <c r="L338" s="3673"/>
      <c r="M338" s="3672"/>
      <c r="N338" s="5350"/>
      <c r="O338" s="5350"/>
      <c r="P338" s="3274"/>
      <c r="Q338" s="3274"/>
      <c r="R338" s="3274"/>
      <c r="S338" s="2875"/>
      <c r="T338" s="3274"/>
      <c r="U338" s="5350"/>
      <c r="V338" s="5350"/>
      <c r="W338" s="5351"/>
      <c r="X338" s="5351"/>
      <c r="Y338" s="3286"/>
      <c r="Z338" s="3286"/>
      <c r="AA338" s="5352">
        <f t="shared" si="87"/>
        <v>0</v>
      </c>
      <c r="AB338" s="5396"/>
      <c r="AC338" s="2682"/>
      <c r="AD338" s="3289"/>
      <c r="AE338" s="2628"/>
      <c r="AF338" s="2629"/>
      <c r="AG338" s="2628"/>
      <c r="AH338" s="2629"/>
      <c r="AI338" s="2628"/>
      <c r="AJ338" s="2629"/>
      <c r="AK338" s="2671">
        <f t="shared" si="78"/>
        <v>0</v>
      </c>
      <c r="AL338" s="3464"/>
      <c r="AM338" s="3448"/>
      <c r="AN338" s="3448"/>
      <c r="AO338" s="3448"/>
      <c r="AP338" s="3448"/>
      <c r="AQ338" s="3448"/>
      <c r="AR338" s="3458" t="e">
        <f t="shared" si="90"/>
        <v>#DIV/0!</v>
      </c>
      <c r="AS338" s="3459">
        <f t="shared" si="89"/>
        <v>0</v>
      </c>
    </row>
    <row r="339" spans="1:45" s="1444" customFormat="1" ht="27.95" customHeight="1">
      <c r="A339" s="3274"/>
      <c r="B339" s="2151"/>
      <c r="C339" s="3087"/>
      <c r="D339" s="2147"/>
      <c r="E339" s="2147"/>
      <c r="F339" s="2147"/>
      <c r="G339" s="2149"/>
      <c r="H339" s="3274"/>
      <c r="I339" s="3274"/>
      <c r="J339" s="3274"/>
      <c r="K339" s="3274"/>
      <c r="L339" s="3673"/>
      <c r="M339" s="3672"/>
      <c r="N339" s="5350"/>
      <c r="O339" s="5350"/>
      <c r="P339" s="3274"/>
      <c r="Q339" s="3274"/>
      <c r="R339" s="3274"/>
      <c r="S339" s="2875"/>
      <c r="T339" s="3274"/>
      <c r="U339" s="5350"/>
      <c r="V339" s="5350"/>
      <c r="W339" s="5351"/>
      <c r="X339" s="5351"/>
      <c r="Y339" s="3286"/>
      <c r="Z339" s="3286"/>
      <c r="AA339" s="5352">
        <f t="shared" si="87"/>
        <v>0</v>
      </c>
      <c r="AB339" s="5396"/>
      <c r="AC339" s="2682"/>
      <c r="AD339" s="3289"/>
      <c r="AE339" s="2628"/>
      <c r="AF339" s="2629"/>
      <c r="AG339" s="2628"/>
      <c r="AH339" s="2629"/>
      <c r="AI339" s="2628"/>
      <c r="AJ339" s="2629"/>
      <c r="AK339" s="2671">
        <f t="shared" si="78"/>
        <v>0</v>
      </c>
      <c r="AL339" s="3464"/>
      <c r="AM339" s="3448"/>
      <c r="AN339" s="3448"/>
      <c r="AO339" s="3448"/>
      <c r="AP339" s="3448"/>
      <c r="AQ339" s="3448"/>
      <c r="AR339" s="3458" t="e">
        <f t="shared" si="90"/>
        <v>#DIV/0!</v>
      </c>
      <c r="AS339" s="3459">
        <f t="shared" si="89"/>
        <v>0</v>
      </c>
    </row>
    <row r="340" spans="1:45" s="1444" customFormat="1" ht="27.95" customHeight="1">
      <c r="A340" s="3274"/>
      <c r="B340" s="2151"/>
      <c r="C340" s="3087"/>
      <c r="D340" s="2147"/>
      <c r="E340" s="2147"/>
      <c r="F340" s="2147"/>
      <c r="G340" s="2149"/>
      <c r="H340" s="3274"/>
      <c r="I340" s="3274"/>
      <c r="J340" s="3274"/>
      <c r="K340" s="3274"/>
      <c r="L340" s="3673"/>
      <c r="M340" s="3672"/>
      <c r="N340" s="5350"/>
      <c r="O340" s="5350"/>
      <c r="P340" s="3274"/>
      <c r="Q340" s="3274"/>
      <c r="R340" s="3274"/>
      <c r="S340" s="2875"/>
      <c r="T340" s="3274"/>
      <c r="U340" s="5350"/>
      <c r="V340" s="5350"/>
      <c r="W340" s="5351"/>
      <c r="X340" s="5351"/>
      <c r="Y340" s="3286"/>
      <c r="Z340" s="3286"/>
      <c r="AA340" s="5352">
        <f t="shared" si="87"/>
        <v>0</v>
      </c>
      <c r="AB340" s="5396"/>
      <c r="AC340" s="2682"/>
      <c r="AD340" s="3289"/>
      <c r="AE340" s="2628"/>
      <c r="AF340" s="2629"/>
      <c r="AG340" s="2628"/>
      <c r="AH340" s="2629"/>
      <c r="AI340" s="2628"/>
      <c r="AJ340" s="2629"/>
      <c r="AK340" s="2671">
        <f t="shared" si="78"/>
        <v>0</v>
      </c>
      <c r="AL340" s="3464"/>
      <c r="AM340" s="3448"/>
      <c r="AN340" s="3448"/>
      <c r="AO340" s="3448"/>
      <c r="AP340" s="3448"/>
      <c r="AQ340" s="3448"/>
      <c r="AR340" s="3458" t="e">
        <f t="shared" si="90"/>
        <v>#DIV/0!</v>
      </c>
      <c r="AS340" s="3459">
        <f t="shared" si="89"/>
        <v>0</v>
      </c>
    </row>
    <row r="341" spans="1:45" s="1444" customFormat="1" ht="27.95" customHeight="1">
      <c r="A341" s="3274"/>
      <c r="B341" s="2151"/>
      <c r="C341" s="3087"/>
      <c r="D341" s="2147"/>
      <c r="E341" s="2147"/>
      <c r="F341" s="2147"/>
      <c r="G341" s="2149"/>
      <c r="H341" s="3274"/>
      <c r="I341" s="3274"/>
      <c r="J341" s="3290"/>
      <c r="K341" s="3290"/>
      <c r="L341" s="3671"/>
      <c r="M341" s="3672"/>
      <c r="N341" s="5350"/>
      <c r="O341" s="5350"/>
      <c r="P341" s="2806"/>
      <c r="Q341" s="2806"/>
      <c r="R341" s="2806"/>
      <c r="S341" s="2877"/>
      <c r="T341" s="3274"/>
      <c r="U341" s="5350"/>
      <c r="V341" s="5350"/>
      <c r="W341" s="5351"/>
      <c r="X341" s="5351"/>
      <c r="Y341" s="3286"/>
      <c r="Z341" s="3286"/>
      <c r="AA341" s="5352">
        <f t="shared" si="87"/>
        <v>0</v>
      </c>
      <c r="AB341" s="5396"/>
      <c r="AC341" s="2682"/>
      <c r="AD341" s="3289"/>
      <c r="AE341" s="2628"/>
      <c r="AF341" s="2629"/>
      <c r="AG341" s="2628"/>
      <c r="AH341" s="2629"/>
      <c r="AI341" s="2628"/>
      <c r="AJ341" s="2629"/>
      <c r="AK341" s="2671">
        <f t="shared" si="78"/>
        <v>0</v>
      </c>
      <c r="AL341" s="3464"/>
      <c r="AM341" s="3448"/>
      <c r="AN341" s="3448"/>
      <c r="AO341" s="3448"/>
      <c r="AP341" s="3448"/>
      <c r="AQ341" s="3448"/>
      <c r="AR341" s="3458" t="e">
        <f t="shared" si="90"/>
        <v>#DIV/0!</v>
      </c>
      <c r="AS341" s="3459">
        <f t="shared" si="89"/>
        <v>0</v>
      </c>
    </row>
    <row r="342" spans="1:45" s="1444" customFormat="1" ht="27.95" customHeight="1">
      <c r="A342" s="3274"/>
      <c r="B342" s="2151"/>
      <c r="C342" s="3087"/>
      <c r="D342" s="2147"/>
      <c r="E342" s="2147"/>
      <c r="F342" s="2147"/>
      <c r="G342" s="2149"/>
      <c r="H342" s="3274"/>
      <c r="I342" s="3274"/>
      <c r="J342" s="3274"/>
      <c r="K342" s="3274"/>
      <c r="L342" s="3673"/>
      <c r="M342" s="3672"/>
      <c r="N342" s="5350"/>
      <c r="O342" s="5350"/>
      <c r="P342" s="3274"/>
      <c r="Q342" s="3274"/>
      <c r="R342" s="3274"/>
      <c r="S342" s="2875"/>
      <c r="T342" s="3274"/>
      <c r="U342" s="5350"/>
      <c r="V342" s="5350"/>
      <c r="W342" s="5351"/>
      <c r="X342" s="5351"/>
      <c r="Y342" s="3286"/>
      <c r="Z342" s="3286"/>
      <c r="AA342" s="5352">
        <f t="shared" si="87"/>
        <v>0</v>
      </c>
      <c r="AB342" s="5396"/>
      <c r="AC342" s="2682"/>
      <c r="AD342" s="3289"/>
      <c r="AE342" s="2628"/>
      <c r="AF342" s="2629"/>
      <c r="AG342" s="2628"/>
      <c r="AH342" s="2629"/>
      <c r="AI342" s="2628"/>
      <c r="AJ342" s="2629"/>
      <c r="AK342" s="2672">
        <f t="shared" si="78"/>
        <v>0</v>
      </c>
      <c r="AL342" s="3464"/>
      <c r="AM342" s="3448"/>
      <c r="AN342" s="3448"/>
      <c r="AO342" s="3448"/>
      <c r="AP342" s="3448"/>
      <c r="AQ342" s="3448"/>
      <c r="AR342" s="3458" t="e">
        <f t="shared" si="90"/>
        <v>#DIV/0!</v>
      </c>
      <c r="AS342" s="3459">
        <f t="shared" si="89"/>
        <v>0</v>
      </c>
    </row>
    <row r="343" spans="1:45" s="1444" customFormat="1" ht="27.95" customHeight="1">
      <c r="A343" s="3273">
        <f>COUNTA(B317:G342)</f>
        <v>4</v>
      </c>
      <c r="B343" s="2964" t="str">
        <f>'[1]0593I'!$S$3</f>
        <v>manueljesu_95@hotmail.com</v>
      </c>
      <c r="C343" s="3273"/>
      <c r="D343" s="2963"/>
      <c r="E343" s="2964" t="str">
        <f>'[4]0593I'!$C$8</f>
        <v>SMZ. 48 MZA. 13 L. 2 C. OCOSINGO</v>
      </c>
      <c r="F343" s="3273"/>
      <c r="G343" s="3273"/>
      <c r="H343" s="3273">
        <f>COUNTIF(H318:H320,"X")</f>
        <v>1</v>
      </c>
      <c r="I343" s="3273">
        <f>COUNTIF(I318:I320,"X")</f>
        <v>2</v>
      </c>
      <c r="J343" s="2966">
        <f>COUNTIF(L317:M342,"docente")</f>
        <v>2</v>
      </c>
      <c r="K343" s="2967">
        <f>COUNTIF(L317:M342,"intendente")</f>
        <v>1</v>
      </c>
      <c r="L343" s="1665">
        <f>COUNTA(N317:O342)</f>
        <v>2</v>
      </c>
      <c r="M343" s="2968">
        <f>COUNTIF(Y317:Y342,"1º")</f>
        <v>0</v>
      </c>
      <c r="N343" s="3278">
        <f>COUNTIF(Y317:Y342,"2º")</f>
        <v>0</v>
      </c>
      <c r="O343" s="3278">
        <f>COUNTIF(Y317:Y342,"3º")</f>
        <v>0</v>
      </c>
      <c r="P343" s="3278">
        <f>COUNTIF(Y317:Y342,"4º")</f>
        <v>0</v>
      </c>
      <c r="Q343" s="3278">
        <f>COUNTIF(Y317:Y342,"5º")</f>
        <v>1</v>
      </c>
      <c r="R343" s="3278">
        <f>COUNTIF(Y317:Y342,"6º")</f>
        <v>1</v>
      </c>
      <c r="S343" s="2968">
        <f>SUM(M343:R343)</f>
        <v>2</v>
      </c>
      <c r="T343" s="3273">
        <f>COUNTA(T317:T342)</f>
        <v>1</v>
      </c>
      <c r="U343" s="2968">
        <f>COUNTIF(U317:V342,"10")</f>
        <v>4</v>
      </c>
      <c r="V343" s="2969">
        <f>COUNTIF(U317:V342,"20")</f>
        <v>0</v>
      </c>
      <c r="W343" s="5409" t="s">
        <v>1232</v>
      </c>
      <c r="X343" s="5409"/>
      <c r="Y343" s="5409"/>
      <c r="Z343" s="3286">
        <f>COUNTA(Z317:Z342)</f>
        <v>2</v>
      </c>
      <c r="AA343" s="5396">
        <f>SUM(AA317:AB342)</f>
        <v>42</v>
      </c>
      <c r="AB343" s="5396"/>
      <c r="AC343" s="2687">
        <f t="shared" ref="AC343:AJ343" si="91">SUM(AC317:AC342)</f>
        <v>25</v>
      </c>
      <c r="AD343" s="2688">
        <f t="shared" si="91"/>
        <v>23</v>
      </c>
      <c r="AE343" s="2630">
        <f t="shared" si="91"/>
        <v>1</v>
      </c>
      <c r="AF343" s="2631">
        <f t="shared" si="91"/>
        <v>1</v>
      </c>
      <c r="AG343" s="2632">
        <f t="shared" si="91"/>
        <v>5</v>
      </c>
      <c r="AH343" s="2633">
        <f t="shared" si="91"/>
        <v>3</v>
      </c>
      <c r="AI343" s="2634">
        <f t="shared" si="91"/>
        <v>0</v>
      </c>
      <c r="AJ343" s="2635">
        <f t="shared" si="91"/>
        <v>0</v>
      </c>
      <c r="AK343" s="317">
        <f t="shared" si="78"/>
        <v>48</v>
      </c>
      <c r="AL343" s="3461" t="e">
        <f>SUM(AL317:AL342)/AL344</f>
        <v>#DIV/0!</v>
      </c>
      <c r="AM343" s="3465">
        <f t="shared" ref="AM343" si="92">SUM(AM317:AM342)/AM344</f>
        <v>7.6999999999999993</v>
      </c>
      <c r="AN343" s="3460" t="e">
        <f t="shared" ref="AN343" si="93">SUM(AN317:AN342)/AN344</f>
        <v>#DIV/0!</v>
      </c>
      <c r="AO343" s="3460" t="e">
        <f t="shared" ref="AO343" si="94">SUM(AO317:AO342)/AO344</f>
        <v>#DIV/0!</v>
      </c>
      <c r="AP343" s="3460" t="e">
        <f t="shared" ref="AP343" si="95">SUM(AP317:AP342)/AP344</f>
        <v>#DIV/0!</v>
      </c>
      <c r="AQ343" s="3460" t="e">
        <f>SUM(AQ317:AQ342)/AQ344</f>
        <v>#DIV/0!</v>
      </c>
      <c r="AR343" s="3461" t="e">
        <f t="shared" si="90"/>
        <v>#DIV/0!</v>
      </c>
      <c r="AS343" s="3459">
        <f t="shared" si="89"/>
        <v>5</v>
      </c>
    </row>
    <row r="344" spans="1:45" s="1446" customFormat="1" ht="27.95" customHeight="1">
      <c r="A344" s="3690" t="s">
        <v>228</v>
      </c>
      <c r="B344" s="3691">
        <f>SUM(Estadisticas!AM32:AN32)</f>
        <v>0</v>
      </c>
      <c r="C344" s="3691">
        <f>SUM(Estadisticas!AO32:AP32)</f>
        <v>0</v>
      </c>
      <c r="D344" s="3691">
        <f>SUM(Estadisticas!AQ32:AR32)</f>
        <v>0</v>
      </c>
      <c r="E344" s="3691">
        <f>SUM(Estadisticas!AS32:AT32)</f>
        <v>0</v>
      </c>
      <c r="F344" s="3691">
        <f>SUM(Estadisticas!AU32:AV32)</f>
        <v>1</v>
      </c>
      <c r="G344" s="3691">
        <f>SUM(Estadisticas!AW32:AX32)</f>
        <v>1</v>
      </c>
      <c r="H344" s="5412">
        <f>SUM(B344:G344)</f>
        <v>2</v>
      </c>
      <c r="I344" s="5412"/>
      <c r="J344" s="3705"/>
      <c r="K344" s="3705"/>
      <c r="L344" s="3692" t="s">
        <v>1126</v>
      </c>
      <c r="M344" s="3690">
        <f>SUM(AK317)</f>
        <v>20</v>
      </c>
      <c r="N344" s="3690">
        <f t="shared" ref="N344:O344" si="96">SUM(AL317)</f>
        <v>0</v>
      </c>
      <c r="O344" s="3690">
        <f t="shared" si="96"/>
        <v>7.8</v>
      </c>
      <c r="P344" s="3690">
        <f>SUM(AK318)</f>
        <v>28</v>
      </c>
      <c r="Q344" s="3690">
        <f>SUM(AK319)</f>
        <v>0</v>
      </c>
      <c r="R344" s="3690">
        <f>SUM(AK320)</f>
        <v>0</v>
      </c>
      <c r="S344" s="3690">
        <f>SUM(M344:R344)</f>
        <v>55.8</v>
      </c>
      <c r="T344" s="3705">
        <f>'[1]0593I'!$V$23</f>
        <v>2</v>
      </c>
      <c r="U344" s="3705"/>
      <c r="V344" s="3705"/>
      <c r="W344" s="3705"/>
      <c r="X344" s="3705"/>
      <c r="Y344" s="3695">
        <f>COUNTA(Y317:Y342)</f>
        <v>2</v>
      </c>
      <c r="Z344" s="3705"/>
      <c r="AA344" s="5445">
        <f>'[1]0593I'!$X$35</f>
        <v>42</v>
      </c>
      <c r="AB344" s="5445"/>
      <c r="AC344" s="5334">
        <f>AC343+AD343</f>
        <v>48</v>
      </c>
      <c r="AD344" s="5334"/>
      <c r="AE344" s="5335">
        <f>AE343+AF343</f>
        <v>2</v>
      </c>
      <c r="AF344" s="5335"/>
      <c r="AG344" s="5335">
        <f>AG343+AH343</f>
        <v>8</v>
      </c>
      <c r="AH344" s="5335"/>
      <c r="AI344" s="2636"/>
      <c r="AJ344" s="2636"/>
      <c r="AK344" s="2636">
        <f>SUM(AC344:AD344)+AE344</f>
        <v>50</v>
      </c>
      <c r="AL344" s="3462">
        <f>COUNTA(AL317:AL342)</f>
        <v>0</v>
      </c>
      <c r="AM344" s="3462">
        <f t="shared" ref="AM344:AQ344" si="97">COUNTA(AM317:AM342)</f>
        <v>2</v>
      </c>
      <c r="AN344" s="3462">
        <f t="shared" si="97"/>
        <v>0</v>
      </c>
      <c r="AO344" s="3462">
        <f t="shared" si="97"/>
        <v>0</v>
      </c>
      <c r="AP344" s="3462">
        <f t="shared" si="97"/>
        <v>0</v>
      </c>
      <c r="AQ344" s="3462">
        <f t="shared" si="97"/>
        <v>0</v>
      </c>
      <c r="AR344" s="3462">
        <v>12</v>
      </c>
    </row>
    <row r="345" spans="1:45" s="1446" customFormat="1" ht="27.95" customHeight="1">
      <c r="A345" s="3695" t="s">
        <v>230</v>
      </c>
      <c r="B345" s="3695">
        <f>SUM(Estadisticas!AY32:AZ32)</f>
        <v>0</v>
      </c>
      <c r="C345" s="3695">
        <f>SUM(Estadisticas!BA32:BB32)</f>
        <v>0</v>
      </c>
      <c r="D345" s="3695">
        <f>SUM(Estadisticas!BC32:BD32)</f>
        <v>0</v>
      </c>
      <c r="E345" s="3695">
        <f>SUM(Estadisticas!BE32:BF32)</f>
        <v>0</v>
      </c>
      <c r="F345" s="3695">
        <f>SUM(Estadisticas!BG32:BH32)</f>
        <v>2</v>
      </c>
      <c r="G345" s="3695">
        <f>SUM(Estadisticas!BI32:BJ32)</f>
        <v>6</v>
      </c>
      <c r="H345" s="5413">
        <f>SUM(B345:G345)</f>
        <v>8</v>
      </c>
      <c r="I345" s="5413"/>
      <c r="J345" s="3705"/>
      <c r="K345" s="3705"/>
      <c r="L345" s="3696" t="s">
        <v>423</v>
      </c>
      <c r="M345" s="3695">
        <f>SUM(AE317:AF317)</f>
        <v>1</v>
      </c>
      <c r="N345" s="3695">
        <f t="shared" ref="N345:O345" si="98">SUM(AF317:AG317)</f>
        <v>2</v>
      </c>
      <c r="O345" s="3695">
        <f t="shared" si="98"/>
        <v>2</v>
      </c>
      <c r="P345" s="3695">
        <f>SUM(AE318:AF318)</f>
        <v>1</v>
      </c>
      <c r="Q345" s="3695">
        <f>SUM(AE319:AF319)</f>
        <v>0</v>
      </c>
      <c r="R345" s="3695">
        <f>SUM(AE320:AF320)</f>
        <v>0</v>
      </c>
      <c r="S345" s="3695">
        <f t="shared" ref="S345:S346" si="99">SUM(M345:R345)</f>
        <v>6</v>
      </c>
      <c r="T345" s="3706"/>
      <c r="U345" s="3705" t="str">
        <f>U65</f>
        <v>PRE</v>
      </c>
      <c r="V345" s="3707">
        <f>'[1]0593I'!$F$39</f>
        <v>0</v>
      </c>
      <c r="W345" s="3707">
        <f>'[1]0593I'!$I$39</f>
        <v>0</v>
      </c>
      <c r="X345" s="3707">
        <f>'[1]0593I'!$L$39</f>
        <v>0</v>
      </c>
      <c r="Y345" s="3707">
        <f>'[1]0593I'!$O$39</f>
        <v>0</v>
      </c>
      <c r="Z345" s="3707">
        <f>'[1]0593I'!$R$39</f>
        <v>1</v>
      </c>
      <c r="AA345" s="3707">
        <f>'[1]0593I'!$U$39</f>
        <v>1</v>
      </c>
      <c r="AB345" s="3707">
        <f>SUM(V345:AA345)</f>
        <v>2</v>
      </c>
      <c r="AC345" s="2683"/>
      <c r="AD345" s="3238"/>
      <c r="AE345" s="2620"/>
      <c r="AF345" s="2621"/>
      <c r="AG345" s="2620"/>
      <c r="AH345" s="2621"/>
      <c r="AK345" s="2636"/>
      <c r="AL345" s="3448"/>
      <c r="AM345" s="3448"/>
      <c r="AN345" s="3448"/>
      <c r="AO345" s="3448"/>
      <c r="AP345" s="3448"/>
      <c r="AQ345" s="3448"/>
      <c r="AR345" s="3448"/>
    </row>
    <row r="346" spans="1:45" s="1441" customFormat="1" ht="27.95" customHeight="1">
      <c r="A346" s="3698" t="s">
        <v>478</v>
      </c>
      <c r="B346" s="3698">
        <f>SUM(Estadisticas!BK32:BL32)</f>
        <v>0</v>
      </c>
      <c r="C346" s="3698">
        <f>SUM(Estadisticas!BM32:BN32)</f>
        <v>0</v>
      </c>
      <c r="D346" s="3698">
        <f>SUM(Estadisticas!BO32:BP32)</f>
        <v>0</v>
      </c>
      <c r="E346" s="3698">
        <f>SUM(Estadisticas!BQ32:BR32)</f>
        <v>0</v>
      </c>
      <c r="F346" s="3698">
        <f>SUM(Estadisticas!BS32:BT32)</f>
        <v>0</v>
      </c>
      <c r="G346" s="3698">
        <f>SUM(Estadisticas!BU32:BV32)</f>
        <v>0</v>
      </c>
      <c r="H346" s="5414">
        <f>SUM(B346:G346)</f>
        <v>0</v>
      </c>
      <c r="I346" s="5414"/>
      <c r="J346" s="3716"/>
      <c r="K346" s="3717"/>
      <c r="L346" s="3701" t="s">
        <v>434</v>
      </c>
      <c r="M346" s="3702">
        <f>SUM(AG317:AH317)</f>
        <v>2</v>
      </c>
      <c r="N346" s="3702">
        <f t="shared" ref="N346:O346" si="100">SUM(AH317:AI317)</f>
        <v>1</v>
      </c>
      <c r="O346" s="3702">
        <f t="shared" si="100"/>
        <v>0</v>
      </c>
      <c r="P346" s="3702">
        <f>SUM(AG318:AH318)</f>
        <v>6</v>
      </c>
      <c r="Q346" s="3702">
        <f>SUM(AG319:AH319)</f>
        <v>0</v>
      </c>
      <c r="R346" s="3702">
        <f>SUM(AG320:AH320)</f>
        <v>0</v>
      </c>
      <c r="S346" s="3702">
        <f t="shared" si="99"/>
        <v>9</v>
      </c>
      <c r="T346" s="3716"/>
      <c r="U346" s="3710">
        <f>'[1]0593I'!$O$26</f>
        <v>0</v>
      </c>
      <c r="V346" s="3710">
        <f>'[1]0593I'!$F$35</f>
        <v>0</v>
      </c>
      <c r="W346" s="3710">
        <f>'[1]0593I'!$I$35</f>
        <v>0</v>
      </c>
      <c r="X346" s="3710">
        <f>'[1]0593I'!$L$35</f>
        <v>0</v>
      </c>
      <c r="Y346" s="3710">
        <f>'[1]0593I'!$O$35</f>
        <v>0</v>
      </c>
      <c r="Z346" s="3710">
        <f>'[1]0593I'!$R$35</f>
        <v>19</v>
      </c>
      <c r="AA346" s="3710">
        <f>'[1]0593I'!$U$35</f>
        <v>23</v>
      </c>
      <c r="AB346" s="3710">
        <f>SUM(V346:AA346)</f>
        <v>42</v>
      </c>
      <c r="AC346" s="2683"/>
      <c r="AD346" s="3238"/>
      <c r="AE346" s="2620"/>
      <c r="AF346" s="2621"/>
      <c r="AG346" s="2620"/>
      <c r="AH346" s="2621"/>
      <c r="AI346" s="1444"/>
      <c r="AJ346" s="1444"/>
      <c r="AK346" s="2636"/>
      <c r="AL346" s="3445"/>
      <c r="AM346" s="3445"/>
      <c r="AN346" s="3445"/>
      <c r="AO346" s="3445"/>
      <c r="AP346" s="3445"/>
      <c r="AQ346" s="3445"/>
      <c r="AR346" s="3445"/>
      <c r="AS346" s="108"/>
    </row>
    <row r="347" spans="1:45" s="1448" customFormat="1" ht="27.95" customHeight="1">
      <c r="A347" s="175"/>
      <c r="B347" s="1427"/>
      <c r="C347" s="173"/>
      <c r="D347" s="3262" t="s">
        <v>1193</v>
      </c>
      <c r="E347" s="5388" t="str">
        <f>B317</f>
        <v>DZIB TUZ * MANUEL JESUS</v>
      </c>
      <c r="F347" s="5388"/>
      <c r="G347" s="5388"/>
      <c r="H347" s="5388"/>
      <c r="I347" s="5388"/>
      <c r="J347" s="5388"/>
      <c r="K347" s="1603"/>
      <c r="L347" s="1428"/>
      <c r="M347" s="3262" t="s">
        <v>1234</v>
      </c>
      <c r="N347" s="5388" t="str">
        <f>N307</f>
        <v>RICALDE CASTRO JESUS MARTIN</v>
      </c>
      <c r="O347" s="5388"/>
      <c r="P347" s="5388"/>
      <c r="Q347" s="5388"/>
      <c r="R347" s="5388"/>
      <c r="S347" s="5388"/>
      <c r="T347" s="1603"/>
      <c r="U347" s="1603"/>
      <c r="V347" s="3262" t="s">
        <v>1195</v>
      </c>
      <c r="W347" s="5388" t="str">
        <f>W307</f>
        <v xml:space="preserve">ANCONA FLORES AURA EUGENIA </v>
      </c>
      <c r="X347" s="5388"/>
      <c r="Y347" s="5388"/>
      <c r="Z347" s="5388"/>
      <c r="AA347" s="5388"/>
      <c r="AB347" s="5388"/>
      <c r="AC347" s="2683"/>
      <c r="AD347" s="3238"/>
      <c r="AE347" s="2620"/>
      <c r="AF347" s="2621"/>
      <c r="AG347" s="2620"/>
      <c r="AH347" s="2621"/>
      <c r="AI347" s="2624"/>
      <c r="AJ347" s="2624"/>
      <c r="AK347" s="2636"/>
      <c r="AL347" s="3449"/>
      <c r="AM347" s="3449"/>
      <c r="AN347" s="3449"/>
      <c r="AO347" s="3449"/>
      <c r="AP347" s="3449"/>
      <c r="AQ347" s="3449"/>
      <c r="AR347" s="3449"/>
      <c r="AS347" s="3450"/>
    </row>
    <row r="348" spans="1:45" s="1430" customFormat="1" ht="27.95" customHeight="1">
      <c r="A348" s="1670"/>
      <c r="B348" s="1401"/>
      <c r="C348" s="1401"/>
      <c r="D348" s="1401"/>
      <c r="E348" s="1401"/>
      <c r="F348" s="1402"/>
      <c r="G348" s="1402"/>
      <c r="H348" s="1402"/>
      <c r="I348" s="1402"/>
      <c r="J348" s="1402"/>
      <c r="K348" s="27"/>
      <c r="M348" s="1431" t="s">
        <v>196</v>
      </c>
      <c r="N348" s="1402"/>
      <c r="O348" s="1402"/>
      <c r="P348" s="1402"/>
      <c r="Q348" s="1402"/>
      <c r="R348" s="1402"/>
      <c r="S348" s="1402"/>
      <c r="T348" s="1401"/>
      <c r="V348" s="3263"/>
      <c r="W348" s="1432" t="s">
        <v>764</v>
      </c>
      <c r="X348" s="5221" t="s">
        <v>247</v>
      </c>
      <c r="Y348" s="5221"/>
      <c r="Z348" s="5221"/>
      <c r="AA348" s="5221"/>
      <c r="AB348" s="1644"/>
      <c r="AC348" s="2683"/>
      <c r="AD348" s="3238"/>
      <c r="AE348" s="2637"/>
      <c r="AF348" s="2638"/>
      <c r="AG348" s="2637"/>
      <c r="AH348" s="2638"/>
      <c r="AI348" s="1449"/>
      <c r="AJ348" s="1449"/>
      <c r="AK348" s="2636"/>
      <c r="AL348" s="3451"/>
      <c r="AM348" s="3451"/>
      <c r="AN348" s="3451"/>
      <c r="AO348" s="3451"/>
      <c r="AP348" s="3451"/>
      <c r="AQ348" s="3451"/>
      <c r="AR348" s="3451"/>
      <c r="AS348" s="3452"/>
    </row>
    <row r="349" spans="1:45" ht="27.95" customHeight="1">
      <c r="A349" s="1663"/>
      <c r="B349" s="1406"/>
      <c r="C349" s="1406"/>
      <c r="D349" s="1406"/>
      <c r="E349" s="1406"/>
      <c r="F349" s="1407"/>
      <c r="G349" s="1407"/>
      <c r="H349" s="1407"/>
      <c r="I349" s="1407"/>
      <c r="J349" s="1407"/>
      <c r="K349" s="1407"/>
      <c r="L349" s="1407"/>
      <c r="M349" s="3260" t="s">
        <v>1148</v>
      </c>
      <c r="N349" s="1407"/>
      <c r="O349" s="1407"/>
      <c r="P349" s="1407"/>
      <c r="Q349" s="1407"/>
      <c r="R349" s="1407"/>
      <c r="S349" s="1407"/>
      <c r="T349" s="1408"/>
      <c r="U349" s="1408"/>
      <c r="V349" s="3263"/>
      <c r="W349" s="1432" t="s">
        <v>1149</v>
      </c>
      <c r="X349" s="5221" t="str">
        <f>X309</f>
        <v>2012 / 2013</v>
      </c>
      <c r="Y349" s="5221"/>
      <c r="Z349" s="5221"/>
      <c r="AA349" s="5221"/>
      <c r="AB349" s="1417"/>
      <c r="AC349" s="2683"/>
      <c r="AD349" s="3238"/>
      <c r="AE349" s="2620"/>
      <c r="AF349" s="2621"/>
      <c r="AG349" s="2620"/>
      <c r="AH349" s="2621"/>
      <c r="AK349" s="2636"/>
      <c r="AR349" s="3445"/>
    </row>
    <row r="350" spans="1:45" ht="27.95" customHeight="1">
      <c r="A350" s="1663"/>
      <c r="B350" s="1410"/>
      <c r="C350" s="1410"/>
      <c r="D350" s="1410"/>
      <c r="E350" s="1410"/>
      <c r="F350" s="1407"/>
      <c r="G350" s="1407"/>
      <c r="H350" s="1407"/>
      <c r="I350" s="1407"/>
      <c r="J350" s="1407"/>
      <c r="K350" s="1407"/>
      <c r="M350" s="3260" t="s">
        <v>1150</v>
      </c>
      <c r="N350" s="1407"/>
      <c r="O350" s="1407"/>
      <c r="P350" s="1407"/>
      <c r="Q350" s="1407"/>
      <c r="R350" s="1407"/>
      <c r="S350" s="1407"/>
      <c r="T350" s="1433"/>
      <c r="U350" s="1433"/>
      <c r="V350" s="1434"/>
      <c r="W350" s="3281" t="s">
        <v>42</v>
      </c>
      <c r="X350" s="5391" t="str">
        <f>X310</f>
        <v>042</v>
      </c>
      <c r="Y350" s="5391"/>
      <c r="Z350" s="5391"/>
      <c r="AA350" s="5391"/>
      <c r="AB350" s="1417"/>
      <c r="AC350" s="2683"/>
      <c r="AD350" s="3238"/>
      <c r="AE350" s="2620"/>
      <c r="AF350" s="2621"/>
      <c r="AG350" s="2620"/>
      <c r="AH350" s="2621"/>
      <c r="AK350" s="2636"/>
      <c r="AR350" s="3445"/>
    </row>
    <row r="351" spans="1:45" ht="27.95" customHeight="1">
      <c r="A351" s="1663"/>
      <c r="B351" s="1410"/>
      <c r="C351" s="1410"/>
      <c r="D351" s="1410"/>
      <c r="E351" s="1410"/>
      <c r="F351" s="1406"/>
      <c r="H351" s="1413"/>
      <c r="I351" s="1413"/>
      <c r="J351" s="1414"/>
      <c r="K351" s="1414"/>
      <c r="L351" s="1415" t="s">
        <v>1197</v>
      </c>
      <c r="M351" s="1415">
        <f>M311</f>
        <v>8</v>
      </c>
      <c r="N351" s="3271" t="s">
        <v>1152</v>
      </c>
      <c r="O351" s="5371" t="str">
        <f>O311</f>
        <v>AGOSTO</v>
      </c>
      <c r="P351" s="5371"/>
      <c r="Q351" s="1435" t="s">
        <v>1152</v>
      </c>
      <c r="R351" s="5371">
        <f>R311</f>
        <v>2012</v>
      </c>
      <c r="S351" s="5371"/>
      <c r="T351" s="1406"/>
      <c r="U351" s="5372" t="s">
        <v>246</v>
      </c>
      <c r="V351" s="5372"/>
      <c r="W351" s="5372"/>
      <c r="X351" s="5372"/>
      <c r="Y351" s="1436" t="s">
        <v>245</v>
      </c>
      <c r="Z351" s="1436"/>
      <c r="AA351" s="1437"/>
      <c r="AB351" s="1417"/>
      <c r="AC351" s="2683"/>
      <c r="AD351" s="3238"/>
      <c r="AE351" s="2620"/>
      <c r="AF351" s="2621"/>
      <c r="AG351" s="2620"/>
      <c r="AH351" s="2621"/>
      <c r="AK351" s="2636"/>
      <c r="AR351" s="3445"/>
    </row>
    <row r="352" spans="1:45" ht="27.95" customHeight="1">
      <c r="A352" s="5356" t="s">
        <v>1153</v>
      </c>
      <c r="B352" s="5356"/>
      <c r="C352" s="5356"/>
      <c r="D352" s="5389" t="s">
        <v>2319</v>
      </c>
      <c r="E352" s="5389"/>
      <c r="F352" s="5389"/>
      <c r="G352" s="5389"/>
      <c r="H352" s="5389"/>
      <c r="I352" s="5389"/>
      <c r="J352" s="5389"/>
      <c r="K352" s="5389"/>
      <c r="L352" s="3281" t="s">
        <v>19</v>
      </c>
      <c r="M352" s="5370" t="s">
        <v>1271</v>
      </c>
      <c r="N352" s="5370"/>
      <c r="O352" s="5390" t="s">
        <v>13</v>
      </c>
      <c r="P352" s="5390"/>
      <c r="Q352" s="5370" t="s">
        <v>69</v>
      </c>
      <c r="R352" s="5370"/>
      <c r="S352" s="5370"/>
      <c r="T352" s="174"/>
      <c r="U352" s="1418" t="s">
        <v>1157</v>
      </c>
      <c r="V352" s="5221" t="str">
        <f>V312</f>
        <v>2  BENITO JUAREZ</v>
      </c>
      <c r="W352" s="5221"/>
      <c r="X352" s="5221"/>
      <c r="Y352" s="5221"/>
      <c r="Z352" s="5221"/>
      <c r="AA352" s="5221"/>
      <c r="AB352" s="5221"/>
      <c r="AC352" s="2683"/>
      <c r="AD352" s="3238"/>
      <c r="AE352" s="2620"/>
      <c r="AF352" s="2621"/>
      <c r="AG352" s="2620"/>
      <c r="AH352" s="2621"/>
      <c r="AK352" s="2636"/>
      <c r="AR352" s="3445"/>
    </row>
    <row r="353" spans="1:45" s="1439" customFormat="1" ht="27.95" customHeight="1">
      <c r="A353" s="5356" t="s">
        <v>437</v>
      </c>
      <c r="B353" s="5356"/>
      <c r="C353" s="5389" t="s">
        <v>2332</v>
      </c>
      <c r="D353" s="5389"/>
      <c r="E353" s="5389"/>
      <c r="F353" s="5389"/>
      <c r="G353" s="5389"/>
      <c r="H353" s="5389"/>
      <c r="I353" s="5389"/>
      <c r="J353" s="5389"/>
      <c r="K353" s="5389"/>
      <c r="L353" s="5389"/>
      <c r="M353" s="5389"/>
      <c r="N353" s="1419"/>
      <c r="O353" s="3281" t="s">
        <v>863</v>
      </c>
      <c r="P353" s="5370" t="str">
        <f>'[1]0640C'!$I$8</f>
        <v>9981 98 41 36</v>
      </c>
      <c r="Q353" s="5370"/>
      <c r="R353" s="5370"/>
      <c r="S353" s="5370"/>
      <c r="T353" s="5370"/>
      <c r="U353" s="1420"/>
      <c r="V353" s="3281"/>
      <c r="W353" s="3281" t="s">
        <v>1159</v>
      </c>
      <c r="X353" s="5358" t="str">
        <f>X313</f>
        <v>8  DE  AGOSTO  DE  2012</v>
      </c>
      <c r="Y353" s="5358"/>
      <c r="Z353" s="5358"/>
      <c r="AA353" s="5358"/>
      <c r="AB353" s="5358"/>
      <c r="AC353" s="5331" t="str">
        <f>D352</f>
        <v>ANTONIO MEDIZ BOLIO</v>
      </c>
      <c r="AD353" s="5331"/>
      <c r="AE353" s="5331"/>
      <c r="AF353" s="5331"/>
      <c r="AG353" s="5331"/>
      <c r="AH353" s="5331"/>
      <c r="AI353" s="5332" t="str">
        <f>M352</f>
        <v>23DPR0640C</v>
      </c>
      <c r="AJ353" s="5332"/>
      <c r="AK353" s="5332"/>
      <c r="AL353" s="3446"/>
      <c r="AM353" s="3446"/>
      <c r="AN353" s="3446"/>
      <c r="AO353" s="3446"/>
      <c r="AP353" s="3446"/>
      <c r="AQ353" s="3446"/>
      <c r="AR353" s="3446"/>
      <c r="AS353" s="2166"/>
    </row>
    <row r="354" spans="1:45" s="1441" customFormat="1" ht="9.9499999999999993" customHeight="1">
      <c r="A354" s="2996" t="str">
        <f>'[4]0640C'!$C$8</f>
        <v>SMZ. 502 MZ. 2 L. 1 COL. PEHALTUN</v>
      </c>
      <c r="B354" s="1422"/>
      <c r="C354" s="1422"/>
      <c r="D354" s="3261"/>
      <c r="E354" s="3261"/>
      <c r="F354" s="3261"/>
      <c r="G354" s="3261"/>
      <c r="H354" s="3261"/>
      <c r="I354" s="3261"/>
      <c r="J354" s="3261"/>
      <c r="K354" s="3261"/>
      <c r="L354" s="3261"/>
      <c r="M354" s="1421"/>
      <c r="N354" s="2995" t="str">
        <f>'[4]0640C'!$I$8</f>
        <v>998 2-51-27-95</v>
      </c>
      <c r="O354" s="1423"/>
      <c r="P354" s="1423"/>
      <c r="Q354" s="1424"/>
      <c r="R354" s="1423"/>
      <c r="S354" s="1423"/>
      <c r="T354" s="1422"/>
      <c r="U354" s="1422"/>
      <c r="V354" s="3261"/>
      <c r="W354" s="3261"/>
      <c r="X354" s="3261"/>
      <c r="Y354" s="3261"/>
      <c r="Z354" s="1422"/>
      <c r="AA354" s="1422"/>
      <c r="AB354" s="1422"/>
      <c r="AC354" s="2689"/>
      <c r="AD354" s="2690"/>
      <c r="AE354" s="2639"/>
      <c r="AF354" s="2640"/>
      <c r="AG354" s="2639"/>
      <c r="AH354" s="2640"/>
      <c r="AI354" s="1444"/>
      <c r="AJ354" s="1444"/>
      <c r="AK354" s="2636"/>
      <c r="AL354" s="3445"/>
      <c r="AM354" s="3445"/>
      <c r="AN354" s="3445"/>
      <c r="AO354" s="3445"/>
      <c r="AP354" s="3445"/>
      <c r="AQ354" s="3445"/>
      <c r="AR354" s="3445"/>
      <c r="AS354" s="108"/>
    </row>
    <row r="355" spans="1:45" s="1442" customFormat="1" ht="27.95" customHeight="1">
      <c r="A355" s="5415" t="s">
        <v>1160</v>
      </c>
      <c r="B355" s="5416" t="s">
        <v>1235</v>
      </c>
      <c r="C355" s="5416"/>
      <c r="D355" s="5416"/>
      <c r="E355" s="5416"/>
      <c r="F355" s="5416"/>
      <c r="G355" s="5416"/>
      <c r="H355" s="5417" t="s">
        <v>1161</v>
      </c>
      <c r="I355" s="5417"/>
      <c r="J355" s="5417" t="s">
        <v>212</v>
      </c>
      <c r="K355" s="5417" t="s">
        <v>1162</v>
      </c>
      <c r="L355" s="5417" t="s">
        <v>1163</v>
      </c>
      <c r="M355" s="5417"/>
      <c r="N355" s="5417" t="s">
        <v>1164</v>
      </c>
      <c r="O355" s="5417"/>
      <c r="P355" s="5417" t="s">
        <v>1165</v>
      </c>
      <c r="Q355" s="5417"/>
      <c r="R355" s="5417" t="s">
        <v>1166</v>
      </c>
      <c r="S355" s="5417"/>
      <c r="T355" s="5417" t="s">
        <v>1167</v>
      </c>
      <c r="U355" s="5417" t="s">
        <v>1168</v>
      </c>
      <c r="V355" s="5417"/>
      <c r="W355" s="5417" t="s">
        <v>1169</v>
      </c>
      <c r="X355" s="5417"/>
      <c r="Y355" s="5417" t="s">
        <v>3</v>
      </c>
      <c r="Z355" s="5417" t="s">
        <v>4</v>
      </c>
      <c r="AA355" s="5417" t="s">
        <v>28</v>
      </c>
      <c r="AB355" s="5417"/>
      <c r="AC355" s="5340" t="str">
        <f>AC315</f>
        <v>INICIAL</v>
      </c>
      <c r="AD355" s="5340"/>
      <c r="AE355" s="5344" t="str">
        <f>AE315</f>
        <v>ALTAS</v>
      </c>
      <c r="AF355" s="5345"/>
      <c r="AG355" s="5346" t="str">
        <f>AG315</f>
        <v>BAJAS</v>
      </c>
      <c r="AH355" s="5347"/>
      <c r="AI355" s="5333" t="str">
        <f>AI315</f>
        <v>REP</v>
      </c>
      <c r="AJ355" s="5333"/>
      <c r="AK355" s="2625" t="str">
        <f>AK315</f>
        <v>INI</v>
      </c>
      <c r="AL355" s="5328" t="s">
        <v>2509</v>
      </c>
      <c r="AM355" s="5329"/>
      <c r="AN355" s="5329"/>
      <c r="AO355" s="5329"/>
      <c r="AP355" s="5329"/>
      <c r="AQ355" s="5329"/>
      <c r="AR355" s="5330"/>
    </row>
    <row r="356" spans="1:45" s="1442" customFormat="1" ht="27.95" customHeight="1">
      <c r="A356" s="5424"/>
      <c r="B356" s="5425"/>
      <c r="C356" s="5425"/>
      <c r="D356" s="5425"/>
      <c r="E356" s="5425"/>
      <c r="F356" s="5425"/>
      <c r="G356" s="5425"/>
      <c r="H356" s="3270" t="s">
        <v>407</v>
      </c>
      <c r="I356" s="3270" t="s">
        <v>403</v>
      </c>
      <c r="J356" s="5426"/>
      <c r="K356" s="5426"/>
      <c r="L356" s="5426"/>
      <c r="M356" s="5426"/>
      <c r="N356" s="5426"/>
      <c r="O356" s="5426"/>
      <c r="P356" s="3270" t="s">
        <v>1170</v>
      </c>
      <c r="Q356" s="3270" t="s">
        <v>1171</v>
      </c>
      <c r="R356" s="3270" t="s">
        <v>1172</v>
      </c>
      <c r="S356" s="3270" t="s">
        <v>1173</v>
      </c>
      <c r="T356" s="5426"/>
      <c r="U356" s="5426"/>
      <c r="V356" s="5426"/>
      <c r="W356" s="5426"/>
      <c r="X356" s="5426"/>
      <c r="Y356" s="5426"/>
      <c r="Z356" s="5426"/>
      <c r="AA356" s="5426"/>
      <c r="AB356" s="5426"/>
      <c r="AC356" s="3295" t="str">
        <f>AC316</f>
        <v>H</v>
      </c>
      <c r="AD356" s="2686" t="str">
        <f>AD316</f>
        <v>M</v>
      </c>
      <c r="AE356" s="3295" t="str">
        <f t="shared" ref="AE356:AJ356" si="101">AE316</f>
        <v>H</v>
      </c>
      <c r="AF356" s="2686" t="str">
        <f t="shared" si="101"/>
        <v>M</v>
      </c>
      <c r="AG356" s="3295" t="str">
        <f t="shared" si="101"/>
        <v>H</v>
      </c>
      <c r="AH356" s="2686" t="str">
        <f t="shared" si="101"/>
        <v>M</v>
      </c>
      <c r="AI356" s="3295" t="str">
        <f t="shared" si="101"/>
        <v>H</v>
      </c>
      <c r="AJ356" s="2686" t="str">
        <f t="shared" si="101"/>
        <v>M</v>
      </c>
      <c r="AK356" s="2627" t="str">
        <f>AK316</f>
        <v>TTS</v>
      </c>
      <c r="AL356" s="3455" t="s">
        <v>393</v>
      </c>
      <c r="AM356" s="3463" t="s">
        <v>8</v>
      </c>
      <c r="AN356" s="3456" t="s">
        <v>347</v>
      </c>
      <c r="AO356" s="3456" t="s">
        <v>348</v>
      </c>
      <c r="AP356" s="3456" t="s">
        <v>2062</v>
      </c>
      <c r="AQ356" s="3457" t="s">
        <v>2081</v>
      </c>
      <c r="AR356" s="3456" t="s">
        <v>2510</v>
      </c>
    </row>
    <row r="357" spans="1:45" s="1443" customFormat="1" ht="27.95" customHeight="1">
      <c r="A357" s="3285">
        <v>1</v>
      </c>
      <c r="B357" s="2728" t="s">
        <v>2593</v>
      </c>
      <c r="C357" s="3651"/>
      <c r="D357" s="2152"/>
      <c r="E357" s="2152"/>
      <c r="F357" s="2152"/>
      <c r="G357" s="2153"/>
      <c r="H357" s="3285" t="s">
        <v>78</v>
      </c>
      <c r="I357" s="3285"/>
      <c r="J357" s="3282" t="s">
        <v>1336</v>
      </c>
      <c r="K357" s="3282" t="s">
        <v>1918</v>
      </c>
      <c r="L357" s="3671" t="s">
        <v>93</v>
      </c>
      <c r="M357" s="3676"/>
      <c r="N357" s="5349" t="s">
        <v>1220</v>
      </c>
      <c r="O357" s="5349"/>
      <c r="P357" s="3274"/>
      <c r="Q357" s="3274"/>
      <c r="R357" s="3274"/>
      <c r="S357" s="2877" t="s">
        <v>2182</v>
      </c>
      <c r="T357" s="3285" t="s">
        <v>683</v>
      </c>
      <c r="U357" s="5349">
        <v>10</v>
      </c>
      <c r="V357" s="5349"/>
      <c r="W357" s="5448" t="s">
        <v>1337</v>
      </c>
      <c r="X357" s="5448"/>
      <c r="Y357" s="3275"/>
      <c r="Z357" s="3275"/>
      <c r="AA357" s="5352">
        <f>AC357+AD357+AE357+AF357-AG357-AH357</f>
        <v>0</v>
      </c>
      <c r="AB357" s="5352"/>
      <c r="AC357" s="2682"/>
      <c r="AD357" s="3289"/>
      <c r="AE357" s="2628"/>
      <c r="AF357" s="2629"/>
      <c r="AG357" s="2628"/>
      <c r="AH357" s="2629"/>
      <c r="AI357" s="2628"/>
      <c r="AJ357" s="2629"/>
      <c r="AK357" s="2670">
        <f t="shared" si="78"/>
        <v>0</v>
      </c>
      <c r="AL357" s="3464"/>
      <c r="AM357" s="3448"/>
      <c r="AN357" s="3448"/>
      <c r="AO357" s="3448"/>
      <c r="AP357" s="3448"/>
      <c r="AQ357" s="3448"/>
      <c r="AR357" s="3458" t="e">
        <f t="shared" ref="AR357:AR370" si="102">SUM(AM357:AQ357)/AS357</f>
        <v>#DIV/0!</v>
      </c>
      <c r="AS357" s="3459">
        <f>COUNTA(AM357:AQ357)</f>
        <v>0</v>
      </c>
    </row>
    <row r="358" spans="1:45" s="1443" customFormat="1" ht="27.95" customHeight="1">
      <c r="A358" s="3285">
        <v>2</v>
      </c>
      <c r="B358" s="2728" t="s">
        <v>2600</v>
      </c>
      <c r="C358" s="3651"/>
      <c r="D358" s="2152"/>
      <c r="E358" s="2152"/>
      <c r="F358" s="2152"/>
      <c r="G358" s="2153"/>
      <c r="H358" s="3643" t="s">
        <v>78</v>
      </c>
      <c r="I358" s="3643"/>
      <c r="J358" s="3638" t="s">
        <v>1301</v>
      </c>
      <c r="K358" s="3638" t="s">
        <v>1981</v>
      </c>
      <c r="L358" s="3671" t="s">
        <v>390</v>
      </c>
      <c r="M358" s="3676"/>
      <c r="N358" s="5349" t="s">
        <v>1253</v>
      </c>
      <c r="O358" s="5349"/>
      <c r="P358" s="3636"/>
      <c r="Q358" s="3636" t="s">
        <v>79</v>
      </c>
      <c r="R358" s="3636"/>
      <c r="S358" s="2877" t="s">
        <v>2189</v>
      </c>
      <c r="T358" s="3643"/>
      <c r="U358" s="5349">
        <v>10</v>
      </c>
      <c r="V358" s="5349"/>
      <c r="W358" s="5448" t="s">
        <v>1246</v>
      </c>
      <c r="X358" s="5448"/>
      <c r="Y358" s="3275" t="s">
        <v>765</v>
      </c>
      <c r="Z358" s="3275" t="s">
        <v>228</v>
      </c>
      <c r="AA358" s="5352">
        <f t="shared" ref="AA358:AA381" si="103">AC358+AD358+AE358+AF358-AG358-AH358</f>
        <v>26</v>
      </c>
      <c r="AB358" s="5352"/>
      <c r="AC358" s="2682">
        <v>17</v>
      </c>
      <c r="AD358" s="3289">
        <v>11</v>
      </c>
      <c r="AE358" s="2628"/>
      <c r="AF358" s="2629">
        <v>1</v>
      </c>
      <c r="AG358" s="2628"/>
      <c r="AH358" s="2629">
        <v>3</v>
      </c>
      <c r="AI358" s="2628"/>
      <c r="AJ358" s="2629"/>
      <c r="AK358" s="2671">
        <f t="shared" si="78"/>
        <v>28</v>
      </c>
      <c r="AL358" s="3464"/>
      <c r="AM358" s="3448">
        <v>7.1</v>
      </c>
      <c r="AN358" s="3448"/>
      <c r="AO358" s="3448"/>
      <c r="AP358" s="3448"/>
      <c r="AQ358" s="3448"/>
      <c r="AR358" s="3458">
        <f t="shared" si="102"/>
        <v>7.1</v>
      </c>
      <c r="AS358" s="3459">
        <f t="shared" ref="AS358:AS383" si="104">COUNTA(AM358:AQ358)</f>
        <v>1</v>
      </c>
    </row>
    <row r="359" spans="1:45" s="1443" customFormat="1" ht="27.95" customHeight="1">
      <c r="A359" s="3287">
        <v>3</v>
      </c>
      <c r="B359" s="3653" t="s">
        <v>2596</v>
      </c>
      <c r="C359" s="3654"/>
      <c r="D359" s="3251"/>
      <c r="E359" s="3251"/>
      <c r="F359" s="3251"/>
      <c r="G359" s="3252"/>
      <c r="H359" s="3643"/>
      <c r="I359" s="3643" t="s">
        <v>78</v>
      </c>
      <c r="J359" s="3638" t="s">
        <v>1338</v>
      </c>
      <c r="K359" s="3638" t="s">
        <v>1920</v>
      </c>
      <c r="L359" s="3671" t="s">
        <v>390</v>
      </c>
      <c r="M359" s="3676"/>
      <c r="N359" s="5349"/>
      <c r="O359" s="5349"/>
      <c r="P359" s="3636"/>
      <c r="Q359" s="3636"/>
      <c r="R359" s="3636"/>
      <c r="S359" s="2877" t="s">
        <v>2185</v>
      </c>
      <c r="T359" s="3643" t="s">
        <v>680</v>
      </c>
      <c r="U359" s="5349">
        <v>10</v>
      </c>
      <c r="V359" s="5349"/>
      <c r="W359" s="5422" t="s">
        <v>1339</v>
      </c>
      <c r="X359" s="5422"/>
      <c r="Y359" s="3275" t="s">
        <v>765</v>
      </c>
      <c r="Z359" s="3275" t="s">
        <v>230</v>
      </c>
      <c r="AA359" s="5352">
        <f t="shared" si="103"/>
        <v>22</v>
      </c>
      <c r="AB359" s="5352"/>
      <c r="AC359" s="2682">
        <v>13</v>
      </c>
      <c r="AD359" s="3289">
        <v>13</v>
      </c>
      <c r="AE359" s="2628">
        <v>3</v>
      </c>
      <c r="AF359" s="2629">
        <v>1</v>
      </c>
      <c r="AG359" s="2628">
        <v>3</v>
      </c>
      <c r="AH359" s="2629">
        <v>5</v>
      </c>
      <c r="AI359" s="2628"/>
      <c r="AJ359" s="2629"/>
      <c r="AK359" s="2671">
        <f t="shared" ref="AK359:AK422" si="105">SUM(AC359:AD359)</f>
        <v>26</v>
      </c>
      <c r="AL359" s="3464"/>
      <c r="AM359" s="3448">
        <v>8</v>
      </c>
      <c r="AN359" s="3448"/>
      <c r="AO359" s="3448"/>
      <c r="AP359" s="3448"/>
      <c r="AQ359" s="3448"/>
      <c r="AR359" s="3458">
        <f t="shared" si="102"/>
        <v>8</v>
      </c>
      <c r="AS359" s="3459">
        <f t="shared" si="104"/>
        <v>1</v>
      </c>
    </row>
    <row r="360" spans="1:45" s="1443" customFormat="1" ht="27.95" customHeight="1">
      <c r="A360" s="3287">
        <v>4</v>
      </c>
      <c r="B360" s="2728" t="s">
        <v>2594</v>
      </c>
      <c r="C360" s="3651"/>
      <c r="D360" s="2152"/>
      <c r="E360" s="2152"/>
      <c r="F360" s="2152"/>
      <c r="G360" s="2153"/>
      <c r="H360" s="3643"/>
      <c r="I360" s="3643" t="s">
        <v>78</v>
      </c>
      <c r="J360" s="3638" t="s">
        <v>1342</v>
      </c>
      <c r="K360" s="3638" t="s">
        <v>1922</v>
      </c>
      <c r="L360" s="3671" t="s">
        <v>390</v>
      </c>
      <c r="M360" s="3676"/>
      <c r="N360" s="5349"/>
      <c r="O360" s="5349"/>
      <c r="P360" s="3636"/>
      <c r="Q360" s="3636"/>
      <c r="R360" s="3636"/>
      <c r="S360" s="2877" t="s">
        <v>2183</v>
      </c>
      <c r="T360" s="3643"/>
      <c r="U360" s="5349">
        <v>10</v>
      </c>
      <c r="V360" s="5349"/>
      <c r="W360" s="5422" t="s">
        <v>1343</v>
      </c>
      <c r="X360" s="5422"/>
      <c r="Y360" s="3275" t="s">
        <v>766</v>
      </c>
      <c r="Z360" s="3275" t="s">
        <v>228</v>
      </c>
      <c r="AA360" s="5352">
        <f t="shared" si="103"/>
        <v>24</v>
      </c>
      <c r="AB360" s="5352"/>
      <c r="AC360" s="2682">
        <v>19</v>
      </c>
      <c r="AD360" s="3289">
        <v>11</v>
      </c>
      <c r="AE360" s="2628"/>
      <c r="AF360" s="2629">
        <v>2</v>
      </c>
      <c r="AG360" s="2628">
        <v>6</v>
      </c>
      <c r="AH360" s="2629">
        <v>2</v>
      </c>
      <c r="AI360" s="2628"/>
      <c r="AJ360" s="2629"/>
      <c r="AK360" s="2671">
        <f t="shared" si="105"/>
        <v>30</v>
      </c>
      <c r="AL360" s="3464"/>
      <c r="AM360" s="3448">
        <v>6.69</v>
      </c>
      <c r="AN360" s="3448"/>
      <c r="AO360" s="3448"/>
      <c r="AP360" s="3448"/>
      <c r="AQ360" s="3448"/>
      <c r="AR360" s="3458">
        <f t="shared" si="102"/>
        <v>6.69</v>
      </c>
      <c r="AS360" s="3459">
        <f t="shared" si="104"/>
        <v>1</v>
      </c>
    </row>
    <row r="361" spans="1:45" s="1443" customFormat="1" ht="27.95" customHeight="1">
      <c r="A361" s="3285">
        <v>5</v>
      </c>
      <c r="B361" s="2728" t="s">
        <v>2595</v>
      </c>
      <c r="C361" s="3651"/>
      <c r="D361" s="2152"/>
      <c r="E361" s="2152"/>
      <c r="F361" s="2152"/>
      <c r="G361" s="2153"/>
      <c r="H361" s="3643"/>
      <c r="I361" s="3643" t="s">
        <v>78</v>
      </c>
      <c r="J361" s="3638" t="s">
        <v>1371</v>
      </c>
      <c r="K361" s="3638" t="s">
        <v>1940</v>
      </c>
      <c r="L361" s="3671" t="s">
        <v>390</v>
      </c>
      <c r="M361" s="3676"/>
      <c r="N361" s="5349"/>
      <c r="O361" s="5349"/>
      <c r="P361" s="3636"/>
      <c r="Q361" s="3636"/>
      <c r="R361" s="3636"/>
      <c r="S361" s="2877" t="s">
        <v>2184</v>
      </c>
      <c r="T361" s="3643" t="s">
        <v>680</v>
      </c>
      <c r="U361" s="5349">
        <v>10</v>
      </c>
      <c r="V361" s="5349"/>
      <c r="W361" s="5422" t="s">
        <v>1256</v>
      </c>
      <c r="X361" s="5422"/>
      <c r="Y361" s="3275" t="s">
        <v>766</v>
      </c>
      <c r="Z361" s="3275" t="s">
        <v>230</v>
      </c>
      <c r="AA361" s="5352">
        <f t="shared" si="103"/>
        <v>28</v>
      </c>
      <c r="AB361" s="5352"/>
      <c r="AC361" s="2682">
        <v>18</v>
      </c>
      <c r="AD361" s="3289">
        <v>11</v>
      </c>
      <c r="AE361" s="2628">
        <v>3</v>
      </c>
      <c r="AF361" s="2629">
        <v>1</v>
      </c>
      <c r="AG361" s="2628">
        <v>4</v>
      </c>
      <c r="AH361" s="2629">
        <v>1</v>
      </c>
      <c r="AI361" s="2628"/>
      <c r="AJ361" s="2629"/>
      <c r="AK361" s="2671">
        <f t="shared" si="105"/>
        <v>29</v>
      </c>
      <c r="AL361" s="3464"/>
      <c r="AM361" s="3448">
        <v>6.4</v>
      </c>
      <c r="AN361" s="3448"/>
      <c r="AO361" s="3448"/>
      <c r="AP361" s="3448"/>
      <c r="AQ361" s="3448"/>
      <c r="AR361" s="3458">
        <f t="shared" si="102"/>
        <v>6.4</v>
      </c>
      <c r="AS361" s="3459">
        <f t="shared" si="104"/>
        <v>1</v>
      </c>
    </row>
    <row r="362" spans="1:45" s="1443" customFormat="1" ht="27.95" customHeight="1">
      <c r="A362" s="3285">
        <v>6</v>
      </c>
      <c r="B362" s="2728" t="s">
        <v>2598</v>
      </c>
      <c r="C362" s="3651"/>
      <c r="D362" s="2152"/>
      <c r="E362" s="2152"/>
      <c r="F362" s="2152"/>
      <c r="G362" s="2153"/>
      <c r="H362" s="3643"/>
      <c r="I362" s="3643" t="s">
        <v>78</v>
      </c>
      <c r="J362" s="3638" t="s">
        <v>1340</v>
      </c>
      <c r="K362" s="3638" t="s">
        <v>1921</v>
      </c>
      <c r="L362" s="3671" t="s">
        <v>390</v>
      </c>
      <c r="M362" s="3676"/>
      <c r="N362" s="5349"/>
      <c r="O362" s="5349"/>
      <c r="P362" s="3636"/>
      <c r="Q362" s="3636"/>
      <c r="R362" s="3636"/>
      <c r="S362" s="2877" t="s">
        <v>2187</v>
      </c>
      <c r="T362" s="3643"/>
      <c r="U362" s="5349">
        <v>10</v>
      </c>
      <c r="V362" s="5349"/>
      <c r="W362" s="5422" t="s">
        <v>1341</v>
      </c>
      <c r="X362" s="5422"/>
      <c r="Y362" s="3275" t="s">
        <v>767</v>
      </c>
      <c r="Z362" s="3275" t="s">
        <v>228</v>
      </c>
      <c r="AA362" s="5352">
        <f>AC362+AD362+AE362+AF362-AG362-AH362</f>
        <v>24</v>
      </c>
      <c r="AB362" s="5352"/>
      <c r="AC362" s="2682">
        <v>18</v>
      </c>
      <c r="AD362" s="3289">
        <v>16</v>
      </c>
      <c r="AE362" s="2628">
        <v>1</v>
      </c>
      <c r="AF362" s="2629"/>
      <c r="AG362" s="2628">
        <v>4</v>
      </c>
      <c r="AH362" s="2629">
        <v>7</v>
      </c>
      <c r="AI362" s="2628"/>
      <c r="AJ362" s="2629"/>
      <c r="AK362" s="2671">
        <f t="shared" si="105"/>
        <v>34</v>
      </c>
      <c r="AL362" s="3464"/>
      <c r="AM362" s="3448">
        <v>6.8</v>
      </c>
      <c r="AN362" s="3448"/>
      <c r="AO362" s="3448"/>
      <c r="AP362" s="3448"/>
      <c r="AQ362" s="3448"/>
      <c r="AR362" s="3458">
        <f t="shared" si="102"/>
        <v>6.8</v>
      </c>
      <c r="AS362" s="3459">
        <f t="shared" si="104"/>
        <v>1</v>
      </c>
    </row>
    <row r="363" spans="1:45" s="1443" customFormat="1" ht="27.95" customHeight="1">
      <c r="A363" s="3285">
        <v>7</v>
      </c>
      <c r="B363" s="2728" t="s">
        <v>2599</v>
      </c>
      <c r="C363" s="3651"/>
      <c r="D363" s="2152"/>
      <c r="E363" s="2152"/>
      <c r="F363" s="2152"/>
      <c r="G363" s="2153"/>
      <c r="H363" s="3643"/>
      <c r="I363" s="3643" t="s">
        <v>78</v>
      </c>
      <c r="J363" s="3638" t="s">
        <v>1344</v>
      </c>
      <c r="K363" s="3638" t="s">
        <v>1923</v>
      </c>
      <c r="L363" s="3671" t="s">
        <v>390</v>
      </c>
      <c r="M363" s="3676"/>
      <c r="N363" s="5349" t="s">
        <v>1345</v>
      </c>
      <c r="O363" s="5349"/>
      <c r="P363" s="3636"/>
      <c r="Q363" s="3636"/>
      <c r="R363" s="3636"/>
      <c r="S363" s="2877" t="s">
        <v>2188</v>
      </c>
      <c r="T363" s="3643" t="s">
        <v>680</v>
      </c>
      <c r="U363" s="5349">
        <v>10</v>
      </c>
      <c r="V363" s="5349"/>
      <c r="W363" s="5422" t="s">
        <v>1346</v>
      </c>
      <c r="X363" s="5422"/>
      <c r="Y363" s="3275" t="s">
        <v>767</v>
      </c>
      <c r="Z363" s="3275" t="s">
        <v>230</v>
      </c>
      <c r="AA363" s="5352">
        <f>AC363+AD363+AE363+AF363-AG363-AH363</f>
        <v>23</v>
      </c>
      <c r="AB363" s="5352"/>
      <c r="AC363" s="2682">
        <v>24</v>
      </c>
      <c r="AD363" s="3289">
        <v>9</v>
      </c>
      <c r="AE363" s="2628">
        <v>2</v>
      </c>
      <c r="AF363" s="2629">
        <v>1</v>
      </c>
      <c r="AG363" s="2628">
        <v>9</v>
      </c>
      <c r="AH363" s="2629">
        <v>4</v>
      </c>
      <c r="AI363" s="2628"/>
      <c r="AJ363" s="2629"/>
      <c r="AK363" s="2671">
        <f t="shared" si="105"/>
        <v>33</v>
      </c>
      <c r="AL363" s="3464"/>
      <c r="AM363" s="3448">
        <v>6.9</v>
      </c>
      <c r="AN363" s="3448"/>
      <c r="AO363" s="3448"/>
      <c r="AP363" s="3448"/>
      <c r="AQ363" s="3448"/>
      <c r="AR363" s="3458">
        <f t="shared" si="102"/>
        <v>6.9</v>
      </c>
      <c r="AS363" s="3459">
        <f t="shared" si="104"/>
        <v>1</v>
      </c>
    </row>
    <row r="364" spans="1:45" s="1443" customFormat="1" ht="27.95" customHeight="1">
      <c r="A364" s="3285">
        <v>8</v>
      </c>
      <c r="B364" s="2728" t="s">
        <v>2590</v>
      </c>
      <c r="C364" s="3651"/>
      <c r="D364" s="2152"/>
      <c r="E364" s="2152"/>
      <c r="F364" s="2152"/>
      <c r="G364" s="2153"/>
      <c r="H364" s="3643"/>
      <c r="I364" s="3643" t="s">
        <v>78</v>
      </c>
      <c r="J364" s="3638" t="s">
        <v>1331</v>
      </c>
      <c r="K364" s="3638" t="s">
        <v>1927</v>
      </c>
      <c r="L364" s="3671" t="s">
        <v>390</v>
      </c>
      <c r="M364" s="3676"/>
      <c r="N364" s="5349" t="s">
        <v>1201</v>
      </c>
      <c r="O364" s="5349"/>
      <c r="P364" s="3636"/>
      <c r="Q364" s="3636"/>
      <c r="R364" s="3636"/>
      <c r="S364" s="2877" t="s">
        <v>2193</v>
      </c>
      <c r="T364" s="3643" t="s">
        <v>680</v>
      </c>
      <c r="U364" s="5349">
        <v>10</v>
      </c>
      <c r="V364" s="5349"/>
      <c r="W364" s="5422"/>
      <c r="X364" s="5422"/>
      <c r="Y364" s="3275" t="s">
        <v>771</v>
      </c>
      <c r="Z364" s="3275" t="s">
        <v>228</v>
      </c>
      <c r="AA364" s="5352">
        <f t="shared" si="103"/>
        <v>33</v>
      </c>
      <c r="AB364" s="5352"/>
      <c r="AC364" s="2682">
        <v>12</v>
      </c>
      <c r="AD364" s="3289">
        <v>20</v>
      </c>
      <c r="AE364" s="2628">
        <v>1</v>
      </c>
      <c r="AF364" s="2629">
        <v>2</v>
      </c>
      <c r="AG364" s="2628">
        <v>1</v>
      </c>
      <c r="AH364" s="2629">
        <v>1</v>
      </c>
      <c r="AI364" s="2628"/>
      <c r="AJ364" s="2629"/>
      <c r="AK364" s="2671">
        <f t="shared" si="105"/>
        <v>32</v>
      </c>
      <c r="AL364" s="3464"/>
      <c r="AM364" s="3448">
        <v>7.1</v>
      </c>
      <c r="AN364" s="3448"/>
      <c r="AO364" s="3448"/>
      <c r="AP364" s="3448"/>
      <c r="AQ364" s="3448"/>
      <c r="AR364" s="3458">
        <f t="shared" si="102"/>
        <v>7.1</v>
      </c>
      <c r="AS364" s="3459">
        <f t="shared" si="104"/>
        <v>1</v>
      </c>
    </row>
    <row r="365" spans="1:45" s="1444" customFormat="1" ht="27.95" customHeight="1">
      <c r="A365" s="3285">
        <v>9</v>
      </c>
      <c r="B365" s="2728" t="s">
        <v>2383</v>
      </c>
      <c r="C365" s="3651"/>
      <c r="D365" s="2152"/>
      <c r="E365" s="2152"/>
      <c r="F365" s="2152"/>
      <c r="G365" s="2153"/>
      <c r="H365" s="3643"/>
      <c r="I365" s="3643" t="s">
        <v>78</v>
      </c>
      <c r="J365" s="3638" t="s">
        <v>1330</v>
      </c>
      <c r="K365" s="3638" t="s">
        <v>1919</v>
      </c>
      <c r="L365" s="3671" t="s">
        <v>390</v>
      </c>
      <c r="M365" s="3676"/>
      <c r="N365" s="5354" t="s">
        <v>1201</v>
      </c>
      <c r="O365" s="5355"/>
      <c r="P365" s="3636"/>
      <c r="Q365" s="3636"/>
      <c r="R365" s="3636"/>
      <c r="S365" s="2877" t="s">
        <v>2138</v>
      </c>
      <c r="T365" s="3643" t="s">
        <v>680</v>
      </c>
      <c r="U365" s="5349">
        <v>10</v>
      </c>
      <c r="V365" s="5349"/>
      <c r="W365" s="5422" t="s">
        <v>1205</v>
      </c>
      <c r="X365" s="5422"/>
      <c r="Y365" s="3275" t="s">
        <v>771</v>
      </c>
      <c r="Z365" s="3275" t="s">
        <v>230</v>
      </c>
      <c r="AA365" s="5352">
        <f t="shared" si="103"/>
        <v>32</v>
      </c>
      <c r="AB365" s="5352"/>
      <c r="AC365" s="2682">
        <v>14</v>
      </c>
      <c r="AD365" s="3289">
        <v>19</v>
      </c>
      <c r="AE365" s="2628">
        <v>1</v>
      </c>
      <c r="AF365" s="2629">
        <v>1</v>
      </c>
      <c r="AG365" s="2628"/>
      <c r="AH365" s="2629">
        <v>3</v>
      </c>
      <c r="AI365" s="2628"/>
      <c r="AJ365" s="2629"/>
      <c r="AK365" s="2671">
        <f t="shared" si="105"/>
        <v>33</v>
      </c>
      <c r="AL365" s="3464"/>
      <c r="AM365" s="3448">
        <v>6</v>
      </c>
      <c r="AN365" s="3448"/>
      <c r="AO365" s="3448"/>
      <c r="AP365" s="3448"/>
      <c r="AQ365" s="3448"/>
      <c r="AR365" s="3458">
        <f t="shared" si="102"/>
        <v>6</v>
      </c>
      <c r="AS365" s="3459">
        <f t="shared" si="104"/>
        <v>1</v>
      </c>
    </row>
    <row r="366" spans="1:45" s="1444" customFormat="1" ht="27.95" customHeight="1">
      <c r="A366" s="3285">
        <v>10</v>
      </c>
      <c r="B366" s="2728" t="s">
        <v>2602</v>
      </c>
      <c r="C366" s="3651"/>
      <c r="D366" s="2152"/>
      <c r="E366" s="2152"/>
      <c r="F366" s="2152"/>
      <c r="G366" s="2153"/>
      <c r="H366" s="3643"/>
      <c r="I366" s="3643" t="s">
        <v>78</v>
      </c>
      <c r="J366" s="3638" t="s">
        <v>1348</v>
      </c>
      <c r="K366" s="3638" t="s">
        <v>1925</v>
      </c>
      <c r="L366" s="3671" t="s">
        <v>390</v>
      </c>
      <c r="M366" s="3676"/>
      <c r="N366" s="5354"/>
      <c r="O366" s="5355"/>
      <c r="P366" s="3636"/>
      <c r="Q366" s="3636"/>
      <c r="R366" s="3636"/>
      <c r="S366" s="2877" t="s">
        <v>2192</v>
      </c>
      <c r="T366" s="3643"/>
      <c r="U366" s="5349">
        <v>10</v>
      </c>
      <c r="V366" s="5349"/>
      <c r="W366" s="5422" t="s">
        <v>1349</v>
      </c>
      <c r="X366" s="5422"/>
      <c r="Y366" s="3275" t="s">
        <v>772</v>
      </c>
      <c r="Z366" s="3275" t="s">
        <v>228</v>
      </c>
      <c r="AA366" s="5352">
        <f t="shared" si="103"/>
        <v>32</v>
      </c>
      <c r="AB366" s="5352"/>
      <c r="AC366" s="2682">
        <v>16</v>
      </c>
      <c r="AD366" s="3289">
        <v>17</v>
      </c>
      <c r="AE366" s="2628">
        <v>2</v>
      </c>
      <c r="AF366" s="2629">
        <v>2</v>
      </c>
      <c r="AG366" s="2628">
        <v>1</v>
      </c>
      <c r="AH366" s="2629">
        <v>4</v>
      </c>
      <c r="AI366" s="2628"/>
      <c r="AJ366" s="2629"/>
      <c r="AK366" s="2671">
        <f t="shared" si="105"/>
        <v>33</v>
      </c>
      <c r="AL366" s="3464"/>
      <c r="AM366" s="3448">
        <v>7.2</v>
      </c>
      <c r="AN366" s="3448"/>
      <c r="AO366" s="3448"/>
      <c r="AP366" s="3448"/>
      <c r="AQ366" s="3448"/>
      <c r="AR366" s="3458">
        <f t="shared" si="102"/>
        <v>7.2</v>
      </c>
      <c r="AS366" s="3459">
        <f t="shared" si="104"/>
        <v>1</v>
      </c>
    </row>
    <row r="367" spans="1:45" s="1444" customFormat="1" ht="27.95" customHeight="1">
      <c r="A367" s="3285">
        <v>11</v>
      </c>
      <c r="B367" s="2728" t="s">
        <v>2597</v>
      </c>
      <c r="C367" s="3651"/>
      <c r="D367" s="2152"/>
      <c r="E367" s="2152"/>
      <c r="F367" s="2152"/>
      <c r="G367" s="2153"/>
      <c r="H367" s="3643"/>
      <c r="I367" s="3643" t="s">
        <v>78</v>
      </c>
      <c r="J367" s="3638" t="s">
        <v>1347</v>
      </c>
      <c r="K367" s="3638" t="s">
        <v>1924</v>
      </c>
      <c r="L367" s="3671" t="s">
        <v>390</v>
      </c>
      <c r="M367" s="3676"/>
      <c r="N367" s="5354" t="s">
        <v>1242</v>
      </c>
      <c r="O367" s="5355"/>
      <c r="P367" s="3636"/>
      <c r="Q367" s="3636"/>
      <c r="R367" s="3636"/>
      <c r="S367" s="2877" t="s">
        <v>2186</v>
      </c>
      <c r="T367" s="3643" t="s">
        <v>680</v>
      </c>
      <c r="U367" s="5349">
        <v>10</v>
      </c>
      <c r="V367" s="5349"/>
      <c r="W367" s="5422" t="s">
        <v>1216</v>
      </c>
      <c r="X367" s="5422"/>
      <c r="Y367" s="3275" t="s">
        <v>772</v>
      </c>
      <c r="Z367" s="3275" t="s">
        <v>230</v>
      </c>
      <c r="AA367" s="5352">
        <f t="shared" si="103"/>
        <v>31</v>
      </c>
      <c r="AB367" s="5352"/>
      <c r="AC367" s="2682">
        <v>20</v>
      </c>
      <c r="AD367" s="3289">
        <v>15</v>
      </c>
      <c r="AE367" s="2628"/>
      <c r="AF367" s="2629">
        <v>1</v>
      </c>
      <c r="AG367" s="2628">
        <v>2</v>
      </c>
      <c r="AH367" s="2629">
        <v>3</v>
      </c>
      <c r="AI367" s="2628"/>
      <c r="AJ367" s="2629"/>
      <c r="AK367" s="2671">
        <f t="shared" si="105"/>
        <v>35</v>
      </c>
      <c r="AL367" s="3464"/>
      <c r="AM367" s="3448">
        <v>6.4</v>
      </c>
      <c r="AN367" s="3448"/>
      <c r="AO367" s="3448"/>
      <c r="AP367" s="3448"/>
      <c r="AQ367" s="3448"/>
      <c r="AR367" s="3458">
        <f t="shared" si="102"/>
        <v>6.4</v>
      </c>
      <c r="AS367" s="3459">
        <f t="shared" si="104"/>
        <v>1</v>
      </c>
    </row>
    <row r="368" spans="1:45" s="1444" customFormat="1" ht="27.95" customHeight="1">
      <c r="A368" s="3285">
        <v>12</v>
      </c>
      <c r="B368" s="2728" t="s">
        <v>2384</v>
      </c>
      <c r="C368" s="3651"/>
      <c r="D368" s="2152"/>
      <c r="E368" s="2152"/>
      <c r="F368" s="2152"/>
      <c r="G368" s="2153"/>
      <c r="H368" s="3643" t="s">
        <v>78</v>
      </c>
      <c r="I368" s="3643"/>
      <c r="J368" s="3638" t="s">
        <v>1270</v>
      </c>
      <c r="K368" s="3638" t="s">
        <v>1928</v>
      </c>
      <c r="L368" s="3671" t="s">
        <v>390</v>
      </c>
      <c r="M368" s="3676"/>
      <c r="N368" s="5349" t="s">
        <v>1237</v>
      </c>
      <c r="O368" s="5349"/>
      <c r="P368" s="3636"/>
      <c r="Q368" s="3636"/>
      <c r="R368" s="3636"/>
      <c r="S368" s="2877" t="s">
        <v>2190</v>
      </c>
      <c r="T368" s="3643"/>
      <c r="U368" s="5349">
        <v>10</v>
      </c>
      <c r="V368" s="5349"/>
      <c r="W368" s="5422" t="s">
        <v>1202</v>
      </c>
      <c r="X368" s="5422"/>
      <c r="Y368" s="3275" t="s">
        <v>773</v>
      </c>
      <c r="Z368" s="3275" t="s">
        <v>228</v>
      </c>
      <c r="AA368" s="5352">
        <f t="shared" si="103"/>
        <v>32</v>
      </c>
      <c r="AB368" s="5352"/>
      <c r="AC368" s="2682">
        <v>20</v>
      </c>
      <c r="AD368" s="3289">
        <v>15</v>
      </c>
      <c r="AE368" s="2628">
        <v>1</v>
      </c>
      <c r="AF368" s="2629">
        <v>2</v>
      </c>
      <c r="AG368" s="2628">
        <v>6</v>
      </c>
      <c r="AH368" s="2629"/>
      <c r="AI368" s="2628"/>
      <c r="AJ368" s="2629"/>
      <c r="AK368" s="2671">
        <f t="shared" si="105"/>
        <v>35</v>
      </c>
      <c r="AL368" s="3464"/>
      <c r="AM368" s="3448">
        <v>6.2</v>
      </c>
      <c r="AN368" s="3448"/>
      <c r="AO368" s="3448"/>
      <c r="AP368" s="3448"/>
      <c r="AQ368" s="3448"/>
      <c r="AR368" s="3458">
        <f t="shared" si="102"/>
        <v>6.2</v>
      </c>
      <c r="AS368" s="3459">
        <f t="shared" si="104"/>
        <v>1</v>
      </c>
    </row>
    <row r="369" spans="1:45" s="1444" customFormat="1" ht="27.95" customHeight="1">
      <c r="A369" s="3285">
        <v>13</v>
      </c>
      <c r="B369" s="2728" t="s">
        <v>2601</v>
      </c>
      <c r="C369" s="3651"/>
      <c r="D369" s="2152"/>
      <c r="E369" s="2152"/>
      <c r="F369" s="2152"/>
      <c r="G369" s="2153"/>
      <c r="H369" s="3643" t="s">
        <v>78</v>
      </c>
      <c r="I369" s="3643"/>
      <c r="J369" s="3638" t="s">
        <v>1350</v>
      </c>
      <c r="K369" s="3638" t="s">
        <v>1926</v>
      </c>
      <c r="L369" s="3671" t="s">
        <v>390</v>
      </c>
      <c r="M369" s="3676"/>
      <c r="N369" s="5349"/>
      <c r="O369" s="5349"/>
      <c r="P369" s="3636"/>
      <c r="Q369" s="3636"/>
      <c r="R369" s="3636"/>
      <c r="S369" s="2877" t="s">
        <v>2191</v>
      </c>
      <c r="T369" s="3643" t="s">
        <v>680</v>
      </c>
      <c r="U369" s="5349">
        <v>10</v>
      </c>
      <c r="V369" s="5349"/>
      <c r="W369" s="5422" t="s">
        <v>1213</v>
      </c>
      <c r="X369" s="5422"/>
      <c r="Y369" s="3275" t="s">
        <v>773</v>
      </c>
      <c r="Z369" s="3275" t="s">
        <v>230</v>
      </c>
      <c r="AA369" s="5352">
        <f t="shared" si="103"/>
        <v>33</v>
      </c>
      <c r="AB369" s="5352"/>
      <c r="AC369" s="2682">
        <v>20</v>
      </c>
      <c r="AD369" s="3289">
        <v>15</v>
      </c>
      <c r="AE369" s="2628"/>
      <c r="AF369" s="2629"/>
      <c r="AG369" s="2628">
        <v>1</v>
      </c>
      <c r="AH369" s="2629">
        <v>1</v>
      </c>
      <c r="AI369" s="2628"/>
      <c r="AJ369" s="2629"/>
      <c r="AK369" s="2671">
        <f t="shared" si="105"/>
        <v>35</v>
      </c>
      <c r="AL369" s="3464"/>
      <c r="AM369" s="3448">
        <v>6.5</v>
      </c>
      <c r="AN369" s="3448"/>
      <c r="AO369" s="3448"/>
      <c r="AP369" s="3448"/>
      <c r="AQ369" s="3448"/>
      <c r="AR369" s="3458">
        <f t="shared" si="102"/>
        <v>6.5</v>
      </c>
      <c r="AS369" s="3459">
        <f t="shared" si="104"/>
        <v>1</v>
      </c>
    </row>
    <row r="370" spans="1:45" s="1444" customFormat="1" ht="27.95" customHeight="1">
      <c r="A370" s="3285">
        <v>14</v>
      </c>
      <c r="B370" s="2728" t="s">
        <v>2637</v>
      </c>
      <c r="C370" s="3651"/>
      <c r="D370" s="2152"/>
      <c r="E370" s="2152"/>
      <c r="F370" s="2152"/>
      <c r="G370" s="2153"/>
      <c r="H370" s="3285" t="s">
        <v>78</v>
      </c>
      <c r="I370" s="3285"/>
      <c r="J370" s="3282" t="s">
        <v>1351</v>
      </c>
      <c r="K370" s="3282" t="s">
        <v>1929</v>
      </c>
      <c r="L370" s="3671" t="s">
        <v>440</v>
      </c>
      <c r="M370" s="3676"/>
      <c r="N370" s="5449"/>
      <c r="O370" s="5349"/>
      <c r="P370" s="3274"/>
      <c r="Q370" s="3274"/>
      <c r="R370" s="3274"/>
      <c r="S370" s="2877" t="s">
        <v>2194</v>
      </c>
      <c r="T370" s="3285" t="s">
        <v>680</v>
      </c>
      <c r="U370" s="5349">
        <v>10</v>
      </c>
      <c r="V370" s="5349"/>
      <c r="W370" s="5422" t="s">
        <v>1352</v>
      </c>
      <c r="X370" s="5422"/>
      <c r="Y370" s="3275"/>
      <c r="Z370" s="3275"/>
      <c r="AA370" s="5352">
        <f t="shared" si="103"/>
        <v>0</v>
      </c>
      <c r="AB370" s="5352"/>
      <c r="AC370" s="2682"/>
      <c r="AD370" s="3289"/>
      <c r="AE370" s="2628"/>
      <c r="AF370" s="2629"/>
      <c r="AG370" s="2628"/>
      <c r="AH370" s="2629"/>
      <c r="AI370" s="2628"/>
      <c r="AJ370" s="2629"/>
      <c r="AK370" s="2671">
        <f t="shared" si="105"/>
        <v>0</v>
      </c>
      <c r="AL370" s="3464"/>
      <c r="AM370" s="3448"/>
      <c r="AN370" s="3448"/>
      <c r="AO370" s="3448"/>
      <c r="AP370" s="3448"/>
      <c r="AQ370" s="3448"/>
      <c r="AR370" s="3458" t="e">
        <f t="shared" si="102"/>
        <v>#DIV/0!</v>
      </c>
      <c r="AS370" s="3459">
        <f t="shared" si="104"/>
        <v>0</v>
      </c>
    </row>
    <row r="371" spans="1:45" s="1444" customFormat="1" ht="27.95" customHeight="1">
      <c r="A371" s="3285">
        <v>15</v>
      </c>
      <c r="B371" s="2728" t="s">
        <v>2638</v>
      </c>
      <c r="C371" s="3651"/>
      <c r="D371" s="2152"/>
      <c r="E371" s="2152"/>
      <c r="F371" s="2152"/>
      <c r="G371" s="2153"/>
      <c r="H371" s="3285"/>
      <c r="I371" s="3285" t="s">
        <v>78</v>
      </c>
      <c r="J371" s="3282" t="s">
        <v>1353</v>
      </c>
      <c r="K371" s="3282" t="s">
        <v>1930</v>
      </c>
      <c r="L371" s="3671" t="s">
        <v>401</v>
      </c>
      <c r="M371" s="3676"/>
      <c r="N371" s="5349" t="s">
        <v>1354</v>
      </c>
      <c r="O371" s="5349"/>
      <c r="P371" s="3274"/>
      <c r="Q371" s="3274"/>
      <c r="R371" s="3274"/>
      <c r="S371" s="2877" t="s">
        <v>2195</v>
      </c>
      <c r="T371" s="3285"/>
      <c r="U371" s="5349">
        <v>10</v>
      </c>
      <c r="V371" s="5349"/>
      <c r="W371" s="5422" t="s">
        <v>1355</v>
      </c>
      <c r="X371" s="5422"/>
      <c r="Y371" s="3275"/>
      <c r="Z371" s="3275"/>
      <c r="AA371" s="5352">
        <f t="shared" si="103"/>
        <v>0</v>
      </c>
      <c r="AB371" s="5352"/>
      <c r="AC371" s="2682"/>
      <c r="AD371" s="3289"/>
      <c r="AE371" s="2628"/>
      <c r="AF371" s="2629"/>
      <c r="AG371" s="2628"/>
      <c r="AH371" s="2629"/>
      <c r="AI371" s="2628"/>
      <c r="AJ371" s="2629"/>
      <c r="AK371" s="2671">
        <f t="shared" si="105"/>
        <v>0</v>
      </c>
      <c r="AL371" s="3464"/>
      <c r="AM371" s="3448"/>
      <c r="AN371" s="3448"/>
      <c r="AO371" s="3448"/>
      <c r="AP371" s="3448"/>
      <c r="AQ371" s="3448"/>
      <c r="AR371" s="3458" t="e">
        <f t="shared" ref="AR371:AR383" si="106">SUM(AM371:AQ371)/AS371</f>
        <v>#DIV/0!</v>
      </c>
      <c r="AS371" s="3459">
        <f t="shared" si="104"/>
        <v>0</v>
      </c>
    </row>
    <row r="372" spans="1:45" s="1444" customFormat="1" ht="27.95" customHeight="1">
      <c r="A372" s="3285">
        <v>16</v>
      </c>
      <c r="B372" s="2728" t="s">
        <v>2603</v>
      </c>
      <c r="C372" s="3651"/>
      <c r="D372" s="2152"/>
      <c r="E372" s="2152"/>
      <c r="F372" s="2152"/>
      <c r="G372" s="2153"/>
      <c r="H372" s="3285" t="s">
        <v>78</v>
      </c>
      <c r="I372" s="3285"/>
      <c r="J372" s="3282" t="s">
        <v>1356</v>
      </c>
      <c r="K372" s="3282" t="s">
        <v>1931</v>
      </c>
      <c r="L372" s="3671" t="s">
        <v>426</v>
      </c>
      <c r="M372" s="3676"/>
      <c r="N372" s="5349"/>
      <c r="O372" s="5349"/>
      <c r="P372" s="3274"/>
      <c r="Q372" s="3274"/>
      <c r="R372" s="3274"/>
      <c r="S372" s="2877" t="s">
        <v>2196</v>
      </c>
      <c r="T372" s="3285"/>
      <c r="U372" s="5349">
        <v>10</v>
      </c>
      <c r="V372" s="5349"/>
      <c r="W372" s="5422" t="s">
        <v>1357</v>
      </c>
      <c r="X372" s="5422"/>
      <c r="Y372" s="3275"/>
      <c r="Z372" s="3275"/>
      <c r="AA372" s="5352">
        <f t="shared" si="103"/>
        <v>0</v>
      </c>
      <c r="AB372" s="5352"/>
      <c r="AC372" s="2682"/>
      <c r="AD372" s="3289"/>
      <c r="AE372" s="2628"/>
      <c r="AF372" s="2629"/>
      <c r="AG372" s="2628"/>
      <c r="AH372" s="2629"/>
      <c r="AI372" s="2628"/>
      <c r="AJ372" s="2629"/>
      <c r="AK372" s="2671">
        <f t="shared" si="105"/>
        <v>0</v>
      </c>
      <c r="AL372" s="3464"/>
      <c r="AM372" s="3448"/>
      <c r="AN372" s="3448"/>
      <c r="AO372" s="3448"/>
      <c r="AP372" s="3448"/>
      <c r="AQ372" s="3448"/>
      <c r="AR372" s="3458" t="e">
        <f t="shared" si="106"/>
        <v>#DIV/0!</v>
      </c>
      <c r="AS372" s="3459">
        <f t="shared" si="104"/>
        <v>0</v>
      </c>
    </row>
    <row r="373" spans="1:45" s="1444" customFormat="1" ht="27.95" customHeight="1">
      <c r="A373" s="3285"/>
      <c r="B373" s="3253"/>
      <c r="C373" s="3651"/>
      <c r="D373" s="2152"/>
      <c r="E373" s="2152"/>
      <c r="F373" s="2152"/>
      <c r="G373" s="2153"/>
      <c r="H373" s="3285"/>
      <c r="I373" s="3285"/>
      <c r="J373" s="3285"/>
      <c r="K373" s="3285"/>
      <c r="L373" s="3671"/>
      <c r="M373" s="3676"/>
      <c r="N373" s="5349"/>
      <c r="O373" s="5349"/>
      <c r="P373" s="3274"/>
      <c r="Q373" s="3274"/>
      <c r="R373" s="3274"/>
      <c r="S373" s="2875"/>
      <c r="T373" s="3285"/>
      <c r="U373" s="5349"/>
      <c r="V373" s="5349"/>
      <c r="W373" s="5422"/>
      <c r="X373" s="5422"/>
      <c r="Y373" s="3275"/>
      <c r="Z373" s="3275"/>
      <c r="AA373" s="5352">
        <f t="shared" si="103"/>
        <v>0</v>
      </c>
      <c r="AB373" s="5352"/>
      <c r="AC373" s="2682"/>
      <c r="AD373" s="3289"/>
      <c r="AE373" s="2628"/>
      <c r="AF373" s="2629"/>
      <c r="AG373" s="2628"/>
      <c r="AH373" s="2629"/>
      <c r="AI373" s="2628"/>
      <c r="AJ373" s="2629"/>
      <c r="AK373" s="2671">
        <f t="shared" si="105"/>
        <v>0</v>
      </c>
      <c r="AL373" s="3464"/>
      <c r="AM373" s="3448"/>
      <c r="AN373" s="3448"/>
      <c r="AO373" s="3448"/>
      <c r="AP373" s="3448"/>
      <c r="AQ373" s="3448"/>
      <c r="AR373" s="3458" t="e">
        <f t="shared" si="106"/>
        <v>#DIV/0!</v>
      </c>
      <c r="AS373" s="3459">
        <f t="shared" si="104"/>
        <v>0</v>
      </c>
    </row>
    <row r="374" spans="1:45" s="1444" customFormat="1" ht="27.95" customHeight="1">
      <c r="A374" s="3285"/>
      <c r="B374" s="2728"/>
      <c r="C374" s="3651"/>
      <c r="D374" s="2152"/>
      <c r="E374" s="2152"/>
      <c r="F374" s="2152"/>
      <c r="G374" s="2153"/>
      <c r="H374" s="3643"/>
      <c r="I374" s="3643"/>
      <c r="J374" s="3638"/>
      <c r="K374" s="3638"/>
      <c r="L374" s="3671"/>
      <c r="M374" s="3676"/>
      <c r="N374" s="5354"/>
      <c r="O374" s="5355"/>
      <c r="P374" s="3636"/>
      <c r="Q374" s="3636"/>
      <c r="R374" s="3636"/>
      <c r="S374" s="2877"/>
      <c r="T374" s="3643"/>
      <c r="U374" s="5349"/>
      <c r="V374" s="5349"/>
      <c r="W374" s="5422"/>
      <c r="X374" s="5422"/>
      <c r="Y374" s="3275"/>
      <c r="Z374" s="3275"/>
      <c r="AA374" s="5352">
        <f t="shared" si="103"/>
        <v>0</v>
      </c>
      <c r="AB374" s="5352"/>
      <c r="AC374" s="2682"/>
      <c r="AD374" s="3289"/>
      <c r="AE374" s="2628"/>
      <c r="AF374" s="2629"/>
      <c r="AG374" s="2628"/>
      <c r="AH374" s="2629"/>
      <c r="AI374" s="2628"/>
      <c r="AJ374" s="2629"/>
      <c r="AK374" s="2671">
        <f t="shared" si="105"/>
        <v>0</v>
      </c>
      <c r="AL374" s="3464"/>
      <c r="AM374" s="3448"/>
      <c r="AN374" s="3448"/>
      <c r="AO374" s="3448"/>
      <c r="AP374" s="3448"/>
      <c r="AQ374" s="3448"/>
      <c r="AR374" s="3458" t="e">
        <f t="shared" si="106"/>
        <v>#DIV/0!</v>
      </c>
      <c r="AS374" s="3459">
        <f t="shared" si="104"/>
        <v>0</v>
      </c>
    </row>
    <row r="375" spans="1:45" s="1444" customFormat="1" ht="27.95" customHeight="1">
      <c r="A375" s="3285"/>
      <c r="B375" s="3253"/>
      <c r="C375" s="3651"/>
      <c r="D375" s="2152"/>
      <c r="E375" s="2152"/>
      <c r="F375" s="2152"/>
      <c r="G375" s="2153"/>
      <c r="H375" s="3285"/>
      <c r="I375" s="3285"/>
      <c r="J375" s="3282"/>
      <c r="K375" s="3282"/>
      <c r="L375" s="3671"/>
      <c r="M375" s="3676"/>
      <c r="N375" s="5354"/>
      <c r="O375" s="5355"/>
      <c r="P375" s="3274"/>
      <c r="Q375" s="3274"/>
      <c r="R375" s="3274"/>
      <c r="S375" s="2877"/>
      <c r="T375" s="3285"/>
      <c r="U375" s="5354"/>
      <c r="V375" s="5355"/>
      <c r="W375" s="5443"/>
      <c r="X375" s="5444"/>
      <c r="Y375" s="3275"/>
      <c r="Z375" s="3275"/>
      <c r="AA375" s="5352">
        <f t="shared" si="103"/>
        <v>0</v>
      </c>
      <c r="AB375" s="5352"/>
      <c r="AC375" s="2682"/>
      <c r="AD375" s="3289"/>
      <c r="AE375" s="2628"/>
      <c r="AF375" s="2629"/>
      <c r="AG375" s="2628"/>
      <c r="AH375" s="2629"/>
      <c r="AI375" s="2628"/>
      <c r="AJ375" s="2629"/>
      <c r="AK375" s="2671">
        <f t="shared" si="105"/>
        <v>0</v>
      </c>
      <c r="AL375" s="3464"/>
      <c r="AM375" s="3448"/>
      <c r="AN375" s="3448"/>
      <c r="AO375" s="3448"/>
      <c r="AP375" s="3448"/>
      <c r="AQ375" s="3448"/>
      <c r="AR375" s="3458" t="e">
        <f t="shared" si="106"/>
        <v>#DIV/0!</v>
      </c>
      <c r="AS375" s="3459">
        <f t="shared" si="104"/>
        <v>0</v>
      </c>
    </row>
    <row r="376" spans="1:45" s="1444" customFormat="1" ht="27.95" customHeight="1">
      <c r="A376" s="3285"/>
      <c r="B376" s="3253"/>
      <c r="C376" s="3651"/>
      <c r="D376" s="2152"/>
      <c r="E376" s="2152"/>
      <c r="F376" s="2152"/>
      <c r="G376" s="2153"/>
      <c r="H376" s="3285"/>
      <c r="I376" s="3285"/>
      <c r="J376" s="3282"/>
      <c r="K376" s="3282"/>
      <c r="L376" s="3671"/>
      <c r="M376" s="3676"/>
      <c r="N376" s="5354"/>
      <c r="O376" s="5355"/>
      <c r="P376" s="3274"/>
      <c r="Q376" s="3274"/>
      <c r="R376" s="3274"/>
      <c r="S376" s="2877"/>
      <c r="T376" s="3285"/>
      <c r="U376" s="5354"/>
      <c r="V376" s="5355"/>
      <c r="W376" s="5443"/>
      <c r="X376" s="5444"/>
      <c r="Y376" s="3275"/>
      <c r="Z376" s="3275"/>
      <c r="AA376" s="5352">
        <f t="shared" si="103"/>
        <v>0</v>
      </c>
      <c r="AB376" s="5352"/>
      <c r="AC376" s="2682"/>
      <c r="AD376" s="3289"/>
      <c r="AE376" s="2628"/>
      <c r="AF376" s="2629"/>
      <c r="AG376" s="2628"/>
      <c r="AH376" s="2629"/>
      <c r="AI376" s="2628"/>
      <c r="AJ376" s="2629"/>
      <c r="AK376" s="2671">
        <f t="shared" si="105"/>
        <v>0</v>
      </c>
      <c r="AL376" s="3464"/>
      <c r="AM376" s="3448"/>
      <c r="AN376" s="3448"/>
      <c r="AO376" s="3448"/>
      <c r="AP376" s="3448"/>
      <c r="AQ376" s="3448"/>
      <c r="AR376" s="3458" t="e">
        <f t="shared" si="106"/>
        <v>#DIV/0!</v>
      </c>
      <c r="AS376" s="3459">
        <f t="shared" si="104"/>
        <v>0</v>
      </c>
    </row>
    <row r="377" spans="1:45" s="1444" customFormat="1" ht="27.95" customHeight="1">
      <c r="A377" s="3285"/>
      <c r="B377" s="3253"/>
      <c r="C377" s="3651"/>
      <c r="D377" s="2152"/>
      <c r="E377" s="2152"/>
      <c r="F377" s="2152"/>
      <c r="G377" s="2153"/>
      <c r="H377" s="3285"/>
      <c r="I377" s="3285"/>
      <c r="J377" s="3282"/>
      <c r="K377" s="3282"/>
      <c r="L377" s="3671"/>
      <c r="M377" s="3676"/>
      <c r="N377" s="5354"/>
      <c r="O377" s="5355"/>
      <c r="P377" s="3274"/>
      <c r="Q377" s="3274"/>
      <c r="R377" s="3274"/>
      <c r="S377" s="2877"/>
      <c r="T377" s="3285"/>
      <c r="U377" s="5354"/>
      <c r="V377" s="5355"/>
      <c r="W377" s="5443"/>
      <c r="X377" s="5444"/>
      <c r="Y377" s="3275"/>
      <c r="Z377" s="3275"/>
      <c r="AA377" s="5352">
        <f t="shared" si="103"/>
        <v>0</v>
      </c>
      <c r="AB377" s="5352"/>
      <c r="AC377" s="2682"/>
      <c r="AD377" s="3289"/>
      <c r="AE377" s="2628"/>
      <c r="AF377" s="2629"/>
      <c r="AG377" s="2628"/>
      <c r="AH377" s="2629"/>
      <c r="AI377" s="2628"/>
      <c r="AJ377" s="2629"/>
      <c r="AK377" s="2671">
        <f t="shared" si="105"/>
        <v>0</v>
      </c>
      <c r="AL377" s="3464"/>
      <c r="AM377" s="3448"/>
      <c r="AN377" s="3448"/>
      <c r="AO377" s="3448"/>
      <c r="AP377" s="3448"/>
      <c r="AQ377" s="3448"/>
      <c r="AR377" s="3458" t="e">
        <f t="shared" si="106"/>
        <v>#DIV/0!</v>
      </c>
      <c r="AS377" s="3459">
        <f t="shared" si="104"/>
        <v>0</v>
      </c>
    </row>
    <row r="378" spans="1:45" s="1444" customFormat="1" ht="27.95" customHeight="1">
      <c r="A378" s="3285"/>
      <c r="B378" s="3253"/>
      <c r="C378" s="3651"/>
      <c r="D378" s="2152"/>
      <c r="E378" s="2152"/>
      <c r="F378" s="2152"/>
      <c r="G378" s="2153"/>
      <c r="H378" s="3285"/>
      <c r="I378" s="3285"/>
      <c r="J378" s="3282"/>
      <c r="K378" s="3282"/>
      <c r="L378" s="3671"/>
      <c r="M378" s="3676"/>
      <c r="N378" s="5354"/>
      <c r="O378" s="5355"/>
      <c r="P378" s="3274"/>
      <c r="Q378" s="3274"/>
      <c r="R378" s="3274"/>
      <c r="S378" s="2877"/>
      <c r="T378" s="3285"/>
      <c r="U378" s="5354"/>
      <c r="V378" s="5355"/>
      <c r="W378" s="5443"/>
      <c r="X378" s="5444"/>
      <c r="Y378" s="3275"/>
      <c r="Z378" s="3275"/>
      <c r="AA378" s="5352">
        <f t="shared" si="103"/>
        <v>0</v>
      </c>
      <c r="AB378" s="5352"/>
      <c r="AC378" s="2682"/>
      <c r="AD378" s="3289"/>
      <c r="AE378" s="2628"/>
      <c r="AF378" s="2629"/>
      <c r="AG378" s="2628"/>
      <c r="AH378" s="2629"/>
      <c r="AI378" s="2628"/>
      <c r="AJ378" s="2629"/>
      <c r="AK378" s="2671">
        <f t="shared" si="105"/>
        <v>0</v>
      </c>
      <c r="AL378" s="3464"/>
      <c r="AM378" s="3448"/>
      <c r="AN378" s="3448"/>
      <c r="AO378" s="3448"/>
      <c r="AP378" s="3448"/>
      <c r="AQ378" s="3448"/>
      <c r="AR378" s="3458" t="e">
        <f t="shared" si="106"/>
        <v>#DIV/0!</v>
      </c>
      <c r="AS378" s="3459">
        <f t="shared" si="104"/>
        <v>0</v>
      </c>
    </row>
    <row r="379" spans="1:45" s="1444" customFormat="1" ht="27.95" customHeight="1">
      <c r="A379" s="3285"/>
      <c r="B379" s="3253"/>
      <c r="C379" s="3651"/>
      <c r="D379" s="2152"/>
      <c r="E379" s="2152"/>
      <c r="F379" s="2152"/>
      <c r="G379" s="2153"/>
      <c r="H379" s="3285"/>
      <c r="I379" s="3285"/>
      <c r="J379" s="3282"/>
      <c r="K379" s="3282"/>
      <c r="L379" s="3671"/>
      <c r="M379" s="3676"/>
      <c r="N379" s="5354"/>
      <c r="O379" s="5355"/>
      <c r="P379" s="3274"/>
      <c r="Q379" s="3274"/>
      <c r="R379" s="3274"/>
      <c r="S379" s="2877"/>
      <c r="T379" s="3285"/>
      <c r="U379" s="5354"/>
      <c r="V379" s="5355"/>
      <c r="W379" s="5443"/>
      <c r="X379" s="5444"/>
      <c r="Y379" s="3275"/>
      <c r="Z379" s="3275"/>
      <c r="AA379" s="5352">
        <f t="shared" si="103"/>
        <v>0</v>
      </c>
      <c r="AB379" s="5352"/>
      <c r="AC379" s="2682"/>
      <c r="AD379" s="3289"/>
      <c r="AE379" s="2628"/>
      <c r="AF379" s="2629"/>
      <c r="AG379" s="2628"/>
      <c r="AH379" s="2629"/>
      <c r="AI379" s="2628"/>
      <c r="AJ379" s="2629"/>
      <c r="AK379" s="2671">
        <f t="shared" si="105"/>
        <v>0</v>
      </c>
      <c r="AL379" s="3464"/>
      <c r="AM379" s="3448"/>
      <c r="AN379" s="3448"/>
      <c r="AO379" s="3448"/>
      <c r="AP379" s="3448"/>
      <c r="AQ379" s="3448"/>
      <c r="AR379" s="3458" t="e">
        <f t="shared" si="106"/>
        <v>#DIV/0!</v>
      </c>
      <c r="AS379" s="3459">
        <f t="shared" si="104"/>
        <v>0</v>
      </c>
    </row>
    <row r="380" spans="1:45" s="1444" customFormat="1" ht="27.95" customHeight="1">
      <c r="A380" s="3285"/>
      <c r="B380" s="3253"/>
      <c r="C380" s="3651"/>
      <c r="D380" s="2152"/>
      <c r="E380" s="2152"/>
      <c r="F380" s="2152"/>
      <c r="G380" s="2153"/>
      <c r="H380" s="3285"/>
      <c r="I380" s="3285"/>
      <c r="J380" s="3282"/>
      <c r="K380" s="3282"/>
      <c r="L380" s="3671"/>
      <c r="M380" s="3676"/>
      <c r="N380" s="5349"/>
      <c r="O380" s="5349"/>
      <c r="P380" s="3274"/>
      <c r="Q380" s="3274"/>
      <c r="R380" s="3274"/>
      <c r="S380" s="2877"/>
      <c r="T380" s="3285"/>
      <c r="U380" s="5349"/>
      <c r="V380" s="5349"/>
      <c r="W380" s="5422"/>
      <c r="X380" s="5422"/>
      <c r="Y380" s="3275"/>
      <c r="Z380" s="3275"/>
      <c r="AA380" s="5352">
        <f t="shared" si="103"/>
        <v>0</v>
      </c>
      <c r="AB380" s="5352"/>
      <c r="AC380" s="2682"/>
      <c r="AD380" s="3289"/>
      <c r="AE380" s="2628"/>
      <c r="AF380" s="2629"/>
      <c r="AG380" s="2628"/>
      <c r="AH380" s="2629"/>
      <c r="AI380" s="2628"/>
      <c r="AJ380" s="2629"/>
      <c r="AK380" s="2671">
        <f t="shared" si="105"/>
        <v>0</v>
      </c>
      <c r="AL380" s="3464"/>
      <c r="AM380" s="3448"/>
      <c r="AN380" s="3448"/>
      <c r="AO380" s="3448"/>
      <c r="AP380" s="3448"/>
      <c r="AQ380" s="3448"/>
      <c r="AR380" s="3458" t="e">
        <f t="shared" si="106"/>
        <v>#DIV/0!</v>
      </c>
      <c r="AS380" s="3459">
        <f t="shared" si="104"/>
        <v>0</v>
      </c>
    </row>
    <row r="381" spans="1:45" s="1444" customFormat="1" ht="27.95" customHeight="1">
      <c r="A381" s="3285"/>
      <c r="B381" s="3253"/>
      <c r="C381" s="3651"/>
      <c r="D381" s="2152"/>
      <c r="E381" s="2152"/>
      <c r="F381" s="2152"/>
      <c r="G381" s="2153"/>
      <c r="H381" s="3285"/>
      <c r="I381" s="3285"/>
      <c r="J381" s="3282"/>
      <c r="K381" s="3282"/>
      <c r="L381" s="3671"/>
      <c r="M381" s="3676"/>
      <c r="N381" s="5354"/>
      <c r="O381" s="5355"/>
      <c r="P381" s="3274"/>
      <c r="Q381" s="3274"/>
      <c r="R381" s="3274"/>
      <c r="S381" s="2877"/>
      <c r="T381" s="3285"/>
      <c r="U381" s="5349"/>
      <c r="V381" s="5349"/>
      <c r="W381" s="5422"/>
      <c r="X381" s="5422"/>
      <c r="Y381" s="3275"/>
      <c r="Z381" s="3275"/>
      <c r="AA381" s="5352">
        <f t="shared" si="103"/>
        <v>0</v>
      </c>
      <c r="AB381" s="5352"/>
      <c r="AC381" s="2682"/>
      <c r="AD381" s="3289"/>
      <c r="AE381" s="2628"/>
      <c r="AF381" s="2629"/>
      <c r="AG381" s="2628"/>
      <c r="AH381" s="2629"/>
      <c r="AI381" s="2628"/>
      <c r="AJ381" s="2629"/>
      <c r="AK381" s="2671">
        <f t="shared" si="105"/>
        <v>0</v>
      </c>
      <c r="AL381" s="3464"/>
      <c r="AM381" s="3448"/>
      <c r="AN381" s="3448"/>
      <c r="AO381" s="3448"/>
      <c r="AP381" s="3448"/>
      <c r="AQ381" s="3448"/>
      <c r="AR381" s="3458" t="e">
        <f t="shared" si="106"/>
        <v>#DIV/0!</v>
      </c>
      <c r="AS381" s="3459">
        <f t="shared" si="104"/>
        <v>0</v>
      </c>
    </row>
    <row r="382" spans="1:45" s="1444" customFormat="1" ht="27.95" customHeight="1">
      <c r="A382" s="3285"/>
      <c r="B382" s="3253"/>
      <c r="C382" s="2152"/>
      <c r="D382" s="2152"/>
      <c r="E382" s="2152"/>
      <c r="F382" s="2152"/>
      <c r="G382" s="2153"/>
      <c r="H382" s="3285"/>
      <c r="I382" s="3285"/>
      <c r="J382" s="3285"/>
      <c r="K382" s="3285"/>
      <c r="L382" s="3671"/>
      <c r="M382" s="3676"/>
      <c r="N382" s="5349"/>
      <c r="O382" s="5349"/>
      <c r="P382" s="3274"/>
      <c r="Q382" s="3274"/>
      <c r="R382" s="3274"/>
      <c r="S382" s="2875"/>
      <c r="T382" s="3285"/>
      <c r="U382" s="5349"/>
      <c r="V382" s="5349"/>
      <c r="W382" s="5422"/>
      <c r="X382" s="5422"/>
      <c r="Y382" s="3275"/>
      <c r="Z382" s="3275"/>
      <c r="AA382" s="5352">
        <f>AC382+AD382+AE382+AF382-AG382-AH382</f>
        <v>0</v>
      </c>
      <c r="AB382" s="5352"/>
      <c r="AC382" s="2682"/>
      <c r="AD382" s="3289"/>
      <c r="AE382" s="2628"/>
      <c r="AF382" s="2629"/>
      <c r="AG382" s="2628"/>
      <c r="AH382" s="2629"/>
      <c r="AI382" s="2628"/>
      <c r="AJ382" s="2629"/>
      <c r="AK382" s="2672">
        <f t="shared" si="105"/>
        <v>0</v>
      </c>
      <c r="AL382" s="3464"/>
      <c r="AM382" s="3448"/>
      <c r="AN382" s="3448"/>
      <c r="AO382" s="3448"/>
      <c r="AP382" s="3448"/>
      <c r="AQ382" s="3448"/>
      <c r="AR382" s="3458" t="e">
        <f t="shared" si="106"/>
        <v>#DIV/0!</v>
      </c>
      <c r="AS382" s="3459">
        <f t="shared" si="104"/>
        <v>0</v>
      </c>
    </row>
    <row r="383" spans="1:45" s="1444" customFormat="1" ht="27.95" customHeight="1">
      <c r="A383" s="3273">
        <f>COUNTA(B357:G382)</f>
        <v>16</v>
      </c>
      <c r="B383" s="2964" t="str">
        <f>'[1]0640C'!$S$3</f>
        <v>arjonasantoyo@hotmail.com</v>
      </c>
      <c r="C383" s="3273"/>
      <c r="D383" s="2963"/>
      <c r="E383" s="2964" t="str">
        <f>'[4]0640C'!$C$8</f>
        <v>SMZ. 502 MZ. 2 L. 1 COL. PEHALTUN</v>
      </c>
      <c r="F383" s="3273"/>
      <c r="G383" s="3273"/>
      <c r="H383" s="3273">
        <f>COUNTIF(H358:H369,"X")</f>
        <v>3</v>
      </c>
      <c r="I383" s="3273">
        <f>COUNTIF(I358:I369,"X")</f>
        <v>9</v>
      </c>
      <c r="J383" s="2966">
        <f>COUNTIF(L357:M382,"docente")</f>
        <v>12</v>
      </c>
      <c r="K383" s="2967">
        <f>COUNTIF(L357:M382,"intendente")</f>
        <v>1</v>
      </c>
      <c r="L383" s="1665">
        <f>COUNTA(N357:O382)</f>
        <v>8</v>
      </c>
      <c r="M383" s="2968">
        <f>COUNTIF(Y357:Y382,"1º")</f>
        <v>2</v>
      </c>
      <c r="N383" s="3278">
        <f>COUNTIF(Y357:Y382,"2º")</f>
        <v>2</v>
      </c>
      <c r="O383" s="3278">
        <f>COUNTIF(Y357:Y382,"3º")</f>
        <v>2</v>
      </c>
      <c r="P383" s="3278">
        <f>COUNTIF(Y357:Y382,"4º")</f>
        <v>2</v>
      </c>
      <c r="Q383" s="3278">
        <f>COUNTIF(Y357:Y382,"5º")</f>
        <v>2</v>
      </c>
      <c r="R383" s="3278">
        <f>COUNTIF(Y357:Y382,"6º")</f>
        <v>2</v>
      </c>
      <c r="S383" s="2968">
        <f>SUM(M383:R383)</f>
        <v>12</v>
      </c>
      <c r="T383" s="3273">
        <f>COUNTA(T357:T382)</f>
        <v>9</v>
      </c>
      <c r="U383" s="2968">
        <f>COUNTIF(U357:V382,"10")</f>
        <v>16</v>
      </c>
      <c r="V383" s="2969">
        <f>COUNTIF(U357:V382,"20")</f>
        <v>0</v>
      </c>
      <c r="W383" s="5396" t="s">
        <v>1232</v>
      </c>
      <c r="X383" s="5396"/>
      <c r="Y383" s="5396"/>
      <c r="Z383" s="3276">
        <f>COUNTA(Z357:Z382)</f>
        <v>12</v>
      </c>
      <c r="AA383" s="5411">
        <f>SUM(AA357:AB382)</f>
        <v>340</v>
      </c>
      <c r="AB383" s="5411"/>
      <c r="AC383" s="2687">
        <f>SUM(AC357:AC382)</f>
        <v>211</v>
      </c>
      <c r="AD383" s="2688">
        <f t="shared" ref="AD383:AJ383" si="107">SUM(AD357:AD382)</f>
        <v>172</v>
      </c>
      <c r="AE383" s="2630">
        <f t="shared" si="107"/>
        <v>14</v>
      </c>
      <c r="AF383" s="2631">
        <f t="shared" si="107"/>
        <v>14</v>
      </c>
      <c r="AG383" s="2632">
        <f t="shared" si="107"/>
        <v>37</v>
      </c>
      <c r="AH383" s="2633">
        <f t="shared" si="107"/>
        <v>34</v>
      </c>
      <c r="AI383" s="2634">
        <f t="shared" si="107"/>
        <v>0</v>
      </c>
      <c r="AJ383" s="2635">
        <f t="shared" si="107"/>
        <v>0</v>
      </c>
      <c r="AK383" s="317">
        <f t="shared" si="105"/>
        <v>383</v>
      </c>
      <c r="AL383" s="3461" t="e">
        <f>SUM(AL357:AL382)/AL384</f>
        <v>#DIV/0!</v>
      </c>
      <c r="AM383" s="3465">
        <f t="shared" ref="AM383" si="108">SUM(AM357:AM382)/AM384</f>
        <v>6.7741666666666669</v>
      </c>
      <c r="AN383" s="3460" t="e">
        <f t="shared" ref="AN383" si="109">SUM(AN357:AN382)/AN384</f>
        <v>#DIV/0!</v>
      </c>
      <c r="AO383" s="3460" t="e">
        <f t="shared" ref="AO383" si="110">SUM(AO357:AO382)/AO384</f>
        <v>#DIV/0!</v>
      </c>
      <c r="AP383" s="3460" t="e">
        <f t="shared" ref="AP383" si="111">SUM(AP357:AP382)/AP384</f>
        <v>#DIV/0!</v>
      </c>
      <c r="AQ383" s="3460" t="e">
        <f>SUM(AQ357:AQ382)/AQ384</f>
        <v>#DIV/0!</v>
      </c>
      <c r="AR383" s="3461" t="e">
        <f t="shared" si="106"/>
        <v>#DIV/0!</v>
      </c>
      <c r="AS383" s="3459">
        <f t="shared" si="104"/>
        <v>5</v>
      </c>
    </row>
    <row r="384" spans="1:45" s="1446" customFormat="1" ht="27.95" customHeight="1">
      <c r="A384" s="3718" t="s">
        <v>228</v>
      </c>
      <c r="B384" s="3719">
        <f>SUM(Estadisticas!AM33:AN33)</f>
        <v>8</v>
      </c>
      <c r="C384" s="3719">
        <f>SUM(Estadisticas!AO33:AP33)</f>
        <v>7</v>
      </c>
      <c r="D384" s="3719">
        <f>SUM(Estadisticas!AQ33:AR33)</f>
        <v>4</v>
      </c>
      <c r="E384" s="3719">
        <f>SUM(Estadisticas!AS33:AT33)</f>
        <v>5</v>
      </c>
      <c r="F384" s="3719">
        <f>SUM(Estadisticas!AU33:AV33)</f>
        <v>6</v>
      </c>
      <c r="G384" s="3719">
        <f>SUM(Estadisticas!AW33:AX33)</f>
        <v>4</v>
      </c>
      <c r="H384" s="5450">
        <f>SUM(B384:G384)</f>
        <v>34</v>
      </c>
      <c r="I384" s="5450"/>
      <c r="J384" s="3711"/>
      <c r="K384" s="3711"/>
      <c r="L384" s="3692" t="s">
        <v>1126</v>
      </c>
      <c r="M384" s="3690">
        <f>SUM(AK358:AK359)</f>
        <v>54</v>
      </c>
      <c r="N384" s="3690">
        <f>SUM(AK360:AK361)</f>
        <v>59</v>
      </c>
      <c r="O384" s="3690">
        <f>SUM(AK362:AK363)</f>
        <v>67</v>
      </c>
      <c r="P384" s="3690">
        <f>SUM(AK364:AK365)</f>
        <v>65</v>
      </c>
      <c r="Q384" s="3690">
        <f>SUM(AK366:AK367)</f>
        <v>68</v>
      </c>
      <c r="R384" s="3690">
        <f>SUM(AK368:AK369)</f>
        <v>70</v>
      </c>
      <c r="S384" s="3690">
        <f>SUM(M384:R384)</f>
        <v>383</v>
      </c>
      <c r="T384" s="3711">
        <f>'[1]0640C'!$V$23</f>
        <v>13</v>
      </c>
      <c r="U384" s="3711"/>
      <c r="V384" s="3711"/>
      <c r="W384" s="3711"/>
      <c r="X384" s="3711"/>
      <c r="Y384" s="2683">
        <f>COUNTA(Y357:Y382)</f>
        <v>12</v>
      </c>
      <c r="Z384" s="3711"/>
      <c r="AA384" s="5428">
        <f>'[1]0640C'!$X$35</f>
        <v>345</v>
      </c>
      <c r="AB384" s="5428"/>
      <c r="AC384" s="5334">
        <f>AC383+AD383</f>
        <v>383</v>
      </c>
      <c r="AD384" s="5334"/>
      <c r="AE384" s="5335">
        <f>AE383+AF383</f>
        <v>28</v>
      </c>
      <c r="AF384" s="5335"/>
      <c r="AG384" s="5335">
        <f>AG383+AH383</f>
        <v>71</v>
      </c>
      <c r="AH384" s="5335"/>
      <c r="AI384" s="2636"/>
      <c r="AJ384" s="2636"/>
      <c r="AK384" s="2636">
        <f>SUM(AC384:AD384)+AE384</f>
        <v>411</v>
      </c>
      <c r="AL384" s="3462">
        <f>COUNTA(AL357:AL382)</f>
        <v>0</v>
      </c>
      <c r="AM384" s="3462">
        <f t="shared" ref="AM384:AQ384" si="112">COUNTA(AM357:AM382)</f>
        <v>12</v>
      </c>
      <c r="AN384" s="3462">
        <f t="shared" si="112"/>
        <v>0</v>
      </c>
      <c r="AO384" s="3462">
        <f t="shared" si="112"/>
        <v>0</v>
      </c>
      <c r="AP384" s="3462">
        <f t="shared" si="112"/>
        <v>0</v>
      </c>
      <c r="AQ384" s="3462">
        <f t="shared" si="112"/>
        <v>0</v>
      </c>
      <c r="AR384" s="3462">
        <v>12</v>
      </c>
    </row>
    <row r="385" spans="1:45" s="1446" customFormat="1" ht="27.95" customHeight="1">
      <c r="A385" s="2683" t="s">
        <v>230</v>
      </c>
      <c r="B385" s="2683">
        <f>SUM(Estadisticas!AY33:AZ33)</f>
        <v>11</v>
      </c>
      <c r="C385" s="2683">
        <f>SUM(Estadisticas!BA33:BB33)</f>
        <v>13</v>
      </c>
      <c r="D385" s="2683">
        <f>SUM(Estadisticas!BC33:BD33)</f>
        <v>24</v>
      </c>
      <c r="E385" s="2683">
        <f>SUM(Estadisticas!BE33:BF33)</f>
        <v>6</v>
      </c>
      <c r="F385" s="2683">
        <f>SUM(Estadisticas!BG33:BH33)</f>
        <v>10</v>
      </c>
      <c r="G385" s="2683">
        <f>SUM(Estadisticas!BI33:BJ33)</f>
        <v>8</v>
      </c>
      <c r="H385" s="5451">
        <f>SUM(B385:G385)</f>
        <v>72</v>
      </c>
      <c r="I385" s="5451"/>
      <c r="J385" s="3711"/>
      <c r="K385" s="3711"/>
      <c r="L385" s="3696" t="s">
        <v>423</v>
      </c>
      <c r="M385" s="3695">
        <f>SUM(AE358:AF359)</f>
        <v>5</v>
      </c>
      <c r="N385" s="3695">
        <f>SUM(AE360:AF361)</f>
        <v>6</v>
      </c>
      <c r="O385" s="3695">
        <f>SUM(AE362:AF363)</f>
        <v>4</v>
      </c>
      <c r="P385" s="3695">
        <f>SUM(AE364:AF365)</f>
        <v>5</v>
      </c>
      <c r="Q385" s="3695">
        <f>SUM(AE366:AF367)</f>
        <v>5</v>
      </c>
      <c r="R385" s="3695">
        <f>SUM(AE368:AF369)</f>
        <v>3</v>
      </c>
      <c r="S385" s="3695">
        <f t="shared" ref="S385:S386" si="113">SUM(M385:R385)</f>
        <v>28</v>
      </c>
      <c r="T385" s="2618"/>
      <c r="U385" s="3705" t="str">
        <f>U65</f>
        <v>PRE</v>
      </c>
      <c r="V385" s="3707">
        <f>'[1]0640C'!$F$39</f>
        <v>2</v>
      </c>
      <c r="W385" s="3707">
        <f>'[1]0640C'!$I$39</f>
        <v>2</v>
      </c>
      <c r="X385" s="3707">
        <f>'[1]0640C'!$L$39</f>
        <v>2</v>
      </c>
      <c r="Y385" s="3707">
        <f>'[1]0640C'!$O$39</f>
        <v>2</v>
      </c>
      <c r="Z385" s="3707">
        <f>'[1]0640C'!$R$39</f>
        <v>2</v>
      </c>
      <c r="AA385" s="3707">
        <f>'[1]0640C'!$U$39</f>
        <v>2</v>
      </c>
      <c r="AB385" s="3707">
        <f>SUM(V385:AA385)</f>
        <v>12</v>
      </c>
      <c r="AC385" s="2683"/>
      <c r="AD385" s="3238"/>
      <c r="AE385" s="2620"/>
      <c r="AF385" s="2621"/>
      <c r="AG385" s="2620"/>
      <c r="AH385" s="2621"/>
      <c r="AK385" s="2636"/>
      <c r="AL385" s="3448"/>
      <c r="AM385" s="3448"/>
      <c r="AN385" s="3448"/>
      <c r="AO385" s="3448"/>
      <c r="AP385" s="3448"/>
      <c r="AQ385" s="3448"/>
      <c r="AR385" s="3448"/>
    </row>
    <row r="386" spans="1:45" s="1441" customFormat="1" ht="27.95" customHeight="1">
      <c r="A386" s="3715" t="s">
        <v>478</v>
      </c>
      <c r="B386" s="3715">
        <f>SUM(Estadisticas!BK33:BL33)</f>
        <v>0</v>
      </c>
      <c r="C386" s="3715">
        <f>SUM(Estadisticas!BM33:BN33)</f>
        <v>0</v>
      </c>
      <c r="D386" s="3715">
        <f>SUM(Estadisticas!BO33:BP33)</f>
        <v>0</v>
      </c>
      <c r="E386" s="3715">
        <f>SUM(Estadisticas!BQ33:BR33)</f>
        <v>0</v>
      </c>
      <c r="F386" s="3715">
        <f>SUM(Estadisticas!BS33:BT33)</f>
        <v>0</v>
      </c>
      <c r="G386" s="3715">
        <f>SUM(Estadisticas!BU33:BV33)</f>
        <v>0</v>
      </c>
      <c r="H386" s="5452">
        <f>SUM(B386:G386)</f>
        <v>0</v>
      </c>
      <c r="I386" s="5452"/>
      <c r="J386" s="3713"/>
      <c r="K386" s="3714"/>
      <c r="L386" s="3701" t="s">
        <v>434</v>
      </c>
      <c r="M386" s="3702">
        <f>SUM(AG358:AH359)</f>
        <v>11</v>
      </c>
      <c r="N386" s="3702">
        <f>SUM(AG360:AH361)</f>
        <v>13</v>
      </c>
      <c r="O386" s="3702">
        <f>SUM(AG362:AH363)</f>
        <v>24</v>
      </c>
      <c r="P386" s="3702">
        <f>SUM(AG364:AH365)</f>
        <v>5</v>
      </c>
      <c r="Q386" s="3702">
        <f>SUM(AG366:AH367)</f>
        <v>10</v>
      </c>
      <c r="R386" s="3702">
        <f>SUM(AG368:AH369)</f>
        <v>8</v>
      </c>
      <c r="S386" s="3702">
        <f t="shared" si="113"/>
        <v>71</v>
      </c>
      <c r="T386" s="3713"/>
      <c r="U386" s="3710">
        <f>'[1]0640C'!$O$26</f>
        <v>42</v>
      </c>
      <c r="V386" s="3710">
        <f>'[1]0640C'!$F$35</f>
        <v>51</v>
      </c>
      <c r="W386" s="3710">
        <f>'[1]0640C'!$I$35</f>
        <v>53</v>
      </c>
      <c r="X386" s="3710">
        <f>'[1]0640C'!$L$35</f>
        <v>47</v>
      </c>
      <c r="Y386" s="3710">
        <f>'[1]0640C'!$O$35</f>
        <v>64</v>
      </c>
      <c r="Z386" s="3710">
        <f>'[1]0640C'!$R$35</f>
        <v>64</v>
      </c>
      <c r="AA386" s="3710">
        <f>'[1]0640C'!$U$35</f>
        <v>66</v>
      </c>
      <c r="AB386" s="3710">
        <f>SUM(V386:AA386)</f>
        <v>345</v>
      </c>
      <c r="AC386" s="2683"/>
      <c r="AD386" s="3238"/>
      <c r="AE386" s="2620"/>
      <c r="AF386" s="2621"/>
      <c r="AG386" s="2620"/>
      <c r="AH386" s="2621"/>
      <c r="AI386" s="1444"/>
      <c r="AJ386" s="1444"/>
      <c r="AK386" s="2636"/>
      <c r="AL386" s="3445"/>
      <c r="AM386" s="3445"/>
      <c r="AN386" s="3445"/>
      <c r="AO386" s="3445"/>
      <c r="AP386" s="3445"/>
      <c r="AQ386" s="3445"/>
      <c r="AR386" s="3445"/>
      <c r="AS386" s="108"/>
    </row>
    <row r="387" spans="1:45" s="1448" customFormat="1" ht="27.95" customHeight="1">
      <c r="A387" s="175"/>
      <c r="B387" s="1427"/>
      <c r="C387" s="173"/>
      <c r="D387" s="3262" t="s">
        <v>1193</v>
      </c>
      <c r="E387" s="5388" t="str">
        <f>B357</f>
        <v>ARJONA SANTOYO * MARCO ANTONIO</v>
      </c>
      <c r="F387" s="5388"/>
      <c r="G387" s="5388"/>
      <c r="H387" s="5388"/>
      <c r="I387" s="5388"/>
      <c r="J387" s="5388"/>
      <c r="K387" s="1603"/>
      <c r="L387" s="1428"/>
      <c r="M387" s="3262" t="s">
        <v>1234</v>
      </c>
      <c r="N387" s="5388" t="str">
        <f>N347</f>
        <v>RICALDE CASTRO JESUS MARTIN</v>
      </c>
      <c r="O387" s="5388"/>
      <c r="P387" s="5388"/>
      <c r="Q387" s="5388"/>
      <c r="R387" s="5388"/>
      <c r="S387" s="5388"/>
      <c r="T387" s="1603"/>
      <c r="U387" s="1603"/>
      <c r="V387" s="3262" t="s">
        <v>1195</v>
      </c>
      <c r="W387" s="5388" t="str">
        <f>W347</f>
        <v xml:space="preserve">ANCONA FLORES AURA EUGENIA </v>
      </c>
      <c r="X387" s="5388"/>
      <c r="Y387" s="5388"/>
      <c r="Z387" s="5388"/>
      <c r="AA387" s="5388"/>
      <c r="AB387" s="5388"/>
      <c r="AC387" s="2683"/>
      <c r="AD387" s="3238"/>
      <c r="AE387" s="2620"/>
      <c r="AF387" s="2621"/>
      <c r="AG387" s="2620"/>
      <c r="AH387" s="2621"/>
      <c r="AI387" s="2624"/>
      <c r="AJ387" s="2624"/>
      <c r="AK387" s="2636"/>
      <c r="AL387" s="3449"/>
      <c r="AM387" s="3449"/>
      <c r="AN387" s="3449"/>
      <c r="AO387" s="3449"/>
      <c r="AP387" s="3449"/>
      <c r="AQ387" s="3449"/>
      <c r="AR387" s="3449"/>
      <c r="AS387" s="3450"/>
    </row>
    <row r="388" spans="1:45" s="1430" customFormat="1" ht="27.95" customHeight="1">
      <c r="A388" s="1670"/>
      <c r="B388" s="1401"/>
      <c r="C388" s="1401"/>
      <c r="D388" s="1401"/>
      <c r="E388" s="1401"/>
      <c r="F388" s="1402"/>
      <c r="G388" s="1402"/>
      <c r="H388" s="1402"/>
      <c r="I388" s="1402"/>
      <c r="J388" s="1402"/>
      <c r="K388" s="27"/>
      <c r="M388" s="1431" t="s">
        <v>196</v>
      </c>
      <c r="N388" s="1402"/>
      <c r="O388" s="1402"/>
      <c r="P388" s="1402"/>
      <c r="Q388" s="1402"/>
      <c r="R388" s="1402"/>
      <c r="S388" s="1402"/>
      <c r="T388" s="1401"/>
      <c r="V388" s="3263"/>
      <c r="W388" s="1432" t="s">
        <v>764</v>
      </c>
      <c r="X388" s="5221" t="s">
        <v>247</v>
      </c>
      <c r="Y388" s="5221"/>
      <c r="Z388" s="5221"/>
      <c r="AA388" s="5221"/>
      <c r="AB388" s="1644"/>
      <c r="AC388" s="2683"/>
      <c r="AD388" s="3238"/>
      <c r="AE388" s="2637"/>
      <c r="AF388" s="2638"/>
      <c r="AG388" s="2637"/>
      <c r="AH388" s="2638"/>
      <c r="AI388" s="1449"/>
      <c r="AJ388" s="1449"/>
      <c r="AK388" s="2636"/>
      <c r="AL388" s="3451"/>
      <c r="AM388" s="3451"/>
      <c r="AN388" s="3451"/>
      <c r="AO388" s="3451"/>
      <c r="AP388" s="3451"/>
      <c r="AQ388" s="3451"/>
      <c r="AR388" s="3451"/>
      <c r="AS388" s="3452"/>
    </row>
    <row r="389" spans="1:45" ht="27.95" customHeight="1">
      <c r="A389" s="1663"/>
      <c r="B389" s="1406"/>
      <c r="C389" s="1406"/>
      <c r="D389" s="1406"/>
      <c r="E389" s="1406"/>
      <c r="F389" s="1407"/>
      <c r="G389" s="1407"/>
      <c r="H389" s="1407"/>
      <c r="I389" s="1407"/>
      <c r="J389" s="1407"/>
      <c r="K389" s="1407"/>
      <c r="L389" s="1407"/>
      <c r="M389" s="3260" t="s">
        <v>1148</v>
      </c>
      <c r="N389" s="1407"/>
      <c r="O389" s="1407"/>
      <c r="P389" s="1407"/>
      <c r="Q389" s="1407"/>
      <c r="R389" s="1407"/>
      <c r="S389" s="1407"/>
      <c r="T389" s="1408"/>
      <c r="U389" s="1408"/>
      <c r="V389" s="3263"/>
      <c r="W389" s="1432" t="s">
        <v>1149</v>
      </c>
      <c r="X389" s="5221" t="str">
        <f>X349</f>
        <v>2012 / 2013</v>
      </c>
      <c r="Y389" s="5221"/>
      <c r="Z389" s="5221"/>
      <c r="AA389" s="5221"/>
      <c r="AB389" s="1417"/>
      <c r="AC389" s="2683"/>
      <c r="AD389" s="3238"/>
      <c r="AE389" s="2620"/>
      <c r="AF389" s="2621"/>
      <c r="AG389" s="2620"/>
      <c r="AH389" s="2621"/>
      <c r="AK389" s="2636"/>
      <c r="AR389" s="3445"/>
    </row>
    <row r="390" spans="1:45" ht="27.95" customHeight="1">
      <c r="A390" s="1663"/>
      <c r="B390" s="1410"/>
      <c r="C390" s="1410"/>
      <c r="D390" s="1410"/>
      <c r="E390" s="1410"/>
      <c r="F390" s="1407"/>
      <c r="G390" s="1407"/>
      <c r="H390" s="1407"/>
      <c r="I390" s="1407"/>
      <c r="J390" s="1407"/>
      <c r="K390" s="1407"/>
      <c r="M390" s="3260" t="s">
        <v>1150</v>
      </c>
      <c r="N390" s="1407"/>
      <c r="O390" s="1407"/>
      <c r="P390" s="1407"/>
      <c r="Q390" s="1407"/>
      <c r="R390" s="1407"/>
      <c r="S390" s="1407"/>
      <c r="T390" s="1433"/>
      <c r="U390" s="1433"/>
      <c r="V390" s="1434"/>
      <c r="W390" s="3281" t="s">
        <v>42</v>
      </c>
      <c r="X390" s="5391" t="str">
        <f>X350</f>
        <v>042</v>
      </c>
      <c r="Y390" s="5391"/>
      <c r="Z390" s="5391"/>
      <c r="AA390" s="5391"/>
      <c r="AB390" s="1417"/>
      <c r="AC390" s="2683"/>
      <c r="AD390" s="3238"/>
      <c r="AE390" s="2620"/>
      <c r="AF390" s="2621"/>
      <c r="AG390" s="2620"/>
      <c r="AH390" s="2621"/>
      <c r="AK390" s="2636"/>
      <c r="AR390" s="3445"/>
    </row>
    <row r="391" spans="1:45" ht="27.95" customHeight="1">
      <c r="A391" s="1663"/>
      <c r="B391" s="1410"/>
      <c r="C391" s="1410"/>
      <c r="D391" s="1410"/>
      <c r="E391" s="1410"/>
      <c r="F391" s="1406"/>
      <c r="H391" s="1413"/>
      <c r="I391" s="1413"/>
      <c r="J391" s="1414"/>
      <c r="K391" s="1414"/>
      <c r="L391" s="1415" t="s">
        <v>1197</v>
      </c>
      <c r="M391" s="1415">
        <f>M351</f>
        <v>8</v>
      </c>
      <c r="N391" s="3271" t="s">
        <v>1152</v>
      </c>
      <c r="O391" s="5371" t="str">
        <f>O351</f>
        <v>AGOSTO</v>
      </c>
      <c r="P391" s="5371"/>
      <c r="Q391" s="1435" t="s">
        <v>1152</v>
      </c>
      <c r="R391" s="5371">
        <f>R351</f>
        <v>2012</v>
      </c>
      <c r="S391" s="5371"/>
      <c r="T391" s="1406"/>
      <c r="U391" s="5372" t="s">
        <v>246</v>
      </c>
      <c r="V391" s="5372"/>
      <c r="W391" s="5372"/>
      <c r="X391" s="5372"/>
      <c r="Y391" s="1436" t="s">
        <v>245</v>
      </c>
      <c r="Z391" s="1436"/>
      <c r="AA391" s="1437"/>
      <c r="AB391" s="1417"/>
      <c r="AC391" s="2683"/>
      <c r="AD391" s="3238"/>
      <c r="AE391" s="2620"/>
      <c r="AF391" s="2621"/>
      <c r="AG391" s="2620"/>
      <c r="AH391" s="2621"/>
      <c r="AK391" s="2636"/>
      <c r="AR391" s="3445"/>
    </row>
    <row r="392" spans="1:45" ht="27.95" customHeight="1">
      <c r="A392" s="5356" t="s">
        <v>1153</v>
      </c>
      <c r="B392" s="5356"/>
      <c r="C392" s="5356"/>
      <c r="D392" s="5389" t="s">
        <v>2320</v>
      </c>
      <c r="E392" s="5389"/>
      <c r="F392" s="5389"/>
      <c r="G392" s="5389"/>
      <c r="H392" s="5389"/>
      <c r="I392" s="5389"/>
      <c r="J392" s="5389"/>
      <c r="K392" s="5389"/>
      <c r="L392" s="3281" t="s">
        <v>19</v>
      </c>
      <c r="M392" s="5370" t="s">
        <v>1815</v>
      </c>
      <c r="N392" s="5370"/>
      <c r="O392" s="5390" t="s">
        <v>13</v>
      </c>
      <c r="P392" s="5390"/>
      <c r="Q392" s="5370" t="s">
        <v>69</v>
      </c>
      <c r="R392" s="5370"/>
      <c r="S392" s="5370"/>
      <c r="T392" s="174"/>
      <c r="U392" s="1418" t="s">
        <v>1157</v>
      </c>
      <c r="V392" s="5221" t="str">
        <f>V352</f>
        <v>2  BENITO JUAREZ</v>
      </c>
      <c r="W392" s="5221"/>
      <c r="X392" s="5221"/>
      <c r="Y392" s="5221"/>
      <c r="Z392" s="5221"/>
      <c r="AA392" s="5221"/>
      <c r="AB392" s="5221"/>
      <c r="AC392" s="2683"/>
      <c r="AD392" s="3238"/>
      <c r="AE392" s="2620"/>
      <c r="AF392" s="2621"/>
      <c r="AG392" s="2620"/>
      <c r="AH392" s="2621"/>
      <c r="AK392" s="2636"/>
      <c r="AR392" s="3445"/>
    </row>
    <row r="393" spans="1:45" s="1439" customFormat="1" ht="27.95" customHeight="1">
      <c r="A393" s="5356" t="s">
        <v>437</v>
      </c>
      <c r="B393" s="5356"/>
      <c r="C393" s="5389" t="s">
        <v>2333</v>
      </c>
      <c r="D393" s="5389"/>
      <c r="E393" s="5389"/>
      <c r="F393" s="5389"/>
      <c r="G393" s="5389"/>
      <c r="H393" s="5389"/>
      <c r="I393" s="5389"/>
      <c r="J393" s="5389"/>
      <c r="K393" s="5389"/>
      <c r="L393" s="5389"/>
      <c r="M393" s="5389"/>
      <c r="N393" s="1419"/>
      <c r="O393" s="3281" t="s">
        <v>863</v>
      </c>
      <c r="P393" s="5370" t="str">
        <f>'[1]0681C'!$I$8</f>
        <v>9987 34 27 50</v>
      </c>
      <c r="Q393" s="5370"/>
      <c r="R393" s="5370"/>
      <c r="S393" s="5370"/>
      <c r="T393" s="5370"/>
      <c r="U393" s="1420"/>
      <c r="V393" s="3281"/>
      <c r="W393" s="3281" t="s">
        <v>1159</v>
      </c>
      <c r="X393" s="5358" t="str">
        <f>X353</f>
        <v>8  DE  AGOSTO  DE  2012</v>
      </c>
      <c r="Y393" s="5358"/>
      <c r="Z393" s="5358"/>
      <c r="AA393" s="5358"/>
      <c r="AB393" s="5358"/>
      <c r="AC393" s="5331" t="str">
        <f>D392</f>
        <v>MANUEL CRESCENCIO REJON</v>
      </c>
      <c r="AD393" s="5331"/>
      <c r="AE393" s="5331"/>
      <c r="AF393" s="5331"/>
      <c r="AG393" s="5331"/>
      <c r="AH393" s="5331"/>
      <c r="AI393" s="5332" t="str">
        <f>M392</f>
        <v>23DPR0681C</v>
      </c>
      <c r="AJ393" s="5332"/>
      <c r="AK393" s="5332"/>
      <c r="AL393" s="3446"/>
      <c r="AM393" s="3446"/>
      <c r="AN393" s="3446"/>
      <c r="AO393" s="3446"/>
      <c r="AP393" s="3446"/>
      <c r="AQ393" s="3446"/>
      <c r="AR393" s="3446"/>
      <c r="AS393" s="2166"/>
    </row>
    <row r="394" spans="1:45" s="1441" customFormat="1" ht="9.9499999999999993" customHeight="1">
      <c r="A394" s="2996" t="str">
        <f>'[4]0681C'!$C$8</f>
        <v>REG. 95 MZA. 129 L. 2</v>
      </c>
      <c r="B394" s="1422"/>
      <c r="C394" s="1422"/>
      <c r="D394" s="3261"/>
      <c r="E394" s="3261"/>
      <c r="F394" s="3261"/>
      <c r="G394" s="3261"/>
      <c r="H394" s="3261"/>
      <c r="I394" s="3261"/>
      <c r="J394" s="3261"/>
      <c r="K394" s="3261"/>
      <c r="L394" s="3261"/>
      <c r="M394" s="1421"/>
      <c r="N394" s="2995" t="str">
        <f>'[4]0681C'!$I$8</f>
        <v>998 2-52-31-19</v>
      </c>
      <c r="O394" s="1423"/>
      <c r="P394" s="1423"/>
      <c r="Q394" s="1424"/>
      <c r="R394" s="1423"/>
      <c r="S394" s="1423"/>
      <c r="T394" s="1422"/>
      <c r="U394" s="1422"/>
      <c r="V394" s="3261"/>
      <c r="W394" s="3261"/>
      <c r="X394" s="3261"/>
      <c r="Y394" s="3261"/>
      <c r="Z394" s="1422"/>
      <c r="AA394" s="1422"/>
      <c r="AB394" s="1422"/>
      <c r="AC394" s="2689"/>
      <c r="AD394" s="2690"/>
      <c r="AE394" s="2639"/>
      <c r="AF394" s="2640"/>
      <c r="AG394" s="2639"/>
      <c r="AH394" s="2640"/>
      <c r="AI394" s="1444"/>
      <c r="AJ394" s="1444"/>
      <c r="AK394" s="2636"/>
      <c r="AL394" s="3445"/>
      <c r="AM394" s="3445"/>
      <c r="AN394" s="3445"/>
      <c r="AO394" s="3445"/>
      <c r="AP394" s="3445"/>
      <c r="AQ394" s="3445"/>
      <c r="AR394" s="3445"/>
      <c r="AS394" s="108"/>
    </row>
    <row r="395" spans="1:45" s="1442" customFormat="1" ht="27.95" customHeight="1">
      <c r="A395" s="5415" t="s">
        <v>1160</v>
      </c>
      <c r="B395" s="5416" t="s">
        <v>1235</v>
      </c>
      <c r="C395" s="5416"/>
      <c r="D395" s="5416"/>
      <c r="E395" s="5416"/>
      <c r="F395" s="5416"/>
      <c r="G395" s="5416"/>
      <c r="H395" s="5417" t="s">
        <v>1161</v>
      </c>
      <c r="I395" s="5417"/>
      <c r="J395" s="5417" t="s">
        <v>212</v>
      </c>
      <c r="K395" s="5417" t="s">
        <v>1162</v>
      </c>
      <c r="L395" s="5417" t="s">
        <v>1163</v>
      </c>
      <c r="M395" s="5417"/>
      <c r="N395" s="5417" t="s">
        <v>1164</v>
      </c>
      <c r="O395" s="5417"/>
      <c r="P395" s="5417" t="s">
        <v>1165</v>
      </c>
      <c r="Q395" s="5417"/>
      <c r="R395" s="5417" t="s">
        <v>1166</v>
      </c>
      <c r="S395" s="5417"/>
      <c r="T395" s="5417" t="s">
        <v>1167</v>
      </c>
      <c r="U395" s="5417" t="s">
        <v>1168</v>
      </c>
      <c r="V395" s="5417"/>
      <c r="W395" s="5417" t="s">
        <v>1169</v>
      </c>
      <c r="X395" s="5417"/>
      <c r="Y395" s="5417" t="s">
        <v>3</v>
      </c>
      <c r="Z395" s="5417" t="s">
        <v>4</v>
      </c>
      <c r="AA395" s="5417" t="s">
        <v>28</v>
      </c>
      <c r="AB395" s="5417"/>
      <c r="AC395" s="5340" t="str">
        <f>AC355</f>
        <v>INICIAL</v>
      </c>
      <c r="AD395" s="5340"/>
      <c r="AE395" s="5344" t="str">
        <f>AE355</f>
        <v>ALTAS</v>
      </c>
      <c r="AF395" s="5345"/>
      <c r="AG395" s="5346" t="str">
        <f>AG355</f>
        <v>BAJAS</v>
      </c>
      <c r="AH395" s="5347"/>
      <c r="AI395" s="5333" t="str">
        <f>AI355</f>
        <v>REP</v>
      </c>
      <c r="AJ395" s="5333"/>
      <c r="AK395" s="2625" t="str">
        <f>AK355</f>
        <v>INI</v>
      </c>
      <c r="AL395" s="5328" t="s">
        <v>2509</v>
      </c>
      <c r="AM395" s="5329"/>
      <c r="AN395" s="5329"/>
      <c r="AO395" s="5329"/>
      <c r="AP395" s="5329"/>
      <c r="AQ395" s="5329"/>
      <c r="AR395" s="5330"/>
    </row>
    <row r="396" spans="1:45" s="1442" customFormat="1" ht="27.95" customHeight="1">
      <c r="A396" s="5424"/>
      <c r="B396" s="5425"/>
      <c r="C396" s="5425"/>
      <c r="D396" s="5425"/>
      <c r="E396" s="5425"/>
      <c r="F396" s="5425"/>
      <c r="G396" s="5425"/>
      <c r="H396" s="3270" t="s">
        <v>407</v>
      </c>
      <c r="I396" s="3270" t="s">
        <v>403</v>
      </c>
      <c r="J396" s="5426"/>
      <c r="K396" s="5426"/>
      <c r="L396" s="5426"/>
      <c r="M396" s="5426"/>
      <c r="N396" s="5426"/>
      <c r="O396" s="5426"/>
      <c r="P396" s="3270" t="s">
        <v>1170</v>
      </c>
      <c r="Q396" s="3270" t="s">
        <v>1171</v>
      </c>
      <c r="R396" s="3270" t="s">
        <v>1172</v>
      </c>
      <c r="S396" s="3270" t="s">
        <v>1173</v>
      </c>
      <c r="T396" s="5426"/>
      <c r="U396" s="5426"/>
      <c r="V396" s="5426"/>
      <c r="W396" s="5426"/>
      <c r="X396" s="5426"/>
      <c r="Y396" s="5426"/>
      <c r="Z396" s="5426"/>
      <c r="AA396" s="5417"/>
      <c r="AB396" s="5417"/>
      <c r="AC396" s="3295" t="str">
        <f>AC356</f>
        <v>H</v>
      </c>
      <c r="AD396" s="2686" t="str">
        <f>AD356</f>
        <v>M</v>
      </c>
      <c r="AE396" s="3295" t="str">
        <f t="shared" ref="AE396:AJ396" si="114">AE356</f>
        <v>H</v>
      </c>
      <c r="AF396" s="2686" t="str">
        <f t="shared" si="114"/>
        <v>M</v>
      </c>
      <c r="AG396" s="3295" t="str">
        <f t="shared" si="114"/>
        <v>H</v>
      </c>
      <c r="AH396" s="2686" t="str">
        <f t="shared" si="114"/>
        <v>M</v>
      </c>
      <c r="AI396" s="3295" t="str">
        <f t="shared" si="114"/>
        <v>H</v>
      </c>
      <c r="AJ396" s="2686" t="str">
        <f t="shared" si="114"/>
        <v>M</v>
      </c>
      <c r="AK396" s="2627" t="str">
        <f>AK356</f>
        <v>TTS</v>
      </c>
      <c r="AL396" s="3455" t="s">
        <v>393</v>
      </c>
      <c r="AM396" s="3463" t="s">
        <v>8</v>
      </c>
      <c r="AN396" s="3456" t="s">
        <v>347</v>
      </c>
      <c r="AO396" s="3456" t="s">
        <v>348</v>
      </c>
      <c r="AP396" s="3456" t="s">
        <v>2062</v>
      </c>
      <c r="AQ396" s="3457" t="s">
        <v>2081</v>
      </c>
      <c r="AR396" s="3456" t="s">
        <v>2510</v>
      </c>
    </row>
    <row r="397" spans="1:45" s="1443" customFormat="1" ht="27.95" customHeight="1">
      <c r="A397" s="3291">
        <v>1</v>
      </c>
      <c r="B397" s="2158" t="s">
        <v>2604</v>
      </c>
      <c r="C397" s="3087"/>
      <c r="D397" s="2147"/>
      <c r="E397" s="2147"/>
      <c r="F397" s="2147"/>
      <c r="G397" s="2149"/>
      <c r="H397" s="3274"/>
      <c r="I397" s="3274" t="s">
        <v>78</v>
      </c>
      <c r="J397" s="3290" t="s">
        <v>1358</v>
      </c>
      <c r="K397" s="3290" t="s">
        <v>1932</v>
      </c>
      <c r="L397" s="3671" t="s">
        <v>93</v>
      </c>
      <c r="M397" s="3672"/>
      <c r="N397" s="5419" t="s">
        <v>1359</v>
      </c>
      <c r="O397" s="5418"/>
      <c r="P397" s="3274"/>
      <c r="Q397" s="3274"/>
      <c r="R397" s="3274"/>
      <c r="S397" s="2877" t="s">
        <v>2197</v>
      </c>
      <c r="T397" s="3274" t="s">
        <v>680</v>
      </c>
      <c r="U397" s="5419">
        <v>10</v>
      </c>
      <c r="V397" s="5418"/>
      <c r="W397" s="5394" t="s">
        <v>1360</v>
      </c>
      <c r="X397" s="5394"/>
      <c r="Y397" s="3286"/>
      <c r="Z397" s="3286"/>
      <c r="AA397" s="5395">
        <f>AC397+AD397+AE397+AF397-AG397-AH397</f>
        <v>0</v>
      </c>
      <c r="AB397" s="5396"/>
      <c r="AC397" s="2682"/>
      <c r="AD397" s="3289"/>
      <c r="AE397" s="2628"/>
      <c r="AF397" s="2629"/>
      <c r="AG397" s="2628"/>
      <c r="AH397" s="2629"/>
      <c r="AI397" s="2628"/>
      <c r="AJ397" s="2629"/>
      <c r="AK397" s="2670">
        <f t="shared" si="105"/>
        <v>0</v>
      </c>
      <c r="AL397" s="3464"/>
      <c r="AM397" s="3448"/>
      <c r="AN397" s="3448"/>
      <c r="AO397" s="3448"/>
      <c r="AP397" s="3448"/>
      <c r="AQ397" s="3448"/>
      <c r="AR397" s="3417" t="e">
        <f>SUM(AM397:AQ397)/AS397</f>
        <v>#DIV/0!</v>
      </c>
      <c r="AS397" s="3459">
        <f>COUNTA(AM397:AQ397)</f>
        <v>0</v>
      </c>
    </row>
    <row r="398" spans="1:45" s="1450" customFormat="1" ht="27.95" customHeight="1">
      <c r="A398" s="3285">
        <v>2</v>
      </c>
      <c r="B398" s="2728" t="s">
        <v>2363</v>
      </c>
      <c r="C398" s="3651"/>
      <c r="D398" s="2152"/>
      <c r="E398" s="2152"/>
      <c r="F398" s="2152"/>
      <c r="G398" s="2153"/>
      <c r="H398" s="3664" t="s">
        <v>78</v>
      </c>
      <c r="I398" s="3285"/>
      <c r="J398" s="3282"/>
      <c r="K398" s="3282"/>
      <c r="L398" s="3671"/>
      <c r="M398" s="3676"/>
      <c r="N398" s="5349"/>
      <c r="O398" s="5349"/>
      <c r="P398" s="3285"/>
      <c r="Q398" s="3285"/>
      <c r="R398" s="3285"/>
      <c r="S398" s="2878"/>
      <c r="T398" s="3664" t="s">
        <v>680</v>
      </c>
      <c r="U398" s="5349"/>
      <c r="V398" s="5349"/>
      <c r="W398" s="5422"/>
      <c r="X398" s="5422"/>
      <c r="Y398" s="3275" t="s">
        <v>765</v>
      </c>
      <c r="Z398" s="3275" t="s">
        <v>228</v>
      </c>
      <c r="AA398" s="5453">
        <f t="shared" ref="AA398:AA422" si="115">AC398+AD398+AE398+AF398-AG398-AH398</f>
        <v>35</v>
      </c>
      <c r="AB398" s="5352"/>
      <c r="AC398" s="2682">
        <v>19</v>
      </c>
      <c r="AD398" s="3289">
        <v>15</v>
      </c>
      <c r="AE398" s="2628"/>
      <c r="AF398" s="2629">
        <v>1</v>
      </c>
      <c r="AG398" s="2628"/>
      <c r="AH398" s="2629"/>
      <c r="AI398" s="2628"/>
      <c r="AJ398" s="2629"/>
      <c r="AK398" s="2671">
        <f t="shared" si="105"/>
        <v>34</v>
      </c>
      <c r="AL398" s="3464"/>
      <c r="AM398" s="3448"/>
      <c r="AN398" s="3448"/>
      <c r="AO398" s="3448"/>
      <c r="AP398" s="3448"/>
      <c r="AQ398" s="3448"/>
      <c r="AR398" s="3417" t="e">
        <f t="shared" ref="AR398:AR410" si="116">SUM(AM398:AQ398)/AS398</f>
        <v>#DIV/0!</v>
      </c>
      <c r="AS398" s="3459">
        <f t="shared" ref="AS398:AS423" si="117">COUNTA(AM398:AQ398)</f>
        <v>0</v>
      </c>
    </row>
    <row r="399" spans="1:45" s="1443" customFormat="1" ht="27.95" customHeight="1">
      <c r="A399" s="3291">
        <v>3</v>
      </c>
      <c r="B399" s="2158" t="s">
        <v>2605</v>
      </c>
      <c r="C399" s="3087"/>
      <c r="D399" s="2147"/>
      <c r="E399" s="2147"/>
      <c r="F399" s="2147"/>
      <c r="G399" s="2149"/>
      <c r="H399" s="3274" t="s">
        <v>78</v>
      </c>
      <c r="I399" s="3274"/>
      <c r="J399" s="3290" t="s">
        <v>1362</v>
      </c>
      <c r="K399" s="3290" t="s">
        <v>1934</v>
      </c>
      <c r="L399" s="3671" t="s">
        <v>390</v>
      </c>
      <c r="M399" s="3672"/>
      <c r="N399" s="5349" t="s">
        <v>1359</v>
      </c>
      <c r="O399" s="5350"/>
      <c r="P399" s="3274"/>
      <c r="Q399" s="3274"/>
      <c r="R399" s="3274"/>
      <c r="S399" s="2877" t="s">
        <v>2198</v>
      </c>
      <c r="T399" s="3665" t="s">
        <v>680</v>
      </c>
      <c r="U399" s="5350">
        <v>10</v>
      </c>
      <c r="V399" s="5350"/>
      <c r="W399" s="5351" t="s">
        <v>1346</v>
      </c>
      <c r="X399" s="5351"/>
      <c r="Y399" s="3286" t="s">
        <v>766</v>
      </c>
      <c r="Z399" s="3286" t="s">
        <v>228</v>
      </c>
      <c r="AA399" s="5453">
        <f t="shared" si="115"/>
        <v>34</v>
      </c>
      <c r="AB399" s="5352"/>
      <c r="AC399" s="2682">
        <v>23</v>
      </c>
      <c r="AD399" s="3289">
        <v>12</v>
      </c>
      <c r="AE399" s="2628"/>
      <c r="AF399" s="2629">
        <v>1</v>
      </c>
      <c r="AG399" s="2628"/>
      <c r="AH399" s="2629">
        <v>2</v>
      </c>
      <c r="AI399" s="2628"/>
      <c r="AJ399" s="2629"/>
      <c r="AK399" s="2671">
        <f t="shared" si="105"/>
        <v>35</v>
      </c>
      <c r="AL399" s="3464"/>
      <c r="AM399" s="3448"/>
      <c r="AN399" s="3448"/>
      <c r="AO399" s="3448"/>
      <c r="AP399" s="3448"/>
      <c r="AQ399" s="3448"/>
      <c r="AR399" s="3417" t="e">
        <f t="shared" si="116"/>
        <v>#DIV/0!</v>
      </c>
      <c r="AS399" s="3459">
        <f t="shared" si="117"/>
        <v>0</v>
      </c>
    </row>
    <row r="400" spans="1:45" s="1443" customFormat="1" ht="27.95" customHeight="1">
      <c r="A400" s="3285">
        <v>4</v>
      </c>
      <c r="B400" s="2158" t="s">
        <v>2670</v>
      </c>
      <c r="C400" s="3087"/>
      <c r="D400" s="2147"/>
      <c r="E400" s="2147"/>
      <c r="F400" s="2147"/>
      <c r="G400" s="2149"/>
      <c r="H400" s="3274"/>
      <c r="I400" s="3274" t="s">
        <v>78</v>
      </c>
      <c r="J400" s="3290"/>
      <c r="K400" s="3290"/>
      <c r="L400" s="3671" t="s">
        <v>390</v>
      </c>
      <c r="M400" s="3672"/>
      <c r="N400" s="5349"/>
      <c r="O400" s="5350"/>
      <c r="P400" s="3274"/>
      <c r="Q400" s="3274"/>
      <c r="R400" s="3274"/>
      <c r="S400" s="2877" t="s">
        <v>2199</v>
      </c>
      <c r="T400" s="3274"/>
      <c r="U400" s="5350">
        <v>10</v>
      </c>
      <c r="V400" s="5350"/>
      <c r="W400" s="5351" t="s">
        <v>1211</v>
      </c>
      <c r="X400" s="5351"/>
      <c r="Y400" s="3286" t="s">
        <v>767</v>
      </c>
      <c r="Z400" s="3286" t="s">
        <v>228</v>
      </c>
      <c r="AA400" s="5453">
        <f t="shared" si="115"/>
        <v>35</v>
      </c>
      <c r="AB400" s="5352"/>
      <c r="AC400" s="2682">
        <v>20</v>
      </c>
      <c r="AD400" s="3289">
        <v>14</v>
      </c>
      <c r="AE400" s="2628">
        <v>2</v>
      </c>
      <c r="AF400" s="2629">
        <v>1</v>
      </c>
      <c r="AG400" s="2628">
        <v>1</v>
      </c>
      <c r="AH400" s="2629">
        <v>1</v>
      </c>
      <c r="AI400" s="2628"/>
      <c r="AJ400" s="2629"/>
      <c r="AK400" s="2671">
        <f t="shared" si="105"/>
        <v>34</v>
      </c>
      <c r="AL400" s="3464"/>
      <c r="AM400" s="3448"/>
      <c r="AN400" s="3448"/>
      <c r="AO400" s="3448"/>
      <c r="AP400" s="3448"/>
      <c r="AQ400" s="3448"/>
      <c r="AR400" s="3417" t="e">
        <f t="shared" si="116"/>
        <v>#DIV/0!</v>
      </c>
      <c r="AS400" s="3459">
        <f t="shared" si="117"/>
        <v>0</v>
      </c>
    </row>
    <row r="401" spans="1:45" s="1443" customFormat="1" ht="27.95" customHeight="1">
      <c r="A401" s="3291">
        <v>5</v>
      </c>
      <c r="B401" s="2158" t="s">
        <v>2581</v>
      </c>
      <c r="C401" s="3087"/>
      <c r="D401" s="2147"/>
      <c r="E401" s="2147"/>
      <c r="F401" s="2147"/>
      <c r="G401" s="2149"/>
      <c r="H401" s="3274"/>
      <c r="I401" s="3636" t="s">
        <v>78</v>
      </c>
      <c r="J401" s="3290"/>
      <c r="K401" s="3290"/>
      <c r="L401" s="3671"/>
      <c r="M401" s="3672"/>
      <c r="N401" s="5349"/>
      <c r="O401" s="5350"/>
      <c r="P401" s="3274"/>
      <c r="Q401" s="3274"/>
      <c r="R401" s="3274"/>
      <c r="S401" s="2877"/>
      <c r="T401" s="3274"/>
      <c r="U401" s="5350"/>
      <c r="V401" s="5350"/>
      <c r="W401" s="5351"/>
      <c r="X401" s="5351"/>
      <c r="Y401" s="3286" t="s">
        <v>771</v>
      </c>
      <c r="Z401" s="3286" t="s">
        <v>228</v>
      </c>
      <c r="AA401" s="5453">
        <f t="shared" si="115"/>
        <v>34</v>
      </c>
      <c r="AB401" s="5352"/>
      <c r="AC401" s="2682">
        <v>20</v>
      </c>
      <c r="AD401" s="3289">
        <v>14</v>
      </c>
      <c r="AE401" s="2628">
        <v>1</v>
      </c>
      <c r="AF401" s="2629">
        <v>1</v>
      </c>
      <c r="AG401" s="2628">
        <v>1</v>
      </c>
      <c r="AH401" s="2629">
        <v>1</v>
      </c>
      <c r="AI401" s="2628"/>
      <c r="AJ401" s="2629"/>
      <c r="AK401" s="2671">
        <f t="shared" si="105"/>
        <v>34</v>
      </c>
      <c r="AL401" s="3464"/>
      <c r="AM401" s="3448"/>
      <c r="AN401" s="3448"/>
      <c r="AO401" s="3448"/>
      <c r="AP401" s="3448"/>
      <c r="AQ401" s="3448"/>
      <c r="AR401" s="3417" t="e">
        <f t="shared" si="116"/>
        <v>#DIV/0!</v>
      </c>
      <c r="AS401" s="3459">
        <f t="shared" si="117"/>
        <v>0</v>
      </c>
    </row>
    <row r="402" spans="1:45" s="1443" customFormat="1" ht="27.95" customHeight="1">
      <c r="A402" s="3285">
        <v>6</v>
      </c>
      <c r="B402" s="2146" t="s">
        <v>2374</v>
      </c>
      <c r="C402" s="3087"/>
      <c r="D402" s="2147"/>
      <c r="E402" s="2147"/>
      <c r="F402" s="2147"/>
      <c r="G402" s="2149"/>
      <c r="H402" s="3636" t="s">
        <v>78</v>
      </c>
      <c r="I402" s="3636"/>
      <c r="J402" s="2148" t="s">
        <v>1257</v>
      </c>
      <c r="K402" s="2148" t="s">
        <v>1859</v>
      </c>
      <c r="L402" s="3673" t="s">
        <v>390</v>
      </c>
      <c r="M402" s="3672"/>
      <c r="N402" s="5419" t="s">
        <v>1201</v>
      </c>
      <c r="O402" s="5418"/>
      <c r="P402" s="3636"/>
      <c r="Q402" s="3636" t="s">
        <v>79</v>
      </c>
      <c r="R402" s="3636"/>
      <c r="S402" s="3413" t="s">
        <v>2128</v>
      </c>
      <c r="T402" s="3665"/>
      <c r="U402" s="5419">
        <v>10</v>
      </c>
      <c r="V402" s="5418"/>
      <c r="W402" s="5420" t="s">
        <v>1256</v>
      </c>
      <c r="X402" s="5421"/>
      <c r="Y402" s="3564" t="s">
        <v>772</v>
      </c>
      <c r="Z402" s="3644" t="s">
        <v>228</v>
      </c>
      <c r="AA402" s="5453">
        <f t="shared" si="115"/>
        <v>26</v>
      </c>
      <c r="AB402" s="5352"/>
      <c r="AC402" s="2682">
        <v>17</v>
      </c>
      <c r="AD402" s="3289">
        <v>12</v>
      </c>
      <c r="AE402" s="2628"/>
      <c r="AF402" s="2629"/>
      <c r="AG402" s="2628">
        <v>2</v>
      </c>
      <c r="AH402" s="2629">
        <v>1</v>
      </c>
      <c r="AI402" s="2628"/>
      <c r="AJ402" s="2629"/>
      <c r="AK402" s="2671">
        <f t="shared" si="105"/>
        <v>29</v>
      </c>
      <c r="AL402" s="3464"/>
      <c r="AM402" s="3448"/>
      <c r="AN402" s="3448"/>
      <c r="AO402" s="3448"/>
      <c r="AP402" s="3448"/>
      <c r="AQ402" s="3448"/>
      <c r="AR402" s="3417" t="e">
        <f t="shared" si="116"/>
        <v>#DIV/0!</v>
      </c>
      <c r="AS402" s="3459">
        <f t="shared" si="117"/>
        <v>0</v>
      </c>
    </row>
    <row r="403" spans="1:45" s="1443" customFormat="1" ht="27.95" customHeight="1">
      <c r="A403" s="3291">
        <v>7</v>
      </c>
      <c r="B403" s="2146" t="s">
        <v>2377</v>
      </c>
      <c r="C403" s="3087"/>
      <c r="D403" s="2147"/>
      <c r="E403" s="2147"/>
      <c r="F403" s="2147"/>
      <c r="G403" s="2149"/>
      <c r="H403" s="3636" t="s">
        <v>78</v>
      </c>
      <c r="I403" s="3636"/>
      <c r="J403" s="2148" t="s">
        <v>1255</v>
      </c>
      <c r="K403" s="2148" t="s">
        <v>1858</v>
      </c>
      <c r="L403" s="3673" t="s">
        <v>390</v>
      </c>
      <c r="M403" s="3672"/>
      <c r="N403" s="5419"/>
      <c r="O403" s="5418"/>
      <c r="P403" s="3636"/>
      <c r="Q403" s="3636" t="s">
        <v>79</v>
      </c>
      <c r="R403" s="3636"/>
      <c r="S403" s="3413" t="s">
        <v>2131</v>
      </c>
      <c r="T403" s="3636"/>
      <c r="U403" s="5419">
        <v>10</v>
      </c>
      <c r="V403" s="5418"/>
      <c r="W403" s="5420" t="s">
        <v>1254</v>
      </c>
      <c r="X403" s="5421"/>
      <c r="Y403" s="3286" t="s">
        <v>772</v>
      </c>
      <c r="Z403" s="3644" t="s">
        <v>230</v>
      </c>
      <c r="AA403" s="5453">
        <f t="shared" si="115"/>
        <v>29</v>
      </c>
      <c r="AB403" s="5352"/>
      <c r="AC403" s="2682">
        <v>17</v>
      </c>
      <c r="AD403" s="3289">
        <v>12</v>
      </c>
      <c r="AE403" s="2628">
        <v>2</v>
      </c>
      <c r="AF403" s="2629">
        <v>2</v>
      </c>
      <c r="AG403" s="2628">
        <v>2</v>
      </c>
      <c r="AH403" s="2629">
        <v>2</v>
      </c>
      <c r="AI403" s="2628"/>
      <c r="AJ403" s="2629"/>
      <c r="AK403" s="2671">
        <f t="shared" si="105"/>
        <v>29</v>
      </c>
      <c r="AL403" s="3464"/>
      <c r="AM403" s="3448"/>
      <c r="AN403" s="3448"/>
      <c r="AO403" s="3448"/>
      <c r="AP403" s="3448"/>
      <c r="AQ403" s="3448"/>
      <c r="AR403" s="3417" t="e">
        <f t="shared" si="116"/>
        <v>#DIV/0!</v>
      </c>
      <c r="AS403" s="3459">
        <f t="shared" si="117"/>
        <v>0</v>
      </c>
    </row>
    <row r="404" spans="1:45" s="1443" customFormat="1" ht="27.95" customHeight="1">
      <c r="A404" s="3285">
        <v>8</v>
      </c>
      <c r="B404" s="2158" t="s">
        <v>2607</v>
      </c>
      <c r="C404" s="3087"/>
      <c r="D404" s="2147"/>
      <c r="E404" s="2147"/>
      <c r="F404" s="2147"/>
      <c r="G404" s="2149"/>
      <c r="H404" s="3274"/>
      <c r="I404" s="3274" t="s">
        <v>78</v>
      </c>
      <c r="J404" s="3290" t="s">
        <v>1364</v>
      </c>
      <c r="K404" s="3290" t="s">
        <v>1936</v>
      </c>
      <c r="L404" s="3671" t="s">
        <v>390</v>
      </c>
      <c r="M404" s="3672"/>
      <c r="N404" s="5349" t="s">
        <v>1215</v>
      </c>
      <c r="O404" s="5350"/>
      <c r="P404" s="3274"/>
      <c r="Q404" s="3274"/>
      <c r="R404" s="3274"/>
      <c r="S404" s="2877" t="s">
        <v>2201</v>
      </c>
      <c r="T404" s="3274"/>
      <c r="U404" s="5350">
        <v>10</v>
      </c>
      <c r="V404" s="5350"/>
      <c r="W404" s="5351" t="s">
        <v>1226</v>
      </c>
      <c r="X404" s="5351"/>
      <c r="Y404" s="3286" t="s">
        <v>773</v>
      </c>
      <c r="Z404" s="3286" t="s">
        <v>228</v>
      </c>
      <c r="AA404" s="5453">
        <f t="shared" si="115"/>
        <v>33</v>
      </c>
      <c r="AB404" s="5352"/>
      <c r="AC404" s="2682">
        <v>21</v>
      </c>
      <c r="AD404" s="3289">
        <v>13</v>
      </c>
      <c r="AE404" s="2628">
        <v>1</v>
      </c>
      <c r="AF404" s="2629"/>
      <c r="AG404" s="2628">
        <v>2</v>
      </c>
      <c r="AH404" s="2629"/>
      <c r="AI404" s="2628"/>
      <c r="AJ404" s="2629"/>
      <c r="AK404" s="2671">
        <f t="shared" si="105"/>
        <v>34</v>
      </c>
      <c r="AL404" s="3464"/>
      <c r="AM404" s="3448"/>
      <c r="AN404" s="3448"/>
      <c r="AO404" s="3448"/>
      <c r="AP404" s="3448"/>
      <c r="AQ404" s="3448"/>
      <c r="AR404" s="3458" t="e">
        <f t="shared" si="116"/>
        <v>#DIV/0!</v>
      </c>
      <c r="AS404" s="3459">
        <f t="shared" si="117"/>
        <v>0</v>
      </c>
    </row>
    <row r="405" spans="1:45" s="1444" customFormat="1" ht="27.95" customHeight="1">
      <c r="A405" s="3291">
        <v>9</v>
      </c>
      <c r="B405" s="2158" t="s">
        <v>2397</v>
      </c>
      <c r="C405" s="3087"/>
      <c r="D405" s="2147"/>
      <c r="E405" s="2147"/>
      <c r="F405" s="2147"/>
      <c r="G405" s="2149"/>
      <c r="H405" s="3274"/>
      <c r="I405" s="3274" t="s">
        <v>78</v>
      </c>
      <c r="J405" s="3290" t="s">
        <v>2398</v>
      </c>
      <c r="K405" s="3290"/>
      <c r="L405" s="3671" t="s">
        <v>401</v>
      </c>
      <c r="M405" s="3672"/>
      <c r="N405" s="5349"/>
      <c r="O405" s="5350"/>
      <c r="P405" s="3274"/>
      <c r="Q405" s="3274"/>
      <c r="R405" s="3274"/>
      <c r="S405" s="2877" t="s">
        <v>2202</v>
      </c>
      <c r="T405" s="3665" t="s">
        <v>680</v>
      </c>
      <c r="U405" s="5350">
        <v>10</v>
      </c>
      <c r="V405" s="5350"/>
      <c r="W405" s="5351"/>
      <c r="X405" s="5351"/>
      <c r="Y405" s="3286"/>
      <c r="Z405" s="3286"/>
      <c r="AA405" s="5453">
        <f t="shared" si="115"/>
        <v>0</v>
      </c>
      <c r="AB405" s="5352"/>
      <c r="AC405" s="2682"/>
      <c r="AD405" s="3289"/>
      <c r="AE405" s="2628"/>
      <c r="AF405" s="2629"/>
      <c r="AG405" s="2628"/>
      <c r="AH405" s="2629"/>
      <c r="AI405" s="2628"/>
      <c r="AJ405" s="2629"/>
      <c r="AK405" s="2671">
        <f t="shared" si="105"/>
        <v>0</v>
      </c>
      <c r="AL405" s="3464"/>
      <c r="AM405" s="3448"/>
      <c r="AN405" s="3448"/>
      <c r="AO405" s="3448"/>
      <c r="AP405" s="3448"/>
      <c r="AQ405" s="3448"/>
      <c r="AR405" s="3458" t="e">
        <f t="shared" si="116"/>
        <v>#DIV/0!</v>
      </c>
      <c r="AS405" s="3459">
        <f t="shared" si="117"/>
        <v>0</v>
      </c>
    </row>
    <row r="406" spans="1:45" s="1444" customFormat="1" ht="27.95" customHeight="1">
      <c r="A406" s="3285">
        <v>10</v>
      </c>
      <c r="B406" s="2158" t="s">
        <v>2608</v>
      </c>
      <c r="C406" s="3087"/>
      <c r="D406" s="2147"/>
      <c r="E406" s="2147"/>
      <c r="F406" s="2147"/>
      <c r="G406" s="2149"/>
      <c r="H406" s="3274" t="s">
        <v>78</v>
      </c>
      <c r="I406" s="3274"/>
      <c r="J406" s="3290" t="s">
        <v>1368</v>
      </c>
      <c r="K406" s="3290" t="s">
        <v>1939</v>
      </c>
      <c r="L406" s="3671" t="s">
        <v>426</v>
      </c>
      <c r="M406" s="3672"/>
      <c r="N406" s="5402"/>
      <c r="O406" s="5350"/>
      <c r="P406" s="3274"/>
      <c r="Q406" s="3274"/>
      <c r="R406" s="3274"/>
      <c r="S406" s="2877" t="s">
        <v>2203</v>
      </c>
      <c r="T406" s="3274"/>
      <c r="U406" s="5350">
        <v>10</v>
      </c>
      <c r="V406" s="5350"/>
      <c r="W406" s="5351" t="s">
        <v>1367</v>
      </c>
      <c r="X406" s="5351"/>
      <c r="Y406" s="3286"/>
      <c r="Z406" s="3286"/>
      <c r="AA406" s="5395">
        <f t="shared" si="115"/>
        <v>0</v>
      </c>
      <c r="AB406" s="5396"/>
      <c r="AC406" s="2682"/>
      <c r="AD406" s="3289"/>
      <c r="AE406" s="2628"/>
      <c r="AF406" s="2629"/>
      <c r="AG406" s="2628"/>
      <c r="AH406" s="2629"/>
      <c r="AI406" s="2628"/>
      <c r="AJ406" s="2629"/>
      <c r="AK406" s="2671">
        <f t="shared" si="105"/>
        <v>0</v>
      </c>
      <c r="AL406" s="3464"/>
      <c r="AM406" s="3448"/>
      <c r="AN406" s="3448"/>
      <c r="AO406" s="3448"/>
      <c r="AP406" s="3448"/>
      <c r="AQ406" s="3448"/>
      <c r="AR406" s="3458" t="e">
        <f t="shared" si="116"/>
        <v>#DIV/0!</v>
      </c>
      <c r="AS406" s="3459">
        <f t="shared" si="117"/>
        <v>0</v>
      </c>
    </row>
    <row r="407" spans="1:45" s="1444" customFormat="1" ht="27.95" customHeight="1">
      <c r="A407" s="3291"/>
      <c r="B407" s="2147"/>
      <c r="C407" s="3087"/>
      <c r="D407" s="2147"/>
      <c r="E407" s="2147"/>
      <c r="F407" s="2147"/>
      <c r="G407" s="2149"/>
      <c r="H407" s="3274"/>
      <c r="I407" s="3274"/>
      <c r="J407" s="3290"/>
      <c r="K407" s="3290"/>
      <c r="L407" s="3673"/>
      <c r="M407" s="3672"/>
      <c r="N407" s="5350"/>
      <c r="O407" s="5350"/>
      <c r="P407" s="3274"/>
      <c r="Q407" s="3274"/>
      <c r="R407" s="3274"/>
      <c r="S407" s="2877"/>
      <c r="T407" s="3274"/>
      <c r="U407" s="5350"/>
      <c r="V407" s="5350"/>
      <c r="W407" s="5351"/>
      <c r="X407" s="5351"/>
      <c r="Y407" s="3286"/>
      <c r="Z407" s="3286"/>
      <c r="AA407" s="5395">
        <f t="shared" si="115"/>
        <v>0</v>
      </c>
      <c r="AB407" s="5396"/>
      <c r="AC407" s="2682"/>
      <c r="AD407" s="3289"/>
      <c r="AE407" s="2628"/>
      <c r="AF407" s="2629"/>
      <c r="AG407" s="2628"/>
      <c r="AH407" s="2629"/>
      <c r="AI407" s="2628"/>
      <c r="AJ407" s="2629"/>
      <c r="AK407" s="2671">
        <f t="shared" si="105"/>
        <v>0</v>
      </c>
      <c r="AL407" s="3464"/>
      <c r="AM407" s="3448"/>
      <c r="AN407" s="3448"/>
      <c r="AO407" s="3448"/>
      <c r="AP407" s="3448"/>
      <c r="AQ407" s="3448"/>
      <c r="AR407" s="3458" t="e">
        <f t="shared" si="116"/>
        <v>#DIV/0!</v>
      </c>
      <c r="AS407" s="3459">
        <f t="shared" si="117"/>
        <v>0</v>
      </c>
    </row>
    <row r="408" spans="1:45" s="1444" customFormat="1" ht="27.95" customHeight="1">
      <c r="A408" s="3291"/>
      <c r="B408" s="2147"/>
      <c r="C408" s="3087"/>
      <c r="D408" s="2147"/>
      <c r="E408" s="2147"/>
      <c r="F408" s="2147"/>
      <c r="G408" s="2149"/>
      <c r="H408" s="3274"/>
      <c r="I408" s="3274"/>
      <c r="J408" s="3290"/>
      <c r="K408" s="3290"/>
      <c r="L408" s="3671"/>
      <c r="M408" s="3672"/>
      <c r="N408" s="5349"/>
      <c r="O408" s="5350"/>
      <c r="P408" s="3274"/>
      <c r="Q408" s="3274"/>
      <c r="R408" s="3274"/>
      <c r="S408" s="2877"/>
      <c r="T408" s="3274"/>
      <c r="U408" s="5350"/>
      <c r="V408" s="5350"/>
      <c r="W408" s="5351"/>
      <c r="X408" s="5351"/>
      <c r="Y408" s="3286"/>
      <c r="Z408" s="3286"/>
      <c r="AA408" s="5395">
        <f t="shared" si="115"/>
        <v>0</v>
      </c>
      <c r="AB408" s="5396"/>
      <c r="AC408" s="2682"/>
      <c r="AD408" s="3289"/>
      <c r="AE408" s="2628"/>
      <c r="AF408" s="2629"/>
      <c r="AG408" s="2628"/>
      <c r="AH408" s="2629"/>
      <c r="AI408" s="2628"/>
      <c r="AJ408" s="2629"/>
      <c r="AK408" s="2671">
        <f t="shared" si="105"/>
        <v>0</v>
      </c>
      <c r="AL408" s="3464"/>
      <c r="AM408" s="3448"/>
      <c r="AN408" s="3448"/>
      <c r="AO408" s="3448"/>
      <c r="AP408" s="3448"/>
      <c r="AQ408" s="3448"/>
      <c r="AR408" s="3458" t="e">
        <f t="shared" si="116"/>
        <v>#DIV/0!</v>
      </c>
      <c r="AS408" s="3459">
        <f t="shared" si="117"/>
        <v>0</v>
      </c>
    </row>
    <row r="409" spans="1:45" s="1444" customFormat="1" ht="27.95" customHeight="1">
      <c r="A409" s="3291"/>
      <c r="B409" s="2158"/>
      <c r="C409" s="3087"/>
      <c r="D409" s="2147"/>
      <c r="E409" s="2147"/>
      <c r="F409" s="2147"/>
      <c r="G409" s="2149"/>
      <c r="H409" s="3636"/>
      <c r="I409" s="3636"/>
      <c r="J409" s="3646"/>
      <c r="K409" s="3646"/>
      <c r="L409" s="3671"/>
      <c r="M409" s="3672"/>
      <c r="N409" s="5349"/>
      <c r="O409" s="5350"/>
      <c r="P409" s="3636"/>
      <c r="Q409" s="3636"/>
      <c r="R409" s="3636"/>
      <c r="S409" s="2877"/>
      <c r="T409" s="3636"/>
      <c r="U409" s="5350"/>
      <c r="V409" s="5350"/>
      <c r="W409" s="5351"/>
      <c r="X409" s="5351"/>
      <c r="Y409" s="3286"/>
      <c r="Z409" s="3286"/>
      <c r="AA409" s="5395">
        <f t="shared" si="115"/>
        <v>0</v>
      </c>
      <c r="AB409" s="5396"/>
      <c r="AC409" s="2682"/>
      <c r="AD409" s="3289"/>
      <c r="AE409" s="2628"/>
      <c r="AF409" s="2629"/>
      <c r="AG409" s="2628"/>
      <c r="AH409" s="2629"/>
      <c r="AI409" s="2628"/>
      <c r="AJ409" s="2629"/>
      <c r="AK409" s="2671">
        <f t="shared" si="105"/>
        <v>0</v>
      </c>
      <c r="AL409" s="3464"/>
      <c r="AM409" s="3448"/>
      <c r="AN409" s="3448"/>
      <c r="AO409" s="3448"/>
      <c r="AP409" s="3448"/>
      <c r="AQ409" s="3448"/>
      <c r="AR409" s="3458" t="e">
        <f t="shared" si="116"/>
        <v>#DIV/0!</v>
      </c>
      <c r="AS409" s="3459">
        <f t="shared" si="117"/>
        <v>0</v>
      </c>
    </row>
    <row r="410" spans="1:45" s="1444" customFormat="1" ht="27.95" customHeight="1">
      <c r="A410" s="3291"/>
      <c r="B410" s="2151"/>
      <c r="C410" s="3087"/>
      <c r="D410" s="2147"/>
      <c r="E410" s="2147"/>
      <c r="F410" s="2147"/>
      <c r="G410" s="2149"/>
      <c r="H410" s="3274"/>
      <c r="I410" s="3274"/>
      <c r="J410" s="3274"/>
      <c r="K410" s="3274"/>
      <c r="L410" s="3671"/>
      <c r="M410" s="3672"/>
      <c r="N410" s="5350"/>
      <c r="O410" s="5350"/>
      <c r="P410" s="3274"/>
      <c r="Q410" s="3274"/>
      <c r="R410" s="3274"/>
      <c r="S410" s="2875"/>
      <c r="T410" s="3274"/>
      <c r="U410" s="5350"/>
      <c r="V410" s="5350"/>
      <c r="W410" s="5351"/>
      <c r="X410" s="5351"/>
      <c r="Y410" s="3286"/>
      <c r="Z410" s="3286"/>
      <c r="AA410" s="5395">
        <f t="shared" si="115"/>
        <v>0</v>
      </c>
      <c r="AB410" s="5396"/>
      <c r="AC410" s="2682"/>
      <c r="AD410" s="3289"/>
      <c r="AE410" s="2628"/>
      <c r="AF410" s="2629"/>
      <c r="AG410" s="2628"/>
      <c r="AH410" s="2629"/>
      <c r="AI410" s="2628"/>
      <c r="AJ410" s="2629"/>
      <c r="AK410" s="2671">
        <f t="shared" si="105"/>
        <v>0</v>
      </c>
      <c r="AL410" s="3464"/>
      <c r="AM410" s="3448"/>
      <c r="AN410" s="3448"/>
      <c r="AO410" s="3448"/>
      <c r="AP410" s="3448"/>
      <c r="AQ410" s="3448"/>
      <c r="AR410" s="3458" t="e">
        <f t="shared" si="116"/>
        <v>#DIV/0!</v>
      </c>
      <c r="AS410" s="3459">
        <f t="shared" si="117"/>
        <v>0</v>
      </c>
    </row>
    <row r="411" spans="1:45" s="1444" customFormat="1" ht="27.95" customHeight="1">
      <c r="A411" s="3291"/>
      <c r="B411" s="2151"/>
      <c r="C411" s="3087"/>
      <c r="D411" s="2147"/>
      <c r="E411" s="2147"/>
      <c r="F411" s="2147"/>
      <c r="G411" s="2149"/>
      <c r="H411" s="3274"/>
      <c r="I411" s="3274"/>
      <c r="J411" s="3274"/>
      <c r="K411" s="3274"/>
      <c r="L411" s="3671"/>
      <c r="M411" s="3672"/>
      <c r="N411" s="5349"/>
      <c r="O411" s="5350"/>
      <c r="P411" s="3274"/>
      <c r="Q411" s="3274"/>
      <c r="R411" s="3274"/>
      <c r="S411" s="2875"/>
      <c r="T411" s="3274"/>
      <c r="U411" s="5350"/>
      <c r="V411" s="5350"/>
      <c r="W411" s="5351"/>
      <c r="X411" s="5351"/>
      <c r="Y411" s="3286"/>
      <c r="Z411" s="3286"/>
      <c r="AA411" s="5395">
        <f t="shared" si="115"/>
        <v>0</v>
      </c>
      <c r="AB411" s="5396"/>
      <c r="AC411" s="2682"/>
      <c r="AD411" s="3289"/>
      <c r="AE411" s="2628"/>
      <c r="AF411" s="2629"/>
      <c r="AG411" s="2628"/>
      <c r="AH411" s="2629"/>
      <c r="AI411" s="2628"/>
      <c r="AJ411" s="2629"/>
      <c r="AK411" s="2671">
        <f t="shared" si="105"/>
        <v>0</v>
      </c>
      <c r="AL411" s="3464"/>
      <c r="AM411" s="3448"/>
      <c r="AN411" s="3448"/>
      <c r="AO411" s="3448"/>
      <c r="AP411" s="3448"/>
      <c r="AQ411" s="3448"/>
      <c r="AR411" s="3458" t="e">
        <f t="shared" ref="AR411:AR423" si="118">SUM(AM411:AQ411)/AS411</f>
        <v>#DIV/0!</v>
      </c>
      <c r="AS411" s="3459">
        <f t="shared" si="117"/>
        <v>0</v>
      </c>
    </row>
    <row r="412" spans="1:45" s="1444" customFormat="1" ht="27.95" customHeight="1">
      <c r="A412" s="3291"/>
      <c r="B412" s="2151"/>
      <c r="C412" s="2147"/>
      <c r="D412" s="2147"/>
      <c r="E412" s="2147"/>
      <c r="F412" s="2147"/>
      <c r="G412" s="2149"/>
      <c r="H412" s="3274"/>
      <c r="I412" s="3274"/>
      <c r="J412" s="3274"/>
      <c r="K412" s="3274"/>
      <c r="L412" s="3671"/>
      <c r="M412" s="3672"/>
      <c r="N412" s="5350"/>
      <c r="O412" s="5350"/>
      <c r="P412" s="3274"/>
      <c r="Q412" s="3274"/>
      <c r="R412" s="3274"/>
      <c r="S412" s="2875"/>
      <c r="T412" s="3274"/>
      <c r="U412" s="5350"/>
      <c r="V412" s="5350"/>
      <c r="W412" s="5351"/>
      <c r="X412" s="5351"/>
      <c r="Y412" s="3286"/>
      <c r="Z412" s="3286"/>
      <c r="AA412" s="5395">
        <f t="shared" si="115"/>
        <v>0</v>
      </c>
      <c r="AB412" s="5396"/>
      <c r="AC412" s="2682"/>
      <c r="AD412" s="3289"/>
      <c r="AE412" s="2628"/>
      <c r="AF412" s="2629"/>
      <c r="AG412" s="2628"/>
      <c r="AH412" s="2629"/>
      <c r="AI412" s="2628"/>
      <c r="AJ412" s="2629"/>
      <c r="AK412" s="2671">
        <f t="shared" si="105"/>
        <v>0</v>
      </c>
      <c r="AL412" s="3464"/>
      <c r="AM412" s="3448"/>
      <c r="AN412" s="3448"/>
      <c r="AO412" s="3448"/>
      <c r="AP412" s="3448"/>
      <c r="AQ412" s="3448"/>
      <c r="AR412" s="3458" t="e">
        <f t="shared" si="118"/>
        <v>#DIV/0!</v>
      </c>
      <c r="AS412" s="3459">
        <f t="shared" si="117"/>
        <v>0</v>
      </c>
    </row>
    <row r="413" spans="1:45" s="1444" customFormat="1" ht="27.95" customHeight="1">
      <c r="A413" s="3291"/>
      <c r="B413" s="2151"/>
      <c r="C413" s="2147"/>
      <c r="D413" s="2147"/>
      <c r="E413" s="2147"/>
      <c r="F413" s="2147"/>
      <c r="G413" s="2149"/>
      <c r="H413" s="3274"/>
      <c r="I413" s="3274"/>
      <c r="J413" s="3274"/>
      <c r="K413" s="3274"/>
      <c r="L413" s="3671"/>
      <c r="M413" s="3672"/>
      <c r="N413" s="5350"/>
      <c r="O413" s="5350"/>
      <c r="P413" s="3274"/>
      <c r="Q413" s="3274"/>
      <c r="R413" s="3274"/>
      <c r="S413" s="2875"/>
      <c r="T413" s="3274"/>
      <c r="U413" s="5350"/>
      <c r="V413" s="5350"/>
      <c r="W413" s="5351"/>
      <c r="X413" s="5351"/>
      <c r="Y413" s="3286"/>
      <c r="Z413" s="3286"/>
      <c r="AA413" s="5395">
        <f t="shared" si="115"/>
        <v>0</v>
      </c>
      <c r="AB413" s="5396"/>
      <c r="AC413" s="2682"/>
      <c r="AD413" s="3289"/>
      <c r="AE413" s="2628"/>
      <c r="AF413" s="2629"/>
      <c r="AG413" s="2628"/>
      <c r="AH413" s="2629"/>
      <c r="AI413" s="2628"/>
      <c r="AJ413" s="2629"/>
      <c r="AK413" s="2671">
        <f t="shared" si="105"/>
        <v>0</v>
      </c>
      <c r="AL413" s="3464"/>
      <c r="AM413" s="3448"/>
      <c r="AN413" s="3448"/>
      <c r="AO413" s="3448"/>
      <c r="AP413" s="3448"/>
      <c r="AQ413" s="3448"/>
      <c r="AR413" s="3458" t="e">
        <f t="shared" si="118"/>
        <v>#DIV/0!</v>
      </c>
      <c r="AS413" s="3459">
        <f t="shared" si="117"/>
        <v>0</v>
      </c>
    </row>
    <row r="414" spans="1:45" s="1444" customFormat="1" ht="27.95" customHeight="1">
      <c r="A414" s="3291"/>
      <c r="B414" s="2151"/>
      <c r="C414" s="2147"/>
      <c r="D414" s="2147"/>
      <c r="E414" s="2147"/>
      <c r="F414" s="2147"/>
      <c r="G414" s="2149"/>
      <c r="H414" s="3274"/>
      <c r="I414" s="3274"/>
      <c r="J414" s="3274"/>
      <c r="K414" s="3274"/>
      <c r="L414" s="3671"/>
      <c r="M414" s="3672"/>
      <c r="N414" s="5349"/>
      <c r="O414" s="5350"/>
      <c r="P414" s="3274"/>
      <c r="Q414" s="3274"/>
      <c r="R414" s="3274"/>
      <c r="S414" s="2875"/>
      <c r="T414" s="3274"/>
      <c r="U414" s="5350"/>
      <c r="V414" s="5350"/>
      <c r="W414" s="5351"/>
      <c r="X414" s="5351"/>
      <c r="Y414" s="3286"/>
      <c r="Z414" s="3286"/>
      <c r="AA414" s="5395">
        <f t="shared" si="115"/>
        <v>0</v>
      </c>
      <c r="AB414" s="5396"/>
      <c r="AC414" s="2682"/>
      <c r="AD414" s="3289"/>
      <c r="AE414" s="2628"/>
      <c r="AF414" s="2629"/>
      <c r="AG414" s="2628"/>
      <c r="AH414" s="2629"/>
      <c r="AI414" s="2628"/>
      <c r="AJ414" s="2629"/>
      <c r="AK414" s="2671">
        <f t="shared" si="105"/>
        <v>0</v>
      </c>
      <c r="AL414" s="3464"/>
      <c r="AM414" s="3448"/>
      <c r="AN414" s="3448"/>
      <c r="AO414" s="3448"/>
      <c r="AP414" s="3448"/>
      <c r="AQ414" s="3448"/>
      <c r="AR414" s="3458" t="e">
        <f t="shared" si="118"/>
        <v>#DIV/0!</v>
      </c>
      <c r="AS414" s="3459">
        <f t="shared" si="117"/>
        <v>0</v>
      </c>
    </row>
    <row r="415" spans="1:45" s="1444" customFormat="1" ht="27.95" customHeight="1">
      <c r="A415" s="3291"/>
      <c r="B415" s="2151"/>
      <c r="C415" s="2147"/>
      <c r="D415" s="2147"/>
      <c r="E415" s="2147"/>
      <c r="F415" s="2147"/>
      <c r="G415" s="2149"/>
      <c r="H415" s="3274"/>
      <c r="I415" s="3274"/>
      <c r="J415" s="3274"/>
      <c r="K415" s="3274"/>
      <c r="L415" s="3671"/>
      <c r="M415" s="3672"/>
      <c r="N415" s="5350"/>
      <c r="O415" s="5350"/>
      <c r="P415" s="3274"/>
      <c r="Q415" s="3274"/>
      <c r="R415" s="3274"/>
      <c r="S415" s="2875"/>
      <c r="T415" s="3274"/>
      <c r="U415" s="5350"/>
      <c r="V415" s="5350"/>
      <c r="W415" s="5351"/>
      <c r="X415" s="5351"/>
      <c r="Y415" s="3286"/>
      <c r="Z415" s="3286"/>
      <c r="AA415" s="5395">
        <f t="shared" si="115"/>
        <v>0</v>
      </c>
      <c r="AB415" s="5396"/>
      <c r="AC415" s="2682"/>
      <c r="AD415" s="3289"/>
      <c r="AE415" s="2628"/>
      <c r="AF415" s="2629"/>
      <c r="AG415" s="2628"/>
      <c r="AH415" s="2629"/>
      <c r="AI415" s="2628"/>
      <c r="AJ415" s="2629"/>
      <c r="AK415" s="2671">
        <f t="shared" si="105"/>
        <v>0</v>
      </c>
      <c r="AL415" s="3464"/>
      <c r="AM415" s="3448"/>
      <c r="AN415" s="3448"/>
      <c r="AO415" s="3448"/>
      <c r="AP415" s="3448"/>
      <c r="AQ415" s="3448"/>
      <c r="AR415" s="3458" t="e">
        <f t="shared" si="118"/>
        <v>#DIV/0!</v>
      </c>
      <c r="AS415" s="3459">
        <f t="shared" si="117"/>
        <v>0</v>
      </c>
    </row>
    <row r="416" spans="1:45" s="1444" customFormat="1" ht="27.95" customHeight="1">
      <c r="A416" s="3291"/>
      <c r="B416" s="2151"/>
      <c r="C416" s="2147"/>
      <c r="D416" s="2147"/>
      <c r="E416" s="2147"/>
      <c r="F416" s="2147"/>
      <c r="G416" s="2149"/>
      <c r="H416" s="3274"/>
      <c r="I416" s="3274"/>
      <c r="J416" s="3274"/>
      <c r="K416" s="3274"/>
      <c r="L416" s="3671"/>
      <c r="M416" s="3672"/>
      <c r="N416" s="5350"/>
      <c r="O416" s="5350"/>
      <c r="P416" s="3274"/>
      <c r="Q416" s="3274"/>
      <c r="R416" s="3274"/>
      <c r="S416" s="2875"/>
      <c r="T416" s="3274"/>
      <c r="U416" s="5350"/>
      <c r="V416" s="5350"/>
      <c r="W416" s="5351"/>
      <c r="X416" s="5351"/>
      <c r="Y416" s="3286"/>
      <c r="Z416" s="3286"/>
      <c r="AA416" s="5395">
        <f t="shared" si="115"/>
        <v>0</v>
      </c>
      <c r="AB416" s="5396"/>
      <c r="AC416" s="2682"/>
      <c r="AD416" s="3289"/>
      <c r="AE416" s="2628"/>
      <c r="AF416" s="2629"/>
      <c r="AG416" s="2628"/>
      <c r="AH416" s="2629"/>
      <c r="AI416" s="2628"/>
      <c r="AJ416" s="2629"/>
      <c r="AK416" s="2671">
        <f t="shared" si="105"/>
        <v>0</v>
      </c>
      <c r="AL416" s="3464"/>
      <c r="AM416" s="3448"/>
      <c r="AN416" s="3448"/>
      <c r="AO416" s="3448"/>
      <c r="AP416" s="3448"/>
      <c r="AQ416" s="3448"/>
      <c r="AR416" s="3458" t="e">
        <f t="shared" si="118"/>
        <v>#DIV/0!</v>
      </c>
      <c r="AS416" s="3459">
        <f t="shared" si="117"/>
        <v>0</v>
      </c>
    </row>
    <row r="417" spans="1:45" s="1444" customFormat="1" ht="27.95" customHeight="1">
      <c r="A417" s="3291"/>
      <c r="B417" s="2151"/>
      <c r="C417" s="2147"/>
      <c r="D417" s="2147"/>
      <c r="E417" s="2147"/>
      <c r="F417" s="2147"/>
      <c r="G417" s="2149"/>
      <c r="H417" s="3274"/>
      <c r="I417" s="3274"/>
      <c r="J417" s="3274"/>
      <c r="K417" s="3274"/>
      <c r="L417" s="3673"/>
      <c r="M417" s="3672"/>
      <c r="N417" s="5350"/>
      <c r="O417" s="5350"/>
      <c r="P417" s="3274"/>
      <c r="Q417" s="3274"/>
      <c r="R417" s="3274"/>
      <c r="S417" s="2875"/>
      <c r="T417" s="3274"/>
      <c r="U417" s="5350"/>
      <c r="V417" s="5350"/>
      <c r="W417" s="5351"/>
      <c r="X417" s="5351"/>
      <c r="Y417" s="3286"/>
      <c r="Z417" s="3286"/>
      <c r="AA417" s="5395">
        <f t="shared" si="115"/>
        <v>0</v>
      </c>
      <c r="AB417" s="5396"/>
      <c r="AC417" s="2682"/>
      <c r="AD417" s="3289"/>
      <c r="AE417" s="2628"/>
      <c r="AF417" s="2629"/>
      <c r="AG417" s="2628"/>
      <c r="AH417" s="2629"/>
      <c r="AI417" s="2628"/>
      <c r="AJ417" s="2629"/>
      <c r="AK417" s="2671">
        <f t="shared" si="105"/>
        <v>0</v>
      </c>
      <c r="AL417" s="3464"/>
      <c r="AM417" s="3448"/>
      <c r="AN417" s="3448"/>
      <c r="AO417" s="3448"/>
      <c r="AP417" s="3448"/>
      <c r="AQ417" s="3448"/>
      <c r="AR417" s="3458" t="e">
        <f t="shared" si="118"/>
        <v>#DIV/0!</v>
      </c>
      <c r="AS417" s="3459">
        <f t="shared" si="117"/>
        <v>0</v>
      </c>
    </row>
    <row r="418" spans="1:45" s="1444" customFormat="1" ht="27.95" customHeight="1">
      <c r="A418" s="3291"/>
      <c r="B418" s="2151"/>
      <c r="C418" s="2147"/>
      <c r="D418" s="2147"/>
      <c r="E418" s="2147"/>
      <c r="F418" s="2147"/>
      <c r="G418" s="2149"/>
      <c r="H418" s="3274"/>
      <c r="I418" s="3274"/>
      <c r="J418" s="3274"/>
      <c r="K418" s="3274"/>
      <c r="L418" s="3673"/>
      <c r="M418" s="3672"/>
      <c r="N418" s="5350"/>
      <c r="O418" s="5350"/>
      <c r="P418" s="3274"/>
      <c r="Q418" s="3274"/>
      <c r="R418" s="3274"/>
      <c r="S418" s="2875"/>
      <c r="T418" s="3274"/>
      <c r="U418" s="5350"/>
      <c r="V418" s="5350"/>
      <c r="W418" s="5351"/>
      <c r="X418" s="5351"/>
      <c r="Y418" s="3286"/>
      <c r="Z418" s="3286"/>
      <c r="AA418" s="5395">
        <f t="shared" si="115"/>
        <v>0</v>
      </c>
      <c r="AB418" s="5396"/>
      <c r="AC418" s="2682"/>
      <c r="AD418" s="3289"/>
      <c r="AE418" s="2628"/>
      <c r="AF418" s="2629"/>
      <c r="AG418" s="2628"/>
      <c r="AH418" s="2629"/>
      <c r="AI418" s="2628"/>
      <c r="AJ418" s="2629"/>
      <c r="AK418" s="2671">
        <f t="shared" si="105"/>
        <v>0</v>
      </c>
      <c r="AL418" s="3464"/>
      <c r="AM418" s="3448"/>
      <c r="AN418" s="3448"/>
      <c r="AO418" s="3448"/>
      <c r="AP418" s="3448"/>
      <c r="AQ418" s="3448"/>
      <c r="AR418" s="3458" t="e">
        <f t="shared" si="118"/>
        <v>#DIV/0!</v>
      </c>
      <c r="AS418" s="3459">
        <f t="shared" si="117"/>
        <v>0</v>
      </c>
    </row>
    <row r="419" spans="1:45" s="1444" customFormat="1" ht="27.95" customHeight="1">
      <c r="A419" s="3274"/>
      <c r="B419" s="2151"/>
      <c r="C419" s="2147"/>
      <c r="D419" s="2147"/>
      <c r="E419" s="2147"/>
      <c r="F419" s="2147"/>
      <c r="G419" s="2149"/>
      <c r="H419" s="3274"/>
      <c r="I419" s="3274"/>
      <c r="J419" s="3274"/>
      <c r="K419" s="3274"/>
      <c r="L419" s="3673"/>
      <c r="M419" s="3672"/>
      <c r="N419" s="5350"/>
      <c r="O419" s="5350"/>
      <c r="P419" s="3274"/>
      <c r="Q419" s="3274"/>
      <c r="R419" s="3274"/>
      <c r="S419" s="2875"/>
      <c r="T419" s="3274"/>
      <c r="U419" s="5350"/>
      <c r="V419" s="5350"/>
      <c r="W419" s="5351"/>
      <c r="X419" s="5351"/>
      <c r="Y419" s="3286"/>
      <c r="Z419" s="3286"/>
      <c r="AA419" s="5395">
        <f t="shared" si="115"/>
        <v>0</v>
      </c>
      <c r="AB419" s="5396"/>
      <c r="AC419" s="2682"/>
      <c r="AD419" s="3289"/>
      <c r="AE419" s="2628"/>
      <c r="AF419" s="2629"/>
      <c r="AG419" s="2628"/>
      <c r="AH419" s="2629"/>
      <c r="AI419" s="2628"/>
      <c r="AJ419" s="2629"/>
      <c r="AK419" s="2671">
        <f t="shared" si="105"/>
        <v>0</v>
      </c>
      <c r="AL419" s="3464"/>
      <c r="AM419" s="3448"/>
      <c r="AN419" s="3448"/>
      <c r="AO419" s="3448"/>
      <c r="AP419" s="3448"/>
      <c r="AQ419" s="3448"/>
      <c r="AR419" s="3458" t="e">
        <f t="shared" si="118"/>
        <v>#DIV/0!</v>
      </c>
      <c r="AS419" s="3459">
        <f t="shared" si="117"/>
        <v>0</v>
      </c>
    </row>
    <row r="420" spans="1:45" s="1444" customFormat="1" ht="27.95" customHeight="1">
      <c r="A420" s="3274"/>
      <c r="B420" s="2151"/>
      <c r="C420" s="2147"/>
      <c r="D420" s="2147"/>
      <c r="E420" s="2147"/>
      <c r="F420" s="2147"/>
      <c r="G420" s="2149"/>
      <c r="H420" s="3274"/>
      <c r="I420" s="3274"/>
      <c r="J420" s="3290"/>
      <c r="K420" s="3290"/>
      <c r="L420" s="3671"/>
      <c r="M420" s="3672"/>
      <c r="N420" s="5349"/>
      <c r="O420" s="5350"/>
      <c r="P420" s="3274"/>
      <c r="Q420" s="3274"/>
      <c r="R420" s="3274"/>
      <c r="S420" s="2877"/>
      <c r="T420" s="3274"/>
      <c r="U420" s="5350"/>
      <c r="V420" s="5350"/>
      <c r="W420" s="5351"/>
      <c r="X420" s="5351"/>
      <c r="Y420" s="3286"/>
      <c r="Z420" s="3286"/>
      <c r="AA420" s="5395">
        <f t="shared" si="115"/>
        <v>0</v>
      </c>
      <c r="AB420" s="5396"/>
      <c r="AC420" s="2682"/>
      <c r="AD420" s="3289"/>
      <c r="AE420" s="2628"/>
      <c r="AF420" s="2629"/>
      <c r="AG420" s="2628"/>
      <c r="AH420" s="2629"/>
      <c r="AI420" s="2628"/>
      <c r="AJ420" s="2629"/>
      <c r="AK420" s="2671">
        <f t="shared" si="105"/>
        <v>0</v>
      </c>
      <c r="AL420" s="3464"/>
      <c r="AM420" s="3448"/>
      <c r="AN420" s="3448"/>
      <c r="AO420" s="3448"/>
      <c r="AP420" s="3448"/>
      <c r="AQ420" s="3448"/>
      <c r="AR420" s="3458" t="e">
        <f t="shared" si="118"/>
        <v>#DIV/0!</v>
      </c>
      <c r="AS420" s="3459">
        <f t="shared" si="117"/>
        <v>0</v>
      </c>
    </row>
    <row r="421" spans="1:45" s="1444" customFormat="1" ht="27.95" customHeight="1">
      <c r="A421" s="3274"/>
      <c r="B421" s="2151"/>
      <c r="C421" s="2147"/>
      <c r="D421" s="2147"/>
      <c r="E421" s="2147"/>
      <c r="F421" s="2147"/>
      <c r="G421" s="2149"/>
      <c r="H421" s="3274"/>
      <c r="I421" s="3274"/>
      <c r="J421" s="3290"/>
      <c r="K421" s="3290"/>
      <c r="L421" s="3671"/>
      <c r="M421" s="3672"/>
      <c r="N421" s="5349"/>
      <c r="O421" s="5350"/>
      <c r="P421" s="3274"/>
      <c r="Q421" s="3274"/>
      <c r="R421" s="3274"/>
      <c r="S421" s="2877"/>
      <c r="T421" s="3274"/>
      <c r="U421" s="5350"/>
      <c r="V421" s="5350"/>
      <c r="W421" s="5351"/>
      <c r="X421" s="5351"/>
      <c r="Y421" s="3286"/>
      <c r="Z421" s="3286"/>
      <c r="AA421" s="5395">
        <f t="shared" si="115"/>
        <v>0</v>
      </c>
      <c r="AB421" s="5396"/>
      <c r="AC421" s="2682"/>
      <c r="AD421" s="3289"/>
      <c r="AE421" s="2628"/>
      <c r="AF421" s="2629"/>
      <c r="AG421" s="2628"/>
      <c r="AH421" s="2629"/>
      <c r="AI421" s="2628"/>
      <c r="AJ421" s="2629"/>
      <c r="AK421" s="2671">
        <f t="shared" si="105"/>
        <v>0</v>
      </c>
      <c r="AL421" s="3464"/>
      <c r="AM421" s="3448"/>
      <c r="AN421" s="3448"/>
      <c r="AO421" s="3448"/>
      <c r="AP421" s="3448"/>
      <c r="AQ421" s="3448"/>
      <c r="AR421" s="3458" t="e">
        <f t="shared" si="118"/>
        <v>#DIV/0!</v>
      </c>
      <c r="AS421" s="3459">
        <f t="shared" si="117"/>
        <v>0</v>
      </c>
    </row>
    <row r="422" spans="1:45" s="1444" customFormat="1" ht="27.95" customHeight="1">
      <c r="A422" s="3274"/>
      <c r="B422" s="2151"/>
      <c r="C422" s="2147"/>
      <c r="D422" s="2147"/>
      <c r="E422" s="2147"/>
      <c r="F422" s="2147"/>
      <c r="G422" s="2149"/>
      <c r="H422" s="3274"/>
      <c r="I422" s="3274"/>
      <c r="J422" s="3290"/>
      <c r="K422" s="3290"/>
      <c r="L422" s="3671"/>
      <c r="M422" s="3672"/>
      <c r="N422" s="5349"/>
      <c r="O422" s="5350"/>
      <c r="P422" s="3274"/>
      <c r="Q422" s="3274"/>
      <c r="R422" s="3274"/>
      <c r="S422" s="2877"/>
      <c r="T422" s="3274"/>
      <c r="U422" s="5350"/>
      <c r="V422" s="5350"/>
      <c r="W422" s="5351"/>
      <c r="X422" s="5351"/>
      <c r="Y422" s="3286"/>
      <c r="Z422" s="3286"/>
      <c r="AA422" s="5395">
        <f t="shared" si="115"/>
        <v>0</v>
      </c>
      <c r="AB422" s="5396"/>
      <c r="AC422" s="2682"/>
      <c r="AD422" s="3289"/>
      <c r="AE422" s="2628"/>
      <c r="AF422" s="2629"/>
      <c r="AG422" s="2628"/>
      <c r="AH422" s="2629"/>
      <c r="AI422" s="2628"/>
      <c r="AJ422" s="2629"/>
      <c r="AK422" s="2672">
        <f t="shared" si="105"/>
        <v>0</v>
      </c>
      <c r="AL422" s="3464"/>
      <c r="AM422" s="3448"/>
      <c r="AN422" s="3448"/>
      <c r="AO422" s="3448"/>
      <c r="AP422" s="3448"/>
      <c r="AQ422" s="3448"/>
      <c r="AR422" s="3458" t="e">
        <f t="shared" si="118"/>
        <v>#DIV/0!</v>
      </c>
      <c r="AS422" s="3459">
        <f t="shared" si="117"/>
        <v>0</v>
      </c>
    </row>
    <row r="423" spans="1:45" s="1444" customFormat="1" ht="27.95" customHeight="1">
      <c r="A423" s="3273">
        <f>COUNTA(B397:G422)</f>
        <v>10</v>
      </c>
      <c r="B423" s="2964" t="str">
        <f>'[1]0681C'!$S$3</f>
        <v>esc.manuelcrescenciorejon.tm@hotmail.com</v>
      </c>
      <c r="C423" s="3273"/>
      <c r="D423" s="2963"/>
      <c r="E423" s="2964" t="str">
        <f>'[4]0681C'!$C$8</f>
        <v>REG. 95 MZA. 129 L. 2</v>
      </c>
      <c r="F423" s="3273"/>
      <c r="G423" s="3273"/>
      <c r="H423" s="3273">
        <f>COUNTIF(H398:H404,"X")</f>
        <v>4</v>
      </c>
      <c r="I423" s="3273">
        <f>COUNTIF(I398:I404,"X")</f>
        <v>3</v>
      </c>
      <c r="J423" s="2966">
        <f>COUNTIF(L397:M422,"docente")</f>
        <v>5</v>
      </c>
      <c r="K423" s="2967">
        <f>COUNTIF(L397:M422,"intendente")</f>
        <v>1</v>
      </c>
      <c r="L423" s="1665">
        <f>COUNTA(N397:O422)</f>
        <v>4</v>
      </c>
      <c r="M423" s="2968">
        <f>COUNTIF(Y397:Y422,"1º")</f>
        <v>1</v>
      </c>
      <c r="N423" s="3278">
        <f>COUNTIF(Y397:Y422,"2º")</f>
        <v>1</v>
      </c>
      <c r="O423" s="3278">
        <f>COUNTIF(Y397:Y422,"3º")</f>
        <v>1</v>
      </c>
      <c r="P423" s="3278">
        <f>COUNTIF(Y397:Y422,"4º")</f>
        <v>1</v>
      </c>
      <c r="Q423" s="3278">
        <f>COUNTIF(Y397:Y422,"5º")</f>
        <v>2</v>
      </c>
      <c r="R423" s="3278">
        <f>COUNTIF(Y397:Y422,"6º")</f>
        <v>1</v>
      </c>
      <c r="S423" s="2968">
        <f>SUM(M423:R423)</f>
        <v>7</v>
      </c>
      <c r="T423" s="3273">
        <f>COUNTA(T397:T422)</f>
        <v>4</v>
      </c>
      <c r="U423" s="2968">
        <f>COUNTIF(U397:V422,"10")</f>
        <v>8</v>
      </c>
      <c r="V423" s="2969">
        <f>COUNTIF(U397:V422,"20")</f>
        <v>0</v>
      </c>
      <c r="W423" s="5409" t="s">
        <v>1232</v>
      </c>
      <c r="X423" s="5409"/>
      <c r="Y423" s="5409"/>
      <c r="Z423" s="3275">
        <f>COUNTA(Z397:Z422)</f>
        <v>7</v>
      </c>
      <c r="AA423" s="5410">
        <f>SUM(AA397:AB422)</f>
        <v>226</v>
      </c>
      <c r="AB423" s="5411"/>
      <c r="AC423" s="2687">
        <f t="shared" ref="AC423:AJ423" si="119">SUM(AC397:AC422)</f>
        <v>137</v>
      </c>
      <c r="AD423" s="2688">
        <f t="shared" si="119"/>
        <v>92</v>
      </c>
      <c r="AE423" s="2630">
        <f t="shared" si="119"/>
        <v>6</v>
      </c>
      <c r="AF423" s="2631">
        <f t="shared" si="119"/>
        <v>6</v>
      </c>
      <c r="AG423" s="2632">
        <f t="shared" si="119"/>
        <v>8</v>
      </c>
      <c r="AH423" s="2633">
        <f t="shared" si="119"/>
        <v>7</v>
      </c>
      <c r="AI423" s="2634">
        <f t="shared" si="119"/>
        <v>0</v>
      </c>
      <c r="AJ423" s="2635">
        <f t="shared" si="119"/>
        <v>0</v>
      </c>
      <c r="AK423" s="317">
        <f t="shared" ref="AK423:AK486" si="120">SUM(AC423:AD423)</f>
        <v>229</v>
      </c>
      <c r="AL423" s="3461" t="e">
        <f>SUM(AL397:AL422)/AL424</f>
        <v>#DIV/0!</v>
      </c>
      <c r="AM423" s="3465" t="e">
        <f t="shared" ref="AM423" si="121">SUM(AM397:AM422)/AM424</f>
        <v>#DIV/0!</v>
      </c>
      <c r="AN423" s="3460" t="e">
        <f t="shared" ref="AN423" si="122">SUM(AN397:AN422)/AN424</f>
        <v>#DIV/0!</v>
      </c>
      <c r="AO423" s="3460" t="e">
        <f t="shared" ref="AO423" si="123">SUM(AO397:AO422)/AO424</f>
        <v>#DIV/0!</v>
      </c>
      <c r="AP423" s="3460" t="e">
        <f t="shared" ref="AP423" si="124">SUM(AP397:AP422)/AP424</f>
        <v>#DIV/0!</v>
      </c>
      <c r="AQ423" s="3460" t="e">
        <f>SUM(AQ397:AQ422)/AQ424</f>
        <v>#DIV/0!</v>
      </c>
      <c r="AR423" s="3461" t="e">
        <f t="shared" si="118"/>
        <v>#DIV/0!</v>
      </c>
      <c r="AS423" s="3459">
        <f t="shared" si="117"/>
        <v>5</v>
      </c>
    </row>
    <row r="424" spans="1:45" s="1446" customFormat="1" ht="27.95" customHeight="1">
      <c r="A424" s="3690" t="s">
        <v>228</v>
      </c>
      <c r="B424" s="3691">
        <f>SUM(Estadisticas!AM34:AN34)</f>
        <v>1</v>
      </c>
      <c r="C424" s="3691">
        <f>SUM(Estadisticas!AO34:AP34)</f>
        <v>1</v>
      </c>
      <c r="D424" s="3691">
        <f>SUM(Estadisticas!AQ34:AR34)</f>
        <v>3</v>
      </c>
      <c r="E424" s="3691">
        <f>SUM(Estadisticas!AS34:AT34)</f>
        <v>3</v>
      </c>
      <c r="F424" s="3691">
        <f>SUM(Estadisticas!AU34:AV34)</f>
        <v>6</v>
      </c>
      <c r="G424" s="3691">
        <f>SUM(Estadisticas!AW34:AX34)</f>
        <v>2</v>
      </c>
      <c r="H424" s="5412">
        <f>SUM(B424:G424)</f>
        <v>16</v>
      </c>
      <c r="I424" s="5412"/>
      <c r="J424" s="3705"/>
      <c r="K424" s="3705"/>
      <c r="L424" s="3692" t="s">
        <v>1126</v>
      </c>
      <c r="M424" s="3690">
        <f>SUM(AK398)</f>
        <v>34</v>
      </c>
      <c r="N424" s="3690">
        <f>SUM(AK399)</f>
        <v>35</v>
      </c>
      <c r="O424" s="3690">
        <f>SUM(AK400)</f>
        <v>34</v>
      </c>
      <c r="P424" s="3690">
        <f>SUM(AK401:AK402)</f>
        <v>63</v>
      </c>
      <c r="Q424" s="3690">
        <f>SUM(AK403)</f>
        <v>29</v>
      </c>
      <c r="R424" s="3690">
        <f>SUM(AK404)</f>
        <v>34</v>
      </c>
      <c r="S424" s="3690">
        <f>SUM(M424:R424)</f>
        <v>229</v>
      </c>
      <c r="T424" s="3705">
        <f>'[1]0681C'!$V$23</f>
        <v>4</v>
      </c>
      <c r="U424" s="3705"/>
      <c r="V424" s="3705"/>
      <c r="W424" s="3705"/>
      <c r="X424" s="3705"/>
      <c r="Y424" s="3695">
        <f>COUNTA(Y397:Y422)</f>
        <v>7</v>
      </c>
      <c r="Z424" s="3705"/>
      <c r="AA424" s="5445">
        <f>'[1]0681C'!$X$35</f>
        <v>229</v>
      </c>
      <c r="AB424" s="5445"/>
      <c r="AC424" s="5334">
        <f>AC423+AD423</f>
        <v>229</v>
      </c>
      <c r="AD424" s="5334"/>
      <c r="AE424" s="5348">
        <f>AE423+AF423</f>
        <v>12</v>
      </c>
      <c r="AF424" s="5348"/>
      <c r="AG424" s="5342">
        <f>AG423+AH423</f>
        <v>15</v>
      </c>
      <c r="AH424" s="5342"/>
      <c r="AI424" s="2636"/>
      <c r="AJ424" s="2636"/>
      <c r="AK424" s="2636">
        <f>SUM(AC424:AD424)+AE424</f>
        <v>241</v>
      </c>
      <c r="AL424" s="3462">
        <f>COUNTA(AL397:AL422)</f>
        <v>0</v>
      </c>
      <c r="AM424" s="3462">
        <f t="shared" ref="AM424:AQ424" si="125">COUNTA(AM397:AM422)</f>
        <v>0</v>
      </c>
      <c r="AN424" s="3462">
        <f t="shared" si="125"/>
        <v>0</v>
      </c>
      <c r="AO424" s="3462">
        <f t="shared" si="125"/>
        <v>0</v>
      </c>
      <c r="AP424" s="3462">
        <f t="shared" si="125"/>
        <v>0</v>
      </c>
      <c r="AQ424" s="3462">
        <f t="shared" si="125"/>
        <v>0</v>
      </c>
      <c r="AR424" s="3462">
        <v>12</v>
      </c>
    </row>
    <row r="425" spans="1:45" s="1446" customFormat="1" ht="27.95" customHeight="1">
      <c r="A425" s="3695" t="s">
        <v>230</v>
      </c>
      <c r="B425" s="3695">
        <f>SUM(Estadisticas!AY34:AZ34)</f>
        <v>0</v>
      </c>
      <c r="C425" s="3695">
        <f>SUM(Estadisticas!BA34:BB34)</f>
        <v>3</v>
      </c>
      <c r="D425" s="3695">
        <f>SUM(Estadisticas!BC34:BD34)</f>
        <v>2</v>
      </c>
      <c r="E425" s="3695">
        <f>SUM(Estadisticas!BE34:BF34)</f>
        <v>2</v>
      </c>
      <c r="F425" s="3695">
        <f>SUM(Estadisticas!BG34:BH34)</f>
        <v>7</v>
      </c>
      <c r="G425" s="3695">
        <f>SUM(Estadisticas!BI34:BJ34)</f>
        <v>2</v>
      </c>
      <c r="H425" s="5413">
        <f>SUM(B425:G425)</f>
        <v>16</v>
      </c>
      <c r="I425" s="5413"/>
      <c r="J425" s="3705"/>
      <c r="K425" s="3705"/>
      <c r="L425" s="3696" t="s">
        <v>423</v>
      </c>
      <c r="M425" s="3695">
        <f>SUM(AE398:AF398)</f>
        <v>1</v>
      </c>
      <c r="N425" s="3695">
        <f>SUM(AE399:AF399)</f>
        <v>1</v>
      </c>
      <c r="O425" s="3695">
        <f>SUM(AE400:AF400)</f>
        <v>3</v>
      </c>
      <c r="P425" s="3695">
        <f>SUM(AE401:AF402)</f>
        <v>2</v>
      </c>
      <c r="Q425" s="3695">
        <f>SUM(AE403:AF403)</f>
        <v>4</v>
      </c>
      <c r="R425" s="3695">
        <f>SUM(AE404:AF404)</f>
        <v>1</v>
      </c>
      <c r="S425" s="3695">
        <f t="shared" ref="S425:S426" si="126">SUM(M425:R425)</f>
        <v>12</v>
      </c>
      <c r="T425" s="3706"/>
      <c r="U425" s="3705" t="str">
        <f>U65</f>
        <v>PRE</v>
      </c>
      <c r="V425" s="3707">
        <f>'[1]0681C'!$F$39</f>
        <v>1</v>
      </c>
      <c r="W425" s="3707">
        <f>'[1]0681C'!$I$39</f>
        <v>1</v>
      </c>
      <c r="X425" s="3707">
        <f>'[1]0681C'!$L$39</f>
        <v>1</v>
      </c>
      <c r="Y425" s="3707">
        <f>'[1]0681C'!$O$39</f>
        <v>1</v>
      </c>
      <c r="Z425" s="3707">
        <f>'[1]0681C'!$R$39</f>
        <v>2</v>
      </c>
      <c r="AA425" s="3707">
        <f>'[1]0681C'!$U$39</f>
        <v>1</v>
      </c>
      <c r="AB425" s="3707">
        <f>SUM(V425:AA425)</f>
        <v>7</v>
      </c>
      <c r="AC425" s="2683"/>
      <c r="AD425" s="3238"/>
      <c r="AE425" s="2620"/>
      <c r="AF425" s="2621"/>
      <c r="AG425" s="2620"/>
      <c r="AH425" s="2621"/>
      <c r="AK425" s="2636"/>
      <c r="AL425" s="3448"/>
      <c r="AM425" s="3448"/>
      <c r="AN425" s="3448"/>
      <c r="AO425" s="3448"/>
      <c r="AP425" s="3448"/>
      <c r="AQ425" s="3448"/>
      <c r="AR425" s="3448"/>
    </row>
    <row r="426" spans="1:45" s="1441" customFormat="1" ht="27.95" customHeight="1">
      <c r="A426" s="3698" t="s">
        <v>478</v>
      </c>
      <c r="B426" s="3698">
        <f>SUM(Estadisticas!BK34:BL34)</f>
        <v>0</v>
      </c>
      <c r="C426" s="3698">
        <f>SUM(Estadisticas!BM34:BN34)</f>
        <v>0</v>
      </c>
      <c r="D426" s="3698">
        <f>SUM(Estadisticas!BO34:BP34)</f>
        <v>0</v>
      </c>
      <c r="E426" s="3698">
        <f>SUM(Estadisticas!BQ34:BR34)</f>
        <v>0</v>
      </c>
      <c r="F426" s="3698">
        <f>SUM(Estadisticas!BS34:BT34)</f>
        <v>0</v>
      </c>
      <c r="G426" s="3698">
        <f>SUM(Estadisticas!BU34:BV34)</f>
        <v>0</v>
      </c>
      <c r="H426" s="5414">
        <f>SUM(B426:G426)</f>
        <v>0</v>
      </c>
      <c r="I426" s="5414"/>
      <c r="J426" s="3716"/>
      <c r="K426" s="3717"/>
      <c r="L426" s="3701" t="s">
        <v>434</v>
      </c>
      <c r="M426" s="3702">
        <f>SUM(AG398:AH398)</f>
        <v>0</v>
      </c>
      <c r="N426" s="3702">
        <f>SUM(AG399:AH399)</f>
        <v>2</v>
      </c>
      <c r="O426" s="3702">
        <f>SUM(AG400:AH400)</f>
        <v>2</v>
      </c>
      <c r="P426" s="3702">
        <f>SUM(AG401:AH402)</f>
        <v>5</v>
      </c>
      <c r="Q426" s="3702">
        <f>SUM(AG403:AH403)</f>
        <v>4</v>
      </c>
      <c r="R426" s="3702">
        <f>SUM(AG404:AH404)</f>
        <v>2</v>
      </c>
      <c r="S426" s="3702">
        <f t="shared" si="126"/>
        <v>15</v>
      </c>
      <c r="T426" s="3716"/>
      <c r="U426" s="3710">
        <f>'[1]0681C'!$O$26</f>
        <v>34</v>
      </c>
      <c r="V426" s="3710">
        <f>'[1]0681C'!$F$35</f>
        <v>35</v>
      </c>
      <c r="W426" s="3710">
        <f>'[1]0681C'!$I$35</f>
        <v>33</v>
      </c>
      <c r="X426" s="3710">
        <f>'[1]0681C'!$L$35</f>
        <v>35</v>
      </c>
      <c r="Y426" s="3710">
        <f>'[1]0681C'!$O$35</f>
        <v>35</v>
      </c>
      <c r="Z426" s="3710">
        <f>'[1]0681C'!$R$35</f>
        <v>57</v>
      </c>
      <c r="AA426" s="3710">
        <f>'[1]0681C'!$U$35</f>
        <v>34</v>
      </c>
      <c r="AB426" s="3710">
        <f>SUM(V426:AA426)</f>
        <v>229</v>
      </c>
      <c r="AC426" s="2683"/>
      <c r="AD426" s="3238"/>
      <c r="AE426" s="2620"/>
      <c r="AF426" s="2621"/>
      <c r="AG426" s="2620"/>
      <c r="AH426" s="2621"/>
      <c r="AI426" s="1444"/>
      <c r="AJ426" s="1444"/>
      <c r="AK426" s="2636"/>
      <c r="AL426" s="3445"/>
      <c r="AM426" s="3445"/>
      <c r="AN426" s="3445"/>
      <c r="AO426" s="3445"/>
      <c r="AP426" s="3445"/>
      <c r="AQ426" s="3445"/>
      <c r="AR426" s="3445"/>
      <c r="AS426" s="108"/>
    </row>
    <row r="427" spans="1:45" s="1448" customFormat="1" ht="27.95" customHeight="1">
      <c r="A427" s="175"/>
      <c r="B427" s="1427"/>
      <c r="C427" s="173"/>
      <c r="D427" s="3262" t="s">
        <v>1193</v>
      </c>
      <c r="E427" s="5388" t="str">
        <f>B397</f>
        <v>CERVERA VIDAL * DULCE RUTH</v>
      </c>
      <c r="F427" s="5388"/>
      <c r="G427" s="5388"/>
      <c r="H427" s="5388"/>
      <c r="I427" s="5388"/>
      <c r="J427" s="5388"/>
      <c r="K427" s="1603"/>
      <c r="L427" s="1428"/>
      <c r="M427" s="3262" t="s">
        <v>1234</v>
      </c>
      <c r="N427" s="5388" t="str">
        <f>N387</f>
        <v>RICALDE CASTRO JESUS MARTIN</v>
      </c>
      <c r="O427" s="5388"/>
      <c r="P427" s="5388"/>
      <c r="Q427" s="5388"/>
      <c r="R427" s="5388"/>
      <c r="S427" s="5388"/>
      <c r="T427" s="1603"/>
      <c r="U427" s="1603"/>
      <c r="V427" s="3262" t="s">
        <v>1195</v>
      </c>
      <c r="W427" s="5388" t="str">
        <f>W387</f>
        <v xml:space="preserve">ANCONA FLORES AURA EUGENIA </v>
      </c>
      <c r="X427" s="5388"/>
      <c r="Y427" s="5388"/>
      <c r="Z427" s="5388"/>
      <c r="AA427" s="5388"/>
      <c r="AB427" s="5388"/>
      <c r="AC427" s="2683"/>
      <c r="AD427" s="3238"/>
      <c r="AE427" s="2620"/>
      <c r="AF427" s="2621"/>
      <c r="AG427" s="2620"/>
      <c r="AH427" s="2621"/>
      <c r="AI427" s="2624"/>
      <c r="AJ427" s="2624"/>
      <c r="AK427" s="2636"/>
      <c r="AL427" s="3449"/>
      <c r="AM427" s="3449"/>
      <c r="AN427" s="3449"/>
      <c r="AO427" s="3449"/>
      <c r="AP427" s="3449"/>
      <c r="AQ427" s="3449"/>
      <c r="AR427" s="3449"/>
      <c r="AS427" s="3450"/>
    </row>
    <row r="428" spans="1:45" s="1430" customFormat="1" ht="27.95" customHeight="1">
      <c r="A428" s="1670"/>
      <c r="B428" s="1401"/>
      <c r="C428" s="1401"/>
      <c r="D428" s="1401"/>
      <c r="E428" s="1401"/>
      <c r="F428" s="1402"/>
      <c r="G428" s="1402"/>
      <c r="H428" s="1402"/>
      <c r="I428" s="1402"/>
      <c r="J428" s="1402"/>
      <c r="K428" s="27"/>
      <c r="M428" s="1431" t="s">
        <v>196</v>
      </c>
      <c r="N428" s="1402"/>
      <c r="O428" s="1402"/>
      <c r="P428" s="1402"/>
      <c r="Q428" s="1402"/>
      <c r="R428" s="1402"/>
      <c r="S428" s="1402"/>
      <c r="T428" s="1401"/>
      <c r="V428" s="3263"/>
      <c r="W428" s="1432" t="s">
        <v>764</v>
      </c>
      <c r="X428" s="5221" t="s">
        <v>247</v>
      </c>
      <c r="Y428" s="5221"/>
      <c r="Z428" s="5221"/>
      <c r="AA428" s="5221"/>
      <c r="AB428" s="1644"/>
      <c r="AC428" s="2683"/>
      <c r="AD428" s="3238"/>
      <c r="AE428" s="2637"/>
      <c r="AF428" s="2638"/>
      <c r="AG428" s="2637"/>
      <c r="AH428" s="2638"/>
      <c r="AI428" s="1449"/>
      <c r="AJ428" s="1449"/>
      <c r="AK428" s="2636"/>
      <c r="AL428" s="3451"/>
      <c r="AM428" s="3451"/>
      <c r="AN428" s="3451"/>
      <c r="AO428" s="3451"/>
      <c r="AP428" s="3451"/>
      <c r="AQ428" s="3451"/>
      <c r="AR428" s="3451"/>
      <c r="AS428" s="3452"/>
    </row>
    <row r="429" spans="1:45" ht="27.95" customHeight="1">
      <c r="A429" s="1663"/>
      <c r="B429" s="1406"/>
      <c r="C429" s="1406"/>
      <c r="D429" s="1406"/>
      <c r="E429" s="1406"/>
      <c r="F429" s="1407"/>
      <c r="G429" s="1407"/>
      <c r="H429" s="1407"/>
      <c r="I429" s="1407"/>
      <c r="J429" s="1407"/>
      <c r="K429" s="1407"/>
      <c r="L429" s="1407"/>
      <c r="M429" s="3260" t="s">
        <v>1148</v>
      </c>
      <c r="N429" s="1407"/>
      <c r="O429" s="1407"/>
      <c r="P429" s="1407"/>
      <c r="Q429" s="1407"/>
      <c r="R429" s="1407"/>
      <c r="S429" s="1407"/>
      <c r="T429" s="1408"/>
      <c r="U429" s="1408"/>
      <c r="V429" s="3263"/>
      <c r="W429" s="1432" t="s">
        <v>1149</v>
      </c>
      <c r="X429" s="5221" t="str">
        <f>X389</f>
        <v>2012 / 2013</v>
      </c>
      <c r="Y429" s="5221"/>
      <c r="Z429" s="5221"/>
      <c r="AA429" s="5221"/>
      <c r="AB429" s="1417"/>
      <c r="AC429" s="2683"/>
      <c r="AD429" s="3238"/>
      <c r="AE429" s="2620"/>
      <c r="AF429" s="2621"/>
      <c r="AG429" s="2620"/>
      <c r="AH429" s="2621"/>
      <c r="AK429" s="2636"/>
      <c r="AR429" s="3445"/>
    </row>
    <row r="430" spans="1:45" ht="27.95" customHeight="1">
      <c r="A430" s="1663"/>
      <c r="B430" s="1410"/>
      <c r="C430" s="1410"/>
      <c r="D430" s="1410"/>
      <c r="E430" s="1410"/>
      <c r="F430" s="1407"/>
      <c r="G430" s="1407"/>
      <c r="H430" s="1407"/>
      <c r="I430" s="1407"/>
      <c r="J430" s="1407"/>
      <c r="K430" s="1407"/>
      <c r="M430" s="3260" t="s">
        <v>1150</v>
      </c>
      <c r="N430" s="1407"/>
      <c r="O430" s="1407"/>
      <c r="P430" s="1407"/>
      <c r="Q430" s="1407"/>
      <c r="R430" s="1407"/>
      <c r="S430" s="1407"/>
      <c r="T430" s="1433"/>
      <c r="U430" s="1433"/>
      <c r="V430" s="1434"/>
      <c r="W430" s="3281" t="s">
        <v>42</v>
      </c>
      <c r="X430" s="5391" t="str">
        <f>X390</f>
        <v>042</v>
      </c>
      <c r="Y430" s="5391"/>
      <c r="Z430" s="5391"/>
      <c r="AA430" s="5391"/>
      <c r="AB430" s="1417"/>
      <c r="AC430" s="2683"/>
      <c r="AD430" s="3238"/>
      <c r="AE430" s="2620"/>
      <c r="AF430" s="2621"/>
      <c r="AG430" s="2620"/>
      <c r="AH430" s="2621"/>
      <c r="AK430" s="2636"/>
      <c r="AR430" s="3445"/>
    </row>
    <row r="431" spans="1:45" ht="27.95" customHeight="1">
      <c r="A431" s="1663"/>
      <c r="B431" s="1410"/>
      <c r="C431" s="1410"/>
      <c r="D431" s="1410"/>
      <c r="E431" s="1410"/>
      <c r="F431" s="1406"/>
      <c r="H431" s="1413"/>
      <c r="I431" s="1413"/>
      <c r="J431" s="1414"/>
      <c r="K431" s="1414"/>
      <c r="L431" s="1415" t="s">
        <v>1197</v>
      </c>
      <c r="M431" s="1415">
        <f>M391</f>
        <v>8</v>
      </c>
      <c r="N431" s="3271" t="s">
        <v>1152</v>
      </c>
      <c r="O431" s="5371" t="str">
        <f>O391</f>
        <v>AGOSTO</v>
      </c>
      <c r="P431" s="5371"/>
      <c r="Q431" s="1435" t="s">
        <v>1152</v>
      </c>
      <c r="R431" s="5371">
        <f>R391</f>
        <v>2012</v>
      </c>
      <c r="S431" s="5371"/>
      <c r="T431" s="1406"/>
      <c r="U431" s="5372" t="s">
        <v>246</v>
      </c>
      <c r="V431" s="5372"/>
      <c r="W431" s="5372"/>
      <c r="X431" s="5372"/>
      <c r="Y431" s="1436" t="s">
        <v>245</v>
      </c>
      <c r="Z431" s="1436"/>
      <c r="AA431" s="1437"/>
      <c r="AB431" s="1417"/>
      <c r="AC431" s="2683"/>
      <c r="AD431" s="3238"/>
      <c r="AE431" s="2620"/>
      <c r="AF431" s="2621"/>
      <c r="AG431" s="2620"/>
      <c r="AH431" s="2621"/>
      <c r="AK431" s="2636"/>
      <c r="AR431" s="3445"/>
    </row>
    <row r="432" spans="1:45" ht="27.95" customHeight="1">
      <c r="A432" s="5356" t="s">
        <v>1153</v>
      </c>
      <c r="B432" s="5356"/>
      <c r="C432" s="5356"/>
      <c r="D432" s="5389" t="s">
        <v>2321</v>
      </c>
      <c r="E432" s="5389"/>
      <c r="F432" s="5389"/>
      <c r="G432" s="5389"/>
      <c r="H432" s="5389"/>
      <c r="I432" s="5389"/>
      <c r="J432" s="5389"/>
      <c r="K432" s="5389"/>
      <c r="L432" s="3281" t="s">
        <v>19</v>
      </c>
      <c r="M432" s="5370" t="s">
        <v>1818</v>
      </c>
      <c r="N432" s="5370"/>
      <c r="O432" s="5390" t="s">
        <v>13</v>
      </c>
      <c r="P432" s="5390"/>
      <c r="Q432" s="5370" t="s">
        <v>69</v>
      </c>
      <c r="R432" s="5370"/>
      <c r="S432" s="5370"/>
      <c r="T432" s="174"/>
      <c r="U432" s="1418" t="s">
        <v>1157</v>
      </c>
      <c r="V432" s="5221" t="str">
        <f>V392</f>
        <v>2  BENITO JUAREZ</v>
      </c>
      <c r="W432" s="5221"/>
      <c r="X432" s="5221"/>
      <c r="Y432" s="5221"/>
      <c r="Z432" s="5221"/>
      <c r="AA432" s="5221"/>
      <c r="AB432" s="5221"/>
      <c r="AC432" s="2683"/>
      <c r="AD432" s="3238"/>
      <c r="AE432" s="2620"/>
      <c r="AF432" s="2621"/>
      <c r="AG432" s="2620"/>
      <c r="AH432" s="2621"/>
      <c r="AK432" s="2636"/>
      <c r="AR432" s="3445"/>
    </row>
    <row r="433" spans="1:45" s="1439" customFormat="1" ht="27.95" customHeight="1">
      <c r="A433" s="5356" t="s">
        <v>437</v>
      </c>
      <c r="B433" s="5356"/>
      <c r="C433" s="5389" t="s">
        <v>2333</v>
      </c>
      <c r="D433" s="5389"/>
      <c r="E433" s="5389"/>
      <c r="F433" s="5389"/>
      <c r="G433" s="5389"/>
      <c r="H433" s="5389"/>
      <c r="I433" s="5389"/>
      <c r="J433" s="5389"/>
      <c r="K433" s="5389"/>
      <c r="L433" s="5389"/>
      <c r="M433" s="5389"/>
      <c r="N433" s="1419"/>
      <c r="O433" s="3281" t="s">
        <v>863</v>
      </c>
      <c r="P433" s="5370" t="s">
        <v>2334</v>
      </c>
      <c r="Q433" s="5370"/>
      <c r="R433" s="5370"/>
      <c r="S433" s="5370"/>
      <c r="T433" s="5370"/>
      <c r="U433" s="1420"/>
      <c r="V433" s="3281"/>
      <c r="W433" s="3281" t="s">
        <v>1159</v>
      </c>
      <c r="X433" s="5358" t="str">
        <f>X393</f>
        <v>8  DE  AGOSTO  DE  2012</v>
      </c>
      <c r="Y433" s="5358"/>
      <c r="Z433" s="5358"/>
      <c r="AA433" s="5358"/>
      <c r="AB433" s="5358"/>
      <c r="AC433" s="5331" t="str">
        <f>D432</f>
        <v>CENTRO EDUCATIVO EL MANANTIAL</v>
      </c>
      <c r="AD433" s="5331"/>
      <c r="AE433" s="5331"/>
      <c r="AF433" s="5331"/>
      <c r="AG433" s="5331"/>
      <c r="AH433" s="5331"/>
      <c r="AI433" s="5332" t="str">
        <f>M432</f>
        <v>23PPR0099M</v>
      </c>
      <c r="AJ433" s="5332"/>
      <c r="AK433" s="5332"/>
      <c r="AL433" s="3446"/>
      <c r="AM433" s="3446"/>
      <c r="AN433" s="3446"/>
      <c r="AO433" s="3446"/>
      <c r="AP433" s="3446"/>
      <c r="AQ433" s="3446"/>
      <c r="AR433" s="3446"/>
      <c r="AS433" s="2166"/>
    </row>
    <row r="434" spans="1:45" s="1441" customFormat="1" ht="9.9499999999999993" customHeight="1">
      <c r="A434" s="2996" t="str">
        <f>'[4]0688W'!$C$8</f>
        <v>REG. 95 MZ. 129 L. 2</v>
      </c>
      <c r="B434" s="1422"/>
      <c r="C434" s="1422"/>
      <c r="D434" s="3261"/>
      <c r="E434" s="3261"/>
      <c r="F434" s="3261"/>
      <c r="G434" s="3261"/>
      <c r="H434" s="3261"/>
      <c r="I434" s="3261"/>
      <c r="J434" s="3261"/>
      <c r="K434" s="3261"/>
      <c r="L434" s="3261"/>
      <c r="M434" s="1421"/>
      <c r="N434" s="2995" t="str">
        <f>'[4]0688W'!$I$8</f>
        <v>9981 49 34 04</v>
      </c>
      <c r="O434" s="1423"/>
      <c r="P434" s="1423"/>
      <c r="Q434" s="1424"/>
      <c r="R434" s="1423"/>
      <c r="S434" s="1423"/>
      <c r="T434" s="1422"/>
      <c r="U434" s="1422"/>
      <c r="V434" s="3261"/>
      <c r="W434" s="3261"/>
      <c r="X434" s="3261"/>
      <c r="Y434" s="3261"/>
      <c r="Z434" s="1422"/>
      <c r="AA434" s="1422"/>
      <c r="AB434" s="1422"/>
      <c r="AC434" s="2689"/>
      <c r="AD434" s="2690"/>
      <c r="AE434" s="2639"/>
      <c r="AF434" s="2640"/>
      <c r="AG434" s="2639"/>
      <c r="AH434" s="2640"/>
      <c r="AI434" s="1444"/>
      <c r="AJ434" s="1444"/>
      <c r="AK434" s="2636"/>
      <c r="AL434" s="3445"/>
      <c r="AM434" s="3445"/>
      <c r="AN434" s="3445"/>
      <c r="AO434" s="3445"/>
      <c r="AP434" s="3445"/>
      <c r="AQ434" s="3445"/>
      <c r="AR434" s="3445"/>
      <c r="AS434" s="108"/>
    </row>
    <row r="435" spans="1:45" s="1442" customFormat="1" ht="27.95" customHeight="1">
      <c r="A435" s="5415" t="s">
        <v>1160</v>
      </c>
      <c r="B435" s="5416" t="s">
        <v>1235</v>
      </c>
      <c r="C435" s="5416"/>
      <c r="D435" s="5416"/>
      <c r="E435" s="5416"/>
      <c r="F435" s="5416"/>
      <c r="G435" s="5416"/>
      <c r="H435" s="5417" t="s">
        <v>1161</v>
      </c>
      <c r="I435" s="5417"/>
      <c r="J435" s="5417" t="s">
        <v>212</v>
      </c>
      <c r="K435" s="5417" t="s">
        <v>1162</v>
      </c>
      <c r="L435" s="5417" t="s">
        <v>1163</v>
      </c>
      <c r="M435" s="5417"/>
      <c r="N435" s="5417" t="s">
        <v>1164</v>
      </c>
      <c r="O435" s="5417"/>
      <c r="P435" s="5417" t="s">
        <v>1165</v>
      </c>
      <c r="Q435" s="5417"/>
      <c r="R435" s="5417" t="s">
        <v>1166</v>
      </c>
      <c r="S435" s="5417"/>
      <c r="T435" s="5417" t="s">
        <v>1167</v>
      </c>
      <c r="U435" s="5417" t="s">
        <v>1168</v>
      </c>
      <c r="V435" s="5417"/>
      <c r="W435" s="5417" t="s">
        <v>1169</v>
      </c>
      <c r="X435" s="5417"/>
      <c r="Y435" s="5417" t="s">
        <v>3</v>
      </c>
      <c r="Z435" s="5417" t="s">
        <v>4</v>
      </c>
      <c r="AA435" s="5417" t="s">
        <v>28</v>
      </c>
      <c r="AB435" s="5417"/>
      <c r="AC435" s="5340" t="str">
        <f>AC395</f>
        <v>INICIAL</v>
      </c>
      <c r="AD435" s="5340"/>
      <c r="AE435" s="5344" t="str">
        <f>AE395</f>
        <v>ALTAS</v>
      </c>
      <c r="AF435" s="5345"/>
      <c r="AG435" s="5346" t="str">
        <f>AG395</f>
        <v>BAJAS</v>
      </c>
      <c r="AH435" s="5347"/>
      <c r="AI435" s="5333" t="str">
        <f>AI395</f>
        <v>REP</v>
      </c>
      <c r="AJ435" s="5333"/>
      <c r="AK435" s="2625" t="str">
        <f>AK395</f>
        <v>INI</v>
      </c>
      <c r="AL435" s="5328" t="s">
        <v>2509</v>
      </c>
      <c r="AM435" s="5329"/>
      <c r="AN435" s="5329"/>
      <c r="AO435" s="5329"/>
      <c r="AP435" s="5329"/>
      <c r="AQ435" s="5329"/>
      <c r="AR435" s="5330"/>
    </row>
    <row r="436" spans="1:45" s="1442" customFormat="1" ht="27.95" customHeight="1">
      <c r="A436" s="5415"/>
      <c r="B436" s="5416"/>
      <c r="C436" s="5416"/>
      <c r="D436" s="5416"/>
      <c r="E436" s="5416"/>
      <c r="F436" s="5416"/>
      <c r="G436" s="5416"/>
      <c r="H436" s="3269" t="s">
        <v>407</v>
      </c>
      <c r="I436" s="3269" t="s">
        <v>403</v>
      </c>
      <c r="J436" s="5417"/>
      <c r="K436" s="5417"/>
      <c r="L436" s="5417"/>
      <c r="M436" s="5417"/>
      <c r="N436" s="5417"/>
      <c r="O436" s="5417"/>
      <c r="P436" s="3269" t="s">
        <v>1170</v>
      </c>
      <c r="Q436" s="3269" t="s">
        <v>1171</v>
      </c>
      <c r="R436" s="3269" t="s">
        <v>1172</v>
      </c>
      <c r="S436" s="3269" t="s">
        <v>1173</v>
      </c>
      <c r="T436" s="5417"/>
      <c r="U436" s="5417"/>
      <c r="V436" s="5417"/>
      <c r="W436" s="5417"/>
      <c r="X436" s="5417"/>
      <c r="Y436" s="5417"/>
      <c r="Z436" s="5417"/>
      <c r="AA436" s="5417"/>
      <c r="AB436" s="5417"/>
      <c r="AC436" s="3295" t="str">
        <f>AC396</f>
        <v>H</v>
      </c>
      <c r="AD436" s="2686" t="str">
        <f>AD396</f>
        <v>M</v>
      </c>
      <c r="AE436" s="3295" t="str">
        <f t="shared" ref="AE436:AJ436" si="127">AE396</f>
        <v>H</v>
      </c>
      <c r="AF436" s="2686" t="str">
        <f t="shared" si="127"/>
        <v>M</v>
      </c>
      <c r="AG436" s="3295" t="str">
        <f t="shared" si="127"/>
        <v>H</v>
      </c>
      <c r="AH436" s="2686" t="str">
        <f t="shared" si="127"/>
        <v>M</v>
      </c>
      <c r="AI436" s="3295" t="str">
        <f t="shared" si="127"/>
        <v>H</v>
      </c>
      <c r="AJ436" s="2686" t="str">
        <f t="shared" si="127"/>
        <v>M</v>
      </c>
      <c r="AK436" s="2627" t="str">
        <f>AK396</f>
        <v>TTS</v>
      </c>
      <c r="AL436" s="3455" t="s">
        <v>393</v>
      </c>
      <c r="AM436" s="3463" t="s">
        <v>8</v>
      </c>
      <c r="AN436" s="3456" t="s">
        <v>347</v>
      </c>
      <c r="AO436" s="3456" t="s">
        <v>348</v>
      </c>
      <c r="AP436" s="3456" t="s">
        <v>2062</v>
      </c>
      <c r="AQ436" s="3457" t="s">
        <v>2081</v>
      </c>
      <c r="AR436" s="3456" t="s">
        <v>2510</v>
      </c>
    </row>
    <row r="437" spans="1:45" s="1443" customFormat="1" ht="27.95" customHeight="1">
      <c r="A437" s="3274">
        <v>1</v>
      </c>
      <c r="B437" s="2158" t="s">
        <v>2609</v>
      </c>
      <c r="C437" s="2147"/>
      <c r="D437" s="2147"/>
      <c r="E437" s="2147"/>
      <c r="F437" s="2147"/>
      <c r="G437" s="2149"/>
      <c r="H437" s="3274"/>
      <c r="I437" s="3274" t="s">
        <v>78</v>
      </c>
      <c r="J437" s="3290" t="s">
        <v>2444</v>
      </c>
      <c r="K437" s="3290">
        <v>99999</v>
      </c>
      <c r="L437" s="3671" t="s">
        <v>93</v>
      </c>
      <c r="M437" s="3672"/>
      <c r="N437" s="5350"/>
      <c r="O437" s="5350"/>
      <c r="P437" s="3274"/>
      <c r="Q437" s="3274"/>
      <c r="R437" s="3274"/>
      <c r="S437" s="2877" t="s">
        <v>2205</v>
      </c>
      <c r="T437" s="3274"/>
      <c r="U437" s="5350">
        <v>20</v>
      </c>
      <c r="V437" s="5350"/>
      <c r="W437" s="5394" t="s">
        <v>1373</v>
      </c>
      <c r="X437" s="5394"/>
      <c r="Y437" s="3670" t="s">
        <v>773</v>
      </c>
      <c r="Z437" s="3286" t="s">
        <v>228</v>
      </c>
      <c r="AA437" s="5352">
        <f>AC437+AD437+AE437+AF437-AG437-AH437</f>
        <v>16</v>
      </c>
      <c r="AB437" s="5352"/>
      <c r="AC437" s="2682">
        <v>5</v>
      </c>
      <c r="AD437" s="3289">
        <v>8</v>
      </c>
      <c r="AE437" s="2628">
        <v>2</v>
      </c>
      <c r="AF437" s="2629">
        <v>1</v>
      </c>
      <c r="AG437" s="2628"/>
      <c r="AH437" s="2629"/>
      <c r="AI437" s="2628"/>
      <c r="AJ437" s="2629"/>
      <c r="AK437" s="2670">
        <f t="shared" si="120"/>
        <v>13</v>
      </c>
      <c r="AL437" s="3464"/>
      <c r="AM437" s="3448"/>
      <c r="AN437" s="3448"/>
      <c r="AO437" s="3448"/>
      <c r="AP437" s="3448"/>
      <c r="AQ437" s="3448"/>
      <c r="AR437" s="3458" t="e">
        <f t="shared" ref="AR437:AR450" si="128">SUM(AM437:AQ437)/AS437</f>
        <v>#DIV/0!</v>
      </c>
      <c r="AS437" s="3459">
        <f>COUNTA(AM437:AQ437)</f>
        <v>0</v>
      </c>
    </row>
    <row r="438" spans="1:45" s="1443" customFormat="1" ht="27.95" customHeight="1">
      <c r="A438" s="3274">
        <v>2</v>
      </c>
      <c r="B438" s="2158" t="s">
        <v>2610</v>
      </c>
      <c r="C438" s="2147"/>
      <c r="D438" s="2147"/>
      <c r="E438" s="2147"/>
      <c r="F438" s="2147"/>
      <c r="G438" s="2149"/>
      <c r="H438" s="3274"/>
      <c r="I438" s="3274" t="s">
        <v>78</v>
      </c>
      <c r="J438" s="3290" t="s">
        <v>1374</v>
      </c>
      <c r="K438" s="3290">
        <v>99999</v>
      </c>
      <c r="L438" s="3671" t="s">
        <v>390</v>
      </c>
      <c r="M438" s="3672"/>
      <c r="N438" s="5350"/>
      <c r="O438" s="5350"/>
      <c r="P438" s="3274"/>
      <c r="Q438" s="3274"/>
      <c r="R438" s="3274"/>
      <c r="S438" s="2877" t="s">
        <v>2206</v>
      </c>
      <c r="T438" s="3274"/>
      <c r="U438" s="5350">
        <v>20</v>
      </c>
      <c r="V438" s="5350"/>
      <c r="W438" s="5394" t="s">
        <v>1373</v>
      </c>
      <c r="X438" s="5394"/>
      <c r="Y438" s="3644" t="s">
        <v>765</v>
      </c>
      <c r="Z438" s="3286" t="s">
        <v>228</v>
      </c>
      <c r="AA438" s="5352">
        <f t="shared" ref="AA438:AA462" si="129">AC438+AD438+AE438+AF438-AG438-AH438</f>
        <v>9</v>
      </c>
      <c r="AB438" s="5352"/>
      <c r="AC438" s="2682">
        <v>6</v>
      </c>
      <c r="AD438" s="3289">
        <v>3</v>
      </c>
      <c r="AE438" s="2628"/>
      <c r="AF438" s="2629">
        <v>1</v>
      </c>
      <c r="AG438" s="2628"/>
      <c r="AH438" s="2629">
        <v>1</v>
      </c>
      <c r="AI438" s="2628"/>
      <c r="AJ438" s="2629"/>
      <c r="AK438" s="2671">
        <f t="shared" si="120"/>
        <v>9</v>
      </c>
      <c r="AL438" s="3464"/>
      <c r="AM438" s="3448"/>
      <c r="AN438" s="3448"/>
      <c r="AO438" s="3448"/>
      <c r="AP438" s="3448"/>
      <c r="AQ438" s="3448"/>
      <c r="AR438" s="3458" t="e">
        <f t="shared" si="128"/>
        <v>#DIV/0!</v>
      </c>
      <c r="AS438" s="3459">
        <f t="shared" ref="AS438:AS463" si="130">COUNTA(AM438:AQ438)</f>
        <v>0</v>
      </c>
    </row>
    <row r="439" spans="1:45" s="1443" customFormat="1" ht="27.95" customHeight="1">
      <c r="A439" s="3274"/>
      <c r="B439" s="2158"/>
      <c r="C439" s="2147"/>
      <c r="D439" s="2147"/>
      <c r="E439" s="2147"/>
      <c r="F439" s="2147"/>
      <c r="G439" s="2149"/>
      <c r="H439" s="3274"/>
      <c r="I439" s="3274"/>
      <c r="J439" s="3290"/>
      <c r="K439" s="3290"/>
      <c r="L439" s="3671"/>
      <c r="M439" s="3672"/>
      <c r="N439" s="5350"/>
      <c r="O439" s="5350"/>
      <c r="P439" s="3274"/>
      <c r="Q439" s="3274"/>
      <c r="R439" s="3274"/>
      <c r="S439" s="2877"/>
      <c r="T439" s="3274"/>
      <c r="U439" s="5350"/>
      <c r="V439" s="5350"/>
      <c r="W439" s="5394"/>
      <c r="X439" s="5394"/>
      <c r="Y439" s="3644" t="s">
        <v>766</v>
      </c>
      <c r="Z439" s="3286" t="s">
        <v>228</v>
      </c>
      <c r="AA439" s="5352">
        <f t="shared" si="129"/>
        <v>15</v>
      </c>
      <c r="AB439" s="5352"/>
      <c r="AC439" s="2682">
        <v>7</v>
      </c>
      <c r="AD439" s="3289">
        <v>6</v>
      </c>
      <c r="AE439" s="2628">
        <v>1</v>
      </c>
      <c r="AF439" s="2629">
        <v>3</v>
      </c>
      <c r="AG439" s="2628">
        <v>1</v>
      </c>
      <c r="AH439" s="2629">
        <v>1</v>
      </c>
      <c r="AI439" s="2628"/>
      <c r="AJ439" s="2629"/>
      <c r="AK439" s="2671">
        <f t="shared" si="120"/>
        <v>13</v>
      </c>
      <c r="AL439" s="3464"/>
      <c r="AM439" s="3448"/>
      <c r="AN439" s="3448"/>
      <c r="AO439" s="3448"/>
      <c r="AP439" s="3448"/>
      <c r="AQ439" s="3448"/>
      <c r="AR439" s="3458" t="e">
        <f t="shared" si="128"/>
        <v>#DIV/0!</v>
      </c>
      <c r="AS439" s="3459">
        <f t="shared" si="130"/>
        <v>0</v>
      </c>
    </row>
    <row r="440" spans="1:45" s="1443" customFormat="1" ht="27.95" customHeight="1">
      <c r="A440" s="3274">
        <v>3</v>
      </c>
      <c r="B440" s="2158" t="s">
        <v>2611</v>
      </c>
      <c r="C440" s="2147"/>
      <c r="D440" s="2147"/>
      <c r="E440" s="2147"/>
      <c r="F440" s="2147"/>
      <c r="G440" s="2149"/>
      <c r="H440" s="3274" t="s">
        <v>78</v>
      </c>
      <c r="I440" s="3274"/>
      <c r="J440" s="3290" t="s">
        <v>1375</v>
      </c>
      <c r="K440" s="3290">
        <v>99999</v>
      </c>
      <c r="L440" s="3671" t="s">
        <v>390</v>
      </c>
      <c r="M440" s="3672"/>
      <c r="N440" s="5350"/>
      <c r="O440" s="5350"/>
      <c r="P440" s="3274"/>
      <c r="Q440" s="3274"/>
      <c r="R440" s="3274"/>
      <c r="S440" s="2877" t="s">
        <v>2207</v>
      </c>
      <c r="T440" s="3274"/>
      <c r="U440" s="5350">
        <v>20</v>
      </c>
      <c r="V440" s="5350"/>
      <c r="W440" s="5394" t="s">
        <v>1373</v>
      </c>
      <c r="X440" s="5394"/>
      <c r="Y440" s="3644" t="s">
        <v>767</v>
      </c>
      <c r="Z440" s="3286" t="s">
        <v>228</v>
      </c>
      <c r="AA440" s="5352">
        <f t="shared" si="129"/>
        <v>11</v>
      </c>
      <c r="AB440" s="5352"/>
      <c r="AC440" s="2682">
        <v>4</v>
      </c>
      <c r="AD440" s="3289">
        <v>4</v>
      </c>
      <c r="AE440" s="2628"/>
      <c r="AF440" s="2629">
        <v>3</v>
      </c>
      <c r="AG440" s="2628"/>
      <c r="AH440" s="2629"/>
      <c r="AI440" s="2628"/>
      <c r="AJ440" s="2629"/>
      <c r="AK440" s="2671">
        <f t="shared" si="120"/>
        <v>8</v>
      </c>
      <c r="AL440" s="3464"/>
      <c r="AM440" s="3448"/>
      <c r="AN440" s="3448"/>
      <c r="AO440" s="3448"/>
      <c r="AP440" s="3448"/>
      <c r="AQ440" s="3448"/>
      <c r="AR440" s="3458" t="e">
        <f t="shared" si="128"/>
        <v>#DIV/0!</v>
      </c>
      <c r="AS440" s="3459">
        <f t="shared" si="130"/>
        <v>0</v>
      </c>
    </row>
    <row r="441" spans="1:45" s="1443" customFormat="1" ht="27.95" customHeight="1">
      <c r="A441" s="3274"/>
      <c r="B441" s="2158"/>
      <c r="C441" s="2147"/>
      <c r="D441" s="2147"/>
      <c r="E441" s="2147"/>
      <c r="F441" s="2147"/>
      <c r="G441" s="2149"/>
      <c r="H441" s="3274"/>
      <c r="I441" s="3274"/>
      <c r="J441" s="3290"/>
      <c r="K441" s="3290"/>
      <c r="L441" s="3671"/>
      <c r="M441" s="3672"/>
      <c r="N441" s="5349"/>
      <c r="O441" s="5350"/>
      <c r="P441" s="3274"/>
      <c r="Q441" s="3274"/>
      <c r="R441" s="3274"/>
      <c r="S441" s="2877"/>
      <c r="T441" s="3274"/>
      <c r="U441" s="5350"/>
      <c r="V441" s="5350"/>
      <c r="W441" s="5394"/>
      <c r="X441" s="5394"/>
      <c r="Y441" s="3644" t="s">
        <v>771</v>
      </c>
      <c r="Z441" s="3286" t="s">
        <v>228</v>
      </c>
      <c r="AA441" s="5352">
        <f t="shared" si="129"/>
        <v>13</v>
      </c>
      <c r="AB441" s="5352"/>
      <c r="AC441" s="2682">
        <v>10</v>
      </c>
      <c r="AD441" s="3289">
        <v>3</v>
      </c>
      <c r="AE441" s="2628">
        <v>1</v>
      </c>
      <c r="AF441" s="2629"/>
      <c r="AG441" s="2628">
        <v>1</v>
      </c>
      <c r="AH441" s="2629"/>
      <c r="AI441" s="2628"/>
      <c r="AJ441" s="2629"/>
      <c r="AK441" s="2671">
        <f t="shared" si="120"/>
        <v>13</v>
      </c>
      <c r="AL441" s="3464"/>
      <c r="AM441" s="3448"/>
      <c r="AN441" s="3448"/>
      <c r="AO441" s="3448"/>
      <c r="AP441" s="3448"/>
      <c r="AQ441" s="3448"/>
      <c r="AR441" s="3458" t="e">
        <f t="shared" si="128"/>
        <v>#DIV/0!</v>
      </c>
      <c r="AS441" s="3459">
        <f t="shared" si="130"/>
        <v>0</v>
      </c>
    </row>
    <row r="442" spans="1:45" s="1443" customFormat="1" ht="27.95" customHeight="1">
      <c r="A442" s="3274">
        <v>4</v>
      </c>
      <c r="B442" s="2158" t="s">
        <v>2612</v>
      </c>
      <c r="C442" s="2147"/>
      <c r="D442" s="2147"/>
      <c r="E442" s="2147"/>
      <c r="F442" s="2147"/>
      <c r="G442" s="2149"/>
      <c r="H442" s="3274"/>
      <c r="I442" s="3274" t="s">
        <v>78</v>
      </c>
      <c r="J442" s="3290" t="s">
        <v>1376</v>
      </c>
      <c r="K442" s="3290">
        <v>99999</v>
      </c>
      <c r="L442" s="3671" t="s">
        <v>390</v>
      </c>
      <c r="M442" s="3672"/>
      <c r="N442" s="5350"/>
      <c r="O442" s="5350"/>
      <c r="P442" s="3274"/>
      <c r="Q442" s="3274"/>
      <c r="R442" s="3274"/>
      <c r="S442" s="2877" t="s">
        <v>2208</v>
      </c>
      <c r="T442" s="3274"/>
      <c r="U442" s="5350">
        <v>20</v>
      </c>
      <c r="V442" s="5350"/>
      <c r="W442" s="5394" t="s">
        <v>1373</v>
      </c>
      <c r="X442" s="5394"/>
      <c r="Y442" s="3670" t="s">
        <v>772</v>
      </c>
      <c r="Z442" s="3286" t="s">
        <v>228</v>
      </c>
      <c r="AA442" s="5352">
        <f t="shared" si="129"/>
        <v>19</v>
      </c>
      <c r="AB442" s="5352"/>
      <c r="AC442" s="2682">
        <v>10</v>
      </c>
      <c r="AD442" s="3289">
        <v>7</v>
      </c>
      <c r="AE442" s="2628"/>
      <c r="AF442" s="2629">
        <v>3</v>
      </c>
      <c r="AG442" s="2628"/>
      <c r="AH442" s="2629">
        <v>1</v>
      </c>
      <c r="AI442" s="2628"/>
      <c r="AJ442" s="2629"/>
      <c r="AK442" s="2671">
        <f t="shared" si="120"/>
        <v>17</v>
      </c>
      <c r="AL442" s="3464"/>
      <c r="AM442" s="3448"/>
      <c r="AN442" s="3448"/>
      <c r="AO442" s="3448"/>
      <c r="AP442" s="3448"/>
      <c r="AQ442" s="3448"/>
      <c r="AR442" s="3458" t="e">
        <f t="shared" si="128"/>
        <v>#DIV/0!</v>
      </c>
      <c r="AS442" s="3459">
        <f t="shared" si="130"/>
        <v>0</v>
      </c>
    </row>
    <row r="443" spans="1:45" s="1443" customFormat="1" ht="27.95" customHeight="1">
      <c r="A443" s="3274">
        <v>5</v>
      </c>
      <c r="B443" s="2158" t="s">
        <v>2480</v>
      </c>
      <c r="C443" s="2147"/>
      <c r="D443" s="2147"/>
      <c r="E443" s="2147"/>
      <c r="F443" s="2147"/>
      <c r="G443" s="2149"/>
      <c r="H443" s="3274" t="s">
        <v>78</v>
      </c>
      <c r="I443" s="3274"/>
      <c r="J443" s="3290" t="s">
        <v>2481</v>
      </c>
      <c r="K443" s="3290">
        <v>99999</v>
      </c>
      <c r="L443" s="3671" t="s">
        <v>401</v>
      </c>
      <c r="M443" s="3676"/>
      <c r="N443" s="5354" t="s">
        <v>2482</v>
      </c>
      <c r="O443" s="5355"/>
      <c r="P443" s="3274"/>
      <c r="Q443" s="3274"/>
      <c r="R443" s="3274"/>
      <c r="S443" s="2877" t="s">
        <v>2209</v>
      </c>
      <c r="T443" s="3274"/>
      <c r="U443" s="5419">
        <v>20</v>
      </c>
      <c r="V443" s="5418"/>
      <c r="W443" s="5420" t="s">
        <v>1373</v>
      </c>
      <c r="X443" s="5421"/>
      <c r="Y443" s="3286"/>
      <c r="Z443" s="3286"/>
      <c r="AA443" s="5396">
        <f t="shared" si="129"/>
        <v>0</v>
      </c>
      <c r="AB443" s="5396"/>
      <c r="AC443" s="2682"/>
      <c r="AD443" s="3289"/>
      <c r="AE443" s="2628"/>
      <c r="AF443" s="2629"/>
      <c r="AG443" s="2628"/>
      <c r="AH443" s="2629"/>
      <c r="AI443" s="2628"/>
      <c r="AJ443" s="2629"/>
      <c r="AK443" s="2671">
        <f t="shared" si="120"/>
        <v>0</v>
      </c>
      <c r="AL443" s="3464"/>
      <c r="AM443" s="3448"/>
      <c r="AN443" s="3448"/>
      <c r="AO443" s="3448"/>
      <c r="AP443" s="3448"/>
      <c r="AQ443" s="3448"/>
      <c r="AR443" s="3458" t="e">
        <f t="shared" si="128"/>
        <v>#DIV/0!</v>
      </c>
      <c r="AS443" s="3459">
        <f t="shared" si="130"/>
        <v>0</v>
      </c>
    </row>
    <row r="444" spans="1:45" s="1443" customFormat="1" ht="27.95" customHeight="1">
      <c r="A444" s="3274">
        <v>6</v>
      </c>
      <c r="B444" s="2158" t="s">
        <v>2613</v>
      </c>
      <c r="C444" s="2147"/>
      <c r="D444" s="2147"/>
      <c r="E444" s="2147"/>
      <c r="F444" s="2147"/>
      <c r="G444" s="2149"/>
      <c r="H444" s="3274"/>
      <c r="I444" s="3274" t="s">
        <v>78</v>
      </c>
      <c r="J444" s="3290" t="s">
        <v>1377</v>
      </c>
      <c r="K444" s="3290">
        <v>99999</v>
      </c>
      <c r="L444" s="3671" t="s">
        <v>430</v>
      </c>
      <c r="M444" s="3676"/>
      <c r="N444" s="5419"/>
      <c r="O444" s="5418"/>
      <c r="P444" s="3274"/>
      <c r="Q444" s="3274"/>
      <c r="R444" s="3274"/>
      <c r="S444" s="2877" t="s">
        <v>2210</v>
      </c>
      <c r="T444" s="3274"/>
      <c r="U444" s="5419">
        <v>20</v>
      </c>
      <c r="V444" s="5418"/>
      <c r="W444" s="5420" t="s">
        <v>1373</v>
      </c>
      <c r="X444" s="5421"/>
      <c r="Y444" s="3286"/>
      <c r="Z444" s="3286"/>
      <c r="AA444" s="5396">
        <f t="shared" si="129"/>
        <v>0</v>
      </c>
      <c r="AB444" s="5396"/>
      <c r="AC444" s="2682"/>
      <c r="AD444" s="3289"/>
      <c r="AE444" s="2628"/>
      <c r="AF444" s="2629"/>
      <c r="AG444" s="2628"/>
      <c r="AH444" s="2629"/>
      <c r="AI444" s="2628"/>
      <c r="AJ444" s="2629"/>
      <c r="AK444" s="2671">
        <f t="shared" si="120"/>
        <v>0</v>
      </c>
      <c r="AL444" s="3464"/>
      <c r="AM444" s="3448"/>
      <c r="AN444" s="3448"/>
      <c r="AO444" s="3448"/>
      <c r="AP444" s="3448"/>
      <c r="AQ444" s="3448"/>
      <c r="AR444" s="3458" t="e">
        <f t="shared" si="128"/>
        <v>#DIV/0!</v>
      </c>
      <c r="AS444" s="3459">
        <f t="shared" si="130"/>
        <v>0</v>
      </c>
    </row>
    <row r="445" spans="1:45" s="1444" customFormat="1" ht="27.95" customHeight="1">
      <c r="A445" s="3274">
        <v>7</v>
      </c>
      <c r="B445" s="2158" t="s">
        <v>2614</v>
      </c>
      <c r="C445" s="2147"/>
      <c r="D445" s="2147"/>
      <c r="E445" s="2147"/>
      <c r="F445" s="2147"/>
      <c r="G445" s="2149"/>
      <c r="H445" s="3274"/>
      <c r="I445" s="3274" t="s">
        <v>78</v>
      </c>
      <c r="J445" s="3290" t="s">
        <v>1378</v>
      </c>
      <c r="K445" s="3290">
        <v>99999</v>
      </c>
      <c r="L445" s="3671" t="s">
        <v>430</v>
      </c>
      <c r="M445" s="3676"/>
      <c r="N445" s="5419"/>
      <c r="O445" s="5418"/>
      <c r="P445" s="3274"/>
      <c r="Q445" s="3274"/>
      <c r="R445" s="3274"/>
      <c r="S445" s="2877" t="s">
        <v>2211</v>
      </c>
      <c r="T445" s="3274"/>
      <c r="U445" s="5419">
        <v>20</v>
      </c>
      <c r="V445" s="5418"/>
      <c r="W445" s="5420" t="s">
        <v>1373</v>
      </c>
      <c r="X445" s="5421"/>
      <c r="Y445" s="3286"/>
      <c r="Z445" s="3286"/>
      <c r="AA445" s="5396">
        <f t="shared" si="129"/>
        <v>0</v>
      </c>
      <c r="AB445" s="5396"/>
      <c r="AC445" s="2682"/>
      <c r="AD445" s="3289"/>
      <c r="AE445" s="2628"/>
      <c r="AF445" s="2629"/>
      <c r="AG445" s="2628"/>
      <c r="AH445" s="2629"/>
      <c r="AI445" s="2628"/>
      <c r="AJ445" s="2629"/>
      <c r="AK445" s="2671">
        <f t="shared" si="120"/>
        <v>0</v>
      </c>
      <c r="AL445" s="3464"/>
      <c r="AM445" s="3448"/>
      <c r="AN445" s="3448"/>
      <c r="AO445" s="3448"/>
      <c r="AP445" s="3448"/>
      <c r="AQ445" s="3448"/>
      <c r="AR445" s="3458" t="e">
        <f t="shared" si="128"/>
        <v>#DIV/0!</v>
      </c>
      <c r="AS445" s="3459">
        <f t="shared" si="130"/>
        <v>0</v>
      </c>
    </row>
    <row r="446" spans="1:45" s="1444" customFormat="1" ht="27.95" customHeight="1">
      <c r="A446" s="3274">
        <v>8</v>
      </c>
      <c r="B446" s="2158" t="s">
        <v>2615</v>
      </c>
      <c r="C446" s="2147"/>
      <c r="D446" s="2147"/>
      <c r="E446" s="2147"/>
      <c r="F446" s="2147"/>
      <c r="G446" s="2149"/>
      <c r="H446" s="3274"/>
      <c r="I446" s="3274" t="s">
        <v>78</v>
      </c>
      <c r="J446" s="3290" t="s">
        <v>1379</v>
      </c>
      <c r="K446" s="3290">
        <v>99999</v>
      </c>
      <c r="L446" s="3671" t="s">
        <v>430</v>
      </c>
      <c r="M446" s="3676"/>
      <c r="N446" s="5419"/>
      <c r="O446" s="5418"/>
      <c r="P446" s="3274"/>
      <c r="Q446" s="3274"/>
      <c r="R446" s="3274"/>
      <c r="S446" s="2877" t="s">
        <v>2212</v>
      </c>
      <c r="T446" s="3274"/>
      <c r="U446" s="5419">
        <v>20</v>
      </c>
      <c r="V446" s="5418"/>
      <c r="W446" s="5420" t="s">
        <v>1373</v>
      </c>
      <c r="X446" s="5421"/>
      <c r="Y446" s="3286"/>
      <c r="Z446" s="3286"/>
      <c r="AA446" s="5396">
        <f t="shared" si="129"/>
        <v>0</v>
      </c>
      <c r="AB446" s="5396"/>
      <c r="AC446" s="2682"/>
      <c r="AD446" s="3289"/>
      <c r="AE446" s="2628"/>
      <c r="AF446" s="2629"/>
      <c r="AG446" s="2628"/>
      <c r="AH446" s="2629"/>
      <c r="AI446" s="2628"/>
      <c r="AJ446" s="2629"/>
      <c r="AK446" s="2671">
        <f t="shared" si="120"/>
        <v>0</v>
      </c>
      <c r="AL446" s="3464"/>
      <c r="AM446" s="3448"/>
      <c r="AN446" s="3448"/>
      <c r="AO446" s="3448"/>
      <c r="AP446" s="3448"/>
      <c r="AQ446" s="3448"/>
      <c r="AR446" s="3458" t="e">
        <f t="shared" si="128"/>
        <v>#DIV/0!</v>
      </c>
      <c r="AS446" s="3459">
        <f t="shared" si="130"/>
        <v>0</v>
      </c>
    </row>
    <row r="447" spans="1:45" s="1444" customFormat="1" ht="27.95" customHeight="1">
      <c r="A447" s="3274">
        <v>9</v>
      </c>
      <c r="B447" s="2158" t="s">
        <v>2616</v>
      </c>
      <c r="C447" s="2147"/>
      <c r="D447" s="2147"/>
      <c r="E447" s="2147"/>
      <c r="F447" s="2147"/>
      <c r="G447" s="2149"/>
      <c r="H447" s="3274"/>
      <c r="I447" s="3274"/>
      <c r="J447" s="3290" t="s">
        <v>1380</v>
      </c>
      <c r="K447" s="3290">
        <v>99999</v>
      </c>
      <c r="L447" s="3671" t="s">
        <v>1381</v>
      </c>
      <c r="M447" s="3676"/>
      <c r="N447" s="5419"/>
      <c r="O447" s="5418"/>
      <c r="P447" s="3274"/>
      <c r="Q447" s="3274"/>
      <c r="R447" s="3274"/>
      <c r="S447" s="2877" t="s">
        <v>2213</v>
      </c>
      <c r="T447" s="3274"/>
      <c r="U447" s="5419">
        <v>20</v>
      </c>
      <c r="V447" s="5418"/>
      <c r="W447" s="5420" t="s">
        <v>1373</v>
      </c>
      <c r="X447" s="5421"/>
      <c r="Y447" s="3286"/>
      <c r="Z447" s="3286"/>
      <c r="AA447" s="5396">
        <f t="shared" si="129"/>
        <v>0</v>
      </c>
      <c r="AB447" s="5396"/>
      <c r="AC447" s="2682"/>
      <c r="AD447" s="3289"/>
      <c r="AE447" s="2628"/>
      <c r="AF447" s="2629"/>
      <c r="AG447" s="2628"/>
      <c r="AH447" s="2629"/>
      <c r="AI447" s="2628"/>
      <c r="AJ447" s="2629"/>
      <c r="AK447" s="2671">
        <f t="shared" si="120"/>
        <v>0</v>
      </c>
      <c r="AL447" s="3464"/>
      <c r="AM447" s="3448"/>
      <c r="AN447" s="3448"/>
      <c r="AO447" s="3448"/>
      <c r="AP447" s="3448"/>
      <c r="AQ447" s="3448"/>
      <c r="AR447" s="3458" t="e">
        <f t="shared" si="128"/>
        <v>#DIV/0!</v>
      </c>
      <c r="AS447" s="3459">
        <f t="shared" si="130"/>
        <v>0</v>
      </c>
    </row>
    <row r="448" spans="1:45" s="1444" customFormat="1" ht="27.95" customHeight="1">
      <c r="A448" s="3274">
        <v>10</v>
      </c>
      <c r="B448" s="2158" t="s">
        <v>2617</v>
      </c>
      <c r="C448" s="2147"/>
      <c r="D448" s="2147"/>
      <c r="E448" s="2147"/>
      <c r="F448" s="2147"/>
      <c r="G448" s="2149"/>
      <c r="H448" s="3274"/>
      <c r="I448" s="3274"/>
      <c r="J448" s="3290" t="s">
        <v>1382</v>
      </c>
      <c r="K448" s="3274">
        <v>99999</v>
      </c>
      <c r="L448" s="3671" t="s">
        <v>1649</v>
      </c>
      <c r="M448" s="3676"/>
      <c r="N448" s="5419"/>
      <c r="O448" s="5418"/>
      <c r="P448" s="3274"/>
      <c r="Q448" s="3274"/>
      <c r="R448" s="3274"/>
      <c r="S448" s="2877" t="s">
        <v>2214</v>
      </c>
      <c r="T448" s="3274"/>
      <c r="U448" s="5419">
        <v>20</v>
      </c>
      <c r="V448" s="5418"/>
      <c r="W448" s="5420" t="s">
        <v>1373</v>
      </c>
      <c r="X448" s="5421"/>
      <c r="Y448" s="3286"/>
      <c r="Z448" s="3286"/>
      <c r="AA448" s="5396">
        <f t="shared" si="129"/>
        <v>0</v>
      </c>
      <c r="AB448" s="5396"/>
      <c r="AC448" s="2682"/>
      <c r="AD448" s="3289"/>
      <c r="AE448" s="2628"/>
      <c r="AF448" s="2629"/>
      <c r="AG448" s="2628"/>
      <c r="AH448" s="2629"/>
      <c r="AI448" s="2628"/>
      <c r="AJ448" s="2629"/>
      <c r="AK448" s="2671">
        <f t="shared" si="120"/>
        <v>0</v>
      </c>
      <c r="AL448" s="3464"/>
      <c r="AM448" s="3448"/>
      <c r="AN448" s="3448"/>
      <c r="AO448" s="3448"/>
      <c r="AP448" s="3448"/>
      <c r="AQ448" s="3448"/>
      <c r="AR448" s="3458" t="e">
        <f t="shared" si="128"/>
        <v>#DIV/0!</v>
      </c>
      <c r="AS448" s="3459">
        <f t="shared" si="130"/>
        <v>0</v>
      </c>
    </row>
    <row r="449" spans="1:45" s="1444" customFormat="1" ht="27.95" customHeight="1">
      <c r="A449" s="3274">
        <v>11</v>
      </c>
      <c r="B449" s="2158" t="s">
        <v>2618</v>
      </c>
      <c r="C449" s="2147"/>
      <c r="D449" s="2147"/>
      <c r="E449" s="2147"/>
      <c r="F449" s="2147"/>
      <c r="G449" s="2149"/>
      <c r="H449" s="3274"/>
      <c r="I449" s="3274"/>
      <c r="J449" s="3290" t="s">
        <v>1383</v>
      </c>
      <c r="K449" s="3274">
        <v>99999</v>
      </c>
      <c r="L449" s="3671" t="s">
        <v>426</v>
      </c>
      <c r="M449" s="3676"/>
      <c r="N449" s="5454"/>
      <c r="O449" s="5455"/>
      <c r="P449" s="3274"/>
      <c r="Q449" s="3274"/>
      <c r="R449" s="3274"/>
      <c r="S449" s="2877" t="s">
        <v>2215</v>
      </c>
      <c r="T449" s="3274"/>
      <c r="U449" s="5350">
        <v>20</v>
      </c>
      <c r="V449" s="5350"/>
      <c r="W449" s="5394" t="s">
        <v>1373</v>
      </c>
      <c r="X449" s="5394"/>
      <c r="Y449" s="3286"/>
      <c r="Z449" s="3286"/>
      <c r="AA449" s="5396">
        <f t="shared" si="129"/>
        <v>0</v>
      </c>
      <c r="AB449" s="5396"/>
      <c r="AC449" s="2682"/>
      <c r="AD449" s="3289"/>
      <c r="AE449" s="2628"/>
      <c r="AF449" s="2629"/>
      <c r="AG449" s="2628"/>
      <c r="AH449" s="2629"/>
      <c r="AI449" s="2628"/>
      <c r="AJ449" s="2629"/>
      <c r="AK449" s="2671">
        <f t="shared" si="120"/>
        <v>0</v>
      </c>
      <c r="AL449" s="3464"/>
      <c r="AM449" s="3448"/>
      <c r="AN449" s="3448"/>
      <c r="AO449" s="3448"/>
      <c r="AP449" s="3448"/>
      <c r="AQ449" s="3448"/>
      <c r="AR449" s="3458" t="e">
        <f t="shared" si="128"/>
        <v>#DIV/0!</v>
      </c>
      <c r="AS449" s="3459">
        <f t="shared" si="130"/>
        <v>0</v>
      </c>
    </row>
    <row r="450" spans="1:45" s="1444" customFormat="1" ht="27.95" customHeight="1">
      <c r="A450" s="3274"/>
      <c r="B450" s="2151"/>
      <c r="C450" s="2147"/>
      <c r="D450" s="2147"/>
      <c r="E450" s="2147"/>
      <c r="F450" s="2147"/>
      <c r="G450" s="2149"/>
      <c r="H450" s="3274"/>
      <c r="I450" s="3274"/>
      <c r="J450" s="3274"/>
      <c r="K450" s="3274"/>
      <c r="L450" s="3671"/>
      <c r="M450" s="3672"/>
      <c r="N450" s="5350"/>
      <c r="O450" s="5350"/>
      <c r="P450" s="3274"/>
      <c r="Q450" s="3274"/>
      <c r="R450" s="3274"/>
      <c r="S450" s="2875"/>
      <c r="T450" s="3274"/>
      <c r="U450" s="5350"/>
      <c r="V450" s="5350"/>
      <c r="W450" s="5351"/>
      <c r="X450" s="5351"/>
      <c r="Y450" s="3286"/>
      <c r="Z450" s="3286"/>
      <c r="AA450" s="5396">
        <f t="shared" si="129"/>
        <v>0</v>
      </c>
      <c r="AB450" s="5396"/>
      <c r="AC450" s="2682"/>
      <c r="AD450" s="3289"/>
      <c r="AE450" s="2628"/>
      <c r="AF450" s="2629"/>
      <c r="AG450" s="2628"/>
      <c r="AH450" s="2629"/>
      <c r="AI450" s="2628"/>
      <c r="AJ450" s="2629"/>
      <c r="AK450" s="2671">
        <f t="shared" si="120"/>
        <v>0</v>
      </c>
      <c r="AL450" s="3464"/>
      <c r="AM450" s="3448"/>
      <c r="AN450" s="3448"/>
      <c r="AO450" s="3448"/>
      <c r="AP450" s="3448"/>
      <c r="AQ450" s="3448"/>
      <c r="AR450" s="3458" t="e">
        <f t="shared" si="128"/>
        <v>#DIV/0!</v>
      </c>
      <c r="AS450" s="3459">
        <f t="shared" si="130"/>
        <v>0</v>
      </c>
    </row>
    <row r="451" spans="1:45" s="1444" customFormat="1" ht="27.95" customHeight="1">
      <c r="A451" s="3274"/>
      <c r="B451" s="2151"/>
      <c r="C451" s="2147"/>
      <c r="D451" s="2147"/>
      <c r="E451" s="2147"/>
      <c r="F451" s="2147"/>
      <c r="G451" s="2149"/>
      <c r="H451" s="3274"/>
      <c r="I451" s="3274"/>
      <c r="J451" s="3274"/>
      <c r="K451" s="3274"/>
      <c r="L451" s="3671"/>
      <c r="M451" s="3672"/>
      <c r="N451" s="5350"/>
      <c r="O451" s="5350"/>
      <c r="P451" s="3274"/>
      <c r="Q451" s="3274"/>
      <c r="R451" s="3274"/>
      <c r="S451" s="2875"/>
      <c r="T451" s="3274"/>
      <c r="U451" s="5350"/>
      <c r="V451" s="5350"/>
      <c r="W451" s="5351"/>
      <c r="X451" s="5351"/>
      <c r="Y451" s="3286"/>
      <c r="Z451" s="3286"/>
      <c r="AA451" s="5396">
        <f t="shared" si="129"/>
        <v>0</v>
      </c>
      <c r="AB451" s="5396"/>
      <c r="AC451" s="2682"/>
      <c r="AD451" s="3289"/>
      <c r="AE451" s="2628"/>
      <c r="AF451" s="2629"/>
      <c r="AG451" s="2628"/>
      <c r="AH451" s="2629"/>
      <c r="AI451" s="2628"/>
      <c r="AJ451" s="2629"/>
      <c r="AK451" s="2671">
        <f t="shared" si="120"/>
        <v>0</v>
      </c>
      <c r="AL451" s="3464"/>
      <c r="AM451" s="3448"/>
      <c r="AN451" s="3448"/>
      <c r="AO451" s="3448"/>
      <c r="AP451" s="3448"/>
      <c r="AQ451" s="3448"/>
      <c r="AR451" s="3458" t="e">
        <f t="shared" ref="AR451:AR463" si="131">SUM(AM451:AQ451)/AS451</f>
        <v>#DIV/0!</v>
      </c>
      <c r="AS451" s="3459">
        <f t="shared" si="130"/>
        <v>0</v>
      </c>
    </row>
    <row r="452" spans="1:45" s="1444" customFormat="1" ht="27.95" customHeight="1">
      <c r="A452" s="3274"/>
      <c r="B452" s="2151"/>
      <c r="C452" s="2147"/>
      <c r="D452" s="2147"/>
      <c r="E452" s="2147"/>
      <c r="F452" s="2147"/>
      <c r="G452" s="2149"/>
      <c r="H452" s="3274"/>
      <c r="I452" s="3274"/>
      <c r="J452" s="3274"/>
      <c r="K452" s="3274"/>
      <c r="L452" s="3671"/>
      <c r="M452" s="3672"/>
      <c r="N452" s="5350"/>
      <c r="O452" s="5350"/>
      <c r="P452" s="3274"/>
      <c r="Q452" s="3274"/>
      <c r="R452" s="3274"/>
      <c r="S452" s="2875"/>
      <c r="T452" s="3274"/>
      <c r="U452" s="5350"/>
      <c r="V452" s="5350"/>
      <c r="W452" s="5351"/>
      <c r="X452" s="5351"/>
      <c r="Y452" s="3286"/>
      <c r="Z452" s="3286"/>
      <c r="AA452" s="5396">
        <f t="shared" si="129"/>
        <v>0</v>
      </c>
      <c r="AB452" s="5396"/>
      <c r="AC452" s="2682"/>
      <c r="AD452" s="3289"/>
      <c r="AE452" s="2628"/>
      <c r="AF452" s="2629"/>
      <c r="AG452" s="2628"/>
      <c r="AH452" s="2629"/>
      <c r="AI452" s="2628"/>
      <c r="AJ452" s="2629"/>
      <c r="AK452" s="2671">
        <f t="shared" si="120"/>
        <v>0</v>
      </c>
      <c r="AL452" s="3464"/>
      <c r="AM452" s="3448"/>
      <c r="AN452" s="3448"/>
      <c r="AO452" s="3448"/>
      <c r="AP452" s="3448"/>
      <c r="AQ452" s="3448"/>
      <c r="AR452" s="3458" t="e">
        <f t="shared" si="131"/>
        <v>#DIV/0!</v>
      </c>
      <c r="AS452" s="3459">
        <f t="shared" si="130"/>
        <v>0</v>
      </c>
    </row>
    <row r="453" spans="1:45" s="1444" customFormat="1" ht="27.95" customHeight="1">
      <c r="A453" s="3274"/>
      <c r="B453" s="2151"/>
      <c r="C453" s="2147"/>
      <c r="D453" s="2147"/>
      <c r="E453" s="2147"/>
      <c r="F453" s="2147"/>
      <c r="G453" s="2149"/>
      <c r="H453" s="3274"/>
      <c r="I453" s="3274"/>
      <c r="J453" s="3274"/>
      <c r="K453" s="3274"/>
      <c r="L453" s="3671"/>
      <c r="M453" s="3672"/>
      <c r="N453" s="5349"/>
      <c r="O453" s="5350"/>
      <c r="P453" s="3274"/>
      <c r="Q453" s="3274"/>
      <c r="R453" s="3274"/>
      <c r="S453" s="2875"/>
      <c r="T453" s="3274"/>
      <c r="U453" s="5350"/>
      <c r="V453" s="5350"/>
      <c r="W453" s="5351"/>
      <c r="X453" s="5351"/>
      <c r="Y453" s="3286"/>
      <c r="Z453" s="3286"/>
      <c r="AA453" s="5396">
        <f t="shared" si="129"/>
        <v>0</v>
      </c>
      <c r="AB453" s="5396"/>
      <c r="AC453" s="2682"/>
      <c r="AD453" s="3289"/>
      <c r="AE453" s="2628"/>
      <c r="AF453" s="2629"/>
      <c r="AG453" s="2628"/>
      <c r="AH453" s="2629"/>
      <c r="AI453" s="2628"/>
      <c r="AJ453" s="2629"/>
      <c r="AK453" s="2671">
        <f t="shared" si="120"/>
        <v>0</v>
      </c>
      <c r="AL453" s="3464"/>
      <c r="AM453" s="3448"/>
      <c r="AN453" s="3448"/>
      <c r="AO453" s="3448"/>
      <c r="AP453" s="3448"/>
      <c r="AQ453" s="3448"/>
      <c r="AR453" s="3458" t="e">
        <f t="shared" si="131"/>
        <v>#DIV/0!</v>
      </c>
      <c r="AS453" s="3459">
        <f t="shared" si="130"/>
        <v>0</v>
      </c>
    </row>
    <row r="454" spans="1:45" s="1444" customFormat="1" ht="27.95" customHeight="1">
      <c r="A454" s="3274"/>
      <c r="B454" s="2151"/>
      <c r="C454" s="2147"/>
      <c r="D454" s="2147"/>
      <c r="E454" s="2147"/>
      <c r="F454" s="2147"/>
      <c r="G454" s="2149"/>
      <c r="H454" s="3274"/>
      <c r="I454" s="3274"/>
      <c r="J454" s="3274"/>
      <c r="K454" s="3274"/>
      <c r="L454" s="3673"/>
      <c r="M454" s="3672"/>
      <c r="N454" s="5350"/>
      <c r="O454" s="5350"/>
      <c r="P454" s="3274"/>
      <c r="Q454" s="3274"/>
      <c r="R454" s="3274"/>
      <c r="S454" s="2875"/>
      <c r="T454" s="3274"/>
      <c r="U454" s="5350"/>
      <c r="V454" s="5350"/>
      <c r="W454" s="5351"/>
      <c r="X454" s="5351"/>
      <c r="Y454" s="3286"/>
      <c r="Z454" s="3286"/>
      <c r="AA454" s="5396">
        <f t="shared" si="129"/>
        <v>0</v>
      </c>
      <c r="AB454" s="5396"/>
      <c r="AC454" s="2682"/>
      <c r="AD454" s="3289"/>
      <c r="AE454" s="2628"/>
      <c r="AF454" s="2629"/>
      <c r="AG454" s="2628"/>
      <c r="AH454" s="2629"/>
      <c r="AI454" s="2628"/>
      <c r="AJ454" s="2629"/>
      <c r="AK454" s="2671">
        <f t="shared" si="120"/>
        <v>0</v>
      </c>
      <c r="AL454" s="3464"/>
      <c r="AM454" s="3448"/>
      <c r="AN454" s="3448"/>
      <c r="AO454" s="3448"/>
      <c r="AP454" s="3448"/>
      <c r="AQ454" s="3448"/>
      <c r="AR454" s="3458" t="e">
        <f t="shared" si="131"/>
        <v>#DIV/0!</v>
      </c>
      <c r="AS454" s="3459">
        <f t="shared" si="130"/>
        <v>0</v>
      </c>
    </row>
    <row r="455" spans="1:45" s="1444" customFormat="1" ht="27.95" customHeight="1">
      <c r="A455" s="3274"/>
      <c r="B455" s="2151"/>
      <c r="C455" s="2147"/>
      <c r="D455" s="2147"/>
      <c r="E455" s="2147"/>
      <c r="F455" s="2147"/>
      <c r="G455" s="2149"/>
      <c r="H455" s="3274"/>
      <c r="I455" s="3274"/>
      <c r="J455" s="3274"/>
      <c r="K455" s="3274"/>
      <c r="L455" s="3673"/>
      <c r="M455" s="3672"/>
      <c r="N455" s="5350"/>
      <c r="O455" s="5350"/>
      <c r="P455" s="3274"/>
      <c r="Q455" s="3274"/>
      <c r="R455" s="3274"/>
      <c r="S455" s="2875"/>
      <c r="T455" s="3274"/>
      <c r="U455" s="5350"/>
      <c r="V455" s="5350"/>
      <c r="W455" s="5351"/>
      <c r="X455" s="5351"/>
      <c r="Y455" s="3286"/>
      <c r="Z455" s="3286"/>
      <c r="AA455" s="5396">
        <f t="shared" si="129"/>
        <v>0</v>
      </c>
      <c r="AB455" s="5396"/>
      <c r="AC455" s="2682"/>
      <c r="AD455" s="3289"/>
      <c r="AE455" s="2628"/>
      <c r="AF455" s="2629"/>
      <c r="AG455" s="2628"/>
      <c r="AH455" s="2629"/>
      <c r="AI455" s="2628"/>
      <c r="AJ455" s="2629"/>
      <c r="AK455" s="2671">
        <f t="shared" si="120"/>
        <v>0</v>
      </c>
      <c r="AL455" s="3464"/>
      <c r="AM455" s="3448"/>
      <c r="AN455" s="3448"/>
      <c r="AO455" s="3448"/>
      <c r="AP455" s="3448"/>
      <c r="AQ455" s="3448"/>
      <c r="AR455" s="3458" t="e">
        <f t="shared" si="131"/>
        <v>#DIV/0!</v>
      </c>
      <c r="AS455" s="3459">
        <f t="shared" si="130"/>
        <v>0</v>
      </c>
    </row>
    <row r="456" spans="1:45" s="1444" customFormat="1" ht="27.95" customHeight="1">
      <c r="A456" s="3274"/>
      <c r="B456" s="2151"/>
      <c r="C456" s="2147"/>
      <c r="D456" s="2147"/>
      <c r="E456" s="2147"/>
      <c r="F456" s="2147"/>
      <c r="G456" s="2149"/>
      <c r="H456" s="3274"/>
      <c r="I456" s="3274"/>
      <c r="J456" s="3290"/>
      <c r="K456" s="3290"/>
      <c r="L456" s="3671"/>
      <c r="M456" s="3672"/>
      <c r="N456" s="5349"/>
      <c r="O456" s="5350"/>
      <c r="P456" s="3274"/>
      <c r="Q456" s="3274"/>
      <c r="R456" s="3274"/>
      <c r="S456" s="2877"/>
      <c r="T456" s="3274"/>
      <c r="U456" s="5350"/>
      <c r="V456" s="5350"/>
      <c r="W456" s="5351"/>
      <c r="X456" s="5351"/>
      <c r="Y456" s="3286"/>
      <c r="Z456" s="3286"/>
      <c r="AA456" s="5396">
        <f t="shared" si="129"/>
        <v>0</v>
      </c>
      <c r="AB456" s="5396"/>
      <c r="AC456" s="2682"/>
      <c r="AD456" s="3289"/>
      <c r="AE456" s="2628"/>
      <c r="AF456" s="2629"/>
      <c r="AG456" s="2628"/>
      <c r="AH456" s="2629"/>
      <c r="AI456" s="2628"/>
      <c r="AJ456" s="2629"/>
      <c r="AK456" s="2671">
        <f t="shared" si="120"/>
        <v>0</v>
      </c>
      <c r="AL456" s="3464"/>
      <c r="AM456" s="3448"/>
      <c r="AN456" s="3448"/>
      <c r="AO456" s="3448"/>
      <c r="AP456" s="3448"/>
      <c r="AQ456" s="3448"/>
      <c r="AR456" s="3458" t="e">
        <f t="shared" si="131"/>
        <v>#DIV/0!</v>
      </c>
      <c r="AS456" s="3459">
        <f t="shared" si="130"/>
        <v>0</v>
      </c>
    </row>
    <row r="457" spans="1:45" s="1444" customFormat="1" ht="27.95" customHeight="1">
      <c r="A457" s="3274"/>
      <c r="B457" s="2151"/>
      <c r="C457" s="2147"/>
      <c r="D457" s="2147"/>
      <c r="E457" s="2147"/>
      <c r="F457" s="2147"/>
      <c r="G457" s="2149"/>
      <c r="H457" s="3274"/>
      <c r="I457" s="3274"/>
      <c r="J457" s="3290"/>
      <c r="K457" s="3290"/>
      <c r="L457" s="3671"/>
      <c r="M457" s="3672"/>
      <c r="N457" s="5349"/>
      <c r="O457" s="5350"/>
      <c r="P457" s="3274"/>
      <c r="Q457" s="3274"/>
      <c r="R457" s="3274"/>
      <c r="S457" s="2877"/>
      <c r="T457" s="3274"/>
      <c r="U457" s="5350"/>
      <c r="V457" s="5350"/>
      <c r="W457" s="5351"/>
      <c r="X457" s="5351"/>
      <c r="Y457" s="3286"/>
      <c r="Z457" s="3286"/>
      <c r="AA457" s="5396">
        <f t="shared" si="129"/>
        <v>0</v>
      </c>
      <c r="AB457" s="5396"/>
      <c r="AC457" s="2682"/>
      <c r="AD457" s="3289"/>
      <c r="AE457" s="2628"/>
      <c r="AF457" s="2629"/>
      <c r="AG457" s="2628"/>
      <c r="AH457" s="2629"/>
      <c r="AI457" s="2628"/>
      <c r="AJ457" s="2629"/>
      <c r="AK457" s="2671">
        <f t="shared" si="120"/>
        <v>0</v>
      </c>
      <c r="AL457" s="3464"/>
      <c r="AM457" s="3448"/>
      <c r="AN457" s="3448"/>
      <c r="AO457" s="3448"/>
      <c r="AP457" s="3448"/>
      <c r="AQ457" s="3448"/>
      <c r="AR457" s="3458" t="e">
        <f t="shared" si="131"/>
        <v>#DIV/0!</v>
      </c>
      <c r="AS457" s="3459">
        <f t="shared" si="130"/>
        <v>0</v>
      </c>
    </row>
    <row r="458" spans="1:45" s="1444" customFormat="1" ht="27.95" customHeight="1">
      <c r="A458" s="3274"/>
      <c r="B458" s="2151"/>
      <c r="C458" s="2147"/>
      <c r="D458" s="2147"/>
      <c r="E458" s="2147"/>
      <c r="F458" s="2147"/>
      <c r="G458" s="2149"/>
      <c r="H458" s="3274"/>
      <c r="I458" s="3274"/>
      <c r="J458" s="3274"/>
      <c r="K458" s="3274"/>
      <c r="L458" s="3673"/>
      <c r="M458" s="3672"/>
      <c r="N458" s="5350"/>
      <c r="O458" s="5350"/>
      <c r="P458" s="3274"/>
      <c r="Q458" s="3274"/>
      <c r="R458" s="3274"/>
      <c r="S458" s="2875"/>
      <c r="T458" s="3274"/>
      <c r="U458" s="5350"/>
      <c r="V458" s="5350"/>
      <c r="W458" s="5351"/>
      <c r="X458" s="5351"/>
      <c r="Y458" s="3286"/>
      <c r="Z458" s="3286"/>
      <c r="AA458" s="5396">
        <f t="shared" si="129"/>
        <v>0</v>
      </c>
      <c r="AB458" s="5396"/>
      <c r="AC458" s="2682"/>
      <c r="AD458" s="3289"/>
      <c r="AE458" s="2628"/>
      <c r="AF458" s="2629"/>
      <c r="AG458" s="2628"/>
      <c r="AH458" s="2629"/>
      <c r="AI458" s="2628"/>
      <c r="AJ458" s="2629"/>
      <c r="AK458" s="2671">
        <f t="shared" si="120"/>
        <v>0</v>
      </c>
      <c r="AL458" s="3464"/>
      <c r="AM458" s="3448"/>
      <c r="AN458" s="3448"/>
      <c r="AO458" s="3448"/>
      <c r="AP458" s="3448"/>
      <c r="AQ458" s="3448"/>
      <c r="AR458" s="3458" t="e">
        <f t="shared" si="131"/>
        <v>#DIV/0!</v>
      </c>
      <c r="AS458" s="3459">
        <f t="shared" si="130"/>
        <v>0</v>
      </c>
    </row>
    <row r="459" spans="1:45" s="1444" customFormat="1" ht="27.95" customHeight="1">
      <c r="A459" s="3274"/>
      <c r="B459" s="2151"/>
      <c r="C459" s="2147"/>
      <c r="D459" s="2147"/>
      <c r="E459" s="2147"/>
      <c r="F459" s="2147"/>
      <c r="G459" s="2149"/>
      <c r="H459" s="3274"/>
      <c r="I459" s="3274"/>
      <c r="J459" s="3274"/>
      <c r="K459" s="3274"/>
      <c r="L459" s="3673"/>
      <c r="M459" s="3672"/>
      <c r="N459" s="5350"/>
      <c r="O459" s="5350"/>
      <c r="P459" s="3274"/>
      <c r="Q459" s="3274"/>
      <c r="R459" s="3274"/>
      <c r="S459" s="2875"/>
      <c r="T459" s="3274"/>
      <c r="U459" s="5350"/>
      <c r="V459" s="5350"/>
      <c r="W459" s="5351"/>
      <c r="X459" s="5351"/>
      <c r="Y459" s="3286"/>
      <c r="Z459" s="3286"/>
      <c r="AA459" s="5396">
        <f t="shared" si="129"/>
        <v>0</v>
      </c>
      <c r="AB459" s="5396"/>
      <c r="AC459" s="2682"/>
      <c r="AD459" s="3289"/>
      <c r="AE459" s="2628"/>
      <c r="AF459" s="2629"/>
      <c r="AG459" s="2628"/>
      <c r="AH459" s="2629"/>
      <c r="AI459" s="2628"/>
      <c r="AJ459" s="2629"/>
      <c r="AK459" s="2671">
        <f t="shared" si="120"/>
        <v>0</v>
      </c>
      <c r="AL459" s="3464"/>
      <c r="AM459" s="3448"/>
      <c r="AN459" s="3448"/>
      <c r="AO459" s="3448"/>
      <c r="AP459" s="3448"/>
      <c r="AQ459" s="3448"/>
      <c r="AR459" s="3458" t="e">
        <f t="shared" si="131"/>
        <v>#DIV/0!</v>
      </c>
      <c r="AS459" s="3459">
        <f t="shared" si="130"/>
        <v>0</v>
      </c>
    </row>
    <row r="460" spans="1:45" s="1444" customFormat="1" ht="27.95" customHeight="1">
      <c r="A460" s="3274"/>
      <c r="B460" s="2151"/>
      <c r="C460" s="2147"/>
      <c r="D460" s="2147"/>
      <c r="E460" s="2147"/>
      <c r="F460" s="2147"/>
      <c r="G460" s="2149"/>
      <c r="H460" s="3274"/>
      <c r="I460" s="3274"/>
      <c r="J460" s="3274"/>
      <c r="K460" s="3274"/>
      <c r="L460" s="3673"/>
      <c r="M460" s="3672"/>
      <c r="N460" s="5419"/>
      <c r="O460" s="5418"/>
      <c r="P460" s="3274"/>
      <c r="Q460" s="3274"/>
      <c r="R460" s="3274"/>
      <c r="S460" s="2875"/>
      <c r="T460" s="3274"/>
      <c r="U460" s="5419"/>
      <c r="V460" s="5418"/>
      <c r="W460" s="5420"/>
      <c r="X460" s="5421"/>
      <c r="Y460" s="3286"/>
      <c r="Z460" s="3286"/>
      <c r="AA460" s="5396">
        <f t="shared" si="129"/>
        <v>0</v>
      </c>
      <c r="AB460" s="5396"/>
      <c r="AC460" s="2682"/>
      <c r="AD460" s="3289"/>
      <c r="AE460" s="2628"/>
      <c r="AF460" s="2629"/>
      <c r="AG460" s="2628"/>
      <c r="AH460" s="2629"/>
      <c r="AI460" s="2628"/>
      <c r="AJ460" s="2629"/>
      <c r="AK460" s="2671">
        <f t="shared" si="120"/>
        <v>0</v>
      </c>
      <c r="AL460" s="3464"/>
      <c r="AM460" s="3448"/>
      <c r="AN460" s="3448"/>
      <c r="AO460" s="3448"/>
      <c r="AP460" s="3448"/>
      <c r="AQ460" s="3448"/>
      <c r="AR460" s="3458" t="e">
        <f t="shared" si="131"/>
        <v>#DIV/0!</v>
      </c>
      <c r="AS460" s="3459">
        <f t="shared" si="130"/>
        <v>0</v>
      </c>
    </row>
    <row r="461" spans="1:45" s="1444" customFormat="1" ht="27.95" customHeight="1">
      <c r="A461" s="3274"/>
      <c r="B461" s="2151"/>
      <c r="C461" s="2147"/>
      <c r="D461" s="2147"/>
      <c r="E461" s="2147"/>
      <c r="F461" s="2147"/>
      <c r="G461" s="2149"/>
      <c r="H461" s="3274"/>
      <c r="I461" s="3274"/>
      <c r="J461" s="3290"/>
      <c r="K461" s="3290"/>
      <c r="L461" s="3671"/>
      <c r="M461" s="3672"/>
      <c r="N461" s="5350"/>
      <c r="O461" s="5350"/>
      <c r="P461" s="3274"/>
      <c r="Q461" s="3274"/>
      <c r="R461" s="3274"/>
      <c r="S461" s="2877" t="s">
        <v>2204</v>
      </c>
      <c r="T461" s="3274"/>
      <c r="U461" s="5350"/>
      <c r="V461" s="5350"/>
      <c r="W461" s="5394"/>
      <c r="X461" s="5394"/>
      <c r="Y461" s="3286"/>
      <c r="Z461" s="3286"/>
      <c r="AA461" s="5396">
        <f t="shared" si="129"/>
        <v>0</v>
      </c>
      <c r="AB461" s="5396"/>
      <c r="AC461" s="2682"/>
      <c r="AD461" s="3289"/>
      <c r="AE461" s="2628"/>
      <c r="AF461" s="2629"/>
      <c r="AG461" s="2628"/>
      <c r="AH461" s="2629"/>
      <c r="AI461" s="2628"/>
      <c r="AJ461" s="2629"/>
      <c r="AK461" s="2671">
        <f t="shared" si="120"/>
        <v>0</v>
      </c>
      <c r="AL461" s="3464"/>
      <c r="AM461" s="3448"/>
      <c r="AN461" s="3448"/>
      <c r="AO461" s="3448"/>
      <c r="AP461" s="3448"/>
      <c r="AQ461" s="3448"/>
      <c r="AR461" s="3458" t="e">
        <f t="shared" si="131"/>
        <v>#DIV/0!</v>
      </c>
      <c r="AS461" s="3459">
        <f t="shared" si="130"/>
        <v>0</v>
      </c>
    </row>
    <row r="462" spans="1:45" s="1444" customFormat="1" ht="27.95" customHeight="1">
      <c r="A462" s="3274"/>
      <c r="B462" s="2151"/>
      <c r="C462" s="2147"/>
      <c r="D462" s="2147"/>
      <c r="E462" s="2147"/>
      <c r="F462" s="2147"/>
      <c r="G462" s="2149"/>
      <c r="H462" s="3274"/>
      <c r="I462" s="3274"/>
      <c r="J462" s="3274"/>
      <c r="K462" s="3274"/>
      <c r="L462" s="3673"/>
      <c r="M462" s="3672"/>
      <c r="N462" s="5350"/>
      <c r="O462" s="5350"/>
      <c r="P462" s="3274"/>
      <c r="Q462" s="3274"/>
      <c r="R462" s="3274"/>
      <c r="S462" s="2875"/>
      <c r="T462" s="3274"/>
      <c r="U462" s="5350"/>
      <c r="V462" s="5350"/>
      <c r="W462" s="5351"/>
      <c r="X462" s="5351"/>
      <c r="Y462" s="3286"/>
      <c r="Z462" s="3286"/>
      <c r="AA462" s="5396">
        <f t="shared" si="129"/>
        <v>0</v>
      </c>
      <c r="AB462" s="5396"/>
      <c r="AC462" s="2682"/>
      <c r="AD462" s="3289"/>
      <c r="AE462" s="2628"/>
      <c r="AF462" s="2629"/>
      <c r="AG462" s="2628"/>
      <c r="AH462" s="2629"/>
      <c r="AI462" s="2628"/>
      <c r="AJ462" s="2629"/>
      <c r="AK462" s="2672">
        <f t="shared" si="120"/>
        <v>0</v>
      </c>
      <c r="AL462" s="3464"/>
      <c r="AM462" s="3448"/>
      <c r="AN462" s="3448"/>
      <c r="AO462" s="3448"/>
      <c r="AP462" s="3448"/>
      <c r="AQ462" s="3448"/>
      <c r="AR462" s="3458" t="e">
        <f t="shared" si="131"/>
        <v>#DIV/0!</v>
      </c>
      <c r="AS462" s="3459">
        <f t="shared" si="130"/>
        <v>0</v>
      </c>
    </row>
    <row r="463" spans="1:45" s="1444" customFormat="1" ht="27.95" customHeight="1">
      <c r="A463" s="3273">
        <f>COUNTA(B437:G462)</f>
        <v>11</v>
      </c>
      <c r="B463" s="2961" t="str">
        <f>'[1]0099M'!$S$3</f>
        <v>manantialcedu@hotmail.com</v>
      </c>
      <c r="C463" s="2962"/>
      <c r="D463" s="2963"/>
      <c r="E463" s="2964" t="str">
        <f>'[4]0099M'!$C$8</f>
        <v>AV. KABAH L. 7 MZ. 3 SMZ. 43</v>
      </c>
      <c r="F463" s="2962"/>
      <c r="G463" s="2965"/>
      <c r="H463" s="3273">
        <f>COUNTIF(H438:H442,"X")</f>
        <v>1</v>
      </c>
      <c r="I463" s="3273">
        <f>COUNTIF(I438:I442,"X")</f>
        <v>2</v>
      </c>
      <c r="J463" s="2966">
        <f>COUNTIF(L437:M462,"docente")</f>
        <v>3</v>
      </c>
      <c r="K463" s="2967">
        <f>COUNTIF(L437:M462,"intendente")</f>
        <v>1</v>
      </c>
      <c r="L463" s="1665">
        <f>COUNTA(N437:O462)</f>
        <v>1</v>
      </c>
      <c r="M463" s="2968">
        <f>COUNTIF(Y437:Y462,"1º")</f>
        <v>1</v>
      </c>
      <c r="N463" s="3278">
        <f>COUNTIF(Y437:Y462,"2º")</f>
        <v>1</v>
      </c>
      <c r="O463" s="3278">
        <f>COUNTIF(Y437:Y462,"3º")</f>
        <v>1</v>
      </c>
      <c r="P463" s="3278">
        <f>COUNTIF(Y437:Y462,"4º")</f>
        <v>1</v>
      </c>
      <c r="Q463" s="3278">
        <f>COUNTIF(Y437:Y462,"5º")</f>
        <v>1</v>
      </c>
      <c r="R463" s="3278">
        <f>COUNTIF(Y437:Y462,"6º")</f>
        <v>1</v>
      </c>
      <c r="S463" s="2968">
        <f>SUM(M463:R463)</f>
        <v>6</v>
      </c>
      <c r="T463" s="3273">
        <f>COUNTA(T437:T462)</f>
        <v>0</v>
      </c>
      <c r="U463" s="2968">
        <f>COUNTIF(U437:V462,"10")</f>
        <v>0</v>
      </c>
      <c r="V463" s="2969">
        <f>COUNTIF(U437:V462,"20")</f>
        <v>11</v>
      </c>
      <c r="W463" s="5409" t="s">
        <v>1232</v>
      </c>
      <c r="X463" s="5409"/>
      <c r="Y463" s="5409"/>
      <c r="Z463" s="3286">
        <f>COUNTA(Z437:Z462)</f>
        <v>6</v>
      </c>
      <c r="AA463" s="5411">
        <f>SUM(AA437:AB462)</f>
        <v>83</v>
      </c>
      <c r="AB463" s="5411"/>
      <c r="AC463" s="2687">
        <f t="shared" ref="AC463:AJ463" si="132">SUM(AC437:AC462)</f>
        <v>42</v>
      </c>
      <c r="AD463" s="2688">
        <f t="shared" si="132"/>
        <v>31</v>
      </c>
      <c r="AE463" s="2630">
        <f t="shared" si="132"/>
        <v>4</v>
      </c>
      <c r="AF463" s="2631">
        <f t="shared" si="132"/>
        <v>11</v>
      </c>
      <c r="AG463" s="2632">
        <f t="shared" si="132"/>
        <v>2</v>
      </c>
      <c r="AH463" s="2633">
        <f t="shared" si="132"/>
        <v>3</v>
      </c>
      <c r="AI463" s="2634">
        <f t="shared" si="132"/>
        <v>0</v>
      </c>
      <c r="AJ463" s="2635">
        <f t="shared" si="132"/>
        <v>0</v>
      </c>
      <c r="AK463" s="317">
        <f t="shared" si="120"/>
        <v>73</v>
      </c>
      <c r="AL463" s="3461" t="e">
        <f>SUM(AL437:AL462)/AL464</f>
        <v>#DIV/0!</v>
      </c>
      <c r="AM463" s="3465" t="e">
        <f t="shared" ref="AM463" si="133">SUM(AM437:AM462)/AM464</f>
        <v>#DIV/0!</v>
      </c>
      <c r="AN463" s="3460" t="e">
        <f t="shared" ref="AN463" si="134">SUM(AN437:AN462)/AN464</f>
        <v>#DIV/0!</v>
      </c>
      <c r="AO463" s="3460" t="e">
        <f t="shared" ref="AO463" si="135">SUM(AO437:AO462)/AO464</f>
        <v>#DIV/0!</v>
      </c>
      <c r="AP463" s="3460" t="e">
        <f t="shared" ref="AP463" si="136">SUM(AP437:AP462)/AP464</f>
        <v>#DIV/0!</v>
      </c>
      <c r="AQ463" s="3460" t="e">
        <f>SUM(AQ437:AQ462)/AQ464</f>
        <v>#DIV/0!</v>
      </c>
      <c r="AR463" s="3461" t="e">
        <f t="shared" si="131"/>
        <v>#DIV/0!</v>
      </c>
      <c r="AS463" s="3459">
        <f t="shared" si="130"/>
        <v>5</v>
      </c>
    </row>
    <row r="464" spans="1:45" s="1446" customFormat="1" ht="27.95" customHeight="1">
      <c r="A464" s="3690" t="s">
        <v>228</v>
      </c>
      <c r="B464" s="3691">
        <f>SUM(Estadisticas!AM36:AN36)</f>
        <v>1</v>
      </c>
      <c r="C464" s="3691">
        <f>SUM(Estadisticas!AO36:AP36)</f>
        <v>4</v>
      </c>
      <c r="D464" s="3691">
        <f>SUM(Estadisticas!AQ36:AR36)</f>
        <v>3</v>
      </c>
      <c r="E464" s="3691">
        <f>SUM(Estadisticas!AS36:AT36)</f>
        <v>1</v>
      </c>
      <c r="F464" s="3691">
        <f>SUM(Estadisticas!AU36:AV36)</f>
        <v>3</v>
      </c>
      <c r="G464" s="3691">
        <f>SUM(Estadisticas!AW36:AX36)</f>
        <v>3</v>
      </c>
      <c r="H464" s="5412">
        <f>SUM(B464:G464)</f>
        <v>15</v>
      </c>
      <c r="I464" s="5412"/>
      <c r="J464" s="3705"/>
      <c r="K464" s="3705"/>
      <c r="L464" s="3692" t="s">
        <v>1126</v>
      </c>
      <c r="M464" s="3690">
        <f>SUM(AK438)</f>
        <v>9</v>
      </c>
      <c r="N464" s="3690">
        <f>SUM(AK439)</f>
        <v>13</v>
      </c>
      <c r="O464" s="3690">
        <f>SUM(AK440)</f>
        <v>8</v>
      </c>
      <c r="P464" s="3690">
        <f>SUM(AK441)</f>
        <v>13</v>
      </c>
      <c r="Q464" s="3690">
        <f>SUM(AK442)</f>
        <v>17</v>
      </c>
      <c r="R464" s="3690">
        <f>SUM(AK437)</f>
        <v>13</v>
      </c>
      <c r="S464" s="3690">
        <f>SUM(M464:R464)</f>
        <v>73</v>
      </c>
      <c r="T464" s="3705">
        <f>'[1]0099M'!$V$23</f>
        <v>0</v>
      </c>
      <c r="U464" s="3705"/>
      <c r="V464" s="3705"/>
      <c r="W464" s="3705"/>
      <c r="X464" s="3705"/>
      <c r="Y464" s="3695">
        <f>COUNTA(Y437:Y462)</f>
        <v>6</v>
      </c>
      <c r="Z464" s="3705"/>
      <c r="AA464" s="5445">
        <f>'[1]0099M'!$X$35</f>
        <v>83</v>
      </c>
      <c r="AB464" s="5445"/>
      <c r="AC464" s="5334">
        <f>AC463+AD463</f>
        <v>73</v>
      </c>
      <c r="AD464" s="5334"/>
      <c r="AE464" s="5335">
        <f>AE463+AF463</f>
        <v>15</v>
      </c>
      <c r="AF464" s="5335"/>
      <c r="AG464" s="5335">
        <f>AG463+AH463</f>
        <v>5</v>
      </c>
      <c r="AH464" s="5335"/>
      <c r="AI464" s="2636"/>
      <c r="AJ464" s="2636"/>
      <c r="AK464" s="2636">
        <f>SUM(AC464:AD464)+AE464</f>
        <v>88</v>
      </c>
      <c r="AL464" s="3462">
        <f>COUNTA(AL437:AL462)</f>
        <v>0</v>
      </c>
      <c r="AM464" s="3462">
        <f t="shared" ref="AM464:AQ464" si="137">COUNTA(AM437:AM462)</f>
        <v>0</v>
      </c>
      <c r="AN464" s="3462">
        <f t="shared" si="137"/>
        <v>0</v>
      </c>
      <c r="AO464" s="3462">
        <f t="shared" si="137"/>
        <v>0</v>
      </c>
      <c r="AP464" s="3462">
        <f t="shared" si="137"/>
        <v>0</v>
      </c>
      <c r="AQ464" s="3462">
        <f t="shared" si="137"/>
        <v>0</v>
      </c>
      <c r="AR464" s="3462">
        <v>12</v>
      </c>
    </row>
    <row r="465" spans="1:45" s="1446" customFormat="1" ht="27.95" customHeight="1">
      <c r="A465" s="3695" t="s">
        <v>230</v>
      </c>
      <c r="B465" s="3695">
        <f>SUM(Estadisticas!AY36:AZ36)</f>
        <v>1</v>
      </c>
      <c r="C465" s="3695">
        <f>SUM(Estadisticas!BA35:BB36)</f>
        <v>2</v>
      </c>
      <c r="D465" s="3695">
        <f>SUM(Estadisticas!BC36:BD36)</f>
        <v>0</v>
      </c>
      <c r="E465" s="3695">
        <f>SUM(Estadisticas!BE36:BF36)</f>
        <v>1</v>
      </c>
      <c r="F465" s="3695">
        <f>SUM(Estadisticas!BG36:BH36)</f>
        <v>1</v>
      </c>
      <c r="G465" s="3695">
        <f>SUM(Estadisticas!BI36:BJ36)</f>
        <v>0</v>
      </c>
      <c r="H465" s="5413">
        <f>SUM(B465:G465)</f>
        <v>5</v>
      </c>
      <c r="I465" s="5413"/>
      <c r="J465" s="3705"/>
      <c r="K465" s="3705"/>
      <c r="L465" s="3696" t="s">
        <v>423</v>
      </c>
      <c r="M465" s="3695">
        <f>SUM(AE438:AF438)</f>
        <v>1</v>
      </c>
      <c r="N465" s="3695">
        <f>SUM(AE439:AF439)</f>
        <v>4</v>
      </c>
      <c r="O465" s="3695">
        <f>SUM(AE440:AF440)</f>
        <v>3</v>
      </c>
      <c r="P465" s="3695">
        <f>SUM(AE441:AF441)</f>
        <v>1</v>
      </c>
      <c r="Q465" s="3695">
        <f>SUM(AE442:AF442)</f>
        <v>3</v>
      </c>
      <c r="R465" s="3695">
        <f>SUM(AE437:AF437)</f>
        <v>3</v>
      </c>
      <c r="S465" s="3695">
        <f>SUM(M465:R465)</f>
        <v>15</v>
      </c>
      <c r="T465" s="3706"/>
      <c r="U465" s="3707" t="str">
        <f>U65</f>
        <v>PRE</v>
      </c>
      <c r="V465" s="3707">
        <f>'[1]0099M'!$F$39</f>
        <v>1</v>
      </c>
      <c r="W465" s="3707">
        <f>'[1]0099M'!$I$39</f>
        <v>0</v>
      </c>
      <c r="X465" s="3707">
        <f>'[1]0099M'!$L$39</f>
        <v>1</v>
      </c>
      <c r="Y465" s="3707">
        <f>'[1]0099M'!$O$39</f>
        <v>0</v>
      </c>
      <c r="Z465" s="3707">
        <f>'[1]0099M'!$R$39</f>
        <v>1</v>
      </c>
      <c r="AA465" s="3707">
        <f>'[1]0688W'!$U$39</f>
        <v>0</v>
      </c>
      <c r="AB465" s="3707">
        <f>SUM(V465:AA465)</f>
        <v>3</v>
      </c>
      <c r="AC465" s="2683"/>
      <c r="AD465" s="3238"/>
      <c r="AE465" s="2620"/>
      <c r="AF465" s="2621"/>
      <c r="AG465" s="2620"/>
      <c r="AH465" s="2621"/>
      <c r="AK465" s="2636"/>
      <c r="AL465" s="3448"/>
      <c r="AM465" s="3448"/>
      <c r="AN465" s="3448"/>
      <c r="AO465" s="3448"/>
      <c r="AP465" s="3448"/>
      <c r="AQ465" s="3448"/>
      <c r="AR465" s="3448"/>
    </row>
    <row r="466" spans="1:45" s="1441" customFormat="1" ht="27.95" customHeight="1">
      <c r="A466" s="3698" t="s">
        <v>478</v>
      </c>
      <c r="B466" s="3698">
        <f>SUM(Estadisticas!BK35:BL35)</f>
        <v>0</v>
      </c>
      <c r="C466" s="3698">
        <f>SUM(Estadisticas!BM35:BN35)</f>
        <v>0</v>
      </c>
      <c r="D466" s="3698">
        <f>SUM(Estadisticas!BO35:BP35)</f>
        <v>0</v>
      </c>
      <c r="E466" s="3698">
        <f>SUM(Estadisticas!BQ35:BR35)</f>
        <v>0</v>
      </c>
      <c r="F466" s="3698">
        <f>SUM(Estadisticas!BS35:BT35)</f>
        <v>0</v>
      </c>
      <c r="G466" s="3698">
        <f>SUM(Estadisticas!BU35:BV35)</f>
        <v>0</v>
      </c>
      <c r="H466" s="5414">
        <f>SUM(B466:G466)</f>
        <v>0</v>
      </c>
      <c r="I466" s="5414"/>
      <c r="J466" s="3716"/>
      <c r="K466" s="3717"/>
      <c r="L466" s="3701" t="s">
        <v>434</v>
      </c>
      <c r="M466" s="3702">
        <f>SUM(AG438:AH438)</f>
        <v>1</v>
      </c>
      <c r="N466" s="3702">
        <f>SUM(AG439:AH439)</f>
        <v>2</v>
      </c>
      <c r="O466" s="3702">
        <f>SUM(AG440:AH440)</f>
        <v>0</v>
      </c>
      <c r="P466" s="3702">
        <f>SUM(AG441:AH441)</f>
        <v>1</v>
      </c>
      <c r="Q466" s="3702">
        <f>SUM(AG442:AH442)</f>
        <v>1</v>
      </c>
      <c r="R466" s="3702">
        <f>SUM(AG437:AH437)</f>
        <v>0</v>
      </c>
      <c r="S466" s="3702">
        <f>SUM(M466:R466)</f>
        <v>5</v>
      </c>
      <c r="T466" s="3716"/>
      <c r="U466" s="3707">
        <f>'[1]0099M'!$O$26</f>
        <v>15</v>
      </c>
      <c r="V466" s="3707">
        <f>'[1]0099M'!$F$35</f>
        <v>9</v>
      </c>
      <c r="W466" s="3707">
        <f>'[1]0099M'!$I$35</f>
        <v>15</v>
      </c>
      <c r="X466" s="3707">
        <f>'[1]0099M'!$L$35</f>
        <v>11</v>
      </c>
      <c r="Y466" s="3707">
        <f>'[1]0099M'!$O$35</f>
        <v>13</v>
      </c>
      <c r="Z466" s="3707">
        <f>'[1]0099M'!$R$35</f>
        <v>19</v>
      </c>
      <c r="AA466" s="3707">
        <f>'[1]0688W'!$U$35</f>
        <v>0</v>
      </c>
      <c r="AB466" s="3707">
        <f>SUM(V466:AA466)</f>
        <v>67</v>
      </c>
      <c r="AC466" s="2683"/>
      <c r="AD466" s="3238"/>
      <c r="AE466" s="2620"/>
      <c r="AF466" s="2621"/>
      <c r="AG466" s="2620"/>
      <c r="AH466" s="2621"/>
      <c r="AI466" s="1444"/>
      <c r="AJ466" s="1444"/>
      <c r="AK466" s="2636"/>
      <c r="AL466" s="3445"/>
      <c r="AM466" s="3445"/>
      <c r="AN466" s="3445"/>
      <c r="AO466" s="3445"/>
      <c r="AP466" s="3445"/>
      <c r="AQ466" s="3445"/>
      <c r="AR466" s="3445"/>
      <c r="AS466" s="108"/>
    </row>
    <row r="467" spans="1:45" s="1448" customFormat="1" ht="27.95" customHeight="1">
      <c r="A467" s="175"/>
      <c r="B467" s="1427"/>
      <c r="C467" s="173"/>
      <c r="D467" s="3262" t="s">
        <v>1193</v>
      </c>
      <c r="E467" s="5388" t="str">
        <f>B437</f>
        <v>TUCUCH SANTOS * AURORA LETICIA</v>
      </c>
      <c r="F467" s="5388"/>
      <c r="G467" s="5388"/>
      <c r="H467" s="5388"/>
      <c r="I467" s="5388"/>
      <c r="J467" s="5388"/>
      <c r="K467" s="1603"/>
      <c r="L467" s="1428"/>
      <c r="M467" s="3262" t="s">
        <v>1234</v>
      </c>
      <c r="N467" s="5388" t="str">
        <f>N427</f>
        <v>RICALDE CASTRO JESUS MARTIN</v>
      </c>
      <c r="O467" s="5388"/>
      <c r="P467" s="5388"/>
      <c r="Q467" s="5388"/>
      <c r="R467" s="5388"/>
      <c r="S467" s="5388"/>
      <c r="T467" s="1603"/>
      <c r="U467" s="1603"/>
      <c r="V467" s="3262" t="s">
        <v>1195</v>
      </c>
      <c r="W467" s="5388" t="str">
        <f>W427</f>
        <v xml:space="preserve">ANCONA FLORES AURA EUGENIA </v>
      </c>
      <c r="X467" s="5388"/>
      <c r="Y467" s="5388"/>
      <c r="Z467" s="5388"/>
      <c r="AA467" s="5388"/>
      <c r="AB467" s="5388"/>
      <c r="AC467" s="2683"/>
      <c r="AD467" s="3238"/>
      <c r="AE467" s="2620"/>
      <c r="AF467" s="2621"/>
      <c r="AG467" s="2620"/>
      <c r="AH467" s="2621"/>
      <c r="AI467" s="2624"/>
      <c r="AJ467" s="2624"/>
      <c r="AK467" s="2636"/>
      <c r="AL467" s="3449"/>
      <c r="AM467" s="3449"/>
      <c r="AN467" s="3449"/>
      <c r="AO467" s="3449"/>
      <c r="AP467" s="3449"/>
      <c r="AQ467" s="3449"/>
      <c r="AR467" s="3449"/>
      <c r="AS467" s="3450"/>
    </row>
    <row r="468" spans="1:45" s="1430" customFormat="1" ht="27.95" customHeight="1">
      <c r="A468" s="1670"/>
      <c r="B468" s="1401"/>
      <c r="C468" s="1401"/>
      <c r="D468" s="1401"/>
      <c r="E468" s="1401"/>
      <c r="F468" s="1402"/>
      <c r="G468" s="1402"/>
      <c r="H468" s="1402"/>
      <c r="I468" s="1402"/>
      <c r="J468" s="1402"/>
      <c r="K468" s="27"/>
      <c r="M468" s="1431" t="s">
        <v>196</v>
      </c>
      <c r="N468" s="1402"/>
      <c r="O468" s="1402"/>
      <c r="P468" s="1402"/>
      <c r="Q468" s="1402"/>
      <c r="R468" s="1402"/>
      <c r="S468" s="1402"/>
      <c r="T468" s="1401"/>
      <c r="V468" s="3263"/>
      <c r="W468" s="1432" t="s">
        <v>764</v>
      </c>
      <c r="X468" s="5221" t="s">
        <v>247</v>
      </c>
      <c r="Y468" s="5221"/>
      <c r="Z468" s="5221"/>
      <c r="AA468" s="5221"/>
      <c r="AB468" s="1644"/>
      <c r="AC468" s="2683"/>
      <c r="AD468" s="3238"/>
      <c r="AE468" s="2637"/>
      <c r="AF468" s="2638"/>
      <c r="AG468" s="2637"/>
      <c r="AH468" s="2638"/>
      <c r="AI468" s="1449"/>
      <c r="AJ468" s="1449"/>
      <c r="AK468" s="2636"/>
      <c r="AL468" s="3451"/>
      <c r="AM468" s="3451"/>
      <c r="AN468" s="3451"/>
      <c r="AO468" s="3451"/>
      <c r="AP468" s="3451"/>
      <c r="AQ468" s="3451"/>
      <c r="AR468" s="3451"/>
      <c r="AS468" s="3452"/>
    </row>
    <row r="469" spans="1:45" ht="27.95" customHeight="1">
      <c r="A469" s="1663"/>
      <c r="B469" s="1406"/>
      <c r="C469" s="1406"/>
      <c r="D469" s="1406"/>
      <c r="E469" s="1406"/>
      <c r="F469" s="1407"/>
      <c r="G469" s="1407"/>
      <c r="H469" s="1407"/>
      <c r="I469" s="1407"/>
      <c r="J469" s="1407"/>
      <c r="K469" s="1407"/>
      <c r="L469" s="1407"/>
      <c r="M469" s="3260" t="s">
        <v>1148</v>
      </c>
      <c r="N469" s="1407"/>
      <c r="O469" s="1407"/>
      <c r="P469" s="1407"/>
      <c r="Q469" s="1407"/>
      <c r="R469" s="1407"/>
      <c r="S469" s="1407"/>
      <c r="T469" s="1408"/>
      <c r="U469" s="1408"/>
      <c r="V469" s="3263"/>
      <c r="W469" s="1432" t="s">
        <v>1149</v>
      </c>
      <c r="X469" s="5221" t="str">
        <f>X429</f>
        <v>2012 / 2013</v>
      </c>
      <c r="Y469" s="5221"/>
      <c r="Z469" s="5221"/>
      <c r="AA469" s="5221"/>
      <c r="AB469" s="1417"/>
      <c r="AC469" s="2683"/>
      <c r="AD469" s="3238"/>
      <c r="AE469" s="2620"/>
      <c r="AF469" s="2621"/>
      <c r="AG469" s="2620"/>
      <c r="AH469" s="2621"/>
      <c r="AK469" s="2636"/>
      <c r="AR469" s="3445"/>
    </row>
    <row r="470" spans="1:45" ht="27.95" customHeight="1">
      <c r="A470" s="1663"/>
      <c r="B470" s="1410"/>
      <c r="C470" s="1410"/>
      <c r="D470" s="1410"/>
      <c r="E470" s="1410"/>
      <c r="F470" s="1407"/>
      <c r="G470" s="1407"/>
      <c r="H470" s="1407"/>
      <c r="I470" s="1407"/>
      <c r="J470" s="1407"/>
      <c r="K470" s="1407"/>
      <c r="M470" s="3260" t="s">
        <v>1150</v>
      </c>
      <c r="N470" s="1407"/>
      <c r="O470" s="1407"/>
      <c r="P470" s="1407"/>
      <c r="Q470" s="1407"/>
      <c r="R470" s="1407"/>
      <c r="S470" s="1407"/>
      <c r="T470" s="1433"/>
      <c r="U470" s="1433"/>
      <c r="V470" s="1434"/>
      <c r="W470" s="3281" t="s">
        <v>42</v>
      </c>
      <c r="X470" s="5391" t="str">
        <f>X430</f>
        <v>042</v>
      </c>
      <c r="Y470" s="5391"/>
      <c r="Z470" s="5391"/>
      <c r="AA470" s="5391"/>
      <c r="AB470" s="1417"/>
      <c r="AC470" s="2683"/>
      <c r="AD470" s="3238"/>
      <c r="AE470" s="2620"/>
      <c r="AF470" s="2621"/>
      <c r="AG470" s="2620"/>
      <c r="AH470" s="2621"/>
      <c r="AK470" s="2636"/>
      <c r="AR470" s="3445"/>
    </row>
    <row r="471" spans="1:45" ht="27.95" customHeight="1">
      <c r="A471" s="1663"/>
      <c r="B471" s="1410"/>
      <c r="C471" s="1410"/>
      <c r="D471" s="1410"/>
      <c r="E471" s="1410"/>
      <c r="F471" s="1406"/>
      <c r="H471" s="1413"/>
      <c r="I471" s="1413"/>
      <c r="J471" s="1414"/>
      <c r="K471" s="1414"/>
      <c r="L471" s="1415" t="s">
        <v>1197</v>
      </c>
      <c r="M471" s="1415">
        <f>M431</f>
        <v>8</v>
      </c>
      <c r="N471" s="3271" t="s">
        <v>1152</v>
      </c>
      <c r="O471" s="5371" t="str">
        <f>O431</f>
        <v>AGOSTO</v>
      </c>
      <c r="P471" s="5371"/>
      <c r="Q471" s="1435" t="s">
        <v>1152</v>
      </c>
      <c r="R471" s="5371">
        <f>R431</f>
        <v>2012</v>
      </c>
      <c r="S471" s="5371"/>
      <c r="T471" s="1406"/>
      <c r="U471" s="5372" t="s">
        <v>246</v>
      </c>
      <c r="V471" s="5372"/>
      <c r="W471" s="5372"/>
      <c r="X471" s="5372"/>
      <c r="Y471" s="1436" t="s">
        <v>245</v>
      </c>
      <c r="Z471" s="1436"/>
      <c r="AA471" s="1437"/>
      <c r="AB471" s="1417"/>
      <c r="AC471" s="2683"/>
      <c r="AD471" s="3238"/>
      <c r="AE471" s="2620"/>
      <c r="AF471" s="2621"/>
      <c r="AG471" s="2620"/>
      <c r="AH471" s="2621"/>
      <c r="AK471" s="2636"/>
      <c r="AR471" s="3445"/>
    </row>
    <row r="472" spans="1:45" ht="27.95" customHeight="1">
      <c r="A472" s="5356" t="s">
        <v>1153</v>
      </c>
      <c r="B472" s="5356"/>
      <c r="C472" s="5356"/>
      <c r="D472" s="5389" t="s">
        <v>2322</v>
      </c>
      <c r="E472" s="5389"/>
      <c r="F472" s="5389"/>
      <c r="G472" s="5389"/>
      <c r="H472" s="5389"/>
      <c r="I472" s="5389"/>
      <c r="J472" s="5389"/>
      <c r="K472" s="5389"/>
      <c r="L472" s="3281" t="s">
        <v>19</v>
      </c>
      <c r="M472" s="5370" t="s">
        <v>1820</v>
      </c>
      <c r="N472" s="5370"/>
      <c r="O472" s="5390" t="s">
        <v>13</v>
      </c>
      <c r="P472" s="5390"/>
      <c r="Q472" s="5370" t="s">
        <v>69</v>
      </c>
      <c r="R472" s="5370"/>
      <c r="S472" s="5370"/>
      <c r="T472" s="174"/>
      <c r="U472" s="1418" t="s">
        <v>1157</v>
      </c>
      <c r="V472" s="5221" t="str">
        <f>V432</f>
        <v>2  BENITO JUAREZ</v>
      </c>
      <c r="W472" s="5221"/>
      <c r="X472" s="5221"/>
      <c r="Y472" s="5221"/>
      <c r="Z472" s="5221"/>
      <c r="AA472" s="5221"/>
      <c r="AB472" s="5221"/>
      <c r="AC472" s="2683"/>
      <c r="AD472" s="3238"/>
      <c r="AE472" s="2620"/>
      <c r="AF472" s="2621"/>
      <c r="AG472" s="2620"/>
      <c r="AH472" s="2621"/>
      <c r="AK472" s="2636"/>
      <c r="AR472" s="3445"/>
    </row>
    <row r="473" spans="1:45" s="1439" customFormat="1" ht="27.95" customHeight="1">
      <c r="A473" s="5356" t="s">
        <v>437</v>
      </c>
      <c r="B473" s="5356"/>
      <c r="C473" s="5389"/>
      <c r="D473" s="5389"/>
      <c r="E473" s="5389"/>
      <c r="F473" s="5389"/>
      <c r="G473" s="5389"/>
      <c r="H473" s="5389"/>
      <c r="I473" s="5389"/>
      <c r="J473" s="5389"/>
      <c r="K473" s="5389"/>
      <c r="L473" s="5389"/>
      <c r="M473" s="5389"/>
      <c r="N473" s="1419"/>
      <c r="O473" s="3281" t="s">
        <v>863</v>
      </c>
      <c r="P473" s="5370" t="str">
        <f>'[1]0100L'!$I$8</f>
        <v>9981 23 57 16</v>
      </c>
      <c r="Q473" s="5370"/>
      <c r="R473" s="5370"/>
      <c r="S473" s="5370"/>
      <c r="T473" s="5370"/>
      <c r="U473" s="1420"/>
      <c r="V473" s="3281"/>
      <c r="W473" s="3281" t="s">
        <v>1159</v>
      </c>
      <c r="X473" s="5358" t="str">
        <f>X433</f>
        <v>8  DE  AGOSTO  DE  2012</v>
      </c>
      <c r="Y473" s="5358"/>
      <c r="Z473" s="5358"/>
      <c r="AA473" s="5358"/>
      <c r="AB473" s="5358"/>
      <c r="AC473" s="5331" t="str">
        <f>D472</f>
        <v>COLEGIO HISPANOAMERICANO LA LUNA</v>
      </c>
      <c r="AD473" s="5331"/>
      <c r="AE473" s="5331"/>
      <c r="AF473" s="5331"/>
      <c r="AG473" s="5331"/>
      <c r="AH473" s="5331"/>
      <c r="AI473" s="5332" t="str">
        <f>M472</f>
        <v>23PPR0100L</v>
      </c>
      <c r="AJ473" s="5332"/>
      <c r="AK473" s="5332"/>
      <c r="AL473" s="3446"/>
      <c r="AM473" s="3446"/>
      <c r="AN473" s="3446"/>
      <c r="AO473" s="3446"/>
      <c r="AP473" s="3446"/>
      <c r="AQ473" s="3446"/>
      <c r="AR473" s="3446"/>
      <c r="AS473" s="2166"/>
    </row>
    <row r="474" spans="1:45" s="1441" customFormat="1" ht="9.9499999999999993" customHeight="1">
      <c r="A474" s="2996" t="str">
        <f>'[4]0099M'!$C$8</f>
        <v>AV. KABAH L. 7 MZ. 3 SMZ. 43</v>
      </c>
      <c r="B474" s="1422"/>
      <c r="C474" s="1422"/>
      <c r="D474" s="3261"/>
      <c r="E474" s="3261"/>
      <c r="F474" s="3261"/>
      <c r="G474" s="3261"/>
      <c r="H474" s="3261"/>
      <c r="I474" s="3261"/>
      <c r="J474" s="3261"/>
      <c r="K474" s="3261"/>
      <c r="L474" s="3261"/>
      <c r="M474" s="1421"/>
      <c r="N474" s="2995" t="str">
        <f>'[4]0099M'!$I$8</f>
        <v>998 8-80-63-67</v>
      </c>
      <c r="O474" s="1423"/>
      <c r="P474" s="1423"/>
      <c r="Q474" s="1424"/>
      <c r="R474" s="1423"/>
      <c r="S474" s="1423"/>
      <c r="T474" s="1422"/>
      <c r="U474" s="1422"/>
      <c r="V474" s="3261"/>
      <c r="W474" s="3261"/>
      <c r="X474" s="3261"/>
      <c r="Y474" s="3261"/>
      <c r="Z474" s="1422"/>
      <c r="AA474" s="1422"/>
      <c r="AB474" s="1422"/>
      <c r="AC474" s="2689"/>
      <c r="AD474" s="2690"/>
      <c r="AE474" s="2639"/>
      <c r="AF474" s="2640"/>
      <c r="AG474" s="2639"/>
      <c r="AH474" s="2640"/>
      <c r="AI474" s="1444"/>
      <c r="AJ474" s="1444"/>
      <c r="AK474" s="2636"/>
      <c r="AL474" s="3445"/>
      <c r="AM474" s="3445"/>
      <c r="AN474" s="3445"/>
      <c r="AO474" s="3445"/>
      <c r="AP474" s="3445"/>
      <c r="AQ474" s="3445"/>
      <c r="AR474" s="3445"/>
      <c r="AS474" s="108"/>
    </row>
    <row r="475" spans="1:45" s="1442" customFormat="1" ht="27.95" customHeight="1">
      <c r="A475" s="5415" t="s">
        <v>1160</v>
      </c>
      <c r="B475" s="5416" t="s">
        <v>1235</v>
      </c>
      <c r="C475" s="5416"/>
      <c r="D475" s="5416"/>
      <c r="E475" s="5416"/>
      <c r="F475" s="5416"/>
      <c r="G475" s="5416"/>
      <c r="H475" s="5417" t="s">
        <v>1161</v>
      </c>
      <c r="I475" s="5417"/>
      <c r="J475" s="5417" t="s">
        <v>212</v>
      </c>
      <c r="K475" s="5417" t="s">
        <v>1162</v>
      </c>
      <c r="L475" s="5417" t="s">
        <v>1163</v>
      </c>
      <c r="M475" s="5417"/>
      <c r="N475" s="5417" t="s">
        <v>1164</v>
      </c>
      <c r="O475" s="5417"/>
      <c r="P475" s="5417" t="s">
        <v>1165</v>
      </c>
      <c r="Q475" s="5417"/>
      <c r="R475" s="5417" t="s">
        <v>1166</v>
      </c>
      <c r="S475" s="5417"/>
      <c r="T475" s="5417" t="s">
        <v>1167</v>
      </c>
      <c r="U475" s="5417" t="s">
        <v>1168</v>
      </c>
      <c r="V475" s="5417"/>
      <c r="W475" s="5417" t="s">
        <v>1169</v>
      </c>
      <c r="X475" s="5417"/>
      <c r="Y475" s="5417" t="s">
        <v>3</v>
      </c>
      <c r="Z475" s="5417" t="s">
        <v>4</v>
      </c>
      <c r="AA475" s="5417" t="s">
        <v>28</v>
      </c>
      <c r="AB475" s="5417"/>
      <c r="AC475" s="5340" t="str">
        <f>AC435</f>
        <v>INICIAL</v>
      </c>
      <c r="AD475" s="5340"/>
      <c r="AE475" s="5344" t="str">
        <f>AE435</f>
        <v>ALTAS</v>
      </c>
      <c r="AF475" s="5345"/>
      <c r="AG475" s="5346" t="str">
        <f>AG435</f>
        <v>BAJAS</v>
      </c>
      <c r="AH475" s="5347"/>
      <c r="AI475" s="5333" t="str">
        <f>AI435</f>
        <v>REP</v>
      </c>
      <c r="AJ475" s="5333"/>
      <c r="AK475" s="2625" t="str">
        <f>AK435</f>
        <v>INI</v>
      </c>
      <c r="AL475" s="5328" t="s">
        <v>2509</v>
      </c>
      <c r="AM475" s="5329"/>
      <c r="AN475" s="5329"/>
      <c r="AO475" s="5329"/>
      <c r="AP475" s="5329"/>
      <c r="AQ475" s="5329"/>
      <c r="AR475" s="5330"/>
    </row>
    <row r="476" spans="1:45" s="1442" customFormat="1" ht="27.95" customHeight="1">
      <c r="A476" s="5415"/>
      <c r="B476" s="5416"/>
      <c r="C476" s="5416"/>
      <c r="D476" s="5416"/>
      <c r="E476" s="5416"/>
      <c r="F476" s="5416"/>
      <c r="G476" s="5416"/>
      <c r="H476" s="3269" t="s">
        <v>407</v>
      </c>
      <c r="I476" s="3269" t="s">
        <v>403</v>
      </c>
      <c r="J476" s="5417"/>
      <c r="K476" s="5417"/>
      <c r="L476" s="5417"/>
      <c r="M476" s="5417"/>
      <c r="N476" s="5417"/>
      <c r="O476" s="5417"/>
      <c r="P476" s="3269" t="s">
        <v>1170</v>
      </c>
      <c r="Q476" s="3269" t="s">
        <v>1171</v>
      </c>
      <c r="R476" s="3269" t="s">
        <v>1172</v>
      </c>
      <c r="S476" s="3269" t="s">
        <v>1173</v>
      </c>
      <c r="T476" s="5417"/>
      <c r="U476" s="5417"/>
      <c r="V476" s="5417"/>
      <c r="W476" s="5417"/>
      <c r="X476" s="5417"/>
      <c r="Y476" s="5417"/>
      <c r="Z476" s="5417"/>
      <c r="AA476" s="5417"/>
      <c r="AB476" s="5417"/>
      <c r="AC476" s="3295" t="str">
        <f>AC436</f>
        <v>H</v>
      </c>
      <c r="AD476" s="2686" t="str">
        <f>AD436</f>
        <v>M</v>
      </c>
      <c r="AE476" s="3295" t="str">
        <f t="shared" ref="AE476:AJ476" si="138">AE436</f>
        <v>H</v>
      </c>
      <c r="AF476" s="2686" t="str">
        <f t="shared" si="138"/>
        <v>M</v>
      </c>
      <c r="AG476" s="3295" t="str">
        <f t="shared" si="138"/>
        <v>H</v>
      </c>
      <c r="AH476" s="2686" t="str">
        <f t="shared" si="138"/>
        <v>M</v>
      </c>
      <c r="AI476" s="3295" t="str">
        <f t="shared" si="138"/>
        <v>H</v>
      </c>
      <c r="AJ476" s="2686" t="str">
        <f t="shared" si="138"/>
        <v>M</v>
      </c>
      <c r="AK476" s="2627" t="str">
        <f>AK436</f>
        <v>TTS</v>
      </c>
      <c r="AL476" s="3455" t="s">
        <v>393</v>
      </c>
      <c r="AM476" s="3463" t="s">
        <v>8</v>
      </c>
      <c r="AN476" s="3456" t="s">
        <v>347</v>
      </c>
      <c r="AO476" s="3456" t="s">
        <v>348</v>
      </c>
      <c r="AP476" s="3456" t="s">
        <v>2062</v>
      </c>
      <c r="AQ476" s="3457" t="s">
        <v>2081</v>
      </c>
      <c r="AR476" s="3456" t="s">
        <v>2510</v>
      </c>
    </row>
    <row r="477" spans="1:45" s="1443" customFormat="1" ht="27.95" customHeight="1">
      <c r="A477" s="3274">
        <v>1</v>
      </c>
      <c r="B477" s="2728" t="s">
        <v>2671</v>
      </c>
      <c r="C477" s="3651"/>
      <c r="D477" s="2152"/>
      <c r="E477" s="2152"/>
      <c r="F477" s="2152"/>
      <c r="G477" s="2153"/>
      <c r="H477" s="3284"/>
      <c r="I477" s="3636" t="s">
        <v>78</v>
      </c>
      <c r="J477" s="3290"/>
      <c r="K477" s="3290"/>
      <c r="L477" s="3673"/>
      <c r="M477" s="3672"/>
      <c r="N477" s="5350"/>
      <c r="O477" s="5350"/>
      <c r="P477" s="3274"/>
      <c r="Q477" s="3274"/>
      <c r="R477" s="3274"/>
      <c r="S477" s="2877"/>
      <c r="T477" s="3274"/>
      <c r="U477" s="5350"/>
      <c r="V477" s="5350"/>
      <c r="W477" s="5394"/>
      <c r="X477" s="5394"/>
      <c r="Y477" s="3564" t="s">
        <v>765</v>
      </c>
      <c r="Z477" s="3286" t="s">
        <v>228</v>
      </c>
      <c r="AA477" s="5453">
        <f>AC477+AD477+AE477+AF477-AG477-AH477</f>
        <v>17</v>
      </c>
      <c r="AB477" s="5352"/>
      <c r="AC477" s="2682">
        <v>11</v>
      </c>
      <c r="AD477" s="3289">
        <v>4</v>
      </c>
      <c r="AE477" s="2628"/>
      <c r="AF477" s="2629">
        <v>3</v>
      </c>
      <c r="AG477" s="2628">
        <v>1</v>
      </c>
      <c r="AH477" s="2629"/>
      <c r="AI477" s="2628"/>
      <c r="AJ477" s="2629"/>
      <c r="AK477" s="2670">
        <f>SUM(AC477:AD477)</f>
        <v>15</v>
      </c>
      <c r="AL477" s="3464"/>
      <c r="AM477" s="3448"/>
      <c r="AN477" s="3448"/>
      <c r="AO477" s="3448"/>
      <c r="AP477" s="3448"/>
      <c r="AQ477" s="3448"/>
      <c r="AR477" s="3458" t="e">
        <f t="shared" ref="AR477:AR490" si="139">SUM(AM477:AQ477)/AS477</f>
        <v>#DIV/0!</v>
      </c>
      <c r="AS477" s="3459">
        <f>COUNTA(AM477:AQ477)</f>
        <v>0</v>
      </c>
    </row>
    <row r="478" spans="1:45" s="1443" customFormat="1" ht="27.95" customHeight="1">
      <c r="A478" s="3274">
        <v>2</v>
      </c>
      <c r="B478" s="2158"/>
      <c r="C478" s="3087"/>
      <c r="D478" s="2147"/>
      <c r="E478" s="2147"/>
      <c r="F478" s="2147"/>
      <c r="G478" s="2149"/>
      <c r="H478" s="3274"/>
      <c r="I478" s="3274"/>
      <c r="J478" s="3290"/>
      <c r="K478" s="3290"/>
      <c r="L478" s="3671"/>
      <c r="M478" s="3672"/>
      <c r="N478" s="5419"/>
      <c r="O478" s="5418"/>
      <c r="P478" s="3274"/>
      <c r="Q478" s="3274"/>
      <c r="R478" s="3274"/>
      <c r="S478" s="2877"/>
      <c r="T478" s="3274"/>
      <c r="U478" s="5419"/>
      <c r="V478" s="5418"/>
      <c r="W478" s="5351"/>
      <c r="X478" s="5351"/>
      <c r="Y478" s="3564" t="s">
        <v>766</v>
      </c>
      <c r="Z478" s="3286" t="s">
        <v>228</v>
      </c>
      <c r="AA478" s="5453">
        <f t="shared" ref="AA478:AA502" si="140">AC478+AD478+AE478+AF478-AG478-AH478</f>
        <v>21</v>
      </c>
      <c r="AB478" s="5352"/>
      <c r="AC478" s="2682">
        <v>9</v>
      </c>
      <c r="AD478" s="3289">
        <v>8</v>
      </c>
      <c r="AE478" s="2628">
        <v>2</v>
      </c>
      <c r="AF478" s="2629">
        <v>3</v>
      </c>
      <c r="AG478" s="2628"/>
      <c r="AH478" s="2629">
        <v>1</v>
      </c>
      <c r="AI478" s="2628"/>
      <c r="AJ478" s="2629"/>
      <c r="AK478" s="2671">
        <f t="shared" si="120"/>
        <v>17</v>
      </c>
      <c r="AL478" s="3464"/>
      <c r="AM478" s="3448"/>
      <c r="AN478" s="3448"/>
      <c r="AO478" s="3448"/>
      <c r="AP478" s="3448"/>
      <c r="AQ478" s="3448"/>
      <c r="AR478" s="3458" t="e">
        <f t="shared" si="139"/>
        <v>#DIV/0!</v>
      </c>
      <c r="AS478" s="3459">
        <f t="shared" ref="AS478:AS503" si="141">COUNTA(AM478:AQ478)</f>
        <v>0</v>
      </c>
    </row>
    <row r="479" spans="1:45" s="1443" customFormat="1" ht="27.95" customHeight="1">
      <c r="A479" s="3274">
        <v>3</v>
      </c>
      <c r="B479" s="2158" t="s">
        <v>2672</v>
      </c>
      <c r="C479" s="3087"/>
      <c r="D479" s="2147"/>
      <c r="E479" s="2147"/>
      <c r="F479" s="2147"/>
      <c r="G479" s="2149"/>
      <c r="H479" s="3274"/>
      <c r="I479" s="3274"/>
      <c r="J479" s="3290"/>
      <c r="K479" s="3290"/>
      <c r="L479" s="3671"/>
      <c r="M479" s="3672"/>
      <c r="N479" s="5419"/>
      <c r="O479" s="5418"/>
      <c r="P479" s="3274"/>
      <c r="Q479" s="3274"/>
      <c r="R479" s="3274"/>
      <c r="S479" s="2877"/>
      <c r="T479" s="3274"/>
      <c r="U479" s="5419"/>
      <c r="V479" s="5418"/>
      <c r="W479" s="5351"/>
      <c r="X479" s="5351"/>
      <c r="Y479" s="3564" t="s">
        <v>767</v>
      </c>
      <c r="Z479" s="3286" t="s">
        <v>228</v>
      </c>
      <c r="AA479" s="5453">
        <f t="shared" si="140"/>
        <v>26</v>
      </c>
      <c r="AB479" s="5352"/>
      <c r="AC479" s="2682">
        <v>9</v>
      </c>
      <c r="AD479" s="3289">
        <v>15</v>
      </c>
      <c r="AE479" s="2628"/>
      <c r="AF479" s="2629">
        <v>3</v>
      </c>
      <c r="AG479" s="2628"/>
      <c r="AH479" s="2629">
        <v>1</v>
      </c>
      <c r="AI479" s="2628"/>
      <c r="AJ479" s="2629"/>
      <c r="AK479" s="2671">
        <f t="shared" si="120"/>
        <v>24</v>
      </c>
      <c r="AL479" s="3464"/>
      <c r="AM479" s="3448"/>
      <c r="AN479" s="3448"/>
      <c r="AO479" s="3448"/>
      <c r="AP479" s="3448"/>
      <c r="AQ479" s="3448"/>
      <c r="AR479" s="3458" t="e">
        <f t="shared" si="139"/>
        <v>#DIV/0!</v>
      </c>
      <c r="AS479" s="3459">
        <f t="shared" si="141"/>
        <v>0</v>
      </c>
    </row>
    <row r="480" spans="1:45" s="1443" customFormat="1" ht="27.95" customHeight="1">
      <c r="A480" s="3274">
        <v>4</v>
      </c>
      <c r="B480" s="2158" t="s">
        <v>2620</v>
      </c>
      <c r="C480" s="3087"/>
      <c r="D480" s="2147"/>
      <c r="E480" s="2147"/>
      <c r="F480" s="2147"/>
      <c r="G480" s="2149"/>
      <c r="H480" s="3636"/>
      <c r="I480" s="3636" t="s">
        <v>78</v>
      </c>
      <c r="J480" s="3646" t="s">
        <v>1386</v>
      </c>
      <c r="K480" s="3646">
        <v>99999</v>
      </c>
      <c r="L480" s="3671" t="s">
        <v>430</v>
      </c>
      <c r="M480" s="3672"/>
      <c r="N480" s="5419"/>
      <c r="O480" s="5418"/>
      <c r="P480" s="3636"/>
      <c r="Q480" s="3636"/>
      <c r="R480" s="3636"/>
      <c r="S480" s="2877" t="s">
        <v>2216</v>
      </c>
      <c r="T480" s="3636"/>
      <c r="U480" s="5419">
        <v>20</v>
      </c>
      <c r="V480" s="5418"/>
      <c r="W480" s="5351" t="s">
        <v>1385</v>
      </c>
      <c r="X480" s="5351"/>
      <c r="Y480" s="3564" t="s">
        <v>771</v>
      </c>
      <c r="Z480" s="3286" t="s">
        <v>228</v>
      </c>
      <c r="AA480" s="5453">
        <f t="shared" si="140"/>
        <v>15</v>
      </c>
      <c r="AB480" s="5352"/>
      <c r="AC480" s="2682">
        <v>7</v>
      </c>
      <c r="AD480" s="3688">
        <v>5</v>
      </c>
      <c r="AE480" s="2628">
        <v>2</v>
      </c>
      <c r="AF480" s="2629">
        <v>1</v>
      </c>
      <c r="AG480" s="2628"/>
      <c r="AH480" s="2629"/>
      <c r="AI480" s="2628"/>
      <c r="AJ480" s="2629"/>
      <c r="AK480" s="2671">
        <f t="shared" si="120"/>
        <v>12</v>
      </c>
      <c r="AL480" s="3464"/>
      <c r="AM480" s="3448"/>
      <c r="AN480" s="3448"/>
      <c r="AO480" s="3448"/>
      <c r="AP480" s="3448"/>
      <c r="AQ480" s="3448"/>
      <c r="AR480" s="3458" t="e">
        <f t="shared" si="139"/>
        <v>#DIV/0!</v>
      </c>
      <c r="AS480" s="3459">
        <f t="shared" si="141"/>
        <v>0</v>
      </c>
    </row>
    <row r="481" spans="1:45" s="1443" customFormat="1" ht="27.95" customHeight="1">
      <c r="A481" s="3274">
        <v>5</v>
      </c>
      <c r="B481" s="3652" t="s">
        <v>2673</v>
      </c>
      <c r="C481" s="3630"/>
      <c r="D481" s="2150"/>
      <c r="E481" s="2150"/>
      <c r="F481" s="2150"/>
      <c r="G481" s="2727"/>
      <c r="H481" s="3274"/>
      <c r="I481" s="3636" t="s">
        <v>78</v>
      </c>
      <c r="J481" s="3290"/>
      <c r="K481" s="3290"/>
      <c r="L481" s="3673"/>
      <c r="M481" s="3672"/>
      <c r="N481" s="5350"/>
      <c r="O481" s="5350"/>
      <c r="P481" s="3274"/>
      <c r="Q481" s="3274"/>
      <c r="R481" s="3274"/>
      <c r="S481" s="2877"/>
      <c r="T481" s="3274"/>
      <c r="U481" s="5350"/>
      <c r="V481" s="5350"/>
      <c r="W481" s="5351"/>
      <c r="X481" s="5351"/>
      <c r="Y481" s="3564" t="s">
        <v>772</v>
      </c>
      <c r="Z481" s="3286" t="s">
        <v>228</v>
      </c>
      <c r="AA481" s="5453">
        <f t="shared" si="140"/>
        <v>23</v>
      </c>
      <c r="AB481" s="5352"/>
      <c r="AC481" s="2682">
        <v>9</v>
      </c>
      <c r="AD481" s="3289">
        <v>10</v>
      </c>
      <c r="AE481" s="2628">
        <v>3</v>
      </c>
      <c r="AF481" s="2629">
        <v>2</v>
      </c>
      <c r="AG481" s="2628">
        <v>1</v>
      </c>
      <c r="AH481" s="2629"/>
      <c r="AI481" s="2628"/>
      <c r="AJ481" s="2629"/>
      <c r="AK481" s="2671">
        <f t="shared" si="120"/>
        <v>19</v>
      </c>
      <c r="AL481" s="3464"/>
      <c r="AM481" s="3448"/>
      <c r="AN481" s="3448"/>
      <c r="AO481" s="3448"/>
      <c r="AP481" s="3448"/>
      <c r="AQ481" s="3448"/>
      <c r="AR481" s="3458" t="e">
        <f t="shared" si="139"/>
        <v>#DIV/0!</v>
      </c>
      <c r="AS481" s="3459">
        <f t="shared" si="141"/>
        <v>0</v>
      </c>
    </row>
    <row r="482" spans="1:45" s="1443" customFormat="1" ht="27.95" customHeight="1">
      <c r="A482" s="3274">
        <v>6</v>
      </c>
      <c r="B482" s="2728" t="s">
        <v>2619</v>
      </c>
      <c r="C482" s="3651"/>
      <c r="D482" s="2147"/>
      <c r="E482" s="2147"/>
      <c r="F482" s="2147"/>
      <c r="G482" s="2149"/>
      <c r="H482" s="3636"/>
      <c r="I482" s="3636" t="s">
        <v>78</v>
      </c>
      <c r="J482" s="3646" t="s">
        <v>2306</v>
      </c>
      <c r="K482" s="3646">
        <v>99999</v>
      </c>
      <c r="L482" s="3671" t="s">
        <v>390</v>
      </c>
      <c r="M482" s="3672"/>
      <c r="N482" s="5419"/>
      <c r="O482" s="5418"/>
      <c r="P482" s="3636"/>
      <c r="Q482" s="3636"/>
      <c r="R482" s="3636"/>
      <c r="S482" s="2877" t="s">
        <v>2307</v>
      </c>
      <c r="T482" s="3636"/>
      <c r="U482" s="5419">
        <v>20</v>
      </c>
      <c r="V482" s="5418"/>
      <c r="W482" s="5351" t="s">
        <v>1748</v>
      </c>
      <c r="X482" s="5351"/>
      <c r="Y482" s="3564" t="s">
        <v>773</v>
      </c>
      <c r="Z482" s="3286" t="s">
        <v>228</v>
      </c>
      <c r="AA482" s="5453">
        <f t="shared" si="140"/>
        <v>26</v>
      </c>
      <c r="AB482" s="5352"/>
      <c r="AC482" s="2682">
        <v>12</v>
      </c>
      <c r="AD482" s="3289">
        <v>8</v>
      </c>
      <c r="AE482" s="2628">
        <v>5</v>
      </c>
      <c r="AF482" s="2629">
        <v>1</v>
      </c>
      <c r="AG482" s="2628"/>
      <c r="AH482" s="2629"/>
      <c r="AI482" s="2628"/>
      <c r="AJ482" s="2629"/>
      <c r="AK482" s="2671">
        <f t="shared" si="120"/>
        <v>20</v>
      </c>
      <c r="AL482" s="3464"/>
      <c r="AM482" s="3448"/>
      <c r="AN482" s="3448"/>
      <c r="AO482" s="3448"/>
      <c r="AP482" s="3448"/>
      <c r="AQ482" s="3448"/>
      <c r="AR482" s="3458" t="e">
        <f t="shared" si="139"/>
        <v>#DIV/0!</v>
      </c>
      <c r="AS482" s="3459">
        <f t="shared" si="141"/>
        <v>0</v>
      </c>
    </row>
    <row r="483" spans="1:45" s="1443" customFormat="1" ht="27.95" customHeight="1">
      <c r="A483" s="3274">
        <v>7</v>
      </c>
      <c r="B483" s="2158" t="s">
        <v>2621</v>
      </c>
      <c r="C483" s="3087"/>
      <c r="D483" s="2147"/>
      <c r="E483" s="2147"/>
      <c r="F483" s="2147"/>
      <c r="G483" s="2149"/>
      <c r="H483" s="3636"/>
      <c r="I483" s="3636" t="s">
        <v>78</v>
      </c>
      <c r="J483" s="3646" t="s">
        <v>1387</v>
      </c>
      <c r="K483" s="3646">
        <v>99999</v>
      </c>
      <c r="L483" s="3667" t="s">
        <v>430</v>
      </c>
      <c r="M483" s="3666"/>
      <c r="N483" s="3641"/>
      <c r="O483" s="3642"/>
      <c r="P483" s="3636"/>
      <c r="Q483" s="3636"/>
      <c r="R483" s="3636"/>
      <c r="S483" s="2877" t="s">
        <v>2217</v>
      </c>
      <c r="T483" s="3636"/>
      <c r="U483" s="3641">
        <v>20</v>
      </c>
      <c r="V483" s="3642"/>
      <c r="W483" s="5420" t="s">
        <v>1388</v>
      </c>
      <c r="X483" s="5421"/>
      <c r="Y483" s="3286"/>
      <c r="Z483" s="3286"/>
      <c r="AA483" s="5453">
        <f t="shared" si="140"/>
        <v>0</v>
      </c>
      <c r="AB483" s="5352"/>
      <c r="AC483" s="2682"/>
      <c r="AD483" s="3289"/>
      <c r="AE483" s="2628"/>
      <c r="AF483" s="2629"/>
      <c r="AG483" s="2628"/>
      <c r="AH483" s="2629"/>
      <c r="AI483" s="2628"/>
      <c r="AJ483" s="2629"/>
      <c r="AK483" s="2671">
        <f>SUM(AC483:AD483)</f>
        <v>0</v>
      </c>
      <c r="AL483" s="3464"/>
      <c r="AM483" s="3448"/>
      <c r="AN483" s="3448"/>
      <c r="AO483" s="3448"/>
      <c r="AP483" s="3448"/>
      <c r="AQ483" s="3448"/>
      <c r="AR483" s="3458" t="e">
        <f t="shared" si="139"/>
        <v>#DIV/0!</v>
      </c>
      <c r="AS483" s="3459">
        <f t="shared" si="141"/>
        <v>0</v>
      </c>
    </row>
    <row r="484" spans="1:45" s="1443" customFormat="1" ht="27.95" customHeight="1">
      <c r="A484" s="3274">
        <v>8</v>
      </c>
      <c r="B484" s="2158" t="s">
        <v>2622</v>
      </c>
      <c r="C484" s="3087"/>
      <c r="D484" s="2147"/>
      <c r="E484" s="2147"/>
      <c r="F484" s="2147"/>
      <c r="G484" s="2149"/>
      <c r="H484" s="3636"/>
      <c r="I484" s="3636" t="s">
        <v>78</v>
      </c>
      <c r="J484" s="3646" t="s">
        <v>1389</v>
      </c>
      <c r="K484" s="3646">
        <v>99999</v>
      </c>
      <c r="L484" s="3667" t="s">
        <v>430</v>
      </c>
      <c r="M484" s="3666"/>
      <c r="N484" s="3641"/>
      <c r="O484" s="3642"/>
      <c r="P484" s="3636"/>
      <c r="Q484" s="3636"/>
      <c r="R484" s="3636"/>
      <c r="S484" s="2877" t="s">
        <v>2218</v>
      </c>
      <c r="T484" s="3636"/>
      <c r="U484" s="3641">
        <v>20</v>
      </c>
      <c r="V484" s="3642"/>
      <c r="W484" s="5420" t="s">
        <v>1384</v>
      </c>
      <c r="X484" s="5421"/>
      <c r="Y484" s="3286"/>
      <c r="Z484" s="3286"/>
      <c r="AA484" s="5453">
        <f>AC484+AD484+AE484+AF484-AG484-AH484</f>
        <v>0</v>
      </c>
      <c r="AB484" s="5352"/>
      <c r="AE484" s="2628"/>
      <c r="AF484" s="2629"/>
      <c r="AG484" s="2628"/>
      <c r="AH484" s="2629"/>
      <c r="AI484" s="2628"/>
      <c r="AJ484" s="2629"/>
      <c r="AK484" s="2671">
        <f>SUM(AC484:AD484)</f>
        <v>0</v>
      </c>
      <c r="AL484" s="3464"/>
      <c r="AM484" s="3448"/>
      <c r="AN484" s="3448"/>
      <c r="AO484" s="3448"/>
      <c r="AP484" s="3448"/>
      <c r="AQ484" s="3448"/>
      <c r="AR484" s="3458" t="e">
        <f t="shared" si="139"/>
        <v>#DIV/0!</v>
      </c>
      <c r="AS484" s="3459">
        <f t="shared" si="141"/>
        <v>0</v>
      </c>
    </row>
    <row r="485" spans="1:45" s="1444" customFormat="1" ht="27.95" customHeight="1">
      <c r="A485" s="3274">
        <v>9</v>
      </c>
      <c r="B485" s="2158" t="s">
        <v>2623</v>
      </c>
      <c r="C485" s="3087"/>
      <c r="D485" s="2147"/>
      <c r="E485" s="2147"/>
      <c r="F485" s="2147"/>
      <c r="G485" s="2149"/>
      <c r="H485" s="3636"/>
      <c r="I485" s="3636" t="s">
        <v>78</v>
      </c>
      <c r="J485" s="3646" t="s">
        <v>1390</v>
      </c>
      <c r="K485" s="3646">
        <v>99999</v>
      </c>
      <c r="L485" s="3667" t="s">
        <v>430</v>
      </c>
      <c r="M485" s="3666"/>
      <c r="N485" s="3641"/>
      <c r="O485" s="3642"/>
      <c r="P485" s="3636"/>
      <c r="Q485" s="3636"/>
      <c r="R485" s="3636"/>
      <c r="S485" s="2877" t="s">
        <v>2219</v>
      </c>
      <c r="T485" s="3636"/>
      <c r="U485" s="3641">
        <v>20</v>
      </c>
      <c r="V485" s="3642"/>
      <c r="W485" s="5420" t="s">
        <v>1384</v>
      </c>
      <c r="X485" s="5421"/>
      <c r="Y485" s="3286"/>
      <c r="Z485" s="3286"/>
      <c r="AA485" s="5453">
        <f t="shared" si="140"/>
        <v>0</v>
      </c>
      <c r="AB485" s="5352"/>
      <c r="AC485" s="2682"/>
      <c r="AD485" s="3289"/>
      <c r="AE485" s="2628"/>
      <c r="AF485" s="2629"/>
      <c r="AG485" s="2628"/>
      <c r="AH485" s="2629"/>
      <c r="AI485" s="2628"/>
      <c r="AJ485" s="2629"/>
      <c r="AK485" s="2671">
        <f t="shared" si="120"/>
        <v>0</v>
      </c>
      <c r="AL485" s="3464"/>
      <c r="AM485" s="3448"/>
      <c r="AN485" s="3448"/>
      <c r="AO485" s="3448"/>
      <c r="AP485" s="3448"/>
      <c r="AQ485" s="3448"/>
      <c r="AR485" s="3458" t="e">
        <f t="shared" si="139"/>
        <v>#DIV/0!</v>
      </c>
      <c r="AS485" s="3459">
        <f t="shared" si="141"/>
        <v>0</v>
      </c>
    </row>
    <row r="486" spans="1:45" s="1444" customFormat="1" ht="27.95" customHeight="1">
      <c r="A486" s="3274">
        <v>10</v>
      </c>
      <c r="B486" s="2158" t="s">
        <v>2624</v>
      </c>
      <c r="C486" s="3087"/>
      <c r="D486" s="2147"/>
      <c r="E486" s="2147"/>
      <c r="F486" s="2147"/>
      <c r="G486" s="2149"/>
      <c r="H486" s="3636"/>
      <c r="I486" s="3636" t="s">
        <v>78</v>
      </c>
      <c r="J486" s="3646" t="s">
        <v>1391</v>
      </c>
      <c r="K486" s="3646">
        <v>99999</v>
      </c>
      <c r="L486" s="3667" t="s">
        <v>430</v>
      </c>
      <c r="M486" s="3666"/>
      <c r="N486" s="3641"/>
      <c r="O486" s="3642"/>
      <c r="P486" s="3636"/>
      <c r="Q486" s="3636"/>
      <c r="R486" s="3636"/>
      <c r="S486" s="2877" t="s">
        <v>2220</v>
      </c>
      <c r="T486" s="3636"/>
      <c r="U486" s="3641">
        <v>20</v>
      </c>
      <c r="V486" s="3642"/>
      <c r="W486" s="5420" t="s">
        <v>1384</v>
      </c>
      <c r="X486" s="5421"/>
      <c r="Y486" s="3286"/>
      <c r="Z486" s="3286"/>
      <c r="AA486" s="5453">
        <f t="shared" si="140"/>
        <v>0</v>
      </c>
      <c r="AB486" s="5352"/>
      <c r="AC486" s="2682"/>
      <c r="AD486" s="3289"/>
      <c r="AE486" s="2628"/>
      <c r="AF486" s="2629"/>
      <c r="AG486" s="2628"/>
      <c r="AH486" s="2629"/>
      <c r="AI486" s="2628"/>
      <c r="AJ486" s="2629"/>
      <c r="AK486" s="2671">
        <f t="shared" si="120"/>
        <v>0</v>
      </c>
      <c r="AL486" s="3464"/>
      <c r="AM486" s="3448"/>
      <c r="AN486" s="3448"/>
      <c r="AO486" s="3448"/>
      <c r="AP486" s="3448"/>
      <c r="AQ486" s="3448"/>
      <c r="AR486" s="3458" t="e">
        <f t="shared" si="139"/>
        <v>#DIV/0!</v>
      </c>
      <c r="AS486" s="3459">
        <f t="shared" si="141"/>
        <v>0</v>
      </c>
    </row>
    <row r="487" spans="1:45" s="1444" customFormat="1" ht="27.95" customHeight="1">
      <c r="A487" s="3274">
        <v>11</v>
      </c>
      <c r="B487" s="2158" t="s">
        <v>2625</v>
      </c>
      <c r="C487" s="3087"/>
      <c r="D487" s="2147"/>
      <c r="E487" s="2147"/>
      <c r="F487" s="2147"/>
      <c r="G487" s="2149"/>
      <c r="H487" s="3636"/>
      <c r="I487" s="3636" t="s">
        <v>78</v>
      </c>
      <c r="J487" s="3646" t="s">
        <v>1394</v>
      </c>
      <c r="K487" s="3646">
        <v>99999</v>
      </c>
      <c r="L487" s="3667" t="s">
        <v>430</v>
      </c>
      <c r="M487" s="3666"/>
      <c r="N487" s="3641"/>
      <c r="O487" s="3642"/>
      <c r="P487" s="3636"/>
      <c r="Q487" s="3636"/>
      <c r="R487" s="3636"/>
      <c r="S487" s="2877" t="s">
        <v>2221</v>
      </c>
      <c r="T487" s="3636"/>
      <c r="U487" s="3641">
        <v>20</v>
      </c>
      <c r="V487" s="3642"/>
      <c r="W487" s="5420" t="s">
        <v>1384</v>
      </c>
      <c r="X487" s="5421"/>
      <c r="Y487" s="3286"/>
      <c r="Z487" s="3286"/>
      <c r="AA487" s="5453">
        <f t="shared" si="140"/>
        <v>0</v>
      </c>
      <c r="AB487" s="5352"/>
      <c r="AC487" s="2682"/>
      <c r="AD487" s="3289"/>
      <c r="AE487" s="2628"/>
      <c r="AF487" s="2629"/>
      <c r="AG487" s="2628"/>
      <c r="AH487" s="2629"/>
      <c r="AI487" s="2628"/>
      <c r="AJ487" s="2629"/>
      <c r="AK487" s="2671">
        <f t="shared" ref="AK487:AK543" si="142">SUM(AC487:AD487)</f>
        <v>0</v>
      </c>
      <c r="AL487" s="3464"/>
      <c r="AM487" s="3448"/>
      <c r="AN487" s="3448"/>
      <c r="AO487" s="3448"/>
      <c r="AP487" s="3448"/>
      <c r="AQ487" s="3448"/>
      <c r="AR487" s="3458" t="e">
        <f t="shared" si="139"/>
        <v>#DIV/0!</v>
      </c>
      <c r="AS487" s="3459">
        <f t="shared" si="141"/>
        <v>0</v>
      </c>
    </row>
    <row r="488" spans="1:45" s="1444" customFormat="1" ht="27.95" customHeight="1">
      <c r="A488" s="3274">
        <v>12</v>
      </c>
      <c r="B488" s="2158" t="s">
        <v>2626</v>
      </c>
      <c r="C488" s="3087"/>
      <c r="D488" s="2147"/>
      <c r="E488" s="2147"/>
      <c r="F488" s="2147"/>
      <c r="G488" s="2149"/>
      <c r="H488" s="3636"/>
      <c r="I488" s="3636" t="s">
        <v>78</v>
      </c>
      <c r="J488" s="3646" t="s">
        <v>1392</v>
      </c>
      <c r="K488" s="3646">
        <v>99999</v>
      </c>
      <c r="L488" s="3667" t="s">
        <v>397</v>
      </c>
      <c r="M488" s="3666"/>
      <c r="N488" s="3641"/>
      <c r="O488" s="3642"/>
      <c r="P488" s="3636"/>
      <c r="Q488" s="3636"/>
      <c r="R488" s="3636"/>
      <c r="S488" s="2877" t="s">
        <v>2222</v>
      </c>
      <c r="T488" s="3636"/>
      <c r="U488" s="3641">
        <v>20</v>
      </c>
      <c r="V488" s="3642"/>
      <c r="W488" s="5420" t="s">
        <v>1384</v>
      </c>
      <c r="X488" s="5421"/>
      <c r="Y488" s="3286"/>
      <c r="Z488" s="3286"/>
      <c r="AA488" s="5453">
        <f t="shared" si="140"/>
        <v>0</v>
      </c>
      <c r="AB488" s="5352"/>
      <c r="AC488" s="2682"/>
      <c r="AD488" s="3289"/>
      <c r="AE488" s="2628"/>
      <c r="AF488" s="2629"/>
      <c r="AG488" s="2628"/>
      <c r="AH488" s="2629"/>
      <c r="AI488" s="2628"/>
      <c r="AJ488" s="2629"/>
      <c r="AK488" s="2671">
        <f t="shared" si="142"/>
        <v>0</v>
      </c>
      <c r="AL488" s="3464"/>
      <c r="AM488" s="3448"/>
      <c r="AN488" s="3448"/>
      <c r="AO488" s="3448"/>
      <c r="AP488" s="3448"/>
      <c r="AQ488" s="3448"/>
      <c r="AR488" s="3458" t="e">
        <f t="shared" si="139"/>
        <v>#DIV/0!</v>
      </c>
      <c r="AS488" s="3459">
        <f t="shared" si="141"/>
        <v>0</v>
      </c>
    </row>
    <row r="489" spans="1:45" s="1444" customFormat="1" ht="27.95" customHeight="1">
      <c r="A489" s="3274">
        <v>13</v>
      </c>
      <c r="B489" s="2158" t="s">
        <v>2627</v>
      </c>
      <c r="C489" s="3087"/>
      <c r="D489" s="2147"/>
      <c r="E489" s="2147"/>
      <c r="F489" s="2147"/>
      <c r="G489" s="2149"/>
      <c r="H489" s="3636"/>
      <c r="I489" s="3636" t="s">
        <v>78</v>
      </c>
      <c r="J489" s="3646" t="s">
        <v>1393</v>
      </c>
      <c r="K489" s="3646">
        <v>99999</v>
      </c>
      <c r="L489" s="3667" t="s">
        <v>397</v>
      </c>
      <c r="M489" s="3666"/>
      <c r="N489" s="3639"/>
      <c r="O489" s="3640"/>
      <c r="P489" s="3636"/>
      <c r="Q489" s="3636"/>
      <c r="R489" s="3636"/>
      <c r="S489" s="2877" t="s">
        <v>2223</v>
      </c>
      <c r="T489" s="3636"/>
      <c r="U489" s="3641">
        <v>20</v>
      </c>
      <c r="V489" s="3642"/>
      <c r="W489" s="5420" t="s">
        <v>1384</v>
      </c>
      <c r="X489" s="5421"/>
      <c r="Y489" s="3286"/>
      <c r="Z489" s="3286"/>
      <c r="AA489" s="5453">
        <f t="shared" si="140"/>
        <v>0</v>
      </c>
      <c r="AB489" s="5352"/>
      <c r="AC489" s="2682"/>
      <c r="AD489" s="3289"/>
      <c r="AE489" s="2628"/>
      <c r="AF489" s="2629"/>
      <c r="AG489" s="2628"/>
      <c r="AH489" s="2629"/>
      <c r="AI489" s="2628"/>
      <c r="AJ489" s="2629"/>
      <c r="AK489" s="2671">
        <f t="shared" si="142"/>
        <v>0</v>
      </c>
      <c r="AL489" s="3464"/>
      <c r="AM489" s="3448"/>
      <c r="AN489" s="3448"/>
      <c r="AO489" s="3448"/>
      <c r="AP489" s="3448"/>
      <c r="AQ489" s="3448"/>
      <c r="AR489" s="3458" t="e">
        <f t="shared" si="139"/>
        <v>#DIV/0!</v>
      </c>
      <c r="AS489" s="3459">
        <f t="shared" si="141"/>
        <v>0</v>
      </c>
    </row>
    <row r="490" spans="1:45" s="1444" customFormat="1" ht="27.95" customHeight="1">
      <c r="A490" s="3274">
        <v>14</v>
      </c>
      <c r="B490" s="2158" t="s">
        <v>2628</v>
      </c>
      <c r="C490" s="3087"/>
      <c r="D490" s="2147"/>
      <c r="E490" s="2147"/>
      <c r="F490" s="2147"/>
      <c r="G490" s="2149"/>
      <c r="H490" s="3636" t="s">
        <v>78</v>
      </c>
      <c r="I490" s="3636"/>
      <c r="J490" s="3646" t="s">
        <v>1395</v>
      </c>
      <c r="K490" s="3646">
        <v>99999</v>
      </c>
      <c r="L490" s="3671" t="s">
        <v>426</v>
      </c>
      <c r="M490" s="3672"/>
      <c r="N490" s="5419"/>
      <c r="O490" s="5418"/>
      <c r="P490" s="3636"/>
      <c r="Q490" s="3636"/>
      <c r="R490" s="3636"/>
      <c r="S490" s="2877" t="s">
        <v>2224</v>
      </c>
      <c r="T490" s="3636"/>
      <c r="U490" s="5419">
        <v>20</v>
      </c>
      <c r="V490" s="5418"/>
      <c r="W490" s="5351" t="s">
        <v>1384</v>
      </c>
      <c r="X490" s="5351"/>
      <c r="Y490" s="3286"/>
      <c r="Z490" s="3286"/>
      <c r="AA490" s="5453">
        <f t="shared" si="140"/>
        <v>0</v>
      </c>
      <c r="AB490" s="5352"/>
      <c r="AC490" s="2682"/>
      <c r="AD490" s="3289"/>
      <c r="AE490" s="2628"/>
      <c r="AF490" s="2629"/>
      <c r="AG490" s="2628"/>
      <c r="AH490" s="2629"/>
      <c r="AI490" s="2628"/>
      <c r="AJ490" s="2629"/>
      <c r="AK490" s="2671">
        <f t="shared" si="142"/>
        <v>0</v>
      </c>
      <c r="AL490" s="3464"/>
      <c r="AM490" s="3448"/>
      <c r="AN490" s="3448"/>
      <c r="AO490" s="3448"/>
      <c r="AP490" s="3448"/>
      <c r="AQ490" s="3448"/>
      <c r="AR490" s="3458" t="e">
        <f t="shared" si="139"/>
        <v>#DIV/0!</v>
      </c>
      <c r="AS490" s="3459">
        <f t="shared" si="141"/>
        <v>0</v>
      </c>
    </row>
    <row r="491" spans="1:45" s="1444" customFormat="1" ht="27.95" customHeight="1">
      <c r="A491" s="3274"/>
      <c r="B491" s="2158"/>
      <c r="C491" s="3087"/>
      <c r="D491" s="2147"/>
      <c r="E491" s="2147"/>
      <c r="F491" s="2147"/>
      <c r="G491" s="2149"/>
      <c r="H491" s="3274"/>
      <c r="I491" s="3274"/>
      <c r="J491" s="3290"/>
      <c r="K491" s="3290"/>
      <c r="L491" s="3671"/>
      <c r="M491" s="3672"/>
      <c r="N491" s="5419"/>
      <c r="O491" s="5418"/>
      <c r="P491" s="3274"/>
      <c r="Q491" s="3274"/>
      <c r="R491" s="3274"/>
      <c r="S491" s="2877"/>
      <c r="T491" s="3274"/>
      <c r="U491" s="5419"/>
      <c r="V491" s="5418"/>
      <c r="W491" s="5351"/>
      <c r="X491" s="5351"/>
      <c r="Y491" s="3286"/>
      <c r="Z491" s="3286"/>
      <c r="AA491" s="5453">
        <f t="shared" si="140"/>
        <v>0</v>
      </c>
      <c r="AB491" s="5352"/>
      <c r="AC491" s="2682"/>
      <c r="AD491" s="3289"/>
      <c r="AE491" s="2628"/>
      <c r="AF491" s="2629"/>
      <c r="AG491" s="2628"/>
      <c r="AH491" s="2629"/>
      <c r="AI491" s="2628"/>
      <c r="AJ491" s="2629"/>
      <c r="AK491" s="2671">
        <f t="shared" si="142"/>
        <v>0</v>
      </c>
      <c r="AL491" s="3464"/>
      <c r="AM491" s="3448"/>
      <c r="AN491" s="3448"/>
      <c r="AO491" s="3448"/>
      <c r="AP491" s="3448"/>
      <c r="AQ491" s="3448"/>
      <c r="AR491" s="3458" t="e">
        <f t="shared" ref="AR491:AR503" si="143">SUM(AM491:AQ491)/AS491</f>
        <v>#DIV/0!</v>
      </c>
      <c r="AS491" s="3459">
        <f t="shared" si="141"/>
        <v>0</v>
      </c>
    </row>
    <row r="492" spans="1:45" s="1444" customFormat="1" ht="27.95" customHeight="1">
      <c r="A492" s="3274"/>
      <c r="B492" s="2151"/>
      <c r="C492" s="3087"/>
      <c r="D492" s="2147"/>
      <c r="E492" s="2147"/>
      <c r="F492" s="2147"/>
      <c r="G492" s="2149"/>
      <c r="H492" s="3274"/>
      <c r="I492" s="3274"/>
      <c r="J492" s="3274"/>
      <c r="K492" s="3274"/>
      <c r="L492" s="3671"/>
      <c r="M492" s="3676"/>
      <c r="N492" s="5350"/>
      <c r="O492" s="5350"/>
      <c r="P492" s="3274"/>
      <c r="Q492" s="3274"/>
      <c r="R492" s="3274"/>
      <c r="S492" s="2875"/>
      <c r="T492" s="3274"/>
      <c r="U492" s="5350"/>
      <c r="V492" s="5350"/>
      <c r="W492" s="5351"/>
      <c r="X492" s="5351"/>
      <c r="Y492" s="3286"/>
      <c r="Z492" s="3286"/>
      <c r="AA492" s="5453">
        <f t="shared" si="140"/>
        <v>0</v>
      </c>
      <c r="AB492" s="5352"/>
      <c r="AC492" s="2682"/>
      <c r="AD492" s="3289"/>
      <c r="AE492" s="2628"/>
      <c r="AF492" s="2629"/>
      <c r="AG492" s="2628"/>
      <c r="AH492" s="2629"/>
      <c r="AI492" s="2628"/>
      <c r="AJ492" s="2629"/>
      <c r="AK492" s="2671">
        <f t="shared" si="142"/>
        <v>0</v>
      </c>
      <c r="AL492" s="3464"/>
      <c r="AM492" s="3448"/>
      <c r="AN492" s="3448"/>
      <c r="AO492" s="3448"/>
      <c r="AP492" s="3448"/>
      <c r="AQ492" s="3448"/>
      <c r="AR492" s="3458" t="e">
        <f t="shared" si="143"/>
        <v>#DIV/0!</v>
      </c>
      <c r="AS492" s="3459">
        <f t="shared" si="141"/>
        <v>0</v>
      </c>
    </row>
    <row r="493" spans="1:45" s="1444" customFormat="1" ht="27.95" customHeight="1">
      <c r="A493" s="3274"/>
      <c r="B493" s="2728"/>
      <c r="C493" s="3087"/>
      <c r="D493" s="2147"/>
      <c r="E493" s="2147"/>
      <c r="F493" s="2147"/>
      <c r="G493" s="2149"/>
      <c r="H493" s="3274"/>
      <c r="I493" s="3551"/>
      <c r="J493" s="3552"/>
      <c r="K493" s="3552"/>
      <c r="L493" s="3673"/>
      <c r="M493" s="3672"/>
      <c r="N493" s="5350"/>
      <c r="O493" s="5350"/>
      <c r="P493" s="3551"/>
      <c r="Q493" s="3551"/>
      <c r="R493" s="3551"/>
      <c r="S493" s="2877"/>
      <c r="T493" s="3551"/>
      <c r="U493" s="5350"/>
      <c r="V493" s="5350"/>
      <c r="W493" s="5394"/>
      <c r="X493" s="5394"/>
      <c r="Y493" s="3286"/>
      <c r="Z493" s="3286"/>
      <c r="AA493" s="5453">
        <f t="shared" si="140"/>
        <v>0</v>
      </c>
      <c r="AB493" s="5352"/>
      <c r="AC493" s="2682"/>
      <c r="AD493" s="3289"/>
      <c r="AE493" s="2628"/>
      <c r="AF493" s="2629"/>
      <c r="AG493" s="2628"/>
      <c r="AH493" s="2629"/>
      <c r="AI493" s="2628"/>
      <c r="AJ493" s="2629"/>
      <c r="AK493" s="2671">
        <f t="shared" si="142"/>
        <v>0</v>
      </c>
      <c r="AL493" s="3464"/>
      <c r="AM493" s="3448"/>
      <c r="AN493" s="3448"/>
      <c r="AO493" s="3448"/>
      <c r="AP493" s="3448"/>
      <c r="AQ493" s="3448"/>
      <c r="AR493" s="3458" t="e">
        <f t="shared" si="143"/>
        <v>#DIV/0!</v>
      </c>
      <c r="AS493" s="3459">
        <f t="shared" si="141"/>
        <v>0</v>
      </c>
    </row>
    <row r="494" spans="1:45" s="1444" customFormat="1" ht="27.95" customHeight="1">
      <c r="A494" s="3274"/>
      <c r="B494" s="2728"/>
      <c r="C494" s="3651"/>
      <c r="D494" s="2152"/>
      <c r="E494" s="2152"/>
      <c r="F494" s="2152"/>
      <c r="G494" s="2153"/>
      <c r="H494" s="3274"/>
      <c r="I494" s="3274"/>
      <c r="J494" s="3274"/>
      <c r="K494" s="3274"/>
      <c r="L494" s="3671"/>
      <c r="M494" s="3676"/>
      <c r="N494" s="5349"/>
      <c r="O494" s="5349"/>
      <c r="P494" s="3274"/>
      <c r="Q494" s="3274"/>
      <c r="R494" s="3274"/>
      <c r="S494" s="2875"/>
      <c r="T494" s="3274"/>
      <c r="U494" s="5349"/>
      <c r="V494" s="5349"/>
      <c r="W494" s="5351"/>
      <c r="X494" s="5351"/>
      <c r="Y494" s="3286"/>
      <c r="Z494" s="3286"/>
      <c r="AA494" s="5453">
        <f t="shared" si="140"/>
        <v>0</v>
      </c>
      <c r="AB494" s="5352"/>
      <c r="AC494" s="2682"/>
      <c r="AD494" s="3289"/>
      <c r="AE494" s="2628"/>
      <c r="AF494" s="2629"/>
      <c r="AG494" s="2628"/>
      <c r="AH494" s="2629"/>
      <c r="AI494" s="2628"/>
      <c r="AJ494" s="2629"/>
      <c r="AK494" s="2671">
        <f t="shared" si="142"/>
        <v>0</v>
      </c>
      <c r="AL494" s="3464"/>
      <c r="AM494" s="3448"/>
      <c r="AN494" s="3448"/>
      <c r="AO494" s="3448"/>
      <c r="AP494" s="3448"/>
      <c r="AQ494" s="3448"/>
      <c r="AR494" s="3458" t="e">
        <f t="shared" si="143"/>
        <v>#DIV/0!</v>
      </c>
      <c r="AS494" s="3459">
        <f t="shared" si="141"/>
        <v>0</v>
      </c>
    </row>
    <row r="495" spans="1:45" s="1444" customFormat="1" ht="27.95" customHeight="1">
      <c r="A495" s="3274"/>
      <c r="B495" s="2158"/>
      <c r="C495" s="3087"/>
      <c r="D495" s="2147"/>
      <c r="E495" s="2147"/>
      <c r="F495" s="2147"/>
      <c r="G495" s="2149"/>
      <c r="H495" s="3636"/>
      <c r="I495" s="3636"/>
      <c r="J495" s="3646"/>
      <c r="K495" s="3646"/>
      <c r="L495" s="3671"/>
      <c r="M495" s="3672"/>
      <c r="N495" s="5419"/>
      <c r="O495" s="5418"/>
      <c r="P495" s="3636"/>
      <c r="Q495" s="3636"/>
      <c r="R495" s="3636"/>
      <c r="S495" s="2877"/>
      <c r="T495" s="3636"/>
      <c r="U495" s="5419"/>
      <c r="V495" s="5418"/>
      <c r="W495" s="5351"/>
      <c r="X495" s="5351"/>
      <c r="Y495" s="3286"/>
      <c r="Z495" s="3286"/>
      <c r="AA495" s="5453">
        <f t="shared" si="140"/>
        <v>0</v>
      </c>
      <c r="AB495" s="5352"/>
      <c r="AC495" s="2682"/>
      <c r="AD495" s="3289"/>
      <c r="AE495" s="2628"/>
      <c r="AF495" s="2629"/>
      <c r="AG495" s="2628"/>
      <c r="AH495" s="2629"/>
      <c r="AI495" s="2628"/>
      <c r="AJ495" s="2629"/>
      <c r="AK495" s="2671">
        <f t="shared" si="142"/>
        <v>0</v>
      </c>
      <c r="AL495" s="3464"/>
      <c r="AM495" s="3448"/>
      <c r="AN495" s="3448"/>
      <c r="AO495" s="3448"/>
      <c r="AP495" s="3448"/>
      <c r="AQ495" s="3448"/>
      <c r="AR495" s="3458" t="e">
        <f t="shared" si="143"/>
        <v>#DIV/0!</v>
      </c>
      <c r="AS495" s="3459">
        <f t="shared" si="141"/>
        <v>0</v>
      </c>
    </row>
    <row r="496" spans="1:45" s="1444" customFormat="1" ht="27.95" customHeight="1">
      <c r="A496" s="3274"/>
      <c r="B496" s="2158"/>
      <c r="C496" s="3087"/>
      <c r="D496" s="2147"/>
      <c r="E496" s="2147"/>
      <c r="F496" s="2147"/>
      <c r="G496" s="2149"/>
      <c r="H496" s="3636"/>
      <c r="I496" s="3636"/>
      <c r="J496" s="3646"/>
      <c r="K496" s="3646"/>
      <c r="L496" s="3671"/>
      <c r="M496" s="3672"/>
      <c r="N496" s="5419"/>
      <c r="O496" s="5418"/>
      <c r="P496" s="3636"/>
      <c r="Q496" s="3636"/>
      <c r="R496" s="3636"/>
      <c r="S496" s="2877"/>
      <c r="T496" s="3636"/>
      <c r="U496" s="5419"/>
      <c r="V496" s="5418"/>
      <c r="W496" s="5351"/>
      <c r="X496" s="5351"/>
      <c r="Y496" s="3286"/>
      <c r="Z496" s="3286"/>
      <c r="AA496" s="5453">
        <f t="shared" si="140"/>
        <v>0</v>
      </c>
      <c r="AB496" s="5352"/>
      <c r="AC496" s="2682"/>
      <c r="AD496" s="3289"/>
      <c r="AE496" s="2628"/>
      <c r="AF496" s="2629"/>
      <c r="AG496" s="2628"/>
      <c r="AH496" s="2629"/>
      <c r="AI496" s="2628"/>
      <c r="AJ496" s="2629"/>
      <c r="AK496" s="2671">
        <f t="shared" si="142"/>
        <v>0</v>
      </c>
      <c r="AL496" s="3464"/>
      <c r="AM496" s="3448"/>
      <c r="AN496" s="3448"/>
      <c r="AO496" s="3448"/>
      <c r="AP496" s="3448"/>
      <c r="AQ496" s="3448"/>
      <c r="AR496" s="3458" t="e">
        <f t="shared" si="143"/>
        <v>#DIV/0!</v>
      </c>
      <c r="AS496" s="3459">
        <f t="shared" si="141"/>
        <v>0</v>
      </c>
    </row>
    <row r="497" spans="1:45" s="1444" customFormat="1" ht="27.95" customHeight="1">
      <c r="A497" s="3274"/>
      <c r="B497" s="2728"/>
      <c r="C497" s="3651"/>
      <c r="D497" s="2147"/>
      <c r="E497" s="2147"/>
      <c r="F497" s="2147"/>
      <c r="G497" s="2149"/>
      <c r="H497" s="3636"/>
      <c r="I497" s="3636"/>
      <c r="J497" s="3646"/>
      <c r="K497" s="3646"/>
      <c r="L497" s="3671"/>
      <c r="M497" s="3672"/>
      <c r="N497" s="5419"/>
      <c r="O497" s="5418"/>
      <c r="P497" s="3636"/>
      <c r="Q497" s="3636"/>
      <c r="R497" s="3636"/>
      <c r="S497" s="2877"/>
      <c r="T497" s="3636"/>
      <c r="U497" s="5419"/>
      <c r="V497" s="5418"/>
      <c r="W497" s="5351"/>
      <c r="X497" s="5351"/>
      <c r="Y497" s="3286"/>
      <c r="Z497" s="3286"/>
      <c r="AA497" s="5453">
        <f t="shared" si="140"/>
        <v>0</v>
      </c>
      <c r="AB497" s="5352"/>
      <c r="AC497" s="2682"/>
      <c r="AD497" s="3289"/>
      <c r="AE497" s="2628"/>
      <c r="AF497" s="2629"/>
      <c r="AG497" s="2628"/>
      <c r="AH497" s="2629"/>
      <c r="AI497" s="2628"/>
      <c r="AJ497" s="2629"/>
      <c r="AK497" s="2671">
        <f t="shared" si="142"/>
        <v>0</v>
      </c>
      <c r="AL497" s="3464"/>
      <c r="AM497" s="3448"/>
      <c r="AN497" s="3448"/>
      <c r="AO497" s="3448"/>
      <c r="AP497" s="3448"/>
      <c r="AQ497" s="3448"/>
      <c r="AR497" s="3458" t="e">
        <f t="shared" si="143"/>
        <v>#DIV/0!</v>
      </c>
      <c r="AS497" s="3459">
        <f t="shared" si="141"/>
        <v>0</v>
      </c>
    </row>
    <row r="498" spans="1:45" s="1444" customFormat="1" ht="27.95" customHeight="1">
      <c r="A498" s="3274"/>
      <c r="B498" s="3652"/>
      <c r="C498" s="3630"/>
      <c r="D498" s="2150"/>
      <c r="E498" s="2150"/>
      <c r="F498" s="2150"/>
      <c r="G498" s="2727"/>
      <c r="H498" s="3636"/>
      <c r="I498" s="3636"/>
      <c r="J498" s="3646"/>
      <c r="K498" s="3646"/>
      <c r="L498" s="3673"/>
      <c r="M498" s="3672"/>
      <c r="N498" s="5350"/>
      <c r="O498" s="5350"/>
      <c r="P498" s="3636"/>
      <c r="Q498" s="3636"/>
      <c r="R498" s="3636"/>
      <c r="S498" s="2877"/>
      <c r="T498" s="3636"/>
      <c r="U498" s="5350"/>
      <c r="V498" s="5350"/>
      <c r="W498" s="5351"/>
      <c r="X498" s="5351"/>
      <c r="Y498" s="3286"/>
      <c r="Z498" s="3286"/>
      <c r="AA498" s="5453">
        <f t="shared" si="140"/>
        <v>0</v>
      </c>
      <c r="AB498" s="5352"/>
      <c r="AC498" s="2682"/>
      <c r="AD498" s="3289"/>
      <c r="AE498" s="2628"/>
      <c r="AF498" s="2629"/>
      <c r="AG498" s="2628"/>
      <c r="AH498" s="2629"/>
      <c r="AI498" s="2628"/>
      <c r="AJ498" s="2629"/>
      <c r="AK498" s="2671">
        <f t="shared" si="142"/>
        <v>0</v>
      </c>
      <c r="AL498" s="3464"/>
      <c r="AM498" s="3448"/>
      <c r="AN498" s="3448"/>
      <c r="AO498" s="3448"/>
      <c r="AP498" s="3448"/>
      <c r="AQ498" s="3448"/>
      <c r="AR498" s="3458" t="e">
        <f t="shared" si="143"/>
        <v>#DIV/0!</v>
      </c>
      <c r="AS498" s="3459">
        <f t="shared" si="141"/>
        <v>0</v>
      </c>
    </row>
    <row r="499" spans="1:45" s="1444" customFormat="1" ht="27.95" customHeight="1">
      <c r="A499" s="3274"/>
      <c r="B499" s="2151"/>
      <c r="C499" s="2147"/>
      <c r="D499" s="2147"/>
      <c r="E499" s="2147"/>
      <c r="F499" s="2147"/>
      <c r="G499" s="2149"/>
      <c r="H499" s="3274"/>
      <c r="I499" s="3274"/>
      <c r="J499" s="3274"/>
      <c r="K499" s="3274"/>
      <c r="L499" s="3673"/>
      <c r="M499" s="3672"/>
      <c r="N499" s="5350"/>
      <c r="O499" s="5350"/>
      <c r="P499" s="3274"/>
      <c r="Q499" s="3274"/>
      <c r="R499" s="3274"/>
      <c r="S499" s="2875"/>
      <c r="T499" s="3274"/>
      <c r="U499" s="5350"/>
      <c r="V499" s="5350"/>
      <c r="W499" s="5351"/>
      <c r="X499" s="5351"/>
      <c r="Y499" s="3286"/>
      <c r="Z499" s="3286"/>
      <c r="AA499" s="5453">
        <f t="shared" si="140"/>
        <v>0</v>
      </c>
      <c r="AB499" s="5352"/>
      <c r="AC499" s="2682"/>
      <c r="AD499" s="3289"/>
      <c r="AE499" s="2628"/>
      <c r="AF499" s="2629"/>
      <c r="AG499" s="2628"/>
      <c r="AH499" s="2629"/>
      <c r="AI499" s="2628"/>
      <c r="AJ499" s="2629"/>
      <c r="AK499" s="2671">
        <f t="shared" si="142"/>
        <v>0</v>
      </c>
      <c r="AL499" s="3464"/>
      <c r="AM499" s="3448"/>
      <c r="AN499" s="3448"/>
      <c r="AO499" s="3448"/>
      <c r="AP499" s="3448"/>
      <c r="AQ499" s="3448"/>
      <c r="AR499" s="3458" t="e">
        <f t="shared" si="143"/>
        <v>#DIV/0!</v>
      </c>
      <c r="AS499" s="3459">
        <f t="shared" si="141"/>
        <v>0</v>
      </c>
    </row>
    <row r="500" spans="1:45" s="1444" customFormat="1" ht="27.95" customHeight="1">
      <c r="A500" s="3274"/>
      <c r="B500" s="2151"/>
      <c r="C500" s="2147"/>
      <c r="D500" s="2147"/>
      <c r="E500" s="2147"/>
      <c r="F500" s="2147"/>
      <c r="G500" s="2149"/>
      <c r="H500" s="3274"/>
      <c r="I500" s="3274"/>
      <c r="J500" s="3274"/>
      <c r="K500" s="3274"/>
      <c r="L500" s="3673"/>
      <c r="M500" s="3672"/>
      <c r="N500" s="5350"/>
      <c r="O500" s="5350"/>
      <c r="P500" s="3274"/>
      <c r="Q500" s="3274"/>
      <c r="R500" s="3274"/>
      <c r="S500" s="2875"/>
      <c r="T500" s="3274"/>
      <c r="U500" s="5350"/>
      <c r="V500" s="5350"/>
      <c r="W500" s="5351"/>
      <c r="X500" s="5351"/>
      <c r="Y500" s="3286"/>
      <c r="Z500" s="3286"/>
      <c r="AA500" s="5453">
        <f t="shared" si="140"/>
        <v>0</v>
      </c>
      <c r="AB500" s="5352"/>
      <c r="AC500" s="2682"/>
      <c r="AD500" s="3289"/>
      <c r="AE500" s="2628"/>
      <c r="AF500" s="2629"/>
      <c r="AG500" s="2628"/>
      <c r="AH500" s="2629"/>
      <c r="AI500" s="2628"/>
      <c r="AJ500" s="2629"/>
      <c r="AK500" s="2671">
        <f t="shared" si="142"/>
        <v>0</v>
      </c>
      <c r="AL500" s="3464"/>
      <c r="AM500" s="3448"/>
      <c r="AN500" s="3448"/>
      <c r="AO500" s="3448"/>
      <c r="AP500" s="3448"/>
      <c r="AQ500" s="3448"/>
      <c r="AR500" s="3458" t="e">
        <f t="shared" si="143"/>
        <v>#DIV/0!</v>
      </c>
      <c r="AS500" s="3459">
        <f t="shared" si="141"/>
        <v>0</v>
      </c>
    </row>
    <row r="501" spans="1:45" s="1444" customFormat="1" ht="27.95" customHeight="1">
      <c r="A501" s="3274"/>
      <c r="B501" s="2151"/>
      <c r="C501" s="2147"/>
      <c r="D501" s="2147"/>
      <c r="E501" s="2147"/>
      <c r="F501" s="2147"/>
      <c r="G501" s="2149"/>
      <c r="H501" s="3274"/>
      <c r="I501" s="3274"/>
      <c r="J501" s="3274"/>
      <c r="K501" s="3274"/>
      <c r="L501" s="3673"/>
      <c r="M501" s="3672"/>
      <c r="N501" s="5350"/>
      <c r="O501" s="5350"/>
      <c r="P501" s="3274"/>
      <c r="Q501" s="3274"/>
      <c r="R501" s="3274"/>
      <c r="S501" s="2875"/>
      <c r="T501" s="3274"/>
      <c r="U501" s="5350"/>
      <c r="V501" s="5350"/>
      <c r="W501" s="5351"/>
      <c r="X501" s="5351"/>
      <c r="Y501" s="3286"/>
      <c r="Z501" s="3286"/>
      <c r="AA501" s="5453">
        <f t="shared" si="140"/>
        <v>0</v>
      </c>
      <c r="AB501" s="5352"/>
      <c r="AC501" s="2682"/>
      <c r="AD501" s="3289"/>
      <c r="AE501" s="2628"/>
      <c r="AF501" s="2629"/>
      <c r="AG501" s="2628"/>
      <c r="AH501" s="2629"/>
      <c r="AI501" s="2628"/>
      <c r="AJ501" s="2629"/>
      <c r="AK501" s="2671">
        <f t="shared" si="142"/>
        <v>0</v>
      </c>
      <c r="AL501" s="3464"/>
      <c r="AM501" s="3448"/>
      <c r="AN501" s="3448"/>
      <c r="AO501" s="3448"/>
      <c r="AP501" s="3448"/>
      <c r="AQ501" s="3448"/>
      <c r="AR501" s="3458" t="e">
        <f t="shared" si="143"/>
        <v>#DIV/0!</v>
      </c>
      <c r="AS501" s="3459">
        <f t="shared" si="141"/>
        <v>0</v>
      </c>
    </row>
    <row r="502" spans="1:45" s="1444" customFormat="1" ht="27.95" customHeight="1">
      <c r="A502" s="3274"/>
      <c r="B502" s="2151"/>
      <c r="C502" s="2147"/>
      <c r="D502" s="2147"/>
      <c r="E502" s="2147"/>
      <c r="F502" s="2147"/>
      <c r="G502" s="2149"/>
      <c r="H502" s="3274"/>
      <c r="I502" s="3274"/>
      <c r="J502" s="3274"/>
      <c r="K502" s="3274"/>
      <c r="L502" s="3673"/>
      <c r="M502" s="3672"/>
      <c r="N502" s="5350"/>
      <c r="O502" s="5350"/>
      <c r="P502" s="3274"/>
      <c r="Q502" s="3274"/>
      <c r="R502" s="3274"/>
      <c r="S502" s="2875"/>
      <c r="T502" s="3274"/>
      <c r="U502" s="5350"/>
      <c r="V502" s="5350"/>
      <c r="W502" s="5351"/>
      <c r="X502" s="5351"/>
      <c r="Y502" s="3286"/>
      <c r="Z502" s="3286"/>
      <c r="AA502" s="5453">
        <f t="shared" si="140"/>
        <v>0</v>
      </c>
      <c r="AB502" s="5352"/>
      <c r="AC502" s="2682"/>
      <c r="AD502" s="3289"/>
      <c r="AE502" s="2628"/>
      <c r="AF502" s="2629"/>
      <c r="AG502" s="2628"/>
      <c r="AH502" s="2629"/>
      <c r="AI502" s="2628"/>
      <c r="AJ502" s="2629"/>
      <c r="AK502" s="2672">
        <f t="shared" si="142"/>
        <v>0</v>
      </c>
      <c r="AL502" s="3464"/>
      <c r="AM502" s="3448"/>
      <c r="AN502" s="3448"/>
      <c r="AO502" s="3448"/>
      <c r="AP502" s="3448"/>
      <c r="AQ502" s="3448"/>
      <c r="AR502" s="3458" t="e">
        <f t="shared" si="143"/>
        <v>#DIV/0!</v>
      </c>
      <c r="AS502" s="3459">
        <f t="shared" si="141"/>
        <v>0</v>
      </c>
    </row>
    <row r="503" spans="1:45" s="1444" customFormat="1" ht="27.95" customHeight="1">
      <c r="A503" s="3273">
        <f>COUNTA(B477:G502)</f>
        <v>13</v>
      </c>
      <c r="B503" s="2961" t="str">
        <f>'[1]0100L'!$S$3</f>
        <v>centroescolarhispano@hotmail.com</v>
      </c>
      <c r="C503" s="2962"/>
      <c r="D503" s="2963"/>
      <c r="E503" s="2964" t="str">
        <f>'[1]0100L'!$C$8</f>
        <v>REG. 311 SMZ. 313 MADROÑO 131</v>
      </c>
      <c r="F503" s="2962"/>
      <c r="G503" s="2965"/>
      <c r="H503" s="3273">
        <f>COUNTIF(H478:H482,"X")</f>
        <v>0</v>
      </c>
      <c r="I503" s="3273">
        <f>COUNTIF(I478:I482,"X")</f>
        <v>3</v>
      </c>
      <c r="J503" s="2966">
        <f>COUNTIF(L477:M502,"docente")</f>
        <v>1</v>
      </c>
      <c r="K503" s="2967">
        <f>COUNTIF(L477:M502,"intendente")</f>
        <v>1</v>
      </c>
      <c r="L503" s="1665">
        <f>COUNTA(N477:O502)</f>
        <v>0</v>
      </c>
      <c r="M503" s="2968">
        <f>COUNTIF(Y477:Y502,"1º")</f>
        <v>1</v>
      </c>
      <c r="N503" s="3278">
        <f>COUNTIF(Y477:Y502,"2º")</f>
        <v>1</v>
      </c>
      <c r="O503" s="3278">
        <f>COUNTIF(Y477:Y502,"3º")</f>
        <v>1</v>
      </c>
      <c r="P503" s="3278">
        <f>COUNTIF(Y477:Y502,"4º")</f>
        <v>1</v>
      </c>
      <c r="Q503" s="3278">
        <f>COUNTIF(Y477:Y502,"5º")</f>
        <v>1</v>
      </c>
      <c r="R503" s="3278">
        <f>COUNTIF(Y477:Y502,"6º")</f>
        <v>1</v>
      </c>
      <c r="S503" s="2968">
        <f>SUM(M503:R503)</f>
        <v>6</v>
      </c>
      <c r="T503" s="3273">
        <f>COUNTA(T477:T502)</f>
        <v>0</v>
      </c>
      <c r="U503" s="2968">
        <f>COUNTIF(U477:V502,"10")</f>
        <v>0</v>
      </c>
      <c r="V503" s="2969">
        <f>COUNTIF(U477:V502,"20")</f>
        <v>10</v>
      </c>
      <c r="W503" s="5336" t="s">
        <v>1232</v>
      </c>
      <c r="X503" s="5456"/>
      <c r="Y503" s="5456"/>
      <c r="Z503" s="3276">
        <f>COUNTA(Z477:Z502)</f>
        <v>6</v>
      </c>
      <c r="AA503" s="5411">
        <f>SUM(AA477:AB502)</f>
        <v>128</v>
      </c>
      <c r="AB503" s="5411"/>
      <c r="AC503" s="2687">
        <f>SUM(AC477:AC502)</f>
        <v>57</v>
      </c>
      <c r="AD503" s="2688">
        <f>SUM(AD477:AD502)</f>
        <v>50</v>
      </c>
      <c r="AE503" s="2630">
        <f t="shared" ref="AE503:AJ503" si="144">SUM(AE477:AE502)</f>
        <v>12</v>
      </c>
      <c r="AF503" s="2631">
        <f t="shared" si="144"/>
        <v>13</v>
      </c>
      <c r="AG503" s="2632">
        <f t="shared" si="144"/>
        <v>2</v>
      </c>
      <c r="AH503" s="2633">
        <f t="shared" si="144"/>
        <v>2</v>
      </c>
      <c r="AI503" s="2634">
        <f t="shared" si="144"/>
        <v>0</v>
      </c>
      <c r="AJ503" s="2635">
        <f t="shared" si="144"/>
        <v>0</v>
      </c>
      <c r="AK503" s="317">
        <f t="shared" si="142"/>
        <v>107</v>
      </c>
      <c r="AL503" s="3461" t="e">
        <f>SUM(AL477:AL502)/AL504</f>
        <v>#DIV/0!</v>
      </c>
      <c r="AM503" s="3465" t="e">
        <f t="shared" ref="AM503" si="145">SUM(AM477:AM502)/AM504</f>
        <v>#DIV/0!</v>
      </c>
      <c r="AN503" s="3460" t="e">
        <f t="shared" ref="AN503" si="146">SUM(AN477:AN502)/AN504</f>
        <v>#DIV/0!</v>
      </c>
      <c r="AO503" s="3460" t="e">
        <f t="shared" ref="AO503" si="147">SUM(AO477:AO502)/AO504</f>
        <v>#DIV/0!</v>
      </c>
      <c r="AP503" s="3460" t="e">
        <f t="shared" ref="AP503" si="148">SUM(AP477:AP502)/AP504</f>
        <v>#DIV/0!</v>
      </c>
      <c r="AQ503" s="3460" t="e">
        <f>SUM(AQ477:AQ502)/AQ504</f>
        <v>#DIV/0!</v>
      </c>
      <c r="AR503" s="3461" t="e">
        <f t="shared" si="143"/>
        <v>#DIV/0!</v>
      </c>
      <c r="AS503" s="3459">
        <f t="shared" si="141"/>
        <v>5</v>
      </c>
    </row>
    <row r="504" spans="1:45" s="1446" customFormat="1" ht="27.95" customHeight="1">
      <c r="A504" s="3690" t="s">
        <v>228</v>
      </c>
      <c r="B504" s="3691">
        <f>SUM(Estadisticas!AM37:AN37)</f>
        <v>3</v>
      </c>
      <c r="C504" s="3691">
        <f>SUM(Estadisticas!AO37:AP37)</f>
        <v>5</v>
      </c>
      <c r="D504" s="3691">
        <f>SUM(Estadisticas!AQ37:AR37)</f>
        <v>3</v>
      </c>
      <c r="E504" s="3691">
        <f>SUM(Estadisticas!AS37:AT37)</f>
        <v>3</v>
      </c>
      <c r="F504" s="3691">
        <f>SUM(Estadisticas!AU37:AV37)</f>
        <v>6</v>
      </c>
      <c r="G504" s="3691">
        <f>SUM(Estadisticas!AW37:AX37)</f>
        <v>6</v>
      </c>
      <c r="H504" s="5412">
        <f>SUM(B504:G504)</f>
        <v>26</v>
      </c>
      <c r="I504" s="5412"/>
      <c r="J504" s="3705"/>
      <c r="K504" s="3705"/>
      <c r="L504" s="3692" t="s">
        <v>1126</v>
      </c>
      <c r="M504" s="3690">
        <f>SUM(AK478)</f>
        <v>17</v>
      </c>
      <c r="N504" s="3690">
        <f>SUM(AK479)</f>
        <v>24</v>
      </c>
      <c r="O504" s="3690">
        <f>SUM(AK480)</f>
        <v>12</v>
      </c>
      <c r="P504" s="3690">
        <f>SUM(AK477)</f>
        <v>15</v>
      </c>
      <c r="Q504" s="3690">
        <f>SUM(AK481)</f>
        <v>19</v>
      </c>
      <c r="R504" s="3690">
        <f>SUM(AK482)</f>
        <v>20</v>
      </c>
      <c r="S504" s="3690">
        <f>SUM(M504:R504)</f>
        <v>107</v>
      </c>
      <c r="T504" s="3707">
        <f>'[1]0100L'!$V$23</f>
        <v>0</v>
      </c>
      <c r="U504" s="3705">
        <f>'[7]VISITA DE INSP.'!$L$39</f>
        <v>2</v>
      </c>
      <c r="V504" s="3705">
        <f>'[7]VISITA DE INSP.'!$L$39</f>
        <v>2</v>
      </c>
      <c r="W504" s="3705">
        <f>'[7]VISITA DE INSP.'!$L$39</f>
        <v>2</v>
      </c>
      <c r="X504" s="3705">
        <f>'[7]VISITA DE INSP.'!$L$39</f>
        <v>2</v>
      </c>
      <c r="Y504" s="3695">
        <f>'[7]VISITA DE INSP.'!$L$39</f>
        <v>2</v>
      </c>
      <c r="Z504" s="3705">
        <f>'[7]VISITA DE INSP.'!$L$39</f>
        <v>2</v>
      </c>
      <c r="AA504" s="5445">
        <f>'[1]0100L'!$X$35</f>
        <v>129</v>
      </c>
      <c r="AB504" s="5445"/>
      <c r="AC504" s="5334">
        <f>AC503+AD503</f>
        <v>107</v>
      </c>
      <c r="AD504" s="5334"/>
      <c r="AE504" s="5335">
        <f>AE503+AF503</f>
        <v>25</v>
      </c>
      <c r="AF504" s="5335"/>
      <c r="AG504" s="5342">
        <f>AG503+AH503</f>
        <v>4</v>
      </c>
      <c r="AH504" s="5342"/>
      <c r="AI504" s="2636"/>
      <c r="AJ504" s="2636"/>
      <c r="AK504" s="2636">
        <f>SUM(AC504:AD504)+AE504</f>
        <v>132</v>
      </c>
      <c r="AL504" s="3462">
        <f>COUNTA(AL477:AL502)</f>
        <v>0</v>
      </c>
      <c r="AM504" s="3462">
        <f t="shared" ref="AM504:AQ504" si="149">COUNTA(AM477:AM502)</f>
        <v>0</v>
      </c>
      <c r="AN504" s="3462">
        <f t="shared" si="149"/>
        <v>0</v>
      </c>
      <c r="AO504" s="3462">
        <f t="shared" si="149"/>
        <v>0</v>
      </c>
      <c r="AP504" s="3462">
        <f t="shared" si="149"/>
        <v>0</v>
      </c>
      <c r="AQ504" s="3462">
        <f t="shared" si="149"/>
        <v>0</v>
      </c>
      <c r="AR504" s="3462">
        <v>12</v>
      </c>
    </row>
    <row r="505" spans="1:45" s="1446" customFormat="1" ht="27.95" customHeight="1">
      <c r="A505" s="3695" t="s">
        <v>230</v>
      </c>
      <c r="B505" s="3695">
        <f>SUM(Estadisticas!AY37:AZ37)</f>
        <v>1</v>
      </c>
      <c r="C505" s="3695">
        <f>SUM(Estadisticas!BA37:BB37)</f>
        <v>1</v>
      </c>
      <c r="D505" s="3695">
        <f>SUM(Estadisticas!BC37:BD37)</f>
        <v>1</v>
      </c>
      <c r="E505" s="3695">
        <f>SUM(Estadisticas!BE37:BF37)</f>
        <v>0</v>
      </c>
      <c r="F505" s="3695">
        <f>SUM(Estadisticas!BG37:BH37)</f>
        <v>1</v>
      </c>
      <c r="G505" s="3695">
        <f>SUM(Estadisticas!BI37:BJ37)</f>
        <v>0</v>
      </c>
      <c r="H505" s="5413">
        <f>SUM(B505:G505)</f>
        <v>4</v>
      </c>
      <c r="I505" s="5413"/>
      <c r="J505" s="3705"/>
      <c r="K505" s="3705"/>
      <c r="L505" s="3696" t="s">
        <v>423</v>
      </c>
      <c r="M505" s="3695">
        <f>SUM(AE478:AF478)</f>
        <v>5</v>
      </c>
      <c r="N505" s="3695">
        <f>SUM(AE479:AF479)</f>
        <v>3</v>
      </c>
      <c r="O505" s="3695">
        <f>SUM(AE480:AF480)</f>
        <v>3</v>
      </c>
      <c r="P505" s="3695">
        <f>SUM(AE477:AF477)</f>
        <v>3</v>
      </c>
      <c r="Q505" s="3695">
        <f>SUM(AE481:AF481)</f>
        <v>5</v>
      </c>
      <c r="R505" s="3695">
        <f>SUM(AE482:AF482)</f>
        <v>6</v>
      </c>
      <c r="S505" s="3695">
        <f t="shared" ref="S505:S506" si="150">SUM(M505:R505)</f>
        <v>25</v>
      </c>
      <c r="T505" s="3697"/>
      <c r="U505" s="3707" t="str">
        <f>U65</f>
        <v>PRE</v>
      </c>
      <c r="V505" s="3707">
        <f>'[1]0100L'!$F$39</f>
        <v>1</v>
      </c>
      <c r="W505" s="3707">
        <f>'[1]0100L'!$I$39</f>
        <v>1</v>
      </c>
      <c r="X505" s="3707">
        <f>'[1]0100L'!$L$39</f>
        <v>1</v>
      </c>
      <c r="Y505" s="3707">
        <f>'[1]0100L'!$O$39</f>
        <v>1</v>
      </c>
      <c r="Z505" s="3707">
        <f>'[1]0100L'!$R$39</f>
        <v>1</v>
      </c>
      <c r="AA505" s="3707">
        <f>'[1]0100L'!$U$39</f>
        <v>1</v>
      </c>
      <c r="AB505" s="3707">
        <f>SUM(V505:AA505)</f>
        <v>6</v>
      </c>
      <c r="AC505" s="2683"/>
      <c r="AD505" s="3238"/>
      <c r="AE505" s="2620"/>
      <c r="AF505" s="2621"/>
      <c r="AG505" s="2620"/>
      <c r="AH505" s="2621"/>
      <c r="AK505" s="2636"/>
      <c r="AL505" s="3448"/>
      <c r="AM505" s="3448"/>
      <c r="AN505" s="3448"/>
      <c r="AO505" s="3448"/>
      <c r="AP505" s="3448"/>
      <c r="AQ505" s="3448"/>
      <c r="AR505" s="3448"/>
    </row>
    <row r="506" spans="1:45" s="1441" customFormat="1" ht="27.95" customHeight="1">
      <c r="A506" s="3698" t="s">
        <v>478</v>
      </c>
      <c r="B506" s="3698">
        <f>SUM(Estadisticas!BK36:BL36)</f>
        <v>0</v>
      </c>
      <c r="C506" s="3698">
        <f>SUM(Estadisticas!BM36:BN36)</f>
        <v>0</v>
      </c>
      <c r="D506" s="3698">
        <f>SUM(Estadisticas!BO36:BP36)</f>
        <v>0</v>
      </c>
      <c r="E506" s="3698">
        <f>SUM(Estadisticas!BQ36:BR36)</f>
        <v>0</v>
      </c>
      <c r="F506" s="3698">
        <f>SUM(Estadisticas!BS36:BT36)</f>
        <v>0</v>
      </c>
      <c r="G506" s="3698">
        <f>SUM(Estadisticas!BU36:BV36)</f>
        <v>0</v>
      </c>
      <c r="H506" s="5414">
        <f>SUM(B506:G506)</f>
        <v>0</v>
      </c>
      <c r="I506" s="5414"/>
      <c r="J506" s="3716"/>
      <c r="K506" s="3717"/>
      <c r="L506" s="3701" t="s">
        <v>434</v>
      </c>
      <c r="M506" s="3702">
        <f>SUM(AG478:AH478)</f>
        <v>1</v>
      </c>
      <c r="N506" s="3702">
        <f>SUM(AG479:AH479)</f>
        <v>1</v>
      </c>
      <c r="O506" s="3702">
        <f>SUM(AG480:AH480)</f>
        <v>0</v>
      </c>
      <c r="P506" s="3702">
        <f>SUM(AG477:AH477)</f>
        <v>1</v>
      </c>
      <c r="Q506" s="3702">
        <f>SUM(AG481:AH481)</f>
        <v>1</v>
      </c>
      <c r="R506" s="3702">
        <f>SUM(AG482:AH482)</f>
        <v>0</v>
      </c>
      <c r="S506" s="3702">
        <f t="shared" si="150"/>
        <v>4</v>
      </c>
      <c r="T506" s="3720"/>
      <c r="U506" s="3710">
        <f>'[1]0100L'!$O$26</f>
        <v>23</v>
      </c>
      <c r="V506" s="3710">
        <f>'[1]0100L'!$F$35</f>
        <v>17</v>
      </c>
      <c r="W506" s="3710">
        <f>'[1]0100L'!$I$35</f>
        <v>21</v>
      </c>
      <c r="X506" s="3710">
        <f>'[1]0100L'!$L$35</f>
        <v>26</v>
      </c>
      <c r="Y506" s="3710">
        <f>'[1]0100L'!$O$35</f>
        <v>15</v>
      </c>
      <c r="Z506" s="3710">
        <f>'[1]0100L'!$R$35</f>
        <v>24</v>
      </c>
      <c r="AA506" s="3710">
        <f>'[1]0100L'!$U$35</f>
        <v>26</v>
      </c>
      <c r="AB506" s="3710">
        <f>SUM(V506:AA506)</f>
        <v>129</v>
      </c>
      <c r="AC506" s="2683"/>
      <c r="AD506" s="3238"/>
      <c r="AE506" s="2620"/>
      <c r="AF506" s="2621"/>
      <c r="AG506" s="2620"/>
      <c r="AH506" s="2621"/>
      <c r="AI506" s="1444"/>
      <c r="AJ506" s="1444"/>
      <c r="AK506" s="2636"/>
      <c r="AL506" s="3445"/>
      <c r="AM506" s="3445"/>
      <c r="AN506" s="3445"/>
      <c r="AO506" s="3445"/>
      <c r="AP506" s="3445"/>
      <c r="AQ506" s="3445"/>
      <c r="AR506" s="3445"/>
      <c r="AS506" s="108"/>
    </row>
    <row r="507" spans="1:45" s="1448" customFormat="1" ht="27.95" customHeight="1">
      <c r="A507" s="175"/>
      <c r="B507" s="1427"/>
      <c r="C507" s="173"/>
      <c r="D507" s="3262" t="s">
        <v>1193</v>
      </c>
      <c r="E507" s="5388" t="str">
        <f>B477</f>
        <v>CRUZ MARTINEZ * BELEM</v>
      </c>
      <c r="F507" s="5388"/>
      <c r="G507" s="5388"/>
      <c r="H507" s="5388"/>
      <c r="I507" s="5388"/>
      <c r="J507" s="5388"/>
      <c r="K507" s="1603"/>
      <c r="L507" s="1428"/>
      <c r="M507" s="3262" t="s">
        <v>1234</v>
      </c>
      <c r="N507" s="5388" t="str">
        <f>N467</f>
        <v>RICALDE CASTRO JESUS MARTIN</v>
      </c>
      <c r="O507" s="5388"/>
      <c r="P507" s="5388"/>
      <c r="Q507" s="5388"/>
      <c r="R507" s="5388"/>
      <c r="S507" s="5388"/>
      <c r="T507" s="1603"/>
      <c r="U507" s="1603"/>
      <c r="V507" s="3262" t="s">
        <v>1195</v>
      </c>
      <c r="W507" s="5388" t="str">
        <f>W467</f>
        <v xml:space="preserve">ANCONA FLORES AURA EUGENIA </v>
      </c>
      <c r="X507" s="5388"/>
      <c r="Y507" s="5388"/>
      <c r="Z507" s="5388"/>
      <c r="AA507" s="5388"/>
      <c r="AB507" s="5388"/>
      <c r="AC507" s="2683"/>
      <c r="AD507" s="3238"/>
      <c r="AE507" s="2620"/>
      <c r="AF507" s="2621"/>
      <c r="AG507" s="2620"/>
      <c r="AH507" s="2621"/>
      <c r="AI507" s="2624"/>
      <c r="AJ507" s="2624"/>
      <c r="AK507" s="2636"/>
      <c r="AL507" s="3449"/>
      <c r="AM507" s="3449"/>
      <c r="AN507" s="3449"/>
      <c r="AO507" s="3449"/>
      <c r="AP507" s="3449"/>
      <c r="AQ507" s="3449"/>
      <c r="AR507" s="3449"/>
      <c r="AS507" s="3450"/>
    </row>
    <row r="508" spans="1:45" s="1430" customFormat="1" ht="27.95" customHeight="1">
      <c r="A508" s="1670"/>
      <c r="B508" s="1401"/>
      <c r="C508" s="1401"/>
      <c r="D508" s="1401"/>
      <c r="E508" s="1401"/>
      <c r="F508" s="1402"/>
      <c r="G508" s="1402"/>
      <c r="H508" s="1402"/>
      <c r="I508" s="1402"/>
      <c r="J508" s="1402"/>
      <c r="K508" s="27"/>
      <c r="M508" s="1431" t="s">
        <v>196</v>
      </c>
      <c r="N508" s="1402"/>
      <c r="O508" s="1402"/>
      <c r="P508" s="1402"/>
      <c r="Q508" s="1402"/>
      <c r="R508" s="1402"/>
      <c r="S508" s="1402"/>
      <c r="T508" s="1401"/>
      <c r="V508" s="3263"/>
      <c r="W508" s="1432" t="s">
        <v>764</v>
      </c>
      <c r="X508" s="5221" t="s">
        <v>247</v>
      </c>
      <c r="Y508" s="5221"/>
      <c r="Z508" s="5221"/>
      <c r="AA508" s="5221"/>
      <c r="AB508" s="1644"/>
      <c r="AC508" s="2683"/>
      <c r="AD508" s="3238"/>
      <c r="AE508" s="2637"/>
      <c r="AF508" s="2638"/>
      <c r="AG508" s="2637"/>
      <c r="AH508" s="2638"/>
      <c r="AI508" s="1449"/>
      <c r="AJ508" s="1449"/>
      <c r="AK508" s="2636"/>
      <c r="AL508" s="3451"/>
      <c r="AM508" s="3451"/>
      <c r="AN508" s="3451"/>
      <c r="AO508" s="3451"/>
      <c r="AP508" s="3451"/>
      <c r="AQ508" s="3451"/>
      <c r="AR508" s="3451"/>
      <c r="AS508" s="3452"/>
    </row>
    <row r="509" spans="1:45" ht="27.95" customHeight="1">
      <c r="A509" s="1663"/>
      <c r="B509" s="1406"/>
      <c r="C509" s="1406"/>
      <c r="D509" s="1406"/>
      <c r="E509" s="1406"/>
      <c r="F509" s="1407"/>
      <c r="G509" s="1407"/>
      <c r="H509" s="1407"/>
      <c r="I509" s="1407"/>
      <c r="J509" s="1407"/>
      <c r="K509" s="1407"/>
      <c r="L509" s="1407"/>
      <c r="M509" s="3260" t="s">
        <v>1148</v>
      </c>
      <c r="N509" s="1407"/>
      <c r="O509" s="1407"/>
      <c r="P509" s="1407"/>
      <c r="Q509" s="1407"/>
      <c r="R509" s="1407"/>
      <c r="S509" s="1407"/>
      <c r="T509" s="1408"/>
      <c r="U509" s="1408"/>
      <c r="V509" s="3263"/>
      <c r="W509" s="1432" t="s">
        <v>1149</v>
      </c>
      <c r="X509" s="5221" t="str">
        <f>X469</f>
        <v>2012 / 2013</v>
      </c>
      <c r="Y509" s="5221"/>
      <c r="Z509" s="5221"/>
      <c r="AA509" s="5221"/>
      <c r="AB509" s="1417"/>
      <c r="AC509" s="2683"/>
      <c r="AD509" s="3238"/>
      <c r="AE509" s="2620"/>
      <c r="AF509" s="2621"/>
      <c r="AG509" s="2620"/>
      <c r="AH509" s="2621"/>
      <c r="AK509" s="2636"/>
      <c r="AR509" s="3445"/>
    </row>
    <row r="510" spans="1:45" ht="27.95" customHeight="1">
      <c r="A510" s="1663"/>
      <c r="B510" s="1410"/>
      <c r="C510" s="1410"/>
      <c r="D510" s="1410"/>
      <c r="E510" s="1410"/>
      <c r="F510" s="1407"/>
      <c r="G510" s="1407"/>
      <c r="H510" s="1407"/>
      <c r="I510" s="1407"/>
      <c r="J510" s="1407"/>
      <c r="K510" s="1407"/>
      <c r="M510" s="3260" t="s">
        <v>1150</v>
      </c>
      <c r="N510" s="1407"/>
      <c r="O510" s="1407"/>
      <c r="P510" s="1407"/>
      <c r="Q510" s="1407"/>
      <c r="R510" s="1407"/>
      <c r="S510" s="1407"/>
      <c r="T510" s="1433"/>
      <c r="U510" s="1433"/>
      <c r="V510" s="1434"/>
      <c r="W510" s="3281" t="s">
        <v>42</v>
      </c>
      <c r="X510" s="5391" t="str">
        <f>X470</f>
        <v>042</v>
      </c>
      <c r="Y510" s="5391"/>
      <c r="Z510" s="5391"/>
      <c r="AA510" s="5391"/>
      <c r="AB510" s="1417"/>
      <c r="AC510" s="2683"/>
      <c r="AD510" s="3238"/>
      <c r="AE510" s="2620"/>
      <c r="AF510" s="2621"/>
      <c r="AG510" s="2620"/>
      <c r="AH510" s="2621"/>
      <c r="AK510" s="2636"/>
      <c r="AR510" s="3445"/>
    </row>
    <row r="511" spans="1:45" ht="27.95" customHeight="1">
      <c r="A511" s="1663"/>
      <c r="B511" s="1410"/>
      <c r="C511" s="1410"/>
      <c r="D511" s="1410"/>
      <c r="E511" s="1410"/>
      <c r="F511" s="1406"/>
      <c r="H511" s="1413"/>
      <c r="I511" s="1413"/>
      <c r="J511" s="1414"/>
      <c r="K511" s="1414"/>
      <c r="L511" s="1415" t="s">
        <v>1197</v>
      </c>
      <c r="M511" s="1415">
        <f>M471</f>
        <v>8</v>
      </c>
      <c r="N511" s="3271" t="s">
        <v>1152</v>
      </c>
      <c r="O511" s="5371" t="str">
        <f>O471</f>
        <v>AGOSTO</v>
      </c>
      <c r="P511" s="5371"/>
      <c r="Q511" s="1435" t="s">
        <v>1152</v>
      </c>
      <c r="R511" s="5371">
        <f>R471</f>
        <v>2012</v>
      </c>
      <c r="S511" s="5371"/>
      <c r="T511" s="1406"/>
      <c r="U511" s="5372" t="s">
        <v>246</v>
      </c>
      <c r="V511" s="5372"/>
      <c r="W511" s="5372"/>
      <c r="X511" s="5372"/>
      <c r="Y511" s="1436" t="s">
        <v>245</v>
      </c>
      <c r="Z511" s="1436"/>
      <c r="AA511" s="1437"/>
      <c r="AB511" s="1417"/>
      <c r="AC511" s="2683"/>
      <c r="AD511" s="3238"/>
      <c r="AE511" s="2620"/>
      <c r="AF511" s="2621"/>
      <c r="AG511" s="2620"/>
      <c r="AH511" s="2621"/>
      <c r="AK511" s="2636"/>
      <c r="AR511" s="3445"/>
    </row>
    <row r="512" spans="1:45" ht="27.95" customHeight="1">
      <c r="A512" s="5356" t="s">
        <v>1153</v>
      </c>
      <c r="B512" s="5356"/>
      <c r="C512" s="5356"/>
      <c r="D512" s="5389" t="s">
        <v>2323</v>
      </c>
      <c r="E512" s="5389"/>
      <c r="F512" s="5389"/>
      <c r="G512" s="5389"/>
      <c r="H512" s="5389"/>
      <c r="I512" s="5389"/>
      <c r="J512" s="5389"/>
      <c r="K512" s="5389"/>
      <c r="L512" s="3281" t="s">
        <v>19</v>
      </c>
      <c r="M512" s="5370" t="s">
        <v>1822</v>
      </c>
      <c r="N512" s="5370"/>
      <c r="O512" s="5390" t="s">
        <v>13</v>
      </c>
      <c r="P512" s="5390"/>
      <c r="Q512" s="5370" t="s">
        <v>69</v>
      </c>
      <c r="R512" s="5370"/>
      <c r="S512" s="5370"/>
      <c r="T512" s="174"/>
      <c r="U512" s="1418" t="s">
        <v>1157</v>
      </c>
      <c r="V512" s="5221" t="str">
        <f>V472</f>
        <v>2  BENITO JUAREZ</v>
      </c>
      <c r="W512" s="5221"/>
      <c r="X512" s="5221"/>
      <c r="Y512" s="5221"/>
      <c r="Z512" s="5221"/>
      <c r="AA512" s="5221"/>
      <c r="AB512" s="5221"/>
      <c r="AC512" s="2683"/>
      <c r="AD512" s="3238"/>
      <c r="AE512" s="2620"/>
      <c r="AF512" s="2621"/>
      <c r="AG512" s="2620"/>
      <c r="AH512" s="2621"/>
      <c r="AK512" s="2636"/>
      <c r="AR512" s="3445"/>
    </row>
    <row r="513" spans="1:45" s="1439" customFormat="1" ht="27.75" customHeight="1">
      <c r="A513" s="5356" t="s">
        <v>437</v>
      </c>
      <c r="B513" s="5356"/>
      <c r="C513" s="5389"/>
      <c r="D513" s="5389"/>
      <c r="E513" s="5389"/>
      <c r="F513" s="5389"/>
      <c r="G513" s="5389"/>
      <c r="H513" s="5389"/>
      <c r="I513" s="5389"/>
      <c r="J513" s="5389"/>
      <c r="K513" s="5389"/>
      <c r="L513" s="5389"/>
      <c r="M513" s="5389"/>
      <c r="N513" s="1419"/>
      <c r="O513" s="3281" t="s">
        <v>863</v>
      </c>
      <c r="P513" s="5370" t="str">
        <f>'[1]0125U'!$I$8</f>
        <v>9981 47 65 68</v>
      </c>
      <c r="Q513" s="5370"/>
      <c r="R513" s="5370"/>
      <c r="S513" s="5370"/>
      <c r="T513" s="5370"/>
      <c r="U513" s="1420"/>
      <c r="V513" s="3281"/>
      <c r="W513" s="3281" t="s">
        <v>1159</v>
      </c>
      <c r="X513" s="5358" t="str">
        <f>X473</f>
        <v>8  DE  AGOSTO  DE  2012</v>
      </c>
      <c r="Y513" s="5358"/>
      <c r="Z513" s="5358"/>
      <c r="AA513" s="5358"/>
      <c r="AB513" s="5358"/>
      <c r="AC513" s="5331" t="str">
        <f>D512</f>
        <v>JOSE VASCONCELOS</v>
      </c>
      <c r="AD513" s="5331"/>
      <c r="AE513" s="5331"/>
      <c r="AF513" s="5331"/>
      <c r="AG513" s="5331"/>
      <c r="AH513" s="5331"/>
      <c r="AI513" s="5332" t="str">
        <f>M512</f>
        <v>23PPR0125U</v>
      </c>
      <c r="AJ513" s="5332"/>
      <c r="AK513" s="5332"/>
      <c r="AL513" s="3446"/>
      <c r="AM513" s="3446"/>
      <c r="AN513" s="3446"/>
      <c r="AO513" s="3446"/>
      <c r="AP513" s="3446"/>
      <c r="AQ513" s="3446"/>
      <c r="AR513" s="3446"/>
      <c r="AS513" s="2166"/>
    </row>
    <row r="514" spans="1:45" s="1441" customFormat="1" ht="9.9499999999999993" customHeight="1">
      <c r="A514" s="2996" t="str">
        <f>'[4]0100L'!$C$8</f>
        <v>REG. 311 SMZ. 313 MADROÑO 131</v>
      </c>
      <c r="B514" s="1422"/>
      <c r="C514" s="1422"/>
      <c r="D514" s="3261"/>
      <c r="E514" s="3261"/>
      <c r="F514" s="3261"/>
      <c r="G514" s="3261"/>
      <c r="H514" s="3261"/>
      <c r="I514" s="3261"/>
      <c r="J514" s="3261"/>
      <c r="K514" s="3261"/>
      <c r="L514" s="3261"/>
      <c r="M514" s="1421"/>
      <c r="N514" s="2995" t="str">
        <f>'[4]0100L'!$I$8</f>
        <v>998 8-02-30-40</v>
      </c>
      <c r="O514" s="1423"/>
      <c r="P514" s="1423"/>
      <c r="Q514" s="1424"/>
      <c r="R514" s="1423"/>
      <c r="S514" s="1423"/>
      <c r="T514" s="1422"/>
      <c r="U514" s="1422"/>
      <c r="V514" s="3261"/>
      <c r="W514" s="3261"/>
      <c r="X514" s="3261"/>
      <c r="Y514" s="3261"/>
      <c r="Z514" s="1422"/>
      <c r="AA514" s="1422"/>
      <c r="AB514" s="1422"/>
      <c r="AC514" s="2689"/>
      <c r="AD514" s="2690"/>
      <c r="AE514" s="2639"/>
      <c r="AF514" s="2640"/>
      <c r="AG514" s="2639"/>
      <c r="AH514" s="2640"/>
      <c r="AI514" s="1444"/>
      <c r="AJ514" s="1444"/>
      <c r="AK514" s="2636"/>
      <c r="AL514" s="3445"/>
      <c r="AM514" s="3445"/>
      <c r="AN514" s="3445"/>
      <c r="AO514" s="3445"/>
      <c r="AP514" s="3445"/>
      <c r="AQ514" s="3445"/>
      <c r="AR514" s="3445"/>
      <c r="AS514" s="108"/>
    </row>
    <row r="515" spans="1:45" s="1442" customFormat="1" ht="27.95" customHeight="1">
      <c r="A515" s="5415" t="s">
        <v>1160</v>
      </c>
      <c r="B515" s="5416" t="s">
        <v>1235</v>
      </c>
      <c r="C515" s="5416"/>
      <c r="D515" s="5416"/>
      <c r="E515" s="5416"/>
      <c r="F515" s="5416"/>
      <c r="G515" s="5416"/>
      <c r="H515" s="5417" t="s">
        <v>1161</v>
      </c>
      <c r="I515" s="5417"/>
      <c r="J515" s="5417" t="s">
        <v>212</v>
      </c>
      <c r="K515" s="5417" t="s">
        <v>1162</v>
      </c>
      <c r="L515" s="5417" t="s">
        <v>1163</v>
      </c>
      <c r="M515" s="5417"/>
      <c r="N515" s="5417" t="s">
        <v>1164</v>
      </c>
      <c r="O515" s="5417"/>
      <c r="P515" s="5417" t="s">
        <v>1165</v>
      </c>
      <c r="Q515" s="5417"/>
      <c r="R515" s="5417" t="s">
        <v>1166</v>
      </c>
      <c r="S515" s="5417"/>
      <c r="T515" s="5417" t="s">
        <v>1167</v>
      </c>
      <c r="U515" s="5417" t="s">
        <v>1168</v>
      </c>
      <c r="V515" s="5417"/>
      <c r="W515" s="5417" t="s">
        <v>1169</v>
      </c>
      <c r="X515" s="5417"/>
      <c r="Y515" s="5417" t="s">
        <v>3</v>
      </c>
      <c r="Z515" s="5417" t="s">
        <v>4</v>
      </c>
      <c r="AA515" s="5417" t="s">
        <v>28</v>
      </c>
      <c r="AB515" s="5417"/>
      <c r="AC515" s="5340" t="str">
        <f>AC475</f>
        <v>INICIAL</v>
      </c>
      <c r="AD515" s="5340"/>
      <c r="AE515" s="5344" t="str">
        <f>AE475</f>
        <v>ALTAS</v>
      </c>
      <c r="AF515" s="5345"/>
      <c r="AG515" s="5346" t="str">
        <f>AG475</f>
        <v>BAJAS</v>
      </c>
      <c r="AH515" s="5347"/>
      <c r="AI515" s="5333" t="str">
        <f>AI475</f>
        <v>REP</v>
      </c>
      <c r="AJ515" s="5333"/>
      <c r="AK515" s="2625" t="str">
        <f>AK475</f>
        <v>INI</v>
      </c>
      <c r="AL515" s="5328" t="s">
        <v>2509</v>
      </c>
      <c r="AM515" s="5329"/>
      <c r="AN515" s="5329"/>
      <c r="AO515" s="5329"/>
      <c r="AP515" s="5329"/>
      <c r="AQ515" s="5329"/>
      <c r="AR515" s="5330"/>
    </row>
    <row r="516" spans="1:45" s="1442" customFormat="1" ht="27.95" customHeight="1">
      <c r="A516" s="5415"/>
      <c r="B516" s="5425"/>
      <c r="C516" s="5425"/>
      <c r="D516" s="5425"/>
      <c r="E516" s="5425"/>
      <c r="F516" s="5425"/>
      <c r="G516" s="5425"/>
      <c r="H516" s="3269" t="s">
        <v>407</v>
      </c>
      <c r="I516" s="3269" t="s">
        <v>403</v>
      </c>
      <c r="J516" s="5417"/>
      <c r="K516" s="5417"/>
      <c r="L516" s="5417"/>
      <c r="M516" s="5417"/>
      <c r="N516" s="5417"/>
      <c r="O516" s="5417"/>
      <c r="P516" s="3269" t="s">
        <v>1170</v>
      </c>
      <c r="Q516" s="3269" t="s">
        <v>1171</v>
      </c>
      <c r="R516" s="3269" t="s">
        <v>1172</v>
      </c>
      <c r="S516" s="3269" t="s">
        <v>1173</v>
      </c>
      <c r="T516" s="5417"/>
      <c r="U516" s="5417"/>
      <c r="V516" s="5417"/>
      <c r="W516" s="5417"/>
      <c r="X516" s="5417"/>
      <c r="Y516" s="5417"/>
      <c r="Z516" s="5417"/>
      <c r="AA516" s="5417"/>
      <c r="AB516" s="5417"/>
      <c r="AC516" s="3295" t="str">
        <f>AC476</f>
        <v>H</v>
      </c>
      <c r="AD516" s="2686" t="str">
        <f>AD476</f>
        <v>M</v>
      </c>
      <c r="AE516" s="3295" t="str">
        <f t="shared" ref="AE516:AJ516" si="151">AE476</f>
        <v>H</v>
      </c>
      <c r="AF516" s="2686" t="str">
        <f t="shared" si="151"/>
        <v>M</v>
      </c>
      <c r="AG516" s="3295" t="str">
        <f t="shared" si="151"/>
        <v>H</v>
      </c>
      <c r="AH516" s="2686" t="str">
        <f t="shared" si="151"/>
        <v>M</v>
      </c>
      <c r="AI516" s="3295" t="str">
        <f t="shared" si="151"/>
        <v>H</v>
      </c>
      <c r="AJ516" s="2686" t="str">
        <f t="shared" si="151"/>
        <v>M</v>
      </c>
      <c r="AK516" s="2627" t="str">
        <f>AK476</f>
        <v>TTS</v>
      </c>
      <c r="AL516" s="3455" t="s">
        <v>393</v>
      </c>
      <c r="AM516" s="3463" t="s">
        <v>8</v>
      </c>
      <c r="AN516" s="3456" t="s">
        <v>347</v>
      </c>
      <c r="AO516" s="3456" t="s">
        <v>348</v>
      </c>
      <c r="AP516" s="3456" t="s">
        <v>2062</v>
      </c>
      <c r="AQ516" s="3457" t="s">
        <v>2081</v>
      </c>
      <c r="AR516" s="3456" t="s">
        <v>2510</v>
      </c>
    </row>
    <row r="517" spans="1:45" s="1443" customFormat="1" ht="27.95" customHeight="1">
      <c r="A517" s="3283">
        <v>1</v>
      </c>
      <c r="B517" s="2158" t="s">
        <v>2629</v>
      </c>
      <c r="C517" s="2147"/>
      <c r="D517" s="2147"/>
      <c r="E517" s="2147"/>
      <c r="F517" s="2147"/>
      <c r="G517" s="2149"/>
      <c r="H517" s="3274"/>
      <c r="I517" s="3274" t="s">
        <v>78</v>
      </c>
      <c r="J517" s="3290" t="s">
        <v>1396</v>
      </c>
      <c r="K517" s="3290">
        <v>99999</v>
      </c>
      <c r="L517" s="3671" t="s">
        <v>93</v>
      </c>
      <c r="M517" s="3672"/>
      <c r="N517" s="5350"/>
      <c r="O517" s="5350"/>
      <c r="P517" s="3274"/>
      <c r="Q517" s="3274"/>
      <c r="R517" s="3274"/>
      <c r="S517" s="2877" t="s">
        <v>2225</v>
      </c>
      <c r="T517" s="3274"/>
      <c r="U517" s="5350">
        <v>20</v>
      </c>
      <c r="V517" s="5350"/>
      <c r="W517" s="5394" t="s">
        <v>1397</v>
      </c>
      <c r="X517" s="5394"/>
      <c r="Y517" s="3286"/>
      <c r="Z517" s="3286"/>
      <c r="AA517" s="5352">
        <f>AC517+AD517+AE517+AF517-AG517-AH517</f>
        <v>0</v>
      </c>
      <c r="AB517" s="5352"/>
      <c r="AC517" s="2682"/>
      <c r="AD517" s="3289"/>
      <c r="AE517" s="2628"/>
      <c r="AF517" s="2629"/>
      <c r="AG517" s="2628"/>
      <c r="AH517" s="2629"/>
      <c r="AI517" s="2628"/>
      <c r="AJ517" s="2629"/>
      <c r="AK517" s="2670">
        <f t="shared" si="142"/>
        <v>0</v>
      </c>
      <c r="AL517" s="3464"/>
      <c r="AM517" s="3448"/>
      <c r="AN517" s="3448"/>
      <c r="AO517" s="3448"/>
      <c r="AP517" s="3448"/>
      <c r="AQ517" s="3448"/>
      <c r="AR517" s="3458" t="e">
        <f>SUM(AL517:AQ517)/AS517</f>
        <v>#DIV/0!</v>
      </c>
      <c r="AS517" s="3459">
        <f>COUNTA(AM517:AQ517)</f>
        <v>0</v>
      </c>
    </row>
    <row r="518" spans="1:45" s="1443" customFormat="1" ht="27.95" customHeight="1">
      <c r="A518" s="3274">
        <v>2</v>
      </c>
      <c r="B518" s="2158" t="s">
        <v>2674</v>
      </c>
      <c r="C518" s="2147"/>
      <c r="D518" s="2147"/>
      <c r="E518" s="2147"/>
      <c r="F518" s="2147"/>
      <c r="G518" s="2149"/>
      <c r="H518" s="3274"/>
      <c r="I518" s="3636" t="s">
        <v>78</v>
      </c>
      <c r="J518" s="3290"/>
      <c r="K518" s="3274"/>
      <c r="L518" s="3671"/>
      <c r="M518" s="3676"/>
      <c r="N518" s="5350"/>
      <c r="O518" s="5350"/>
      <c r="P518" s="3274"/>
      <c r="Q518" s="3274"/>
      <c r="R518" s="3274"/>
      <c r="S518" s="2877"/>
      <c r="T518" s="3274"/>
      <c r="U518" s="5350"/>
      <c r="V518" s="5350"/>
      <c r="W518" s="5351"/>
      <c r="X518" s="5351"/>
      <c r="Y518" s="3286" t="s">
        <v>765</v>
      </c>
      <c r="Z518" s="3286" t="s">
        <v>228</v>
      </c>
      <c r="AA518" s="5352">
        <f t="shared" ref="AA518:AA542" si="152">AC518+AD518+AE518+AF518-AG518-AH518</f>
        <v>8</v>
      </c>
      <c r="AB518" s="5352"/>
      <c r="AC518" s="2682">
        <v>5</v>
      </c>
      <c r="AD518" s="3289">
        <v>2</v>
      </c>
      <c r="AE518" s="2628"/>
      <c r="AF518" s="2629">
        <v>1</v>
      </c>
      <c r="AG518" s="2628"/>
      <c r="AH518" s="2629"/>
      <c r="AI518" s="2628"/>
      <c r="AJ518" s="2629"/>
      <c r="AK518" s="2671">
        <f t="shared" si="142"/>
        <v>7</v>
      </c>
      <c r="AL518" s="3464">
        <v>6.5</v>
      </c>
      <c r="AM518" s="3448"/>
      <c r="AN518" s="3448"/>
      <c r="AO518" s="3448"/>
      <c r="AP518" s="3448"/>
      <c r="AQ518" s="3448"/>
      <c r="AR518" s="3458" t="e">
        <f t="shared" ref="AR518:AR530" si="153">SUM(AM518:AQ518)/AS518</f>
        <v>#DIV/0!</v>
      </c>
      <c r="AS518" s="3459">
        <f t="shared" ref="AS518:AS543" si="154">COUNTA(AM518:AQ518)</f>
        <v>0</v>
      </c>
    </row>
    <row r="519" spans="1:45" s="1443" customFormat="1" ht="27.95" customHeight="1">
      <c r="A519" s="3274"/>
      <c r="B519" s="2158"/>
      <c r="C519" s="2147"/>
      <c r="D519" s="2147"/>
      <c r="E519" s="2147"/>
      <c r="F519" s="2147"/>
      <c r="G519" s="2149"/>
      <c r="H519" s="3274"/>
      <c r="I519" s="3274"/>
      <c r="J519" s="3290"/>
      <c r="K519" s="3290"/>
      <c r="L519" s="3671"/>
      <c r="M519" s="3672"/>
      <c r="N519" s="5350"/>
      <c r="O519" s="5350"/>
      <c r="P519" s="3274"/>
      <c r="Q519" s="3274"/>
      <c r="R519" s="3274"/>
      <c r="S519" s="2877"/>
      <c r="T519" s="3274"/>
      <c r="U519" s="5350"/>
      <c r="V519" s="5350"/>
      <c r="W519" s="5351"/>
      <c r="X519" s="5351"/>
      <c r="Y519" s="3286" t="s">
        <v>766</v>
      </c>
      <c r="Z519" s="3286" t="s">
        <v>228</v>
      </c>
      <c r="AA519" s="5352">
        <f t="shared" si="152"/>
        <v>10</v>
      </c>
      <c r="AB519" s="5352"/>
      <c r="AC519" s="2682">
        <v>7</v>
      </c>
      <c r="AD519" s="3289">
        <v>2</v>
      </c>
      <c r="AE519" s="2628">
        <v>1</v>
      </c>
      <c r="AF519" s="2629"/>
      <c r="AG519" s="2628"/>
      <c r="AH519" s="2629"/>
      <c r="AI519" s="2628"/>
      <c r="AJ519" s="2629"/>
      <c r="AK519" s="2671">
        <f t="shared" si="142"/>
        <v>9</v>
      </c>
      <c r="AL519" s="3464">
        <v>8.1999999999999993</v>
      </c>
      <c r="AM519" s="3448"/>
      <c r="AN519" s="3448"/>
      <c r="AO519" s="3448"/>
      <c r="AP519" s="3448"/>
      <c r="AQ519" s="3448"/>
      <c r="AR519" s="3458" t="e">
        <f t="shared" si="153"/>
        <v>#DIV/0!</v>
      </c>
      <c r="AS519" s="3459">
        <f t="shared" si="154"/>
        <v>0</v>
      </c>
    </row>
    <row r="520" spans="1:45" s="1443" customFormat="1" ht="27.95" customHeight="1">
      <c r="A520" s="3274">
        <v>3</v>
      </c>
      <c r="B520" s="2158" t="s">
        <v>2630</v>
      </c>
      <c r="C520" s="2147"/>
      <c r="D520" s="2147"/>
      <c r="E520" s="2147"/>
      <c r="F520" s="2147"/>
      <c r="G520" s="2149"/>
      <c r="H520" s="3274"/>
      <c r="I520" s="3274" t="s">
        <v>78</v>
      </c>
      <c r="J520" s="3290" t="s">
        <v>1399</v>
      </c>
      <c r="K520" s="3290">
        <v>99999</v>
      </c>
      <c r="L520" s="3671" t="s">
        <v>390</v>
      </c>
      <c r="M520" s="3672"/>
      <c r="N520" s="5350"/>
      <c r="O520" s="5350"/>
      <c r="P520" s="3274"/>
      <c r="Q520" s="3274"/>
      <c r="R520" s="3274"/>
      <c r="S520" s="2877" t="s">
        <v>2226</v>
      </c>
      <c r="T520" s="3274"/>
      <c r="U520" s="5350">
        <v>20</v>
      </c>
      <c r="V520" s="5350"/>
      <c r="W520" s="5351" t="s">
        <v>1398</v>
      </c>
      <c r="X520" s="5351"/>
      <c r="Y520" s="3286" t="s">
        <v>767</v>
      </c>
      <c r="Z520" s="3286" t="s">
        <v>228</v>
      </c>
      <c r="AA520" s="5352">
        <f t="shared" si="152"/>
        <v>13</v>
      </c>
      <c r="AB520" s="5352"/>
      <c r="AC520" s="2682">
        <v>9</v>
      </c>
      <c r="AD520" s="3289">
        <v>3</v>
      </c>
      <c r="AE520" s="2628"/>
      <c r="AF520" s="2629">
        <v>1</v>
      </c>
      <c r="AG520" s="2628"/>
      <c r="AH520" s="2629"/>
      <c r="AI520" s="2628"/>
      <c r="AJ520" s="2629"/>
      <c r="AK520" s="2671">
        <f t="shared" si="142"/>
        <v>12</v>
      </c>
      <c r="AL520" s="3464">
        <v>6.4</v>
      </c>
      <c r="AM520" s="3448"/>
      <c r="AN520" s="3448"/>
      <c r="AO520" s="3448"/>
      <c r="AP520" s="3448"/>
      <c r="AQ520" s="3448"/>
      <c r="AR520" s="3458" t="e">
        <f t="shared" si="153"/>
        <v>#DIV/0!</v>
      </c>
      <c r="AS520" s="3459">
        <f t="shared" si="154"/>
        <v>0</v>
      </c>
    </row>
    <row r="521" spans="1:45" s="1443" customFormat="1" ht="27.75" customHeight="1">
      <c r="A521" s="3274">
        <v>4</v>
      </c>
      <c r="B521" s="2158" t="s">
        <v>2631</v>
      </c>
      <c r="C521" s="2147"/>
      <c r="D521" s="2147"/>
      <c r="E521" s="2147"/>
      <c r="F521" s="2147"/>
      <c r="G521" s="2149"/>
      <c r="H521" s="3636"/>
      <c r="I521" s="3636" t="s">
        <v>78</v>
      </c>
      <c r="J521" s="3646" t="s">
        <v>2251</v>
      </c>
      <c r="K521" s="3646">
        <v>99999</v>
      </c>
      <c r="L521" s="3671" t="s">
        <v>390</v>
      </c>
      <c r="M521" s="3672"/>
      <c r="N521" s="5350"/>
      <c r="O521" s="5350"/>
      <c r="P521" s="3636"/>
      <c r="Q521" s="3636"/>
      <c r="R521" s="3636"/>
      <c r="S521" s="2877" t="s">
        <v>2305</v>
      </c>
      <c r="T521" s="3636"/>
      <c r="U521" s="5350">
        <v>20</v>
      </c>
      <c r="V521" s="5350"/>
      <c r="W521" s="5351" t="s">
        <v>1748</v>
      </c>
      <c r="X521" s="5351"/>
      <c r="Y521" s="3286" t="s">
        <v>771</v>
      </c>
      <c r="Z521" s="3286" t="s">
        <v>228</v>
      </c>
      <c r="AA521" s="5352">
        <f t="shared" si="152"/>
        <v>11</v>
      </c>
      <c r="AB521" s="5352"/>
      <c r="AC521" s="2682">
        <v>5</v>
      </c>
      <c r="AD521" s="3289">
        <v>6</v>
      </c>
      <c r="AE521" s="2628">
        <v>2</v>
      </c>
      <c r="AF521" s="2629"/>
      <c r="AG521" s="2628">
        <v>1</v>
      </c>
      <c r="AH521" s="2629">
        <v>1</v>
      </c>
      <c r="AI521" s="2628"/>
      <c r="AJ521" s="2629"/>
      <c r="AK521" s="2671">
        <f t="shared" si="142"/>
        <v>11</v>
      </c>
      <c r="AL521" s="3464">
        <v>7.5</v>
      </c>
      <c r="AM521" s="3448"/>
      <c r="AN521" s="3448"/>
      <c r="AO521" s="3448"/>
      <c r="AP521" s="3448"/>
      <c r="AQ521" s="3448"/>
      <c r="AR521" s="3458" t="e">
        <f t="shared" si="153"/>
        <v>#DIV/0!</v>
      </c>
      <c r="AS521" s="3459">
        <f t="shared" si="154"/>
        <v>0</v>
      </c>
    </row>
    <row r="522" spans="1:45" s="1443" customFormat="1" ht="27.95" customHeight="1">
      <c r="A522" s="3274">
        <v>5</v>
      </c>
      <c r="B522" s="2158" t="s">
        <v>2675</v>
      </c>
      <c r="C522" s="2147"/>
      <c r="D522" s="2147"/>
      <c r="E522" s="2147"/>
      <c r="F522" s="2147"/>
      <c r="G522" s="2149"/>
      <c r="H522" s="3274"/>
      <c r="I522" s="3636" t="s">
        <v>78</v>
      </c>
      <c r="J522" s="3290"/>
      <c r="K522" s="3290"/>
      <c r="L522" s="3671" t="s">
        <v>390</v>
      </c>
      <c r="M522" s="3672"/>
      <c r="N522" s="5350"/>
      <c r="O522" s="5350"/>
      <c r="P522" s="3274"/>
      <c r="Q522" s="3274"/>
      <c r="R522" s="3274"/>
      <c r="S522" s="2877"/>
      <c r="T522" s="3274"/>
      <c r="U522" s="5350"/>
      <c r="V522" s="5350"/>
      <c r="W522" s="5351"/>
      <c r="X522" s="5351"/>
      <c r="Y522" s="3286" t="s">
        <v>772</v>
      </c>
      <c r="Z522" s="3286" t="s">
        <v>228</v>
      </c>
      <c r="AA522" s="5352">
        <f t="shared" si="152"/>
        <v>11</v>
      </c>
      <c r="AB522" s="5352"/>
      <c r="AC522" s="2682">
        <v>10</v>
      </c>
      <c r="AD522" s="3289">
        <v>2</v>
      </c>
      <c r="AE522" s="2628">
        <v>1</v>
      </c>
      <c r="AF522" s="2629"/>
      <c r="AG522" s="2628">
        <v>2</v>
      </c>
      <c r="AH522" s="2629"/>
      <c r="AI522" s="2628"/>
      <c r="AJ522" s="2629"/>
      <c r="AK522" s="2671">
        <f t="shared" si="142"/>
        <v>12</v>
      </c>
      <c r="AL522" s="3464">
        <v>7</v>
      </c>
      <c r="AM522" s="3448"/>
      <c r="AN522" s="3448"/>
      <c r="AO522" s="3448"/>
      <c r="AP522" s="3448"/>
      <c r="AQ522" s="3448"/>
      <c r="AR522" s="3458" t="e">
        <f t="shared" si="153"/>
        <v>#DIV/0!</v>
      </c>
      <c r="AS522" s="3459">
        <f t="shared" si="154"/>
        <v>0</v>
      </c>
    </row>
    <row r="523" spans="1:45" s="1443" customFormat="1" ht="27.95" customHeight="1">
      <c r="A523" s="3274"/>
      <c r="B523" s="2158"/>
      <c r="C523" s="2147"/>
      <c r="D523" s="2147"/>
      <c r="E523" s="2147"/>
      <c r="F523" s="2147"/>
      <c r="G523" s="2149"/>
      <c r="H523" s="3274"/>
      <c r="I523" s="3274"/>
      <c r="J523" s="3290"/>
      <c r="K523" s="3290"/>
      <c r="L523" s="3671"/>
      <c r="M523" s="3672"/>
      <c r="N523" s="5350"/>
      <c r="O523" s="5350"/>
      <c r="P523" s="3274"/>
      <c r="Q523" s="3274"/>
      <c r="R523" s="3274"/>
      <c r="S523" s="2877"/>
      <c r="T523" s="3274"/>
      <c r="U523" s="5350"/>
      <c r="V523" s="5350"/>
      <c r="W523" s="5351"/>
      <c r="X523" s="5351"/>
      <c r="Y523" s="3286" t="s">
        <v>773</v>
      </c>
      <c r="Z523" s="3286" t="s">
        <v>228</v>
      </c>
      <c r="AA523" s="5352">
        <f t="shared" si="152"/>
        <v>8</v>
      </c>
      <c r="AB523" s="5352"/>
      <c r="AC523" s="2682">
        <v>5</v>
      </c>
      <c r="AD523" s="3289">
        <v>2</v>
      </c>
      <c r="AE523" s="2628">
        <v>1</v>
      </c>
      <c r="AF523" s="2629">
        <v>1</v>
      </c>
      <c r="AG523" s="2628">
        <v>1</v>
      </c>
      <c r="AH523" s="2629"/>
      <c r="AI523" s="2628"/>
      <c r="AJ523" s="2629"/>
      <c r="AK523" s="2671">
        <f t="shared" si="142"/>
        <v>7</v>
      </c>
      <c r="AL523" s="3464">
        <v>6.1</v>
      </c>
      <c r="AM523" s="3448"/>
      <c r="AN523" s="3448"/>
      <c r="AO523" s="3448"/>
      <c r="AP523" s="3448"/>
      <c r="AQ523" s="3448"/>
      <c r="AR523" s="3458" t="e">
        <f t="shared" si="153"/>
        <v>#DIV/0!</v>
      </c>
      <c r="AS523" s="3459">
        <f t="shared" si="154"/>
        <v>0</v>
      </c>
    </row>
    <row r="524" spans="1:45" s="1443" customFormat="1" ht="27.95" customHeight="1">
      <c r="A524" s="3274">
        <v>6</v>
      </c>
      <c r="B524" s="2158" t="s">
        <v>2632</v>
      </c>
      <c r="C524" s="2147"/>
      <c r="D524" s="2147"/>
      <c r="E524" s="2147"/>
      <c r="F524" s="2147"/>
      <c r="G524" s="2149"/>
      <c r="H524" s="3274" t="s">
        <v>78</v>
      </c>
      <c r="I524" s="3274"/>
      <c r="J524" s="3290" t="s">
        <v>1400</v>
      </c>
      <c r="K524" s="3274">
        <v>99999</v>
      </c>
      <c r="L524" s="3671" t="s">
        <v>430</v>
      </c>
      <c r="M524" s="3672"/>
      <c r="N524" s="5350"/>
      <c r="O524" s="5350"/>
      <c r="P524" s="3274"/>
      <c r="Q524" s="3274"/>
      <c r="R524" s="3274"/>
      <c r="S524" s="2877" t="s">
        <v>2227</v>
      </c>
      <c r="T524" s="3274"/>
      <c r="U524" s="5350">
        <v>20</v>
      </c>
      <c r="V524" s="5350"/>
      <c r="W524" s="5351" t="s">
        <v>1689</v>
      </c>
      <c r="X524" s="5351"/>
      <c r="Y524" s="3286"/>
      <c r="Z524" s="3286"/>
      <c r="AA524" s="5352">
        <f t="shared" si="152"/>
        <v>0</v>
      </c>
      <c r="AB524" s="5352"/>
      <c r="AC524" s="2682"/>
      <c r="AD524" s="3289"/>
      <c r="AE524" s="2628"/>
      <c r="AF524" s="2629"/>
      <c r="AG524" s="2628"/>
      <c r="AH524" s="2629"/>
      <c r="AI524" s="2628"/>
      <c r="AJ524" s="2629"/>
      <c r="AK524" s="2671">
        <f t="shared" si="142"/>
        <v>0</v>
      </c>
      <c r="AL524" s="3464"/>
      <c r="AM524" s="3448"/>
      <c r="AN524" s="3448"/>
      <c r="AO524" s="3448"/>
      <c r="AP524" s="3448"/>
      <c r="AQ524" s="3448"/>
      <c r="AR524" s="3458" t="e">
        <f t="shared" si="153"/>
        <v>#DIV/0!</v>
      </c>
      <c r="AS524" s="3459">
        <f t="shared" si="154"/>
        <v>0</v>
      </c>
    </row>
    <row r="525" spans="1:45" s="1444" customFormat="1" ht="27.95" customHeight="1">
      <c r="A525" s="3274">
        <v>7</v>
      </c>
      <c r="B525" s="2158" t="s">
        <v>2633</v>
      </c>
      <c r="C525" s="2147"/>
      <c r="D525" s="2147"/>
      <c r="E525" s="2147"/>
      <c r="F525" s="2147"/>
      <c r="G525" s="2149"/>
      <c r="H525" s="3274"/>
      <c r="I525" s="3274" t="s">
        <v>78</v>
      </c>
      <c r="J525" s="3290" t="s">
        <v>1401</v>
      </c>
      <c r="K525" s="3274">
        <v>99999</v>
      </c>
      <c r="L525" s="3671" t="s">
        <v>426</v>
      </c>
      <c r="M525" s="3676"/>
      <c r="N525" s="5350"/>
      <c r="O525" s="5350"/>
      <c r="P525" s="3274"/>
      <c r="Q525" s="3274"/>
      <c r="R525" s="3274"/>
      <c r="S525" s="2877" t="s">
        <v>2228</v>
      </c>
      <c r="T525" s="3274"/>
      <c r="U525" s="5350">
        <v>20</v>
      </c>
      <c r="V525" s="5350"/>
      <c r="W525" s="5351" t="s">
        <v>1689</v>
      </c>
      <c r="X525" s="5351"/>
      <c r="Y525" s="3286"/>
      <c r="Z525" s="3286"/>
      <c r="AA525" s="5352">
        <f t="shared" si="152"/>
        <v>0</v>
      </c>
      <c r="AB525" s="5352"/>
      <c r="AC525" s="2682"/>
      <c r="AD525" s="3289"/>
      <c r="AE525" s="2628"/>
      <c r="AF525" s="2629"/>
      <c r="AG525" s="2628"/>
      <c r="AH525" s="2629"/>
      <c r="AI525" s="2628"/>
      <c r="AJ525" s="2629"/>
      <c r="AK525" s="2671">
        <f t="shared" si="142"/>
        <v>0</v>
      </c>
      <c r="AL525" s="3464"/>
      <c r="AM525" s="3448"/>
      <c r="AN525" s="3448"/>
      <c r="AO525" s="3448"/>
      <c r="AP525" s="3448"/>
      <c r="AQ525" s="3448"/>
      <c r="AR525" s="3458" t="e">
        <f t="shared" si="153"/>
        <v>#DIV/0!</v>
      </c>
      <c r="AS525" s="3459">
        <f t="shared" si="154"/>
        <v>0</v>
      </c>
    </row>
    <row r="526" spans="1:45" s="1444" customFormat="1" ht="27.95" customHeight="1">
      <c r="A526" s="3274"/>
      <c r="B526" s="2147"/>
      <c r="C526" s="2147"/>
      <c r="D526" s="2147"/>
      <c r="E526" s="2147"/>
      <c r="F526" s="2147"/>
      <c r="G526" s="2149"/>
      <c r="H526" s="3274"/>
      <c r="I526" s="3274"/>
      <c r="J526" s="3290"/>
      <c r="K526" s="3290"/>
      <c r="L526" s="3671"/>
      <c r="M526" s="3672"/>
      <c r="N526" s="5419"/>
      <c r="O526" s="5418"/>
      <c r="P526" s="3274"/>
      <c r="Q526" s="3274"/>
      <c r="R526" s="3274"/>
      <c r="S526" s="2877"/>
      <c r="T526" s="3274"/>
      <c r="U526" s="5419"/>
      <c r="V526" s="5418"/>
      <c r="W526" s="5351"/>
      <c r="X526" s="5351"/>
      <c r="Y526" s="3286"/>
      <c r="Z526" s="3286"/>
      <c r="AA526" s="5352">
        <f t="shared" si="152"/>
        <v>0</v>
      </c>
      <c r="AB526" s="5352"/>
      <c r="AC526" s="2682"/>
      <c r="AD526" s="3289"/>
      <c r="AE526" s="2628"/>
      <c r="AF526" s="2629"/>
      <c r="AG526" s="2628"/>
      <c r="AH526" s="2629"/>
      <c r="AI526" s="2628"/>
      <c r="AJ526" s="2629"/>
      <c r="AK526" s="2671">
        <f t="shared" si="142"/>
        <v>0</v>
      </c>
      <c r="AL526" s="3464"/>
      <c r="AM526" s="3448"/>
      <c r="AN526" s="3448"/>
      <c r="AO526" s="3448"/>
      <c r="AP526" s="3448"/>
      <c r="AQ526" s="3448"/>
      <c r="AR526" s="3458" t="e">
        <f t="shared" si="153"/>
        <v>#DIV/0!</v>
      </c>
      <c r="AS526" s="3459">
        <f t="shared" si="154"/>
        <v>0</v>
      </c>
    </row>
    <row r="527" spans="1:45" s="1444" customFormat="1" ht="27.95" customHeight="1">
      <c r="A527" s="3274"/>
      <c r="B527" s="2147"/>
      <c r="C527" s="2147"/>
      <c r="D527" s="2147"/>
      <c r="E527" s="2147"/>
      <c r="F527" s="2147"/>
      <c r="G527" s="2149"/>
      <c r="H527" s="3274"/>
      <c r="I527" s="3274"/>
      <c r="J527" s="3290"/>
      <c r="K527" s="3290"/>
      <c r="L527" s="3671"/>
      <c r="M527" s="3672"/>
      <c r="N527" s="5419"/>
      <c r="O527" s="5418"/>
      <c r="P527" s="3274"/>
      <c r="Q527" s="3274"/>
      <c r="R527" s="3274"/>
      <c r="S527" s="2877"/>
      <c r="T527" s="3274"/>
      <c r="U527" s="5419"/>
      <c r="V527" s="5418"/>
      <c r="W527" s="5351"/>
      <c r="X527" s="5351"/>
      <c r="Y527" s="3286"/>
      <c r="Z527" s="3286"/>
      <c r="AA527" s="5352">
        <f t="shared" si="152"/>
        <v>0</v>
      </c>
      <c r="AB527" s="5352"/>
      <c r="AC527" s="2682"/>
      <c r="AD527" s="3289"/>
      <c r="AE527" s="2628"/>
      <c r="AF527" s="2629"/>
      <c r="AG527" s="2628"/>
      <c r="AH527" s="2629"/>
      <c r="AI527" s="2628"/>
      <c r="AJ527" s="2629"/>
      <c r="AK527" s="2671">
        <f t="shared" si="142"/>
        <v>0</v>
      </c>
      <c r="AL527" s="3464"/>
      <c r="AM527" s="3448"/>
      <c r="AN527" s="3448"/>
      <c r="AO527" s="3448"/>
      <c r="AP527" s="3448"/>
      <c r="AQ527" s="3448"/>
      <c r="AR527" s="3458" t="e">
        <f t="shared" si="153"/>
        <v>#DIV/0!</v>
      </c>
      <c r="AS527" s="3459">
        <f t="shared" si="154"/>
        <v>0</v>
      </c>
    </row>
    <row r="528" spans="1:45" s="1444" customFormat="1" ht="27.95" customHeight="1">
      <c r="A528" s="3274"/>
      <c r="B528" s="2147"/>
      <c r="C528" s="2147"/>
      <c r="D528" s="2147"/>
      <c r="E528" s="2147"/>
      <c r="F528" s="2147"/>
      <c r="G528" s="2149"/>
      <c r="H528" s="3274"/>
      <c r="I528" s="3274"/>
      <c r="J528" s="3290"/>
      <c r="K528" s="3290"/>
      <c r="L528" s="3671"/>
      <c r="M528" s="3672"/>
      <c r="N528" s="5419"/>
      <c r="O528" s="5418"/>
      <c r="P528" s="3274"/>
      <c r="Q528" s="3274"/>
      <c r="R528" s="3274"/>
      <c r="S528" s="2877"/>
      <c r="T528" s="3274"/>
      <c r="U528" s="5419"/>
      <c r="V528" s="5418"/>
      <c r="W528" s="5351"/>
      <c r="X528" s="5351"/>
      <c r="Y528" s="3286"/>
      <c r="Z528" s="3286"/>
      <c r="AA528" s="5352">
        <f t="shared" si="152"/>
        <v>0</v>
      </c>
      <c r="AB528" s="5352"/>
      <c r="AC528" s="2682"/>
      <c r="AD528" s="3289"/>
      <c r="AE528" s="2628"/>
      <c r="AF528" s="2629"/>
      <c r="AG528" s="2628"/>
      <c r="AH528" s="2629"/>
      <c r="AI528" s="2628"/>
      <c r="AJ528" s="2629"/>
      <c r="AK528" s="2671">
        <f t="shared" si="142"/>
        <v>0</v>
      </c>
      <c r="AL528" s="3464"/>
      <c r="AM528" s="3448"/>
      <c r="AN528" s="3448"/>
      <c r="AO528" s="3448"/>
      <c r="AP528" s="3448"/>
      <c r="AQ528" s="3448"/>
      <c r="AR528" s="3458" t="e">
        <f t="shared" si="153"/>
        <v>#DIV/0!</v>
      </c>
      <c r="AS528" s="3459">
        <f t="shared" si="154"/>
        <v>0</v>
      </c>
    </row>
    <row r="529" spans="1:45" s="1444" customFormat="1" ht="27.95" customHeight="1">
      <c r="A529" s="3274"/>
      <c r="B529" s="2147"/>
      <c r="C529" s="2147"/>
      <c r="D529" s="2147"/>
      <c r="E529" s="2147"/>
      <c r="F529" s="2147"/>
      <c r="G529" s="2149"/>
      <c r="H529" s="3274"/>
      <c r="I529" s="3274"/>
      <c r="J529" s="3290"/>
      <c r="K529" s="3290"/>
      <c r="L529" s="3671"/>
      <c r="M529" s="3672"/>
      <c r="N529" s="5419"/>
      <c r="O529" s="5418"/>
      <c r="P529" s="3274"/>
      <c r="Q529" s="3274"/>
      <c r="R529" s="3274"/>
      <c r="S529" s="2877"/>
      <c r="T529" s="3274"/>
      <c r="U529" s="5419"/>
      <c r="V529" s="5418"/>
      <c r="W529" s="5351"/>
      <c r="X529" s="5351"/>
      <c r="Y529" s="3286"/>
      <c r="Z529" s="3286"/>
      <c r="AA529" s="5352">
        <f t="shared" si="152"/>
        <v>0</v>
      </c>
      <c r="AB529" s="5352"/>
      <c r="AC529" s="2682"/>
      <c r="AD529" s="3289"/>
      <c r="AE529" s="2628"/>
      <c r="AF529" s="2629"/>
      <c r="AG529" s="2628"/>
      <c r="AH529" s="2629"/>
      <c r="AI529" s="2628"/>
      <c r="AJ529" s="2629"/>
      <c r="AK529" s="2671">
        <f t="shared" si="142"/>
        <v>0</v>
      </c>
      <c r="AL529" s="3464"/>
      <c r="AM529" s="3448"/>
      <c r="AN529" s="3448"/>
      <c r="AO529" s="3448"/>
      <c r="AP529" s="3448"/>
      <c r="AQ529" s="3448"/>
      <c r="AR529" s="3458" t="e">
        <f t="shared" si="153"/>
        <v>#DIV/0!</v>
      </c>
      <c r="AS529" s="3459">
        <f t="shared" si="154"/>
        <v>0</v>
      </c>
    </row>
    <row r="530" spans="1:45" s="1444" customFormat="1" ht="27.95" customHeight="1">
      <c r="A530" s="3274"/>
      <c r="B530" s="2147"/>
      <c r="C530" s="2147"/>
      <c r="D530" s="2147"/>
      <c r="E530" s="2147"/>
      <c r="F530" s="2147"/>
      <c r="G530" s="2149"/>
      <c r="H530" s="3274"/>
      <c r="I530" s="3274"/>
      <c r="J530" s="3290"/>
      <c r="K530" s="3290"/>
      <c r="L530" s="3671"/>
      <c r="M530" s="3672"/>
      <c r="N530" s="5454"/>
      <c r="O530" s="5455"/>
      <c r="P530" s="3274"/>
      <c r="Q530" s="3274"/>
      <c r="R530" s="3274"/>
      <c r="S530" s="2877"/>
      <c r="T530" s="3274"/>
      <c r="U530" s="5419"/>
      <c r="V530" s="5418"/>
      <c r="W530" s="5351"/>
      <c r="X530" s="5351"/>
      <c r="Y530" s="3286"/>
      <c r="Z530" s="3286"/>
      <c r="AA530" s="5352">
        <f t="shared" si="152"/>
        <v>0</v>
      </c>
      <c r="AB530" s="5352"/>
      <c r="AC530" s="2682"/>
      <c r="AD530" s="3289"/>
      <c r="AE530" s="2628"/>
      <c r="AF530" s="2629"/>
      <c r="AG530" s="2628"/>
      <c r="AH530" s="2629"/>
      <c r="AI530" s="2628"/>
      <c r="AJ530" s="2629"/>
      <c r="AK530" s="2671">
        <f t="shared" si="142"/>
        <v>0</v>
      </c>
      <c r="AL530" s="3464"/>
      <c r="AM530" s="3448"/>
      <c r="AN530" s="3448"/>
      <c r="AO530" s="3448"/>
      <c r="AP530" s="3448"/>
      <c r="AQ530" s="3448"/>
      <c r="AR530" s="3458" t="e">
        <f t="shared" si="153"/>
        <v>#DIV/0!</v>
      </c>
      <c r="AS530" s="3459">
        <f t="shared" si="154"/>
        <v>0</v>
      </c>
    </row>
    <row r="531" spans="1:45" s="1444" customFormat="1" ht="27.95" customHeight="1">
      <c r="A531" s="3274"/>
      <c r="B531" s="2147"/>
      <c r="C531" s="2147"/>
      <c r="D531" s="2147"/>
      <c r="E531" s="2147"/>
      <c r="F531" s="2147"/>
      <c r="G531" s="2149"/>
      <c r="H531" s="3274"/>
      <c r="I531" s="3274"/>
      <c r="J531" s="3290"/>
      <c r="K531" s="3290"/>
      <c r="L531" s="3671"/>
      <c r="M531" s="3672"/>
      <c r="N531" s="5419"/>
      <c r="O531" s="5418"/>
      <c r="P531" s="3274"/>
      <c r="Q531" s="3274"/>
      <c r="R531" s="3274"/>
      <c r="S531" s="2877"/>
      <c r="T531" s="3274"/>
      <c r="U531" s="5419"/>
      <c r="V531" s="5418"/>
      <c r="W531" s="5351"/>
      <c r="X531" s="5351"/>
      <c r="Y531" s="3286"/>
      <c r="Z531" s="3286"/>
      <c r="AA531" s="5352">
        <f t="shared" si="152"/>
        <v>0</v>
      </c>
      <c r="AB531" s="5352"/>
      <c r="AC531" s="2682"/>
      <c r="AD531" s="3289"/>
      <c r="AE531" s="2628"/>
      <c r="AF531" s="2629"/>
      <c r="AG531" s="2628"/>
      <c r="AH531" s="2629"/>
      <c r="AI531" s="2628"/>
      <c r="AJ531" s="2629"/>
      <c r="AK531" s="2671">
        <f t="shared" si="142"/>
        <v>0</v>
      </c>
      <c r="AL531" s="3464"/>
      <c r="AM531" s="3448"/>
      <c r="AN531" s="3448"/>
      <c r="AO531" s="3448"/>
      <c r="AP531" s="3448"/>
      <c r="AQ531" s="3448"/>
      <c r="AR531" s="3458" t="e">
        <f t="shared" ref="AR531:AR543" si="155">SUM(AM531:AQ531)/AS531</f>
        <v>#DIV/0!</v>
      </c>
      <c r="AS531" s="3459">
        <f t="shared" si="154"/>
        <v>0</v>
      </c>
    </row>
    <row r="532" spans="1:45" s="1444" customFormat="1" ht="27.95" customHeight="1">
      <c r="A532" s="3274"/>
      <c r="B532" s="2147"/>
      <c r="C532" s="2147"/>
      <c r="D532" s="2147"/>
      <c r="E532" s="2147"/>
      <c r="F532" s="2147"/>
      <c r="G532" s="2149"/>
      <c r="H532" s="3274"/>
      <c r="I532" s="3274"/>
      <c r="J532" s="3290"/>
      <c r="K532" s="3290"/>
      <c r="L532" s="3671"/>
      <c r="M532" s="3672"/>
      <c r="N532" s="5419"/>
      <c r="O532" s="5418"/>
      <c r="P532" s="3274"/>
      <c r="Q532" s="3274"/>
      <c r="R532" s="3274"/>
      <c r="S532" s="2877"/>
      <c r="T532" s="3274"/>
      <c r="U532" s="5419"/>
      <c r="V532" s="5418"/>
      <c r="W532" s="5351"/>
      <c r="X532" s="5351"/>
      <c r="Y532" s="3286"/>
      <c r="Z532" s="3286"/>
      <c r="AA532" s="5352">
        <f t="shared" si="152"/>
        <v>0</v>
      </c>
      <c r="AB532" s="5352"/>
      <c r="AC532" s="2682"/>
      <c r="AD532" s="3289"/>
      <c r="AE532" s="2628"/>
      <c r="AF532" s="2629"/>
      <c r="AG532" s="2628"/>
      <c r="AH532" s="2629"/>
      <c r="AI532" s="2628"/>
      <c r="AJ532" s="2629"/>
      <c r="AK532" s="2671">
        <f t="shared" si="142"/>
        <v>0</v>
      </c>
      <c r="AL532" s="3464"/>
      <c r="AM532" s="3448"/>
      <c r="AN532" s="3448"/>
      <c r="AO532" s="3448"/>
      <c r="AP532" s="3448"/>
      <c r="AQ532" s="3448"/>
      <c r="AR532" s="3458" t="e">
        <f t="shared" si="155"/>
        <v>#DIV/0!</v>
      </c>
      <c r="AS532" s="3459">
        <f t="shared" si="154"/>
        <v>0</v>
      </c>
    </row>
    <row r="533" spans="1:45" s="1444" customFormat="1" ht="27.95" customHeight="1">
      <c r="A533" s="3274"/>
      <c r="B533" s="2147"/>
      <c r="C533" s="2147"/>
      <c r="D533" s="2147"/>
      <c r="E533" s="2147"/>
      <c r="F533" s="2147"/>
      <c r="G533" s="2149"/>
      <c r="H533" s="3274"/>
      <c r="I533" s="3274"/>
      <c r="J533" s="3290"/>
      <c r="K533" s="3290"/>
      <c r="L533" s="3671"/>
      <c r="M533" s="3672"/>
      <c r="N533" s="5419"/>
      <c r="O533" s="5418"/>
      <c r="P533" s="3274"/>
      <c r="Q533" s="3274"/>
      <c r="R533" s="3274"/>
      <c r="S533" s="2877"/>
      <c r="T533" s="3274"/>
      <c r="U533" s="5419"/>
      <c r="V533" s="5418"/>
      <c r="W533" s="5351"/>
      <c r="X533" s="5351"/>
      <c r="Y533" s="3286"/>
      <c r="Z533" s="3286"/>
      <c r="AA533" s="5352">
        <f t="shared" si="152"/>
        <v>0</v>
      </c>
      <c r="AB533" s="5352"/>
      <c r="AC533" s="2682"/>
      <c r="AD533" s="3289"/>
      <c r="AE533" s="2628"/>
      <c r="AF533" s="2629"/>
      <c r="AG533" s="2628"/>
      <c r="AH533" s="2629"/>
      <c r="AI533" s="2628"/>
      <c r="AJ533" s="2629"/>
      <c r="AK533" s="2671">
        <f t="shared" si="142"/>
        <v>0</v>
      </c>
      <c r="AL533" s="3464"/>
      <c r="AM533" s="3448"/>
      <c r="AN533" s="3448"/>
      <c r="AO533" s="3448"/>
      <c r="AP533" s="3448"/>
      <c r="AQ533" s="3448"/>
      <c r="AR533" s="3458" t="e">
        <f t="shared" si="155"/>
        <v>#DIV/0!</v>
      </c>
      <c r="AS533" s="3459">
        <f t="shared" si="154"/>
        <v>0</v>
      </c>
    </row>
    <row r="534" spans="1:45" s="1444" customFormat="1" ht="27.95" customHeight="1">
      <c r="A534" s="3274"/>
      <c r="B534" s="2147"/>
      <c r="C534" s="2147"/>
      <c r="D534" s="2147"/>
      <c r="E534" s="2147"/>
      <c r="F534" s="2147"/>
      <c r="G534" s="2149"/>
      <c r="H534" s="3274"/>
      <c r="I534" s="3274"/>
      <c r="J534" s="3290"/>
      <c r="K534" s="3290"/>
      <c r="L534" s="3671"/>
      <c r="M534" s="3672"/>
      <c r="N534" s="5419"/>
      <c r="O534" s="5418"/>
      <c r="P534" s="3274"/>
      <c r="Q534" s="3274"/>
      <c r="R534" s="3274"/>
      <c r="S534" s="2877"/>
      <c r="T534" s="3274"/>
      <c r="U534" s="5419"/>
      <c r="V534" s="5418"/>
      <c r="W534" s="5351"/>
      <c r="X534" s="5351"/>
      <c r="Y534" s="3286"/>
      <c r="Z534" s="3286"/>
      <c r="AA534" s="5352">
        <f t="shared" si="152"/>
        <v>0</v>
      </c>
      <c r="AB534" s="5352"/>
      <c r="AC534" s="2682"/>
      <c r="AD534" s="3289"/>
      <c r="AE534" s="2628"/>
      <c r="AF534" s="2629"/>
      <c r="AG534" s="2628"/>
      <c r="AH534" s="2629"/>
      <c r="AI534" s="2628"/>
      <c r="AJ534" s="2629"/>
      <c r="AK534" s="2671">
        <f t="shared" si="142"/>
        <v>0</v>
      </c>
      <c r="AL534" s="3464"/>
      <c r="AM534" s="3448"/>
      <c r="AN534" s="3448"/>
      <c r="AO534" s="3448"/>
      <c r="AP534" s="3448"/>
      <c r="AQ534" s="3448"/>
      <c r="AR534" s="3458" t="e">
        <f t="shared" si="155"/>
        <v>#DIV/0!</v>
      </c>
      <c r="AS534" s="3459">
        <f t="shared" si="154"/>
        <v>0</v>
      </c>
    </row>
    <row r="535" spans="1:45" s="1444" customFormat="1" ht="27.95" customHeight="1">
      <c r="A535" s="3274"/>
      <c r="B535" s="2147"/>
      <c r="C535" s="2147"/>
      <c r="D535" s="2147"/>
      <c r="E535" s="2147"/>
      <c r="F535" s="2147"/>
      <c r="G535" s="2149"/>
      <c r="H535" s="3274"/>
      <c r="I535" s="3274"/>
      <c r="J535" s="3290"/>
      <c r="K535" s="3290"/>
      <c r="L535" s="3671"/>
      <c r="M535" s="3672"/>
      <c r="N535" s="5419"/>
      <c r="O535" s="5418"/>
      <c r="P535" s="3274"/>
      <c r="Q535" s="3274"/>
      <c r="R535" s="3274"/>
      <c r="S535" s="2877"/>
      <c r="T535" s="3274"/>
      <c r="U535" s="5419"/>
      <c r="V535" s="5418"/>
      <c r="W535" s="5351"/>
      <c r="X535" s="5351"/>
      <c r="Y535" s="3286"/>
      <c r="Z535" s="3286"/>
      <c r="AA535" s="5352">
        <f t="shared" si="152"/>
        <v>0</v>
      </c>
      <c r="AB535" s="5352"/>
      <c r="AC535" s="2682"/>
      <c r="AD535" s="3289"/>
      <c r="AE535" s="2628"/>
      <c r="AF535" s="2629"/>
      <c r="AG535" s="2628"/>
      <c r="AH535" s="2629"/>
      <c r="AI535" s="2628"/>
      <c r="AJ535" s="2629"/>
      <c r="AK535" s="2671">
        <f t="shared" si="142"/>
        <v>0</v>
      </c>
      <c r="AL535" s="3464"/>
      <c r="AM535" s="3448"/>
      <c r="AN535" s="3448"/>
      <c r="AO535" s="3448"/>
      <c r="AP535" s="3448"/>
      <c r="AQ535" s="3448"/>
      <c r="AR535" s="3458" t="e">
        <f t="shared" si="155"/>
        <v>#DIV/0!</v>
      </c>
      <c r="AS535" s="3459">
        <f t="shared" si="154"/>
        <v>0</v>
      </c>
    </row>
    <row r="536" spans="1:45" s="1444" customFormat="1" ht="27.95" customHeight="1">
      <c r="A536" s="3274"/>
      <c r="B536" s="2151"/>
      <c r="C536" s="2147"/>
      <c r="D536" s="2147"/>
      <c r="E536" s="2147"/>
      <c r="F536" s="2147"/>
      <c r="G536" s="2149"/>
      <c r="H536" s="3274"/>
      <c r="I536" s="3274"/>
      <c r="J536" s="3274"/>
      <c r="K536" s="3274"/>
      <c r="L536" s="3673"/>
      <c r="M536" s="3672"/>
      <c r="N536" s="5350"/>
      <c r="O536" s="5350"/>
      <c r="P536" s="3274"/>
      <c r="Q536" s="3274"/>
      <c r="R536" s="3274"/>
      <c r="S536" s="2875"/>
      <c r="T536" s="3274"/>
      <c r="U536" s="5350"/>
      <c r="V536" s="5350"/>
      <c r="W536" s="5351"/>
      <c r="X536" s="5351"/>
      <c r="Y536" s="3286"/>
      <c r="Z536" s="3286"/>
      <c r="AA536" s="5352">
        <f t="shared" si="152"/>
        <v>0</v>
      </c>
      <c r="AB536" s="5352"/>
      <c r="AC536" s="2682"/>
      <c r="AD536" s="3289"/>
      <c r="AE536" s="2628"/>
      <c r="AF536" s="2629"/>
      <c r="AG536" s="2628"/>
      <c r="AH536" s="2629"/>
      <c r="AI536" s="2628"/>
      <c r="AJ536" s="2629"/>
      <c r="AK536" s="2671">
        <f t="shared" si="142"/>
        <v>0</v>
      </c>
      <c r="AL536" s="3464"/>
      <c r="AM536" s="3448"/>
      <c r="AN536" s="3448"/>
      <c r="AO536" s="3448"/>
      <c r="AP536" s="3448"/>
      <c r="AQ536" s="3448"/>
      <c r="AR536" s="3458" t="e">
        <f t="shared" si="155"/>
        <v>#DIV/0!</v>
      </c>
      <c r="AS536" s="3459">
        <f t="shared" si="154"/>
        <v>0</v>
      </c>
    </row>
    <row r="537" spans="1:45" s="1444" customFormat="1" ht="27.95" customHeight="1">
      <c r="A537" s="3274"/>
      <c r="B537" s="2151"/>
      <c r="C537" s="2147"/>
      <c r="D537" s="2147"/>
      <c r="E537" s="2147"/>
      <c r="F537" s="2147"/>
      <c r="G537" s="2149"/>
      <c r="H537" s="3274"/>
      <c r="I537" s="3274"/>
      <c r="J537" s="3274"/>
      <c r="K537" s="3274"/>
      <c r="L537" s="3673"/>
      <c r="M537" s="3672"/>
      <c r="N537" s="5350"/>
      <c r="O537" s="5350"/>
      <c r="P537" s="3274"/>
      <c r="Q537" s="3274"/>
      <c r="R537" s="3274"/>
      <c r="S537" s="2875"/>
      <c r="T537" s="3274"/>
      <c r="U537" s="5350"/>
      <c r="V537" s="5350"/>
      <c r="W537" s="5351"/>
      <c r="X537" s="5351"/>
      <c r="Y537" s="3286"/>
      <c r="Z537" s="3286"/>
      <c r="AA537" s="5352">
        <f t="shared" si="152"/>
        <v>0</v>
      </c>
      <c r="AB537" s="5352"/>
      <c r="AC537" s="2682"/>
      <c r="AD537" s="3289"/>
      <c r="AE537" s="2628"/>
      <c r="AF537" s="2629"/>
      <c r="AG537" s="2628"/>
      <c r="AH537" s="2629"/>
      <c r="AI537" s="2628"/>
      <c r="AJ537" s="2629"/>
      <c r="AK537" s="2671">
        <f t="shared" si="142"/>
        <v>0</v>
      </c>
      <c r="AL537" s="3464"/>
      <c r="AM537" s="3448"/>
      <c r="AN537" s="3448"/>
      <c r="AO537" s="3448"/>
      <c r="AP537" s="3448"/>
      <c r="AQ537" s="3448"/>
      <c r="AR537" s="3458" t="e">
        <f t="shared" si="155"/>
        <v>#DIV/0!</v>
      </c>
      <c r="AS537" s="3459">
        <f t="shared" si="154"/>
        <v>0</v>
      </c>
    </row>
    <row r="538" spans="1:45" s="1444" customFormat="1" ht="27.95" customHeight="1">
      <c r="A538" s="3274"/>
      <c r="B538" s="2151"/>
      <c r="C538" s="2147"/>
      <c r="D538" s="2147"/>
      <c r="E538" s="2147"/>
      <c r="F538" s="2147"/>
      <c r="G538" s="2149"/>
      <c r="H538" s="3274"/>
      <c r="I538" s="3274"/>
      <c r="J538" s="3274"/>
      <c r="K538" s="3274"/>
      <c r="L538" s="3673"/>
      <c r="M538" s="3672"/>
      <c r="N538" s="5350"/>
      <c r="O538" s="5350"/>
      <c r="P538" s="3274"/>
      <c r="Q538" s="3274"/>
      <c r="R538" s="3274"/>
      <c r="S538" s="2875"/>
      <c r="T538" s="3274"/>
      <c r="U538" s="5350"/>
      <c r="V538" s="5350"/>
      <c r="W538" s="5351"/>
      <c r="X538" s="5351"/>
      <c r="Y538" s="3286"/>
      <c r="Z538" s="3286"/>
      <c r="AA538" s="5352">
        <f t="shared" si="152"/>
        <v>0</v>
      </c>
      <c r="AB538" s="5352"/>
      <c r="AC538" s="2682"/>
      <c r="AD538" s="3289"/>
      <c r="AE538" s="2628"/>
      <c r="AF538" s="2629"/>
      <c r="AG538" s="2628"/>
      <c r="AH538" s="2629"/>
      <c r="AI538" s="2628"/>
      <c r="AJ538" s="2629"/>
      <c r="AK538" s="2671">
        <f t="shared" si="142"/>
        <v>0</v>
      </c>
      <c r="AL538" s="3464"/>
      <c r="AM538" s="3448"/>
      <c r="AN538" s="3448"/>
      <c r="AO538" s="3448"/>
      <c r="AP538" s="3448"/>
      <c r="AQ538" s="3448"/>
      <c r="AR538" s="3458" t="e">
        <f t="shared" si="155"/>
        <v>#DIV/0!</v>
      </c>
      <c r="AS538" s="3459">
        <f t="shared" si="154"/>
        <v>0</v>
      </c>
    </row>
    <row r="539" spans="1:45" s="1444" customFormat="1" ht="27.95" customHeight="1">
      <c r="A539" s="3274"/>
      <c r="B539" s="2151"/>
      <c r="C539" s="2147"/>
      <c r="D539" s="2147"/>
      <c r="E539" s="2147"/>
      <c r="F539" s="2147"/>
      <c r="G539" s="2149"/>
      <c r="H539" s="3274"/>
      <c r="I539" s="3274"/>
      <c r="J539" s="3274"/>
      <c r="K539" s="3274"/>
      <c r="L539" s="3673"/>
      <c r="M539" s="3672"/>
      <c r="N539" s="5350"/>
      <c r="O539" s="5350"/>
      <c r="P539" s="3274"/>
      <c r="Q539" s="3274"/>
      <c r="R539" s="3274"/>
      <c r="S539" s="2875"/>
      <c r="T539" s="3274"/>
      <c r="U539" s="5350"/>
      <c r="V539" s="5350"/>
      <c r="W539" s="5351"/>
      <c r="X539" s="5351"/>
      <c r="Y539" s="3286"/>
      <c r="Z539" s="3286"/>
      <c r="AA539" s="5352">
        <f t="shared" si="152"/>
        <v>0</v>
      </c>
      <c r="AB539" s="5352"/>
      <c r="AC539" s="2682"/>
      <c r="AD539" s="3289"/>
      <c r="AE539" s="2628"/>
      <c r="AF539" s="2629"/>
      <c r="AG539" s="2628"/>
      <c r="AH539" s="2629"/>
      <c r="AI539" s="2628"/>
      <c r="AJ539" s="2629"/>
      <c r="AK539" s="2671">
        <f t="shared" si="142"/>
        <v>0</v>
      </c>
      <c r="AL539" s="3464"/>
      <c r="AM539" s="3448"/>
      <c r="AN539" s="3448"/>
      <c r="AO539" s="3448"/>
      <c r="AP539" s="3448"/>
      <c r="AQ539" s="3448"/>
      <c r="AR539" s="3458" t="e">
        <f t="shared" si="155"/>
        <v>#DIV/0!</v>
      </c>
      <c r="AS539" s="3459">
        <f t="shared" si="154"/>
        <v>0</v>
      </c>
    </row>
    <row r="540" spans="1:45" s="1444" customFormat="1" ht="27.95" customHeight="1">
      <c r="A540" s="3274"/>
      <c r="B540" s="2151"/>
      <c r="C540" s="2147"/>
      <c r="D540" s="2147"/>
      <c r="E540" s="2147"/>
      <c r="F540" s="2147"/>
      <c r="G540" s="2149"/>
      <c r="H540" s="3274"/>
      <c r="I540" s="3274"/>
      <c r="J540" s="3274"/>
      <c r="K540" s="3274"/>
      <c r="L540" s="3673"/>
      <c r="M540" s="3672"/>
      <c r="N540" s="5350"/>
      <c r="O540" s="5350"/>
      <c r="P540" s="3274"/>
      <c r="Q540" s="3274"/>
      <c r="R540" s="3274"/>
      <c r="S540" s="2875"/>
      <c r="T540" s="3274"/>
      <c r="U540" s="5350"/>
      <c r="V540" s="5350"/>
      <c r="W540" s="5351"/>
      <c r="X540" s="5351"/>
      <c r="Y540" s="3286"/>
      <c r="Z540" s="3286"/>
      <c r="AA540" s="5352">
        <f t="shared" si="152"/>
        <v>0</v>
      </c>
      <c r="AB540" s="5352"/>
      <c r="AC540" s="2682"/>
      <c r="AD540" s="3289"/>
      <c r="AE540" s="2628"/>
      <c r="AF540" s="2629"/>
      <c r="AG540" s="2628"/>
      <c r="AH540" s="2629"/>
      <c r="AI540" s="2628"/>
      <c r="AJ540" s="2629"/>
      <c r="AK540" s="2671">
        <f t="shared" si="142"/>
        <v>0</v>
      </c>
      <c r="AL540" s="3464"/>
      <c r="AM540" s="3448"/>
      <c r="AN540" s="3448"/>
      <c r="AO540" s="3448"/>
      <c r="AP540" s="3448"/>
      <c r="AQ540" s="3448"/>
      <c r="AR540" s="3458" t="e">
        <f t="shared" si="155"/>
        <v>#DIV/0!</v>
      </c>
      <c r="AS540" s="3459">
        <f t="shared" si="154"/>
        <v>0</v>
      </c>
    </row>
    <row r="541" spans="1:45" s="1444" customFormat="1" ht="27.95" customHeight="1">
      <c r="A541" s="3274"/>
      <c r="B541" s="2151"/>
      <c r="C541" s="2147"/>
      <c r="D541" s="2147"/>
      <c r="E541" s="2147"/>
      <c r="F541" s="2147"/>
      <c r="G541" s="2149"/>
      <c r="H541" s="3274"/>
      <c r="I541" s="3274"/>
      <c r="J541" s="3274"/>
      <c r="K541" s="3274"/>
      <c r="L541" s="3673"/>
      <c r="M541" s="3672"/>
      <c r="N541" s="5350"/>
      <c r="O541" s="5350"/>
      <c r="P541" s="3274"/>
      <c r="Q541" s="3274"/>
      <c r="R541" s="3274"/>
      <c r="S541" s="2875"/>
      <c r="T541" s="3274"/>
      <c r="U541" s="5350"/>
      <c r="V541" s="5350"/>
      <c r="W541" s="5351"/>
      <c r="X541" s="5351"/>
      <c r="Y541" s="3286"/>
      <c r="Z541" s="3286"/>
      <c r="AA541" s="5352">
        <f t="shared" si="152"/>
        <v>0</v>
      </c>
      <c r="AB541" s="5352"/>
      <c r="AC541" s="2682"/>
      <c r="AD541" s="3289"/>
      <c r="AE541" s="2628"/>
      <c r="AF541" s="2629"/>
      <c r="AG541" s="2628"/>
      <c r="AH541" s="2629"/>
      <c r="AI541" s="2628"/>
      <c r="AJ541" s="2629"/>
      <c r="AK541" s="2671">
        <f t="shared" si="142"/>
        <v>0</v>
      </c>
      <c r="AL541" s="3464"/>
      <c r="AM541" s="3448"/>
      <c r="AN541" s="3448"/>
      <c r="AO541" s="3448"/>
      <c r="AP541" s="3448"/>
      <c r="AQ541" s="3448"/>
      <c r="AR541" s="3458" t="e">
        <f t="shared" si="155"/>
        <v>#DIV/0!</v>
      </c>
      <c r="AS541" s="3459">
        <f t="shared" si="154"/>
        <v>0</v>
      </c>
    </row>
    <row r="542" spans="1:45" s="1444" customFormat="1" ht="27.95" customHeight="1">
      <c r="A542" s="3274"/>
      <c r="B542" s="2151"/>
      <c r="C542" s="2147"/>
      <c r="D542" s="2147"/>
      <c r="E542" s="2147"/>
      <c r="F542" s="2147"/>
      <c r="G542" s="2149"/>
      <c r="H542" s="3274"/>
      <c r="I542" s="3274"/>
      <c r="J542" s="3274"/>
      <c r="K542" s="3274"/>
      <c r="L542" s="3673"/>
      <c r="M542" s="3672"/>
      <c r="N542" s="5350"/>
      <c r="O542" s="5350"/>
      <c r="P542" s="3274"/>
      <c r="Q542" s="3274"/>
      <c r="R542" s="3274"/>
      <c r="S542" s="2875"/>
      <c r="T542" s="3274"/>
      <c r="U542" s="5350"/>
      <c r="V542" s="5350"/>
      <c r="W542" s="5351"/>
      <c r="X542" s="5351"/>
      <c r="Y542" s="3286"/>
      <c r="Z542" s="3286"/>
      <c r="AA542" s="5352">
        <f t="shared" si="152"/>
        <v>0</v>
      </c>
      <c r="AB542" s="5352"/>
      <c r="AC542" s="2682"/>
      <c r="AD542" s="3289"/>
      <c r="AE542" s="2628"/>
      <c r="AF542" s="2629"/>
      <c r="AG542" s="2628"/>
      <c r="AH542" s="2629"/>
      <c r="AI542" s="2628"/>
      <c r="AJ542" s="2629"/>
      <c r="AK542" s="2672">
        <f t="shared" si="142"/>
        <v>0</v>
      </c>
      <c r="AL542" s="3464"/>
      <c r="AM542" s="3448"/>
      <c r="AN542" s="3448"/>
      <c r="AO542" s="3448"/>
      <c r="AP542" s="3448"/>
      <c r="AQ542" s="3448"/>
      <c r="AR542" s="3458" t="e">
        <f t="shared" si="155"/>
        <v>#DIV/0!</v>
      </c>
      <c r="AS542" s="3459">
        <f t="shared" si="154"/>
        <v>0</v>
      </c>
    </row>
    <row r="543" spans="1:45" s="1444" customFormat="1" ht="27.95" customHeight="1">
      <c r="A543" s="3273">
        <f>COUNTA(B517:G542)</f>
        <v>7</v>
      </c>
      <c r="B543" s="2961" t="str">
        <f>'[1]0125U'!$S$3</f>
        <v>pspatriciarv@hotmail.com</v>
      </c>
      <c r="C543" s="2962"/>
      <c r="D543" s="2963"/>
      <c r="E543" s="2964" t="str">
        <f>'[1]0125U'!$C$8</f>
        <v>AV. POLITECNICO SMZ. 502 MZ. 8</v>
      </c>
      <c r="F543" s="2962"/>
      <c r="G543" s="2965"/>
      <c r="H543" s="3273">
        <f>COUNTIF(H518:H523,"X")</f>
        <v>0</v>
      </c>
      <c r="I543" s="3273">
        <f>COUNTIF(I518:I523,"X")</f>
        <v>4</v>
      </c>
      <c r="J543" s="2966">
        <f>COUNTIF(L517:M542,"docente")</f>
        <v>3</v>
      </c>
      <c r="K543" s="2967">
        <f>COUNTIF(L517:M542,"intendente")</f>
        <v>1</v>
      </c>
      <c r="L543" s="1665">
        <f>COUNTA(N517:O542)</f>
        <v>0</v>
      </c>
      <c r="M543" s="2968">
        <f>COUNTIF(Y517:Y542,"1º")</f>
        <v>1</v>
      </c>
      <c r="N543" s="3278">
        <f>COUNTIF(Y517:Y542,"2º")</f>
        <v>1</v>
      </c>
      <c r="O543" s="3278">
        <f>COUNTIF(Y517:Y542,"3º")</f>
        <v>1</v>
      </c>
      <c r="P543" s="3278">
        <f>COUNTIF(Y517:Y542,"4º")</f>
        <v>1</v>
      </c>
      <c r="Q543" s="3278">
        <f>COUNTIF(Y517:Y542,"5º")</f>
        <v>1</v>
      </c>
      <c r="R543" s="3278">
        <f>COUNTIF(Y517:Y542,"6º")</f>
        <v>1</v>
      </c>
      <c r="S543" s="2968">
        <f>SUM(M543:R543)</f>
        <v>6</v>
      </c>
      <c r="T543" s="3273">
        <f>COUNTA(T517:T542)</f>
        <v>0</v>
      </c>
      <c r="U543" s="2968">
        <f>COUNTIF(U517:V542,"10")</f>
        <v>0</v>
      </c>
      <c r="V543" s="2969">
        <f>COUNTIF(U517:V542,"20")</f>
        <v>5</v>
      </c>
      <c r="W543" s="5409" t="s">
        <v>1232</v>
      </c>
      <c r="X543" s="5409"/>
      <c r="Y543" s="5409"/>
      <c r="Z543" s="3286">
        <f>COUNTA(Z517:Z542)</f>
        <v>6</v>
      </c>
      <c r="AA543" s="5411">
        <f>SUM(AA517:AB542)</f>
        <v>61</v>
      </c>
      <c r="AB543" s="5411"/>
      <c r="AC543" s="2687">
        <f t="shared" ref="AC543:AJ543" si="156">SUM(AC517:AC542)</f>
        <v>41</v>
      </c>
      <c r="AD543" s="2688">
        <f t="shared" si="156"/>
        <v>17</v>
      </c>
      <c r="AE543" s="2630">
        <f t="shared" si="156"/>
        <v>5</v>
      </c>
      <c r="AF543" s="2631">
        <f t="shared" si="156"/>
        <v>3</v>
      </c>
      <c r="AG543" s="2632">
        <f t="shared" si="156"/>
        <v>4</v>
      </c>
      <c r="AH543" s="2633">
        <f t="shared" si="156"/>
        <v>1</v>
      </c>
      <c r="AI543" s="2634">
        <f t="shared" si="156"/>
        <v>0</v>
      </c>
      <c r="AJ543" s="2635">
        <f t="shared" si="156"/>
        <v>0</v>
      </c>
      <c r="AK543" s="317">
        <f t="shared" si="142"/>
        <v>58</v>
      </c>
      <c r="AL543" s="3461">
        <f>SUM(AL517:AL542)/AL544</f>
        <v>6.95</v>
      </c>
      <c r="AM543" s="3465" t="e">
        <f t="shared" ref="AM543" si="157">SUM(AM517:AM542)/AM544</f>
        <v>#DIV/0!</v>
      </c>
      <c r="AN543" s="3460" t="e">
        <f t="shared" ref="AN543" si="158">SUM(AN517:AN542)/AN544</f>
        <v>#DIV/0!</v>
      </c>
      <c r="AO543" s="3460" t="e">
        <f t="shared" ref="AO543" si="159">SUM(AO517:AO542)/AO544</f>
        <v>#DIV/0!</v>
      </c>
      <c r="AP543" s="3460" t="e">
        <f t="shared" ref="AP543" si="160">SUM(AP517:AP542)/AP544</f>
        <v>#DIV/0!</v>
      </c>
      <c r="AQ543" s="3460" t="e">
        <f>SUM(AQ517:AQ542)/AQ544</f>
        <v>#DIV/0!</v>
      </c>
      <c r="AR543" s="3461" t="e">
        <f t="shared" si="155"/>
        <v>#DIV/0!</v>
      </c>
      <c r="AS543" s="3459">
        <f t="shared" si="154"/>
        <v>5</v>
      </c>
    </row>
    <row r="544" spans="1:45" s="1446" customFormat="1" ht="27.95" customHeight="1">
      <c r="A544" s="3690" t="s">
        <v>228</v>
      </c>
      <c r="B544" s="3691">
        <f>SUM(Estadisticas!AM38:AN38)</f>
        <v>1</v>
      </c>
      <c r="C544" s="3691">
        <f>SUM(Estadisticas!AO38:AP38)</f>
        <v>1</v>
      </c>
      <c r="D544" s="3691">
        <f>SUM(Estadisticas!AQ38:AR38)</f>
        <v>1</v>
      </c>
      <c r="E544" s="3691">
        <f>SUM(Estadisticas!AS38:AT38)</f>
        <v>2</v>
      </c>
      <c r="F544" s="3691">
        <f>SUM(Estadisticas!AU38:AV38)</f>
        <v>1</v>
      </c>
      <c r="G544" s="3691">
        <f>SUM(Estadisticas!AW38:AX38)</f>
        <v>2</v>
      </c>
      <c r="H544" s="5412">
        <f>SUM(B544:G544)</f>
        <v>8</v>
      </c>
      <c r="I544" s="5412"/>
      <c r="J544" s="3705"/>
      <c r="K544" s="3705"/>
      <c r="L544" s="3692" t="s">
        <v>1126</v>
      </c>
      <c r="M544" s="3690">
        <f>SUM(AK518)</f>
        <v>7</v>
      </c>
      <c r="N544" s="3690">
        <f>SUM(AK519)</f>
        <v>9</v>
      </c>
      <c r="O544" s="3690">
        <f>SUM(AK520)</f>
        <v>12</v>
      </c>
      <c r="P544" s="3690">
        <f>SUM(AK521)</f>
        <v>11</v>
      </c>
      <c r="Q544" s="3690">
        <f>SUM(AK522)</f>
        <v>12</v>
      </c>
      <c r="R544" s="3690">
        <f>SUM(AK523)</f>
        <v>7</v>
      </c>
      <c r="S544" s="3690">
        <f>SUM(M544:R544)</f>
        <v>58</v>
      </c>
      <c r="T544" s="3705">
        <f>'[1]0125U'!$V$23</f>
        <v>0</v>
      </c>
      <c r="U544" s="3705"/>
      <c r="V544" s="3705"/>
      <c r="W544" s="3705"/>
      <c r="X544" s="3705"/>
      <c r="Y544" s="3695">
        <f>COUNTA(Y517:Y542)</f>
        <v>6</v>
      </c>
      <c r="Z544" s="3705"/>
      <c r="AA544" s="5445">
        <f>'[1]0125U'!$X$35</f>
        <v>61</v>
      </c>
      <c r="AB544" s="5445"/>
      <c r="AC544" s="5334">
        <f>AC543+AD543</f>
        <v>58</v>
      </c>
      <c r="AD544" s="5334"/>
      <c r="AE544" s="5335">
        <f>AE543+AF543</f>
        <v>8</v>
      </c>
      <c r="AF544" s="5335"/>
      <c r="AG544" s="5335">
        <f>AG543+AH543</f>
        <v>5</v>
      </c>
      <c r="AH544" s="5335"/>
      <c r="AI544" s="2636"/>
      <c r="AJ544" s="2636"/>
      <c r="AK544" s="2636">
        <f>SUM(AC544:AD544)+AE544</f>
        <v>66</v>
      </c>
      <c r="AL544" s="3462">
        <f>COUNTA(AL517:AL542)</f>
        <v>6</v>
      </c>
      <c r="AM544" s="3462">
        <f t="shared" ref="AM544:AQ544" si="161">COUNTA(AM517:AM542)</f>
        <v>0</v>
      </c>
      <c r="AN544" s="3462">
        <f t="shared" si="161"/>
        <v>0</v>
      </c>
      <c r="AO544" s="3462">
        <f t="shared" si="161"/>
        <v>0</v>
      </c>
      <c r="AP544" s="3462">
        <f t="shared" si="161"/>
        <v>0</v>
      </c>
      <c r="AQ544" s="3462">
        <f t="shared" si="161"/>
        <v>0</v>
      </c>
      <c r="AR544" s="3462">
        <v>12</v>
      </c>
    </row>
    <row r="545" spans="1:45" s="1446" customFormat="1" ht="27.95" customHeight="1">
      <c r="A545" s="3695" t="s">
        <v>230</v>
      </c>
      <c r="B545" s="3695">
        <f>SUM(Estadisticas!AY38:AZ38)</f>
        <v>0</v>
      </c>
      <c r="C545" s="3695">
        <f>SUM(Estadisticas!BA38:BB38)</f>
        <v>0</v>
      </c>
      <c r="D545" s="3695">
        <f>SUM(Estadisticas!BC38:BD38)</f>
        <v>0</v>
      </c>
      <c r="E545" s="3695">
        <f>SUM(Estadisticas!BE38:BF38)</f>
        <v>2</v>
      </c>
      <c r="F545" s="3695">
        <f>SUM(Estadisticas!BG38:BH38)</f>
        <v>2</v>
      </c>
      <c r="G545" s="3695">
        <f>SUM(Estadisticas!BI38:BJ38)</f>
        <v>1</v>
      </c>
      <c r="H545" s="5413">
        <f>SUM(B545:G545)</f>
        <v>5</v>
      </c>
      <c r="I545" s="5413"/>
      <c r="J545" s="3705"/>
      <c r="K545" s="3705"/>
      <c r="L545" s="3696" t="s">
        <v>423</v>
      </c>
      <c r="M545" s="3695">
        <f>SUM(AE518:AF518)</f>
        <v>1</v>
      </c>
      <c r="N545" s="3695">
        <f>SUM(AE519:AF519)</f>
        <v>1</v>
      </c>
      <c r="O545" s="3695">
        <f>SUM(AE520:AF520)</f>
        <v>1</v>
      </c>
      <c r="P545" s="3695">
        <f>SUM(AE521:AF521)</f>
        <v>2</v>
      </c>
      <c r="Q545" s="3695">
        <f>SUM(AE522:AF522)</f>
        <v>1</v>
      </c>
      <c r="R545" s="3695">
        <f>SUM(AE523:AF523)</f>
        <v>2</v>
      </c>
      <c r="S545" s="3695">
        <f t="shared" ref="S545:S546" si="162">SUM(M545:R545)</f>
        <v>8</v>
      </c>
      <c r="T545" s="3706"/>
      <c r="U545" s="3705" t="str">
        <f>U65</f>
        <v>PRE</v>
      </c>
      <c r="V545" s="3707">
        <f>'[1]0125U'!$F$39</f>
        <v>1</v>
      </c>
      <c r="W545" s="3707">
        <f>'[1]0125U'!$I$39</f>
        <v>0</v>
      </c>
      <c r="X545" s="3707">
        <f>'[1]0125U'!$L$39</f>
        <v>1</v>
      </c>
      <c r="Y545" s="3707">
        <f>'[1]0125U'!$O$39</f>
        <v>1</v>
      </c>
      <c r="Z545" s="3707">
        <f>'[1]0125U'!$R$39</f>
        <v>1</v>
      </c>
      <c r="AA545" s="3707">
        <f>'[1]0125U'!$U$39</f>
        <v>0</v>
      </c>
      <c r="AB545" s="3707">
        <f>SUM(V545:AA545)</f>
        <v>4</v>
      </c>
      <c r="AC545" s="2683"/>
      <c r="AD545" s="3238"/>
      <c r="AE545" s="2620"/>
      <c r="AF545" s="2621"/>
      <c r="AG545" s="2620"/>
      <c r="AH545" s="2621"/>
      <c r="AK545" s="2636"/>
      <c r="AL545" s="3448"/>
      <c r="AM545" s="3448"/>
      <c r="AN545" s="3448"/>
      <c r="AO545" s="3448"/>
      <c r="AP545" s="3448"/>
      <c r="AQ545" s="3448"/>
      <c r="AR545" s="3448"/>
    </row>
    <row r="546" spans="1:45" s="1441" customFormat="1" ht="27.95" customHeight="1">
      <c r="A546" s="3698" t="s">
        <v>478</v>
      </c>
      <c r="B546" s="3698">
        <f>SUM(Estadisticas!BK37:BL37)</f>
        <v>0</v>
      </c>
      <c r="C546" s="3698">
        <f>SUM(Estadisticas!BM37:BN537)</f>
        <v>2</v>
      </c>
      <c r="D546" s="3698">
        <f>SUM(Estadisticas!BO37:BP37)</f>
        <v>0</v>
      </c>
      <c r="E546" s="3698">
        <f>SUM(Estadisticas!BQ37:BR37)</f>
        <v>0</v>
      </c>
      <c r="F546" s="3698">
        <f>SUM(Estadisticas!BS37:BT37)</f>
        <v>0</v>
      </c>
      <c r="G546" s="3698">
        <f>SUM(Estadisticas!BU37:BV37)</f>
        <v>0</v>
      </c>
      <c r="H546" s="5414">
        <f>SUM(B546:G546)</f>
        <v>2</v>
      </c>
      <c r="I546" s="5414"/>
      <c r="J546" s="3716"/>
      <c r="K546" s="3717"/>
      <c r="L546" s="3701" t="s">
        <v>434</v>
      </c>
      <c r="M546" s="3702">
        <f>SUM(AG518:AH518)</f>
        <v>0</v>
      </c>
      <c r="N546" s="3702">
        <f>SUM(AG519:AH519)</f>
        <v>0</v>
      </c>
      <c r="O546" s="3702">
        <f>SUM(AG520:AH520)</f>
        <v>0</v>
      </c>
      <c r="P546" s="3702">
        <f>SUM(AG521:AH521)</f>
        <v>2</v>
      </c>
      <c r="Q546" s="3702">
        <f>SUM(AG522:AH522)</f>
        <v>2</v>
      </c>
      <c r="R546" s="3702">
        <f>SUM(AG523:AH523)</f>
        <v>1</v>
      </c>
      <c r="S546" s="3702">
        <f t="shared" si="162"/>
        <v>5</v>
      </c>
      <c r="T546" s="3716"/>
      <c r="U546" s="3710">
        <f>'[1]0125U'!$O$26</f>
        <v>13</v>
      </c>
      <c r="V546" s="3710">
        <f>'[1]0125U'!$F$35</f>
        <v>8</v>
      </c>
      <c r="W546" s="3710">
        <f>'[1]0125U'!$I$35</f>
        <v>10</v>
      </c>
      <c r="X546" s="3710">
        <f>'[1]0125U'!$L$35</f>
        <v>13</v>
      </c>
      <c r="Y546" s="3710">
        <f>'[1]0125U'!$O$35</f>
        <v>11</v>
      </c>
      <c r="Z546" s="3710">
        <f>'[1]0125U'!$R$35</f>
        <v>11</v>
      </c>
      <c r="AA546" s="3710">
        <f>'[1]0125U'!$U$35</f>
        <v>8</v>
      </c>
      <c r="AB546" s="3710">
        <f>SUM(V546:AA546)</f>
        <v>61</v>
      </c>
      <c r="AC546" s="2683"/>
      <c r="AD546" s="3238"/>
      <c r="AE546" s="2620"/>
      <c r="AF546" s="2621"/>
      <c r="AG546" s="2620"/>
      <c r="AH546" s="2621"/>
      <c r="AI546" s="1444"/>
      <c r="AJ546" s="1444"/>
      <c r="AK546" s="2636"/>
      <c r="AL546" s="3445"/>
      <c r="AM546" s="3445"/>
      <c r="AN546" s="3445"/>
      <c r="AO546" s="3445"/>
      <c r="AP546" s="3445"/>
      <c r="AQ546" s="3445"/>
      <c r="AR546" s="3445"/>
      <c r="AS546" s="108"/>
    </row>
    <row r="547" spans="1:45" s="1448" customFormat="1" ht="27.95" customHeight="1">
      <c r="A547" s="175"/>
      <c r="B547" s="1427"/>
      <c r="C547" s="173"/>
      <c r="D547" s="3262" t="s">
        <v>1193</v>
      </c>
      <c r="E547" s="5388" t="str">
        <f>B517</f>
        <v>RUIZ VALLE * PATRICIA</v>
      </c>
      <c r="F547" s="5388"/>
      <c r="G547" s="5388"/>
      <c r="H547" s="5388"/>
      <c r="I547" s="5388"/>
      <c r="J547" s="5388"/>
      <c r="K547" s="1603"/>
      <c r="L547" s="1428"/>
      <c r="M547" s="3262" t="s">
        <v>1234</v>
      </c>
      <c r="N547" s="5388" t="str">
        <f>N507</f>
        <v>RICALDE CASTRO JESUS MARTIN</v>
      </c>
      <c r="O547" s="5388"/>
      <c r="P547" s="5388"/>
      <c r="Q547" s="5388"/>
      <c r="R547" s="5388"/>
      <c r="S547" s="5388"/>
      <c r="T547" s="1603"/>
      <c r="U547" s="1603"/>
      <c r="V547" s="3262" t="s">
        <v>1195</v>
      </c>
      <c r="W547" s="5388" t="str">
        <f>W507</f>
        <v xml:space="preserve">ANCONA FLORES AURA EUGENIA </v>
      </c>
      <c r="X547" s="5388"/>
      <c r="Y547" s="5388"/>
      <c r="Z547" s="5388"/>
      <c r="AA547" s="5388"/>
      <c r="AB547" s="5388"/>
      <c r="AC547" s="2683"/>
      <c r="AD547" s="3238"/>
      <c r="AE547" s="2620"/>
      <c r="AF547" s="2621"/>
      <c r="AG547" s="2620"/>
      <c r="AH547" s="2621"/>
      <c r="AI547" s="2624"/>
      <c r="AJ547" s="2624"/>
      <c r="AK547" s="2636"/>
      <c r="AL547" s="3449"/>
      <c r="AM547" s="3449"/>
      <c r="AN547" s="3449"/>
      <c r="AO547" s="3449"/>
      <c r="AP547" s="3449"/>
      <c r="AQ547" s="3449"/>
      <c r="AR547" s="3449"/>
      <c r="AS547" s="3450"/>
    </row>
    <row r="548" spans="1:45" s="1430" customFormat="1" ht="27.95" customHeight="1">
      <c r="A548" s="1670"/>
      <c r="B548" s="1401"/>
      <c r="C548" s="1401"/>
      <c r="D548" s="1401"/>
      <c r="E548" s="1401"/>
      <c r="F548" s="1402"/>
      <c r="G548" s="1402"/>
      <c r="H548" s="1402"/>
      <c r="I548" s="1402"/>
      <c r="J548" s="1402"/>
      <c r="K548" s="27"/>
      <c r="M548" s="1431" t="s">
        <v>196</v>
      </c>
      <c r="N548" s="1402"/>
      <c r="O548" s="1402"/>
      <c r="P548" s="1402"/>
      <c r="Q548" s="1402"/>
      <c r="R548" s="1402"/>
      <c r="S548" s="1402"/>
      <c r="T548" s="1401"/>
      <c r="V548" s="3263"/>
      <c r="W548" s="1432" t="s">
        <v>764</v>
      </c>
      <c r="X548" s="5221" t="s">
        <v>247</v>
      </c>
      <c r="Y548" s="5221"/>
      <c r="Z548" s="5221"/>
      <c r="AA548" s="5221"/>
      <c r="AB548" s="1644"/>
      <c r="AC548" s="2683"/>
      <c r="AD548" s="3238"/>
      <c r="AE548" s="2637"/>
      <c r="AF548" s="2638"/>
      <c r="AG548" s="2637"/>
      <c r="AH548" s="2638"/>
      <c r="AI548" s="1449"/>
      <c r="AJ548" s="1449"/>
      <c r="AK548" s="2636"/>
      <c r="AL548" s="3451"/>
      <c r="AM548" s="3451"/>
      <c r="AN548" s="3451"/>
      <c r="AO548" s="3451"/>
      <c r="AP548" s="3451"/>
      <c r="AQ548" s="3451"/>
      <c r="AR548" s="3451"/>
      <c r="AS548" s="3452"/>
    </row>
    <row r="549" spans="1:45" ht="27.95" customHeight="1">
      <c r="A549" s="1663"/>
      <c r="B549" s="1406"/>
      <c r="C549" s="1406"/>
      <c r="D549" s="1406"/>
      <c r="E549" s="1406"/>
      <c r="F549" s="1407"/>
      <c r="G549" s="1407"/>
      <c r="H549" s="1407"/>
      <c r="I549" s="1407"/>
      <c r="J549" s="1407"/>
      <c r="K549" s="1407"/>
      <c r="L549" s="1407"/>
      <c r="M549" s="3260" t="s">
        <v>1148</v>
      </c>
      <c r="N549" s="1407"/>
      <c r="O549" s="1407"/>
      <c r="P549" s="1407"/>
      <c r="Q549" s="1407"/>
      <c r="R549" s="1407"/>
      <c r="S549" s="1407"/>
      <c r="T549" s="1408"/>
      <c r="U549" s="1408"/>
      <c r="V549" s="3263"/>
      <c r="W549" s="1432" t="s">
        <v>1149</v>
      </c>
      <c r="X549" s="5221" t="str">
        <f>X509</f>
        <v>2012 / 2013</v>
      </c>
      <c r="Y549" s="5221"/>
      <c r="Z549" s="5221"/>
      <c r="AA549" s="5221"/>
      <c r="AB549" s="1417"/>
      <c r="AC549" s="2683"/>
      <c r="AD549" s="3238"/>
      <c r="AE549" s="2620"/>
      <c r="AF549" s="2621"/>
      <c r="AG549" s="2620"/>
      <c r="AH549" s="2621"/>
      <c r="AK549" s="2636"/>
      <c r="AR549" s="3445"/>
    </row>
    <row r="550" spans="1:45" ht="27.95" customHeight="1">
      <c r="A550" s="1663"/>
      <c r="B550" s="1410"/>
      <c r="C550" s="1410"/>
      <c r="D550" s="1410"/>
      <c r="E550" s="1410"/>
      <c r="F550" s="1407"/>
      <c r="G550" s="1407"/>
      <c r="H550" s="1407"/>
      <c r="I550" s="1407"/>
      <c r="J550" s="1407"/>
      <c r="K550" s="1407"/>
      <c r="M550" s="3260" t="s">
        <v>1150</v>
      </c>
      <c r="N550" s="1407"/>
      <c r="O550" s="1407"/>
      <c r="P550" s="1407"/>
      <c r="Q550" s="1407"/>
      <c r="R550" s="1407"/>
      <c r="S550" s="1407"/>
      <c r="T550" s="1433"/>
      <c r="U550" s="1433"/>
      <c r="V550" s="1434"/>
      <c r="W550" s="3281" t="s">
        <v>42</v>
      </c>
      <c r="X550" s="5391" t="str">
        <f>X510</f>
        <v>042</v>
      </c>
      <c r="Y550" s="5391"/>
      <c r="Z550" s="5391"/>
      <c r="AA550" s="5391"/>
      <c r="AB550" s="1417"/>
      <c r="AC550" s="2683"/>
      <c r="AD550" s="3238"/>
      <c r="AE550" s="2620"/>
      <c r="AF550" s="2621"/>
      <c r="AG550" s="2620"/>
      <c r="AH550" s="2621"/>
      <c r="AK550" s="2636"/>
      <c r="AR550" s="3445"/>
    </row>
    <row r="551" spans="1:45" ht="27.95" customHeight="1">
      <c r="A551" s="1663"/>
      <c r="B551" s="1410"/>
      <c r="C551" s="1410"/>
      <c r="D551" s="1410"/>
      <c r="E551" s="1410"/>
      <c r="F551" s="1406"/>
      <c r="H551" s="1413"/>
      <c r="I551" s="1413"/>
      <c r="J551" s="1414"/>
      <c r="K551" s="1414"/>
      <c r="L551" s="1415" t="s">
        <v>1197</v>
      </c>
      <c r="M551" s="1415">
        <f>M511</f>
        <v>8</v>
      </c>
      <c r="N551" s="3271" t="s">
        <v>1152</v>
      </c>
      <c r="O551" s="5371" t="str">
        <f>O511</f>
        <v>AGOSTO</v>
      </c>
      <c r="P551" s="5371"/>
      <c r="Q551" s="1435" t="s">
        <v>1152</v>
      </c>
      <c r="R551" s="5371">
        <f>R511</f>
        <v>2012</v>
      </c>
      <c r="S551" s="5371"/>
      <c r="T551" s="1406"/>
      <c r="U551" s="5372" t="s">
        <v>246</v>
      </c>
      <c r="V551" s="5372"/>
      <c r="W551" s="5372"/>
      <c r="X551" s="5372"/>
      <c r="Y551" s="1436" t="s">
        <v>245</v>
      </c>
      <c r="Z551" s="1436"/>
      <c r="AA551" s="1436"/>
      <c r="AB551" s="1417"/>
      <c r="AC551" s="2683"/>
      <c r="AD551" s="3238"/>
      <c r="AE551" s="2620"/>
      <c r="AF551" s="2621"/>
      <c r="AG551" s="2620"/>
      <c r="AH551" s="2621"/>
      <c r="AK551" s="2636"/>
      <c r="AR551" s="3445"/>
    </row>
    <row r="552" spans="1:45" ht="27.95" customHeight="1">
      <c r="A552" s="5356" t="s">
        <v>1153</v>
      </c>
      <c r="B552" s="5356"/>
      <c r="C552" s="5356"/>
      <c r="D552" s="5389" t="s">
        <v>2324</v>
      </c>
      <c r="E552" s="5389"/>
      <c r="F552" s="5389"/>
      <c r="G552" s="5389"/>
      <c r="H552" s="5389"/>
      <c r="I552" s="5389"/>
      <c r="J552" s="5389"/>
      <c r="K552" s="5389"/>
      <c r="L552" s="3281" t="s">
        <v>19</v>
      </c>
      <c r="M552" s="5370" t="s">
        <v>1824</v>
      </c>
      <c r="N552" s="5370"/>
      <c r="O552" s="5390" t="s">
        <v>13</v>
      </c>
      <c r="P552" s="5390"/>
      <c r="Q552" s="5370" t="s">
        <v>69</v>
      </c>
      <c r="R552" s="5370"/>
      <c r="S552" s="5370"/>
      <c r="T552" s="174"/>
      <c r="U552" s="1418" t="s">
        <v>1157</v>
      </c>
      <c r="V552" s="5221" t="str">
        <f>V512</f>
        <v>2  BENITO JUAREZ</v>
      </c>
      <c r="W552" s="5221"/>
      <c r="X552" s="5221"/>
      <c r="Y552" s="5221"/>
      <c r="Z552" s="5221"/>
      <c r="AA552" s="5221"/>
      <c r="AB552" s="5221"/>
      <c r="AC552" s="2683"/>
      <c r="AD552" s="3238"/>
      <c r="AE552" s="2620"/>
      <c r="AF552" s="2621"/>
      <c r="AG552" s="2620"/>
      <c r="AH552" s="2621"/>
      <c r="AK552" s="2636"/>
      <c r="AR552" s="3445"/>
    </row>
    <row r="553" spans="1:45" s="1439" customFormat="1" ht="27.95" customHeight="1">
      <c r="A553" s="5356" t="s">
        <v>437</v>
      </c>
      <c r="B553" s="5356"/>
      <c r="C553" s="5389"/>
      <c r="D553" s="5389"/>
      <c r="E553" s="5389"/>
      <c r="F553" s="5389"/>
      <c r="G553" s="5389"/>
      <c r="H553" s="5389"/>
      <c r="I553" s="5389"/>
      <c r="J553" s="5389"/>
      <c r="K553" s="5389"/>
      <c r="L553" s="5389"/>
      <c r="M553" s="5389"/>
      <c r="N553" s="1419"/>
      <c r="O553" s="3281" t="s">
        <v>863</v>
      </c>
      <c r="P553" s="5370" t="str">
        <f>'[1]0156N'!$I$8</f>
        <v>9985 77 44 15</v>
      </c>
      <c r="Q553" s="5370"/>
      <c r="R553" s="5370"/>
      <c r="S553" s="5370"/>
      <c r="T553" s="5370"/>
      <c r="U553" s="1420"/>
      <c r="V553" s="3281"/>
      <c r="W553" s="3281" t="s">
        <v>1159</v>
      </c>
      <c r="X553" s="5358" t="str">
        <f>X513</f>
        <v>8  DE  AGOSTO  DE  2012</v>
      </c>
      <c r="Y553" s="5358"/>
      <c r="Z553" s="5358"/>
      <c r="AA553" s="5358"/>
      <c r="AB553" s="5358"/>
      <c r="AC553" s="5331" t="str">
        <f>D552</f>
        <v>CENTRO INFANTIL LATINOAMERICANO</v>
      </c>
      <c r="AD553" s="5331"/>
      <c r="AE553" s="5331"/>
      <c r="AF553" s="5331"/>
      <c r="AG553" s="5331"/>
      <c r="AH553" s="5331"/>
      <c r="AI553" s="5332" t="str">
        <f>M552</f>
        <v>23PPR0156N</v>
      </c>
      <c r="AJ553" s="5332"/>
      <c r="AK553" s="5332"/>
      <c r="AL553" s="3446"/>
      <c r="AM553" s="3446"/>
      <c r="AN553" s="3446"/>
      <c r="AO553" s="3446"/>
      <c r="AP553" s="3446"/>
      <c r="AQ553" s="3446"/>
      <c r="AR553" s="3446"/>
      <c r="AS553" s="2166"/>
    </row>
    <row r="554" spans="1:45" s="1441" customFormat="1" ht="9.9499999999999993" customHeight="1">
      <c r="A554" s="2996" t="str">
        <f>'[4]0125U'!$C$8</f>
        <v>AV. POLITECNICO SMZ. 502 MZ. 8</v>
      </c>
      <c r="B554" s="1422"/>
      <c r="C554" s="1422"/>
      <c r="D554" s="3261"/>
      <c r="E554" s="3261"/>
      <c r="F554" s="3261"/>
      <c r="G554" s="3261"/>
      <c r="H554" s="3261"/>
      <c r="I554" s="3261"/>
      <c r="J554" s="3261"/>
      <c r="K554" s="3261"/>
      <c r="L554" s="3261"/>
      <c r="M554" s="1421"/>
      <c r="N554" s="2995" t="str">
        <f>'[4]0125U'!$I$8</f>
        <v>998 8-98-98-90</v>
      </c>
      <c r="O554" s="1423"/>
      <c r="P554" s="1423"/>
      <c r="Q554" s="1424"/>
      <c r="R554" s="1423"/>
      <c r="S554" s="1423"/>
      <c r="T554" s="1422"/>
      <c r="U554" s="1422"/>
      <c r="V554" s="3261"/>
      <c r="W554" s="3261"/>
      <c r="X554" s="3261"/>
      <c r="Y554" s="3261"/>
      <c r="Z554" s="1422"/>
      <c r="AA554" s="1422"/>
      <c r="AB554" s="1422"/>
      <c r="AC554" s="2689"/>
      <c r="AD554" s="2690"/>
      <c r="AE554" s="2639"/>
      <c r="AF554" s="2640"/>
      <c r="AG554" s="2639"/>
      <c r="AH554" s="2640"/>
      <c r="AI554" s="1444"/>
      <c r="AJ554" s="1444"/>
      <c r="AK554" s="2636"/>
      <c r="AL554" s="3445"/>
      <c r="AM554" s="3445"/>
      <c r="AN554" s="3445"/>
      <c r="AO554" s="3445"/>
      <c r="AP554" s="3445"/>
      <c r="AQ554" s="3445"/>
      <c r="AR554" s="3445"/>
      <c r="AS554" s="108"/>
    </row>
    <row r="555" spans="1:45" s="1442" customFormat="1" ht="27.95" customHeight="1">
      <c r="A555" s="5415" t="s">
        <v>1160</v>
      </c>
      <c r="B555" s="5416" t="s">
        <v>1235</v>
      </c>
      <c r="C555" s="5416"/>
      <c r="D555" s="5416"/>
      <c r="E555" s="5416"/>
      <c r="F555" s="5416"/>
      <c r="G555" s="5416"/>
      <c r="H555" s="5417" t="s">
        <v>1161</v>
      </c>
      <c r="I555" s="5417"/>
      <c r="J555" s="5417" t="s">
        <v>212</v>
      </c>
      <c r="K555" s="5417" t="s">
        <v>1162</v>
      </c>
      <c r="L555" s="5417" t="s">
        <v>1163</v>
      </c>
      <c r="M555" s="5417"/>
      <c r="N555" s="5417" t="s">
        <v>1164</v>
      </c>
      <c r="O555" s="5417"/>
      <c r="P555" s="5417" t="s">
        <v>1165</v>
      </c>
      <c r="Q555" s="5417"/>
      <c r="R555" s="5417" t="s">
        <v>1166</v>
      </c>
      <c r="S555" s="5417"/>
      <c r="T555" s="5417" t="s">
        <v>1167</v>
      </c>
      <c r="U555" s="5417" t="s">
        <v>1168</v>
      </c>
      <c r="V555" s="5417"/>
      <c r="W555" s="5417" t="s">
        <v>1169</v>
      </c>
      <c r="X555" s="5417"/>
      <c r="Y555" s="5417" t="s">
        <v>3</v>
      </c>
      <c r="Z555" s="5417" t="s">
        <v>4</v>
      </c>
      <c r="AA555" s="5417" t="s">
        <v>28</v>
      </c>
      <c r="AB555" s="5417"/>
      <c r="AC555" s="5340" t="str">
        <f>AC515</f>
        <v>INICIAL</v>
      </c>
      <c r="AD555" s="5340"/>
      <c r="AE555" s="5344" t="str">
        <f>AE515</f>
        <v>ALTAS</v>
      </c>
      <c r="AF555" s="5345"/>
      <c r="AG555" s="5346" t="str">
        <f>AG515</f>
        <v>BAJAS</v>
      </c>
      <c r="AH555" s="5347"/>
      <c r="AI555" s="5333" t="str">
        <f>AI515</f>
        <v>REP</v>
      </c>
      <c r="AJ555" s="5333"/>
      <c r="AK555" s="2625" t="str">
        <f>AK515</f>
        <v>INI</v>
      </c>
      <c r="AL555" s="5328" t="s">
        <v>2509</v>
      </c>
      <c r="AM555" s="5329"/>
      <c r="AN555" s="5329"/>
      <c r="AO555" s="5329"/>
      <c r="AP555" s="5329"/>
      <c r="AQ555" s="5329"/>
      <c r="AR555" s="5330"/>
    </row>
    <row r="556" spans="1:45" s="1442" customFormat="1" ht="27.95" customHeight="1">
      <c r="A556" s="5415"/>
      <c r="B556" s="5416"/>
      <c r="C556" s="5416"/>
      <c r="D556" s="5416"/>
      <c r="E556" s="5416"/>
      <c r="F556" s="5416"/>
      <c r="G556" s="5416"/>
      <c r="H556" s="3269" t="s">
        <v>407</v>
      </c>
      <c r="I556" s="3269" t="s">
        <v>403</v>
      </c>
      <c r="J556" s="5417"/>
      <c r="K556" s="5417"/>
      <c r="L556" s="5417"/>
      <c r="M556" s="5417"/>
      <c r="N556" s="5417"/>
      <c r="O556" s="5417"/>
      <c r="P556" s="3269" t="s">
        <v>1170</v>
      </c>
      <c r="Q556" s="3269" t="s">
        <v>1171</v>
      </c>
      <c r="R556" s="3269" t="s">
        <v>1172</v>
      </c>
      <c r="S556" s="3269" t="s">
        <v>1173</v>
      </c>
      <c r="T556" s="5417"/>
      <c r="U556" s="5417"/>
      <c r="V556" s="5417"/>
      <c r="W556" s="5417"/>
      <c r="X556" s="5417"/>
      <c r="Y556" s="5417"/>
      <c r="Z556" s="5417"/>
      <c r="AA556" s="5417"/>
      <c r="AB556" s="5417"/>
      <c r="AC556" s="3295" t="str">
        <f>AC516</f>
        <v>H</v>
      </c>
      <c r="AD556" s="2686" t="str">
        <f>AD516</f>
        <v>M</v>
      </c>
      <c r="AE556" s="3295" t="str">
        <f t="shared" ref="AE556:AJ556" si="163">AE516</f>
        <v>H</v>
      </c>
      <c r="AF556" s="2686" t="str">
        <f t="shared" si="163"/>
        <v>M</v>
      </c>
      <c r="AG556" s="3295" t="str">
        <f t="shared" si="163"/>
        <v>H</v>
      </c>
      <c r="AH556" s="2686" t="str">
        <f t="shared" si="163"/>
        <v>M</v>
      </c>
      <c r="AI556" s="3295" t="str">
        <f t="shared" si="163"/>
        <v>H</v>
      </c>
      <c r="AJ556" s="2686" t="str">
        <f t="shared" si="163"/>
        <v>M</v>
      </c>
      <c r="AK556" s="2627" t="str">
        <f>AK516</f>
        <v>TTS</v>
      </c>
      <c r="AL556" s="3455" t="s">
        <v>393</v>
      </c>
      <c r="AM556" s="3463" t="s">
        <v>8</v>
      </c>
      <c r="AN556" s="3456" t="s">
        <v>347</v>
      </c>
      <c r="AO556" s="3456" t="s">
        <v>348</v>
      </c>
      <c r="AP556" s="3456" t="s">
        <v>2062</v>
      </c>
      <c r="AQ556" s="3457" t="s">
        <v>2081</v>
      </c>
      <c r="AR556" s="3456" t="s">
        <v>2510</v>
      </c>
    </row>
    <row r="557" spans="1:45" s="1443" customFormat="1" ht="27.95" customHeight="1">
      <c r="A557" s="3274">
        <v>1</v>
      </c>
      <c r="B557" s="3254" t="s">
        <v>2553</v>
      </c>
      <c r="C557" s="3087"/>
      <c r="D557" s="2147"/>
      <c r="E557" s="2147"/>
      <c r="F557" s="2147"/>
      <c r="G557" s="2149"/>
      <c r="H557" s="3418"/>
      <c r="I557" s="3418" t="s">
        <v>78</v>
      </c>
      <c r="J557" s="3255" t="s">
        <v>1982</v>
      </c>
      <c r="K557" s="3418">
        <v>99999</v>
      </c>
      <c r="L557" s="3673" t="s">
        <v>93</v>
      </c>
      <c r="M557" s="3672"/>
      <c r="N557" s="5350"/>
      <c r="O557" s="5350"/>
      <c r="P557" s="3420"/>
      <c r="Q557" s="3420"/>
      <c r="R557" s="3420"/>
      <c r="S557" s="2879" t="s">
        <v>2233</v>
      </c>
      <c r="T557" s="3418"/>
      <c r="U557" s="5350">
        <v>20</v>
      </c>
      <c r="V557" s="5350"/>
      <c r="W557" s="5394" t="s">
        <v>1748</v>
      </c>
      <c r="X557" s="5394"/>
      <c r="Y557" s="3286"/>
      <c r="Z557" s="3286"/>
      <c r="AA557" s="5352">
        <f>AC557+AD557+AE557+AF557-AG557-AH557</f>
        <v>0</v>
      </c>
      <c r="AB557" s="5352"/>
      <c r="AC557" s="2682"/>
      <c r="AD557" s="3289"/>
      <c r="AE557" s="2628"/>
      <c r="AF557" s="2629"/>
      <c r="AG557" s="2628"/>
      <c r="AH557" s="2629"/>
      <c r="AI557" s="2628"/>
      <c r="AJ557" s="2629"/>
      <c r="AK557" s="2670">
        <f t="shared" ref="AK557:AK614" si="164">SUM(AC557:AD557)</f>
        <v>0</v>
      </c>
      <c r="AL557" s="3464"/>
      <c r="AM557" s="3448"/>
      <c r="AN557" s="3448"/>
      <c r="AO557" s="3448"/>
      <c r="AP557" s="3448"/>
      <c r="AQ557" s="3448"/>
      <c r="AR557" s="3458" t="e">
        <f t="shared" ref="AR557:AR570" si="165">SUM(AM557:AQ557)/AS557</f>
        <v>#DIV/0!</v>
      </c>
      <c r="AS557" s="3459">
        <f>COUNTA(AM557:AQ557)</f>
        <v>0</v>
      </c>
    </row>
    <row r="558" spans="1:45" s="1443" customFormat="1" ht="27.95" customHeight="1">
      <c r="A558" s="3274">
        <v>2</v>
      </c>
      <c r="B558" s="2158" t="s">
        <v>2676</v>
      </c>
      <c r="C558" s="3087"/>
      <c r="D558" s="2147"/>
      <c r="E558" s="2147"/>
      <c r="F558" s="2147"/>
      <c r="G558" s="2149"/>
      <c r="H558" s="3636"/>
      <c r="I558" s="3636" t="s">
        <v>78</v>
      </c>
      <c r="J558" s="3418"/>
      <c r="K558" s="3419">
        <v>99999</v>
      </c>
      <c r="L558" s="3671" t="s">
        <v>390</v>
      </c>
      <c r="M558" s="3676"/>
      <c r="N558" s="5350"/>
      <c r="O558" s="5350"/>
      <c r="P558" s="3418"/>
      <c r="Q558" s="3418"/>
      <c r="R558" s="3418"/>
      <c r="S558" s="2875"/>
      <c r="T558" s="3418"/>
      <c r="U558" s="5350">
        <v>20</v>
      </c>
      <c r="V558" s="5350"/>
      <c r="W558" s="5394"/>
      <c r="X558" s="5394"/>
      <c r="Y558" s="3644" t="s">
        <v>765</v>
      </c>
      <c r="Z558" s="3286" t="s">
        <v>228</v>
      </c>
      <c r="AA558" s="5352">
        <f t="shared" ref="AA558:AA582" si="166">AC558+AD558+AE558+AF558-AG558-AH558</f>
        <v>15</v>
      </c>
      <c r="AB558" s="5352"/>
      <c r="AC558" s="2682">
        <v>10</v>
      </c>
      <c r="AD558" s="3289">
        <v>6</v>
      </c>
      <c r="AE558" s="2628"/>
      <c r="AF558" s="2629"/>
      <c r="AG558" s="2628">
        <v>1</v>
      </c>
      <c r="AH558" s="2629"/>
      <c r="AI558" s="2628"/>
      <c r="AJ558" s="2629"/>
      <c r="AK558" s="2671">
        <f t="shared" si="164"/>
        <v>16</v>
      </c>
      <c r="AL558" s="3464"/>
      <c r="AM558" s="3448"/>
      <c r="AN558" s="3448"/>
      <c r="AO558" s="3448"/>
      <c r="AP558" s="3448"/>
      <c r="AQ558" s="3448"/>
      <c r="AR558" s="3458" t="e">
        <f t="shared" si="165"/>
        <v>#DIV/0!</v>
      </c>
      <c r="AS558" s="3459">
        <f t="shared" ref="AS558:AS583" si="167">COUNTA(AM558:AQ558)</f>
        <v>0</v>
      </c>
    </row>
    <row r="559" spans="1:45" s="1443" customFormat="1" ht="27.95" customHeight="1">
      <c r="A559" s="3649">
        <v>3</v>
      </c>
      <c r="B559" s="2158"/>
      <c r="C559" s="3087"/>
      <c r="D559" s="2147"/>
      <c r="E559" s="2147"/>
      <c r="F559" s="2147"/>
      <c r="G559" s="2149"/>
      <c r="H559" s="3274"/>
      <c r="I559" s="3274"/>
      <c r="J559" s="3290"/>
      <c r="K559" s="3290"/>
      <c r="L559" s="3671"/>
      <c r="M559" s="3672"/>
      <c r="N559" s="5419"/>
      <c r="O559" s="5418"/>
      <c r="P559" s="3274"/>
      <c r="Q559" s="3274"/>
      <c r="R559" s="3274"/>
      <c r="S559" s="2877"/>
      <c r="T559" s="3274"/>
      <c r="U559" s="5419">
        <v>20</v>
      </c>
      <c r="V559" s="5418"/>
      <c r="W559" s="5394"/>
      <c r="X559" s="5394"/>
      <c r="Y559" s="3644" t="s">
        <v>766</v>
      </c>
      <c r="Z559" s="3286" t="s">
        <v>228</v>
      </c>
      <c r="AA559" s="5352">
        <f t="shared" si="166"/>
        <v>13</v>
      </c>
      <c r="AB559" s="5352"/>
      <c r="AC559" s="2682">
        <v>10</v>
      </c>
      <c r="AD559" s="3289">
        <v>4</v>
      </c>
      <c r="AE559" s="2628"/>
      <c r="AF559" s="2629">
        <v>1</v>
      </c>
      <c r="AG559" s="2628">
        <v>2</v>
      </c>
      <c r="AH559" s="2629"/>
      <c r="AI559" s="2628"/>
      <c r="AJ559" s="2629"/>
      <c r="AK559" s="2671">
        <f t="shared" si="164"/>
        <v>14</v>
      </c>
      <c r="AL559" s="3464"/>
      <c r="AM559" s="3448"/>
      <c r="AN559" s="3448"/>
      <c r="AO559" s="3448"/>
      <c r="AP559" s="3448"/>
      <c r="AQ559" s="3448"/>
      <c r="AR559" s="3458" t="e">
        <f t="shared" si="165"/>
        <v>#DIV/0!</v>
      </c>
      <c r="AS559" s="3459">
        <f t="shared" si="167"/>
        <v>0</v>
      </c>
    </row>
    <row r="560" spans="1:45" s="1443" customFormat="1" ht="27.95" customHeight="1">
      <c r="A560" s="3274">
        <v>3</v>
      </c>
      <c r="B560" s="2158" t="s">
        <v>2700</v>
      </c>
      <c r="C560" s="3087"/>
      <c r="D560" s="2147"/>
      <c r="E560" s="2147"/>
      <c r="F560" s="2147"/>
      <c r="G560" s="2149"/>
      <c r="H560" s="3274"/>
      <c r="I560" s="3274" t="s">
        <v>78</v>
      </c>
      <c r="J560" s="3290"/>
      <c r="K560" s="3290">
        <v>99999</v>
      </c>
      <c r="L560" s="3671" t="s">
        <v>390</v>
      </c>
      <c r="M560" s="3676"/>
      <c r="N560" s="3283"/>
      <c r="O560" s="3284"/>
      <c r="P560" s="3274"/>
      <c r="Q560" s="3274"/>
      <c r="R560" s="3274"/>
      <c r="S560" s="2877" t="s">
        <v>2229</v>
      </c>
      <c r="T560" s="3274"/>
      <c r="U560" s="5419">
        <v>20</v>
      </c>
      <c r="V560" s="5418"/>
      <c r="W560" s="5420"/>
      <c r="X560" s="5421"/>
      <c r="Y560" s="3644" t="s">
        <v>767</v>
      </c>
      <c r="Z560" s="3564" t="s">
        <v>228</v>
      </c>
      <c r="AA560" s="5352">
        <f t="shared" si="166"/>
        <v>10</v>
      </c>
      <c r="AB560" s="5352"/>
      <c r="AC560" s="2682">
        <v>6</v>
      </c>
      <c r="AD560" s="3289">
        <v>3</v>
      </c>
      <c r="AE560" s="2628">
        <v>1</v>
      </c>
      <c r="AF560" s="2629"/>
      <c r="AG560" s="2628"/>
      <c r="AH560" s="2629"/>
      <c r="AI560" s="2628"/>
      <c r="AJ560" s="2629"/>
      <c r="AK560" s="2671">
        <f t="shared" si="164"/>
        <v>9</v>
      </c>
      <c r="AL560" s="3464"/>
      <c r="AM560" s="3448"/>
      <c r="AN560" s="3448"/>
      <c r="AO560" s="3448"/>
      <c r="AP560" s="3448"/>
      <c r="AQ560" s="3448"/>
      <c r="AR560" s="3458" t="e">
        <f t="shared" si="165"/>
        <v>#DIV/0!</v>
      </c>
      <c r="AS560" s="3459">
        <f t="shared" si="167"/>
        <v>0</v>
      </c>
    </row>
    <row r="561" spans="1:45" s="1443" customFormat="1" ht="27.95" customHeight="1">
      <c r="A561" s="3649">
        <v>3</v>
      </c>
      <c r="B561" s="2158"/>
      <c r="C561" s="3087"/>
      <c r="D561" s="2147"/>
      <c r="E561" s="2147"/>
      <c r="F561" s="2147"/>
      <c r="G561" s="2149"/>
      <c r="H561" s="3274"/>
      <c r="I561" s="3274"/>
      <c r="J561" s="3290"/>
      <c r="K561" s="3290"/>
      <c r="L561" s="3673"/>
      <c r="M561" s="3672"/>
      <c r="N561" s="3283"/>
      <c r="O561" s="3284"/>
      <c r="P561" s="3274"/>
      <c r="Q561" s="3274"/>
      <c r="R561" s="3274"/>
      <c r="S561" s="2877"/>
      <c r="T561" s="3274"/>
      <c r="U561" s="5419"/>
      <c r="V561" s="5418"/>
      <c r="W561" s="5420"/>
      <c r="X561" s="5421"/>
      <c r="Y561" s="3644" t="s">
        <v>771</v>
      </c>
      <c r="Z561" s="3644" t="s">
        <v>228</v>
      </c>
      <c r="AA561" s="5352">
        <f t="shared" si="166"/>
        <v>11</v>
      </c>
      <c r="AB561" s="5352"/>
      <c r="AC561" s="2682">
        <v>7</v>
      </c>
      <c r="AD561" s="3289">
        <v>4</v>
      </c>
      <c r="AE561" s="2628">
        <v>1</v>
      </c>
      <c r="AF561" s="2629"/>
      <c r="AG561" s="2628">
        <v>1</v>
      </c>
      <c r="AH561" s="2629"/>
      <c r="AI561" s="2628"/>
      <c r="AJ561" s="2629"/>
      <c r="AK561" s="2671">
        <f t="shared" si="164"/>
        <v>11</v>
      </c>
      <c r="AL561" s="3464"/>
      <c r="AM561" s="3448"/>
      <c r="AN561" s="3448"/>
      <c r="AO561" s="3448"/>
      <c r="AP561" s="3448"/>
      <c r="AQ561" s="3448"/>
      <c r="AR561" s="3458" t="e">
        <f t="shared" si="165"/>
        <v>#DIV/0!</v>
      </c>
      <c r="AS561" s="3459">
        <f t="shared" si="167"/>
        <v>0</v>
      </c>
    </row>
    <row r="562" spans="1:45" s="1443" customFormat="1" ht="27.95" customHeight="1">
      <c r="A562" s="3274">
        <v>4</v>
      </c>
      <c r="B562" s="2158" t="s">
        <v>2554</v>
      </c>
      <c r="C562" s="3087"/>
      <c r="D562" s="2147"/>
      <c r="E562" s="2147"/>
      <c r="F562" s="2147"/>
      <c r="G562" s="2149"/>
      <c r="H562" s="3636" t="s">
        <v>78</v>
      </c>
      <c r="I562" s="3636"/>
      <c r="J562" s="3646" t="s">
        <v>1403</v>
      </c>
      <c r="K562" s="3646">
        <v>99999</v>
      </c>
      <c r="L562" s="3673" t="s">
        <v>401</v>
      </c>
      <c r="M562" s="3672"/>
      <c r="N562" s="3641"/>
      <c r="O562" s="3642"/>
      <c r="P562" s="3636"/>
      <c r="Q562" s="3636"/>
      <c r="R562" s="3636"/>
      <c r="S562" s="2877" t="s">
        <v>2230</v>
      </c>
      <c r="T562" s="3636"/>
      <c r="U562" s="5419">
        <v>20</v>
      </c>
      <c r="V562" s="5418"/>
      <c r="W562" s="5420" t="s">
        <v>1402</v>
      </c>
      <c r="X562" s="5421"/>
      <c r="Y562" s="3286"/>
      <c r="Z562" s="3286"/>
      <c r="AA562" s="5352">
        <f t="shared" si="166"/>
        <v>0</v>
      </c>
      <c r="AB562" s="5352"/>
      <c r="AC562" s="2682"/>
      <c r="AD562" s="3289"/>
      <c r="AE562" s="2628"/>
      <c r="AF562" s="2629"/>
      <c r="AG562" s="2628"/>
      <c r="AH562" s="2629"/>
      <c r="AI562" s="2628"/>
      <c r="AJ562" s="2629"/>
      <c r="AK562" s="2671">
        <f t="shared" si="164"/>
        <v>0</v>
      </c>
      <c r="AL562" s="3464"/>
      <c r="AM562" s="3448"/>
      <c r="AN562" s="3448"/>
      <c r="AO562" s="3448"/>
      <c r="AP562" s="3448"/>
      <c r="AQ562" s="3448"/>
      <c r="AR562" s="3458" t="e">
        <f t="shared" si="165"/>
        <v>#DIV/0!</v>
      </c>
      <c r="AS562" s="3459">
        <f t="shared" si="167"/>
        <v>0</v>
      </c>
    </row>
    <row r="563" spans="1:45" s="1443" customFormat="1" ht="27.95" customHeight="1">
      <c r="A563" s="3274">
        <v>5</v>
      </c>
      <c r="B563" s="2158" t="s">
        <v>2555</v>
      </c>
      <c r="C563" s="3087"/>
      <c r="D563" s="2147"/>
      <c r="E563" s="2147"/>
      <c r="F563" s="2147"/>
      <c r="G563" s="2149"/>
      <c r="H563" s="3636"/>
      <c r="I563" s="3636" t="s">
        <v>78</v>
      </c>
      <c r="J563" s="3646" t="s">
        <v>1405</v>
      </c>
      <c r="K563" s="3646">
        <v>99999</v>
      </c>
      <c r="L563" s="3673" t="s">
        <v>2004</v>
      </c>
      <c r="M563" s="3672"/>
      <c r="N563" s="3641"/>
      <c r="O563" s="3642"/>
      <c r="P563" s="3636"/>
      <c r="Q563" s="3636"/>
      <c r="R563" s="3636"/>
      <c r="S563" s="2877" t="s">
        <v>2231</v>
      </c>
      <c r="T563" s="3636"/>
      <c r="U563" s="3641">
        <v>20</v>
      </c>
      <c r="V563" s="3642"/>
      <c r="W563" s="5420" t="s">
        <v>1404</v>
      </c>
      <c r="X563" s="5421"/>
      <c r="Y563" s="3286"/>
      <c r="Z563" s="3286"/>
      <c r="AA563" s="5352">
        <f t="shared" si="166"/>
        <v>0</v>
      </c>
      <c r="AB563" s="5352"/>
      <c r="AC563" s="2682"/>
      <c r="AD563" s="3289"/>
      <c r="AE563" s="2628"/>
      <c r="AF563" s="2629"/>
      <c r="AG563" s="2628"/>
      <c r="AH563" s="2629"/>
      <c r="AI563" s="2628"/>
      <c r="AJ563" s="2629"/>
      <c r="AK563" s="2671">
        <f t="shared" si="164"/>
        <v>0</v>
      </c>
      <c r="AL563" s="3464"/>
      <c r="AM563" s="3448"/>
      <c r="AN563" s="3448"/>
      <c r="AO563" s="3448"/>
      <c r="AP563" s="3448"/>
      <c r="AQ563" s="3448"/>
      <c r="AR563" s="3458" t="e">
        <f t="shared" si="165"/>
        <v>#DIV/0!</v>
      </c>
      <c r="AS563" s="3459">
        <f t="shared" si="167"/>
        <v>0</v>
      </c>
    </row>
    <row r="564" spans="1:45" s="1443" customFormat="1" ht="27.95" customHeight="1">
      <c r="A564" s="3274">
        <v>6</v>
      </c>
      <c r="B564" s="2158" t="s">
        <v>2556</v>
      </c>
      <c r="C564" s="3087"/>
      <c r="D564" s="2147"/>
      <c r="E564" s="2147"/>
      <c r="F564" s="2147"/>
      <c r="G564" s="2149"/>
      <c r="H564" s="3636"/>
      <c r="I564" s="3636" t="s">
        <v>78</v>
      </c>
      <c r="J564" s="3646" t="s">
        <v>1406</v>
      </c>
      <c r="K564" s="3646">
        <v>99999</v>
      </c>
      <c r="L564" s="3673" t="s">
        <v>426</v>
      </c>
      <c r="M564" s="3672"/>
      <c r="N564" s="3641"/>
      <c r="O564" s="3642"/>
      <c r="P564" s="3636"/>
      <c r="Q564" s="3636"/>
      <c r="R564" s="3636"/>
      <c r="S564" s="2877" t="s">
        <v>2232</v>
      </c>
      <c r="T564" s="3636"/>
      <c r="U564" s="3641">
        <v>20</v>
      </c>
      <c r="V564" s="3642"/>
      <c r="W564" s="5420" t="s">
        <v>1404</v>
      </c>
      <c r="X564" s="5421"/>
      <c r="Y564" s="3286"/>
      <c r="Z564" s="3286"/>
      <c r="AA564" s="5352">
        <f t="shared" si="166"/>
        <v>0</v>
      </c>
      <c r="AB564" s="5352"/>
      <c r="AC564" s="2682"/>
      <c r="AD564" s="3289"/>
      <c r="AE564" s="2628"/>
      <c r="AF564" s="2629"/>
      <c r="AG564" s="2628"/>
      <c r="AH564" s="2629"/>
      <c r="AI564" s="2628"/>
      <c r="AJ564" s="2629"/>
      <c r="AK564" s="2671">
        <f t="shared" si="164"/>
        <v>0</v>
      </c>
      <c r="AL564" s="3464"/>
      <c r="AM564" s="3448"/>
      <c r="AN564" s="3448"/>
      <c r="AO564" s="3448"/>
      <c r="AP564" s="3448"/>
      <c r="AQ564" s="3448"/>
      <c r="AR564" s="3458" t="e">
        <f t="shared" si="165"/>
        <v>#DIV/0!</v>
      </c>
      <c r="AS564" s="3459">
        <f t="shared" si="167"/>
        <v>0</v>
      </c>
    </row>
    <row r="565" spans="1:45" s="1444" customFormat="1" ht="27.95" customHeight="1">
      <c r="A565" s="3274"/>
      <c r="B565" s="2158"/>
      <c r="C565" s="3087"/>
      <c r="D565" s="2147"/>
      <c r="E565" s="2147"/>
      <c r="F565" s="2147"/>
      <c r="G565" s="2149"/>
      <c r="H565" s="3274"/>
      <c r="I565" s="3274"/>
      <c r="J565" s="3290"/>
      <c r="K565" s="3274"/>
      <c r="L565" s="3671"/>
      <c r="M565" s="3676"/>
      <c r="N565" s="5350"/>
      <c r="O565" s="5350"/>
      <c r="P565" s="3274"/>
      <c r="Q565" s="3274"/>
      <c r="R565" s="3274"/>
      <c r="S565" s="2877"/>
      <c r="T565" s="3274"/>
      <c r="U565" s="5350"/>
      <c r="V565" s="5350"/>
      <c r="W565" s="5351"/>
      <c r="X565" s="5351"/>
      <c r="Y565" s="3286"/>
      <c r="Z565" s="3286"/>
      <c r="AA565" s="5352">
        <f t="shared" si="166"/>
        <v>0</v>
      </c>
      <c r="AB565" s="5352"/>
      <c r="AC565" s="2682"/>
      <c r="AD565" s="3289"/>
      <c r="AE565" s="2628"/>
      <c r="AF565" s="2629"/>
      <c r="AG565" s="2628"/>
      <c r="AH565" s="2629"/>
      <c r="AI565" s="2628"/>
      <c r="AJ565" s="2629"/>
      <c r="AK565" s="2671">
        <f t="shared" si="164"/>
        <v>0</v>
      </c>
      <c r="AL565" s="3464"/>
      <c r="AM565" s="3448"/>
      <c r="AN565" s="3448"/>
      <c r="AO565" s="3448"/>
      <c r="AP565" s="3448"/>
      <c r="AQ565" s="3448"/>
      <c r="AR565" s="3458" t="e">
        <f t="shared" si="165"/>
        <v>#DIV/0!</v>
      </c>
      <c r="AS565" s="3459">
        <f t="shared" si="167"/>
        <v>0</v>
      </c>
    </row>
    <row r="566" spans="1:45" s="1444" customFormat="1" ht="27.95" customHeight="1">
      <c r="A566" s="3274"/>
      <c r="B566" s="2158"/>
      <c r="C566" s="3087"/>
      <c r="D566" s="2147"/>
      <c r="E566" s="2147"/>
      <c r="F566" s="2147"/>
      <c r="G566" s="2149"/>
      <c r="H566" s="3274"/>
      <c r="I566" s="3274"/>
      <c r="J566" s="3290"/>
      <c r="K566" s="3274"/>
      <c r="L566" s="3671"/>
      <c r="M566" s="3676"/>
      <c r="N566" s="5350"/>
      <c r="O566" s="5350"/>
      <c r="P566" s="3274"/>
      <c r="Q566" s="3274"/>
      <c r="R566" s="3274"/>
      <c r="S566" s="2877"/>
      <c r="T566" s="3274"/>
      <c r="U566" s="5350"/>
      <c r="V566" s="5350"/>
      <c r="W566" s="5351"/>
      <c r="X566" s="5351"/>
      <c r="Y566" s="3286"/>
      <c r="Z566" s="3286"/>
      <c r="AA566" s="5352">
        <f t="shared" si="166"/>
        <v>0</v>
      </c>
      <c r="AB566" s="5352"/>
      <c r="AC566" s="2682"/>
      <c r="AD566" s="3289"/>
      <c r="AE566" s="2628"/>
      <c r="AF566" s="2629"/>
      <c r="AG566" s="2628"/>
      <c r="AH566" s="2629"/>
      <c r="AI566" s="2628"/>
      <c r="AJ566" s="2629"/>
      <c r="AK566" s="2671">
        <f t="shared" si="164"/>
        <v>0</v>
      </c>
      <c r="AL566" s="3464"/>
      <c r="AM566" s="3448"/>
      <c r="AN566" s="3448"/>
      <c r="AO566" s="3448"/>
      <c r="AP566" s="3448"/>
      <c r="AQ566" s="3448"/>
      <c r="AR566" s="3458" t="e">
        <f t="shared" si="165"/>
        <v>#DIV/0!</v>
      </c>
      <c r="AS566" s="3459">
        <f t="shared" si="167"/>
        <v>0</v>
      </c>
    </row>
    <row r="567" spans="1:45" s="1444" customFormat="1" ht="27.95" customHeight="1">
      <c r="A567" s="3274"/>
      <c r="B567" s="3254"/>
      <c r="C567" s="2147"/>
      <c r="D567" s="2147"/>
      <c r="E567" s="2147"/>
      <c r="F567" s="2147"/>
      <c r="G567" s="2149"/>
      <c r="H567" s="3418"/>
      <c r="I567" s="3418"/>
      <c r="J567" s="3255"/>
      <c r="K567" s="3418"/>
      <c r="L567" s="3673"/>
      <c r="M567" s="3672"/>
      <c r="N567" s="5350"/>
      <c r="O567" s="5350"/>
      <c r="P567" s="3420"/>
      <c r="Q567" s="3420"/>
      <c r="R567" s="3420"/>
      <c r="S567" s="2879"/>
      <c r="T567" s="3418"/>
      <c r="U567" s="5350"/>
      <c r="V567" s="5350"/>
      <c r="W567" s="5394"/>
      <c r="X567" s="5394"/>
      <c r="Y567" s="3286"/>
      <c r="Z567" s="3286"/>
      <c r="AA567" s="5352">
        <f t="shared" si="166"/>
        <v>0</v>
      </c>
      <c r="AB567" s="5352"/>
      <c r="AC567" s="2682"/>
      <c r="AD567" s="3289"/>
      <c r="AE567" s="2628"/>
      <c r="AF567" s="2629"/>
      <c r="AG567" s="2628"/>
      <c r="AH567" s="2629"/>
      <c r="AI567" s="2628"/>
      <c r="AJ567" s="2629"/>
      <c r="AK567" s="2671">
        <f t="shared" si="164"/>
        <v>0</v>
      </c>
      <c r="AL567" s="3464"/>
      <c r="AM567" s="3448"/>
      <c r="AN567" s="3448"/>
      <c r="AO567" s="3448"/>
      <c r="AP567" s="3448"/>
      <c r="AQ567" s="3448"/>
      <c r="AR567" s="3458" t="e">
        <f t="shared" si="165"/>
        <v>#DIV/0!</v>
      </c>
      <c r="AS567" s="3459">
        <f t="shared" si="167"/>
        <v>0</v>
      </c>
    </row>
    <row r="568" spans="1:45" s="1444" customFormat="1" ht="27.95" customHeight="1">
      <c r="A568" s="3274"/>
      <c r="B568" s="2158"/>
      <c r="C568" s="2147"/>
      <c r="D568" s="2147"/>
      <c r="E568" s="2147"/>
      <c r="F568" s="2147"/>
      <c r="G568" s="2149"/>
      <c r="H568" s="3274"/>
      <c r="I568" s="3274"/>
      <c r="J568" s="3290"/>
      <c r="K568" s="3290"/>
      <c r="L568" s="3671"/>
      <c r="M568" s="3672"/>
      <c r="N568" s="5350"/>
      <c r="O568" s="5350"/>
      <c r="P568" s="3274"/>
      <c r="Q568" s="3274"/>
      <c r="R568" s="3274"/>
      <c r="S568" s="2877"/>
      <c r="T568" s="3274"/>
      <c r="U568" s="5350"/>
      <c r="V568" s="5350"/>
      <c r="W568" s="5351"/>
      <c r="X568" s="5351"/>
      <c r="Y568" s="3286"/>
      <c r="Z568" s="3286"/>
      <c r="AA568" s="5352">
        <f t="shared" si="166"/>
        <v>0</v>
      </c>
      <c r="AB568" s="5352"/>
      <c r="AC568" s="2682"/>
      <c r="AD568" s="3289"/>
      <c r="AE568" s="2628"/>
      <c r="AF568" s="2629"/>
      <c r="AG568" s="2628"/>
      <c r="AH568" s="2629"/>
      <c r="AI568" s="2628"/>
      <c r="AJ568" s="2629"/>
      <c r="AK568" s="2671">
        <f t="shared" si="164"/>
        <v>0</v>
      </c>
      <c r="AL568" s="3464"/>
      <c r="AM568" s="3448"/>
      <c r="AN568" s="3448"/>
      <c r="AO568" s="3448"/>
      <c r="AP568" s="3448"/>
      <c r="AQ568" s="3448"/>
      <c r="AR568" s="3458" t="e">
        <f t="shared" si="165"/>
        <v>#DIV/0!</v>
      </c>
      <c r="AS568" s="3459">
        <f t="shared" si="167"/>
        <v>0</v>
      </c>
    </row>
    <row r="569" spans="1:45" s="1444" customFormat="1" ht="27.95" customHeight="1">
      <c r="A569" s="3274"/>
      <c r="B569" s="2151"/>
      <c r="C569" s="2147"/>
      <c r="D569" s="2147"/>
      <c r="E569" s="2147"/>
      <c r="F569" s="2147"/>
      <c r="G569" s="2149"/>
      <c r="H569" s="3274"/>
      <c r="I569" s="3274"/>
      <c r="J569" s="3274"/>
      <c r="K569" s="3274"/>
      <c r="L569" s="3671"/>
      <c r="M569" s="3672"/>
      <c r="N569" s="5350"/>
      <c r="O569" s="5350"/>
      <c r="P569" s="3274"/>
      <c r="Q569" s="3274"/>
      <c r="R569" s="3274"/>
      <c r="S569" s="2875"/>
      <c r="T569" s="3274"/>
      <c r="U569" s="5350"/>
      <c r="V569" s="5350"/>
      <c r="W569" s="5351"/>
      <c r="X569" s="5351"/>
      <c r="Y569" s="3286"/>
      <c r="Z569" s="3286"/>
      <c r="AA569" s="5352">
        <f t="shared" si="166"/>
        <v>0</v>
      </c>
      <c r="AB569" s="5352"/>
      <c r="AC569" s="2682"/>
      <c r="AD569" s="3289"/>
      <c r="AE569" s="2628"/>
      <c r="AF569" s="2629"/>
      <c r="AG569" s="2628"/>
      <c r="AH569" s="2629"/>
      <c r="AI569" s="2628"/>
      <c r="AJ569" s="2629"/>
      <c r="AK569" s="2671">
        <f t="shared" si="164"/>
        <v>0</v>
      </c>
      <c r="AL569" s="3464"/>
      <c r="AM569" s="3448"/>
      <c r="AN569" s="3448"/>
      <c r="AO569" s="3448"/>
      <c r="AP569" s="3448"/>
      <c r="AQ569" s="3448"/>
      <c r="AR569" s="3458" t="e">
        <f t="shared" si="165"/>
        <v>#DIV/0!</v>
      </c>
      <c r="AS569" s="3459">
        <f t="shared" si="167"/>
        <v>0</v>
      </c>
    </row>
    <row r="570" spans="1:45" s="1444" customFormat="1" ht="27.95" customHeight="1">
      <c r="A570" s="3274"/>
      <c r="B570" s="2151"/>
      <c r="C570" s="2147"/>
      <c r="D570" s="2147"/>
      <c r="E570" s="2147"/>
      <c r="F570" s="2147"/>
      <c r="G570" s="2149"/>
      <c r="H570" s="3274"/>
      <c r="I570" s="3274"/>
      <c r="J570" s="3274"/>
      <c r="K570" s="3274"/>
      <c r="L570" s="3671"/>
      <c r="M570" s="3672"/>
      <c r="N570" s="5454"/>
      <c r="O570" s="5455"/>
      <c r="P570" s="3274"/>
      <c r="Q570" s="3274"/>
      <c r="R570" s="3274"/>
      <c r="S570" s="2875"/>
      <c r="T570" s="3274"/>
      <c r="U570" s="5350"/>
      <c r="V570" s="5350"/>
      <c r="W570" s="5351"/>
      <c r="X570" s="5351"/>
      <c r="Y570" s="3286"/>
      <c r="Z570" s="3286"/>
      <c r="AA570" s="5352">
        <f t="shared" si="166"/>
        <v>0</v>
      </c>
      <c r="AB570" s="5352"/>
      <c r="AC570" s="2682"/>
      <c r="AD570" s="3289"/>
      <c r="AE570" s="2628"/>
      <c r="AF570" s="2629"/>
      <c r="AG570" s="2628"/>
      <c r="AH570" s="2629"/>
      <c r="AI570" s="2628"/>
      <c r="AJ570" s="2629"/>
      <c r="AK570" s="2671">
        <f t="shared" si="164"/>
        <v>0</v>
      </c>
      <c r="AL570" s="3464"/>
      <c r="AM570" s="3448"/>
      <c r="AN570" s="3448"/>
      <c r="AO570" s="3448"/>
      <c r="AP570" s="3448"/>
      <c r="AQ570" s="3448"/>
      <c r="AR570" s="3458" t="e">
        <f t="shared" si="165"/>
        <v>#DIV/0!</v>
      </c>
      <c r="AS570" s="3459">
        <f t="shared" si="167"/>
        <v>0</v>
      </c>
    </row>
    <row r="571" spans="1:45" s="1444" customFormat="1" ht="27.95" customHeight="1">
      <c r="A571" s="3274"/>
      <c r="B571" s="2151"/>
      <c r="C571" s="2147"/>
      <c r="D571" s="2147"/>
      <c r="E571" s="2147"/>
      <c r="F571" s="2147"/>
      <c r="G571" s="2149"/>
      <c r="H571" s="3274"/>
      <c r="I571" s="3274"/>
      <c r="J571" s="3274"/>
      <c r="K571" s="3274"/>
      <c r="L571" s="3673"/>
      <c r="M571" s="3672"/>
      <c r="N571" s="5350"/>
      <c r="O571" s="5350"/>
      <c r="P571" s="3274"/>
      <c r="Q571" s="3274"/>
      <c r="R571" s="3274"/>
      <c r="S571" s="2875"/>
      <c r="T571" s="3274"/>
      <c r="U571" s="5350"/>
      <c r="V571" s="5350"/>
      <c r="W571" s="5351"/>
      <c r="X571" s="5351"/>
      <c r="Y571" s="3286"/>
      <c r="Z571" s="3286"/>
      <c r="AA571" s="5352">
        <f t="shared" si="166"/>
        <v>0</v>
      </c>
      <c r="AB571" s="5352"/>
      <c r="AC571" s="2682"/>
      <c r="AD571" s="3289"/>
      <c r="AE571" s="2628"/>
      <c r="AF571" s="2629"/>
      <c r="AG571" s="2628"/>
      <c r="AH571" s="2629"/>
      <c r="AI571" s="2628"/>
      <c r="AJ571" s="2629"/>
      <c r="AK571" s="2671">
        <f t="shared" si="164"/>
        <v>0</v>
      </c>
      <c r="AL571" s="3464"/>
      <c r="AM571" s="3448"/>
      <c r="AN571" s="3448"/>
      <c r="AO571" s="3448"/>
      <c r="AP571" s="3448"/>
      <c r="AQ571" s="3448"/>
      <c r="AR571" s="3458" t="e">
        <f t="shared" ref="AR571:AR583" si="168">SUM(AM571:AQ571)/AS571</f>
        <v>#DIV/0!</v>
      </c>
      <c r="AS571" s="3459">
        <f t="shared" si="167"/>
        <v>0</v>
      </c>
    </row>
    <row r="572" spans="1:45" s="1444" customFormat="1" ht="27.95" customHeight="1">
      <c r="A572" s="3274"/>
      <c r="B572" s="2151"/>
      <c r="C572" s="2147"/>
      <c r="D572" s="2147"/>
      <c r="E572" s="2147"/>
      <c r="F572" s="2147"/>
      <c r="G572" s="2149"/>
      <c r="H572" s="3274"/>
      <c r="I572" s="3274"/>
      <c r="J572" s="3274"/>
      <c r="K572" s="3274"/>
      <c r="L572" s="3673"/>
      <c r="M572" s="3672"/>
      <c r="N572" s="5350"/>
      <c r="O572" s="5350"/>
      <c r="P572" s="3274"/>
      <c r="Q572" s="3274"/>
      <c r="R572" s="3274"/>
      <c r="S572" s="2875"/>
      <c r="T572" s="3274"/>
      <c r="U572" s="5350"/>
      <c r="V572" s="5350"/>
      <c r="W572" s="5351"/>
      <c r="X572" s="5351"/>
      <c r="Y572" s="3286"/>
      <c r="Z572" s="3286"/>
      <c r="AA572" s="5352">
        <f t="shared" si="166"/>
        <v>0</v>
      </c>
      <c r="AB572" s="5352"/>
      <c r="AC572" s="2682"/>
      <c r="AD572" s="3289"/>
      <c r="AE572" s="2628"/>
      <c r="AF572" s="2629"/>
      <c r="AG572" s="2628"/>
      <c r="AH572" s="2629"/>
      <c r="AI572" s="2628"/>
      <c r="AJ572" s="2629"/>
      <c r="AK572" s="2671">
        <f t="shared" si="164"/>
        <v>0</v>
      </c>
      <c r="AL572" s="3464"/>
      <c r="AM572" s="3448"/>
      <c r="AN572" s="3448"/>
      <c r="AO572" s="3448"/>
      <c r="AP572" s="3448"/>
      <c r="AQ572" s="3448"/>
      <c r="AR572" s="3458" t="e">
        <f t="shared" si="168"/>
        <v>#DIV/0!</v>
      </c>
      <c r="AS572" s="3459">
        <f t="shared" si="167"/>
        <v>0</v>
      </c>
    </row>
    <row r="573" spans="1:45" s="1444" customFormat="1" ht="27.95" customHeight="1">
      <c r="A573" s="3274"/>
      <c r="B573" s="2151"/>
      <c r="C573" s="2147"/>
      <c r="D573" s="2147"/>
      <c r="E573" s="2147"/>
      <c r="F573" s="2147"/>
      <c r="G573" s="2149"/>
      <c r="H573" s="3274"/>
      <c r="I573" s="3274"/>
      <c r="J573" s="3274"/>
      <c r="K573" s="3274"/>
      <c r="L573" s="3673"/>
      <c r="M573" s="3672"/>
      <c r="N573" s="5350"/>
      <c r="O573" s="5350"/>
      <c r="P573" s="3274"/>
      <c r="Q573" s="3274"/>
      <c r="R573" s="3274"/>
      <c r="S573" s="2875"/>
      <c r="T573" s="3274"/>
      <c r="U573" s="5350"/>
      <c r="V573" s="5350"/>
      <c r="W573" s="5351"/>
      <c r="X573" s="5351"/>
      <c r="Y573" s="3286"/>
      <c r="Z573" s="3286"/>
      <c r="AA573" s="5352">
        <f t="shared" si="166"/>
        <v>0</v>
      </c>
      <c r="AB573" s="5352"/>
      <c r="AC573" s="2682"/>
      <c r="AD573" s="3289"/>
      <c r="AE573" s="2628"/>
      <c r="AF573" s="2629"/>
      <c r="AG573" s="2628"/>
      <c r="AH573" s="2629"/>
      <c r="AI573" s="2628"/>
      <c r="AJ573" s="2629"/>
      <c r="AK573" s="2671">
        <f t="shared" si="164"/>
        <v>0</v>
      </c>
      <c r="AL573" s="3464"/>
      <c r="AM573" s="3448"/>
      <c r="AN573" s="3448"/>
      <c r="AO573" s="3448"/>
      <c r="AP573" s="3448"/>
      <c r="AQ573" s="3448"/>
      <c r="AR573" s="3458" t="e">
        <f t="shared" si="168"/>
        <v>#DIV/0!</v>
      </c>
      <c r="AS573" s="3459">
        <f t="shared" si="167"/>
        <v>0</v>
      </c>
    </row>
    <row r="574" spans="1:45" s="1444" customFormat="1" ht="27.95" customHeight="1">
      <c r="A574" s="3274"/>
      <c r="B574" s="2151"/>
      <c r="C574" s="2147"/>
      <c r="D574" s="2147"/>
      <c r="E574" s="2147"/>
      <c r="F574" s="2147"/>
      <c r="G574" s="2149"/>
      <c r="H574" s="3274"/>
      <c r="I574" s="3274"/>
      <c r="J574" s="3274"/>
      <c r="K574" s="3274"/>
      <c r="L574" s="3673"/>
      <c r="M574" s="3672"/>
      <c r="N574" s="5350"/>
      <c r="O574" s="5350"/>
      <c r="P574" s="3274"/>
      <c r="Q574" s="3274"/>
      <c r="R574" s="3274"/>
      <c r="S574" s="2875"/>
      <c r="T574" s="3274"/>
      <c r="U574" s="5350"/>
      <c r="V574" s="5350"/>
      <c r="W574" s="5351"/>
      <c r="X574" s="5351"/>
      <c r="Y574" s="3286"/>
      <c r="Z574" s="3286"/>
      <c r="AA574" s="5352">
        <f t="shared" si="166"/>
        <v>0</v>
      </c>
      <c r="AB574" s="5352"/>
      <c r="AC574" s="2682"/>
      <c r="AD574" s="3289"/>
      <c r="AE574" s="2628"/>
      <c r="AF574" s="2629"/>
      <c r="AG574" s="2628"/>
      <c r="AH574" s="2629"/>
      <c r="AI574" s="2628"/>
      <c r="AJ574" s="2629"/>
      <c r="AK574" s="2671">
        <f t="shared" si="164"/>
        <v>0</v>
      </c>
      <c r="AL574" s="3464"/>
      <c r="AM574" s="3448"/>
      <c r="AN574" s="3448"/>
      <c r="AO574" s="3448"/>
      <c r="AP574" s="3448"/>
      <c r="AQ574" s="3448"/>
      <c r="AR574" s="3458" t="e">
        <f t="shared" si="168"/>
        <v>#DIV/0!</v>
      </c>
      <c r="AS574" s="3459">
        <f t="shared" si="167"/>
        <v>0</v>
      </c>
    </row>
    <row r="575" spans="1:45" s="1444" customFormat="1" ht="27.95" customHeight="1">
      <c r="A575" s="3274"/>
      <c r="B575" s="2151"/>
      <c r="C575" s="2147"/>
      <c r="D575" s="2147"/>
      <c r="E575" s="2147"/>
      <c r="F575" s="2147"/>
      <c r="G575" s="2149"/>
      <c r="H575" s="3274"/>
      <c r="I575" s="3274"/>
      <c r="J575" s="3274"/>
      <c r="K575" s="3274"/>
      <c r="L575" s="3673"/>
      <c r="M575" s="3672"/>
      <c r="N575" s="5350"/>
      <c r="O575" s="5350"/>
      <c r="P575" s="3274"/>
      <c r="Q575" s="3274"/>
      <c r="R575" s="3274"/>
      <c r="S575" s="2875"/>
      <c r="T575" s="3274"/>
      <c r="U575" s="5350"/>
      <c r="V575" s="5350"/>
      <c r="W575" s="5351"/>
      <c r="X575" s="5351"/>
      <c r="Y575" s="3286"/>
      <c r="Z575" s="3286"/>
      <c r="AA575" s="5352">
        <f t="shared" si="166"/>
        <v>0</v>
      </c>
      <c r="AB575" s="5352"/>
      <c r="AC575" s="2682"/>
      <c r="AD575" s="3289"/>
      <c r="AE575" s="2628"/>
      <c r="AF575" s="2629"/>
      <c r="AG575" s="2628"/>
      <c r="AH575" s="2629"/>
      <c r="AI575" s="2628"/>
      <c r="AJ575" s="2629"/>
      <c r="AK575" s="2671">
        <f t="shared" si="164"/>
        <v>0</v>
      </c>
      <c r="AL575" s="3464"/>
      <c r="AM575" s="3448"/>
      <c r="AN575" s="3448"/>
      <c r="AO575" s="3448"/>
      <c r="AP575" s="3448"/>
      <c r="AQ575" s="3448"/>
      <c r="AR575" s="3458" t="e">
        <f t="shared" si="168"/>
        <v>#DIV/0!</v>
      </c>
      <c r="AS575" s="3459">
        <f t="shared" si="167"/>
        <v>0</v>
      </c>
    </row>
    <row r="576" spans="1:45" s="1444" customFormat="1" ht="27.95" customHeight="1">
      <c r="A576" s="3274"/>
      <c r="B576" s="2151"/>
      <c r="C576" s="2147"/>
      <c r="D576" s="2147"/>
      <c r="E576" s="2147"/>
      <c r="F576" s="2147"/>
      <c r="G576" s="2149"/>
      <c r="H576" s="3274"/>
      <c r="I576" s="3274"/>
      <c r="J576" s="3274"/>
      <c r="K576" s="3274"/>
      <c r="L576" s="3673"/>
      <c r="M576" s="3672"/>
      <c r="N576" s="5350"/>
      <c r="O576" s="5350"/>
      <c r="P576" s="3274"/>
      <c r="Q576" s="3274"/>
      <c r="R576" s="3274"/>
      <c r="S576" s="2875"/>
      <c r="T576" s="3274"/>
      <c r="U576" s="5350"/>
      <c r="V576" s="5350"/>
      <c r="W576" s="5351"/>
      <c r="X576" s="5351"/>
      <c r="Y576" s="3286"/>
      <c r="Z576" s="3286"/>
      <c r="AA576" s="5352">
        <f>AC576+AD576+AE576+AF576-AG576-AH576</f>
        <v>0</v>
      </c>
      <c r="AB576" s="5352"/>
      <c r="AC576" s="2682"/>
      <c r="AD576" s="3289"/>
      <c r="AE576" s="2628"/>
      <c r="AF576" s="2629"/>
      <c r="AG576" s="2628"/>
      <c r="AH576" s="2629"/>
      <c r="AI576" s="2628"/>
      <c r="AJ576" s="2629"/>
      <c r="AK576" s="2671">
        <f t="shared" si="164"/>
        <v>0</v>
      </c>
      <c r="AL576" s="3464"/>
      <c r="AM576" s="3448"/>
      <c r="AN576" s="3448"/>
      <c r="AO576" s="3448"/>
      <c r="AP576" s="3448"/>
      <c r="AQ576" s="3448"/>
      <c r="AR576" s="3458" t="e">
        <f t="shared" si="168"/>
        <v>#DIV/0!</v>
      </c>
      <c r="AS576" s="3459">
        <f t="shared" si="167"/>
        <v>0</v>
      </c>
    </row>
    <row r="577" spans="1:45" s="1444" customFormat="1" ht="27.95" customHeight="1">
      <c r="A577" s="3274"/>
      <c r="B577" s="2151"/>
      <c r="C577" s="2147"/>
      <c r="D577" s="2147"/>
      <c r="E577" s="2147"/>
      <c r="F577" s="2147"/>
      <c r="G577" s="2149"/>
      <c r="H577" s="3274"/>
      <c r="I577" s="3274"/>
      <c r="J577" s="3274"/>
      <c r="K577" s="3274"/>
      <c r="L577" s="3673"/>
      <c r="M577" s="3672"/>
      <c r="N577" s="5350"/>
      <c r="O577" s="5350"/>
      <c r="P577" s="3274"/>
      <c r="Q577" s="3274"/>
      <c r="R577" s="3274"/>
      <c r="S577" s="2875"/>
      <c r="T577" s="3274"/>
      <c r="U577" s="5350"/>
      <c r="V577" s="5350"/>
      <c r="W577" s="5351"/>
      <c r="X577" s="5351"/>
      <c r="Y577" s="3286"/>
      <c r="Z577" s="3286"/>
      <c r="AA577" s="5352">
        <f t="shared" si="166"/>
        <v>0</v>
      </c>
      <c r="AB577" s="5352"/>
      <c r="AC577" s="2682"/>
      <c r="AD577" s="3289"/>
      <c r="AE577" s="2628"/>
      <c r="AF577" s="2629"/>
      <c r="AG577" s="2628"/>
      <c r="AH577" s="2629"/>
      <c r="AI577" s="2628"/>
      <c r="AJ577" s="2629"/>
      <c r="AK577" s="2671">
        <f t="shared" si="164"/>
        <v>0</v>
      </c>
      <c r="AL577" s="3464"/>
      <c r="AM577" s="3448"/>
      <c r="AN577" s="3448"/>
      <c r="AO577" s="3448"/>
      <c r="AP577" s="3448"/>
      <c r="AQ577" s="3448"/>
      <c r="AR577" s="3458" t="e">
        <f t="shared" si="168"/>
        <v>#DIV/0!</v>
      </c>
      <c r="AS577" s="3459">
        <f t="shared" si="167"/>
        <v>0</v>
      </c>
    </row>
    <row r="578" spans="1:45" s="1444" customFormat="1" ht="27.95" customHeight="1">
      <c r="A578" s="3274"/>
      <c r="B578" s="2151"/>
      <c r="C578" s="2147"/>
      <c r="D578" s="2147"/>
      <c r="E578" s="2147"/>
      <c r="F578" s="2147"/>
      <c r="G578" s="2149"/>
      <c r="H578" s="3274"/>
      <c r="I578" s="3274"/>
      <c r="J578" s="3274"/>
      <c r="K578" s="3274"/>
      <c r="L578" s="3673"/>
      <c r="M578" s="3672"/>
      <c r="N578" s="5350"/>
      <c r="O578" s="5350"/>
      <c r="P578" s="3274"/>
      <c r="Q578" s="3274"/>
      <c r="R578" s="3274"/>
      <c r="S578" s="2875"/>
      <c r="T578" s="3274"/>
      <c r="U578" s="5350"/>
      <c r="V578" s="5350"/>
      <c r="W578" s="5351"/>
      <c r="X578" s="5351"/>
      <c r="Y578" s="3286"/>
      <c r="Z578" s="3286"/>
      <c r="AA578" s="5352">
        <f t="shared" si="166"/>
        <v>0</v>
      </c>
      <c r="AB578" s="5352"/>
      <c r="AC578" s="2682"/>
      <c r="AD578" s="3289"/>
      <c r="AE578" s="2628"/>
      <c r="AF578" s="2629"/>
      <c r="AG578" s="2628"/>
      <c r="AH578" s="2629"/>
      <c r="AI578" s="2628"/>
      <c r="AJ578" s="2629"/>
      <c r="AK578" s="2671">
        <f t="shared" si="164"/>
        <v>0</v>
      </c>
      <c r="AL578" s="3464"/>
      <c r="AM578" s="3448"/>
      <c r="AN578" s="3448"/>
      <c r="AO578" s="3448"/>
      <c r="AP578" s="3448"/>
      <c r="AQ578" s="3448"/>
      <c r="AR578" s="3458" t="e">
        <f t="shared" si="168"/>
        <v>#DIV/0!</v>
      </c>
      <c r="AS578" s="3459">
        <f t="shared" si="167"/>
        <v>0</v>
      </c>
    </row>
    <row r="579" spans="1:45" s="1444" customFormat="1" ht="27.95" customHeight="1">
      <c r="A579" s="3274"/>
      <c r="B579" s="2151"/>
      <c r="C579" s="2147"/>
      <c r="D579" s="2147"/>
      <c r="E579" s="2147"/>
      <c r="F579" s="2147"/>
      <c r="G579" s="2149"/>
      <c r="H579" s="3274"/>
      <c r="I579" s="3274"/>
      <c r="J579" s="3274"/>
      <c r="K579" s="3274"/>
      <c r="L579" s="3673"/>
      <c r="M579" s="3672"/>
      <c r="N579" s="5350"/>
      <c r="O579" s="5350"/>
      <c r="P579" s="3274"/>
      <c r="Q579" s="3274"/>
      <c r="R579" s="3274"/>
      <c r="S579" s="2875"/>
      <c r="T579" s="3274"/>
      <c r="U579" s="5350"/>
      <c r="V579" s="5350"/>
      <c r="W579" s="5351"/>
      <c r="X579" s="5351"/>
      <c r="Y579" s="3286"/>
      <c r="Z579" s="3286"/>
      <c r="AA579" s="5352">
        <f t="shared" si="166"/>
        <v>0</v>
      </c>
      <c r="AB579" s="5352"/>
      <c r="AC579" s="2682"/>
      <c r="AD579" s="3289"/>
      <c r="AE579" s="2628"/>
      <c r="AF579" s="2629"/>
      <c r="AG579" s="2628"/>
      <c r="AH579" s="2629"/>
      <c r="AI579" s="2628"/>
      <c r="AJ579" s="2629"/>
      <c r="AK579" s="2671">
        <f t="shared" si="164"/>
        <v>0</v>
      </c>
      <c r="AL579" s="3464"/>
      <c r="AM579" s="3448"/>
      <c r="AN579" s="3448"/>
      <c r="AO579" s="3448"/>
      <c r="AP579" s="3448"/>
      <c r="AQ579" s="3448"/>
      <c r="AR579" s="3458" t="e">
        <f t="shared" si="168"/>
        <v>#DIV/0!</v>
      </c>
      <c r="AS579" s="3459">
        <f t="shared" si="167"/>
        <v>0</v>
      </c>
    </row>
    <row r="580" spans="1:45" s="1444" customFormat="1" ht="27.95" customHeight="1">
      <c r="A580" s="3274"/>
      <c r="B580" s="2151"/>
      <c r="C580" s="2147"/>
      <c r="D580" s="2147"/>
      <c r="E580" s="2147"/>
      <c r="F580" s="2147"/>
      <c r="G580" s="2149"/>
      <c r="H580" s="3274"/>
      <c r="I580" s="3274"/>
      <c r="J580" s="3274"/>
      <c r="K580" s="3274"/>
      <c r="L580" s="3673"/>
      <c r="M580" s="3672"/>
      <c r="N580" s="5350"/>
      <c r="O580" s="5350"/>
      <c r="P580" s="3274"/>
      <c r="Q580" s="3274"/>
      <c r="R580" s="3274"/>
      <c r="S580" s="2875"/>
      <c r="T580" s="3274"/>
      <c r="U580" s="5350"/>
      <c r="V580" s="5350"/>
      <c r="W580" s="5351"/>
      <c r="X580" s="5351"/>
      <c r="Y580" s="3286"/>
      <c r="Z580" s="3286"/>
      <c r="AA580" s="5352">
        <f t="shared" si="166"/>
        <v>0</v>
      </c>
      <c r="AB580" s="5352"/>
      <c r="AC580" s="2682"/>
      <c r="AD580" s="3289"/>
      <c r="AE580" s="2628"/>
      <c r="AF580" s="2629"/>
      <c r="AG580" s="2628"/>
      <c r="AH580" s="2629"/>
      <c r="AI580" s="2628"/>
      <c r="AJ580" s="2629"/>
      <c r="AK580" s="2671">
        <f t="shared" si="164"/>
        <v>0</v>
      </c>
      <c r="AL580" s="3464"/>
      <c r="AM580" s="3448"/>
      <c r="AN580" s="3448"/>
      <c r="AO580" s="3448"/>
      <c r="AP580" s="3448"/>
      <c r="AQ580" s="3448"/>
      <c r="AR580" s="3458" t="e">
        <f t="shared" si="168"/>
        <v>#DIV/0!</v>
      </c>
      <c r="AS580" s="3459">
        <f t="shared" si="167"/>
        <v>0</v>
      </c>
    </row>
    <row r="581" spans="1:45" s="1444" customFormat="1" ht="27.95" customHeight="1">
      <c r="A581" s="3274"/>
      <c r="B581" s="2151"/>
      <c r="C581" s="2147"/>
      <c r="D581" s="2147"/>
      <c r="E581" s="2147"/>
      <c r="F581" s="2147"/>
      <c r="G581" s="2149"/>
      <c r="H581" s="3274"/>
      <c r="I581" s="3274"/>
      <c r="J581" s="3274"/>
      <c r="K581" s="3274"/>
      <c r="L581" s="3673"/>
      <c r="M581" s="3672"/>
      <c r="N581" s="5350"/>
      <c r="O581" s="5350"/>
      <c r="P581" s="3274"/>
      <c r="Q581" s="3274"/>
      <c r="R581" s="3274"/>
      <c r="S581" s="2875"/>
      <c r="T581" s="3274"/>
      <c r="U581" s="5350"/>
      <c r="V581" s="5350"/>
      <c r="W581" s="5351"/>
      <c r="X581" s="5351"/>
      <c r="Y581" s="3286"/>
      <c r="Z581" s="3286"/>
      <c r="AA581" s="5352">
        <f t="shared" si="166"/>
        <v>0</v>
      </c>
      <c r="AB581" s="5352"/>
      <c r="AC581" s="2682"/>
      <c r="AD581" s="3289"/>
      <c r="AE581" s="2628"/>
      <c r="AF581" s="2629"/>
      <c r="AG581" s="2628"/>
      <c r="AH581" s="2629"/>
      <c r="AI581" s="2628"/>
      <c r="AJ581" s="2629"/>
      <c r="AK581" s="2671">
        <f t="shared" si="164"/>
        <v>0</v>
      </c>
      <c r="AL581" s="3464"/>
      <c r="AM581" s="3448"/>
      <c r="AN581" s="3448"/>
      <c r="AO581" s="3448"/>
      <c r="AP581" s="3448"/>
      <c r="AQ581" s="3448"/>
      <c r="AR581" s="3458" t="e">
        <f t="shared" si="168"/>
        <v>#DIV/0!</v>
      </c>
      <c r="AS581" s="3459">
        <f t="shared" si="167"/>
        <v>0</v>
      </c>
    </row>
    <row r="582" spans="1:45" s="1444" customFormat="1" ht="27.95" customHeight="1">
      <c r="A582" s="3274"/>
      <c r="B582" s="2151"/>
      <c r="C582" s="2147"/>
      <c r="D582" s="2147"/>
      <c r="E582" s="2147"/>
      <c r="F582" s="2147"/>
      <c r="G582" s="2149"/>
      <c r="H582" s="3274"/>
      <c r="I582" s="3274"/>
      <c r="J582" s="3274"/>
      <c r="K582" s="3274"/>
      <c r="L582" s="3673"/>
      <c r="M582" s="3672"/>
      <c r="N582" s="5350"/>
      <c r="O582" s="5350"/>
      <c r="P582" s="3274"/>
      <c r="Q582" s="3274"/>
      <c r="R582" s="3274"/>
      <c r="S582" s="2875"/>
      <c r="T582" s="3274"/>
      <c r="U582" s="5350"/>
      <c r="V582" s="5350"/>
      <c r="W582" s="5351"/>
      <c r="X582" s="5351"/>
      <c r="Y582" s="3286"/>
      <c r="Z582" s="3286"/>
      <c r="AA582" s="5352">
        <f t="shared" si="166"/>
        <v>0</v>
      </c>
      <c r="AB582" s="5352"/>
      <c r="AC582" s="2682"/>
      <c r="AD582" s="3289"/>
      <c r="AE582" s="2628"/>
      <c r="AF582" s="2629"/>
      <c r="AG582" s="2628"/>
      <c r="AH582" s="2629"/>
      <c r="AI582" s="2628"/>
      <c r="AJ582" s="2629"/>
      <c r="AK582" s="2672">
        <f t="shared" si="164"/>
        <v>0</v>
      </c>
      <c r="AL582" s="3464"/>
      <c r="AM582" s="3448"/>
      <c r="AN582" s="3448"/>
      <c r="AO582" s="3448"/>
      <c r="AP582" s="3448"/>
      <c r="AQ582" s="3448"/>
      <c r="AR582" s="3458" t="e">
        <f t="shared" si="168"/>
        <v>#DIV/0!</v>
      </c>
      <c r="AS582" s="3459">
        <f t="shared" si="167"/>
        <v>0</v>
      </c>
    </row>
    <row r="583" spans="1:45" s="1444" customFormat="1" ht="27.95" customHeight="1">
      <c r="A583" s="3273">
        <f>COUNTA(B557:G582)</f>
        <v>6</v>
      </c>
      <c r="B583" s="2961" t="str">
        <f>'[1]0156N'!$S$3</f>
        <v>cilaqroo@hotmail.com</v>
      </c>
      <c r="C583" s="2962"/>
      <c r="D583" s="2963"/>
      <c r="E583" s="2964" t="str">
        <f>'[1]0156N'!$C$8</f>
        <v>AV. CANCÚN MZ. 25 L. 6</v>
      </c>
      <c r="F583" s="2962"/>
      <c r="G583" s="2965"/>
      <c r="H583" s="3298">
        <f>COUNTIF(H557:H559,"X")</f>
        <v>0</v>
      </c>
      <c r="I583" s="3298">
        <f>COUNTIF(I557:I559,"X")</f>
        <v>2</v>
      </c>
      <c r="J583" s="2966">
        <f>COUNTIF(L557:M582,"docente")</f>
        <v>2</v>
      </c>
      <c r="K583" s="2967">
        <f>COUNTIF(L557:M582,"intendente")</f>
        <v>1</v>
      </c>
      <c r="L583" s="1665">
        <f>COUNTA(N557:O582)</f>
        <v>0</v>
      </c>
      <c r="M583" s="2968">
        <f>COUNTIF(Y557:Y582,"1º")</f>
        <v>1</v>
      </c>
      <c r="N583" s="3278">
        <f>COUNTIF(Y557:Y582,"2º")</f>
        <v>1</v>
      </c>
      <c r="O583" s="3278">
        <f>COUNTIF(Y557:Y582,"3º")</f>
        <v>1</v>
      </c>
      <c r="P583" s="3278">
        <f>COUNTIF(Y557:Y582,"4º")</f>
        <v>1</v>
      </c>
      <c r="Q583" s="3278">
        <f>COUNTIF(Y557:Y582,"5º")</f>
        <v>0</v>
      </c>
      <c r="R583" s="3278">
        <f>COUNTIF(Y557:Y582,"6º")</f>
        <v>0</v>
      </c>
      <c r="S583" s="2968">
        <f>SUM(M583:R583)</f>
        <v>4</v>
      </c>
      <c r="T583" s="3273">
        <f>COUNTA(T557:T582)</f>
        <v>0</v>
      </c>
      <c r="U583" s="2968">
        <f>COUNTIF(U557:V582,"10")</f>
        <v>0</v>
      </c>
      <c r="V583" s="2969">
        <f>COUNTIF(U557:V582,"20")</f>
        <v>7</v>
      </c>
      <c r="W583" s="5409" t="s">
        <v>1232</v>
      </c>
      <c r="X583" s="5409"/>
      <c r="Y583" s="5409"/>
      <c r="Z583" s="3286">
        <f>COUNTA(Z557:Z582)</f>
        <v>4</v>
      </c>
      <c r="AA583" s="5411">
        <f>SUM(AA557:AB582)</f>
        <v>49</v>
      </c>
      <c r="AB583" s="5411"/>
      <c r="AC583" s="2687">
        <f t="shared" ref="AC583:AJ583" si="169">SUM(AC557:AC582)</f>
        <v>33</v>
      </c>
      <c r="AD583" s="2688">
        <f t="shared" si="169"/>
        <v>17</v>
      </c>
      <c r="AE583" s="2630">
        <f t="shared" si="169"/>
        <v>2</v>
      </c>
      <c r="AF583" s="2631">
        <f t="shared" si="169"/>
        <v>1</v>
      </c>
      <c r="AG583" s="2632">
        <f t="shared" si="169"/>
        <v>4</v>
      </c>
      <c r="AH583" s="2633">
        <f t="shared" si="169"/>
        <v>0</v>
      </c>
      <c r="AI583" s="2634">
        <f t="shared" si="169"/>
        <v>0</v>
      </c>
      <c r="AJ583" s="2635">
        <f t="shared" si="169"/>
        <v>0</v>
      </c>
      <c r="AK583" s="317">
        <f t="shared" si="164"/>
        <v>50</v>
      </c>
      <c r="AL583" s="3461" t="e">
        <f>SUM(AL557:AL582)/AL584</f>
        <v>#DIV/0!</v>
      </c>
      <c r="AM583" s="3465" t="e">
        <f t="shared" ref="AM583" si="170">SUM(AM557:AM582)/AM584</f>
        <v>#DIV/0!</v>
      </c>
      <c r="AN583" s="3460" t="e">
        <f t="shared" ref="AN583" si="171">SUM(AN557:AN582)/AN584</f>
        <v>#DIV/0!</v>
      </c>
      <c r="AO583" s="3460" t="e">
        <f t="shared" ref="AO583" si="172">SUM(AO557:AO582)/AO584</f>
        <v>#DIV/0!</v>
      </c>
      <c r="AP583" s="3460" t="e">
        <f t="shared" ref="AP583" si="173">SUM(AP557:AP582)/AP584</f>
        <v>#DIV/0!</v>
      </c>
      <c r="AQ583" s="3460" t="e">
        <f>SUM(AQ557:AQ582)/AQ584</f>
        <v>#DIV/0!</v>
      </c>
      <c r="AR583" s="3461" t="e">
        <f t="shared" si="168"/>
        <v>#DIV/0!</v>
      </c>
      <c r="AS583" s="3459">
        <f t="shared" si="167"/>
        <v>5</v>
      </c>
    </row>
    <row r="584" spans="1:45" s="1446" customFormat="1" ht="27.95" customHeight="1">
      <c r="A584" s="3690" t="s">
        <v>228</v>
      </c>
      <c r="B584" s="3691">
        <f>SUM(Estadisticas!AM39:AN39)</f>
        <v>0</v>
      </c>
      <c r="C584" s="3691">
        <f>SUM(Estadisticas!AO39:AP39)</f>
        <v>1</v>
      </c>
      <c r="D584" s="3691">
        <f>SUM(Estadisticas!AQ39:AR39)</f>
        <v>1</v>
      </c>
      <c r="E584" s="3691">
        <f>SUM(Estadisticas!AS39:AT39)</f>
        <v>1</v>
      </c>
      <c r="F584" s="3691">
        <f>SUM(Estadisticas!AU39:AV39)</f>
        <v>0</v>
      </c>
      <c r="G584" s="3691">
        <f>SUM(Estadisticas!AW39:AX39)</f>
        <v>0</v>
      </c>
      <c r="H584" s="5412">
        <f>SUM(B584:G584)</f>
        <v>3</v>
      </c>
      <c r="I584" s="5412"/>
      <c r="J584" s="3705"/>
      <c r="K584" s="3705"/>
      <c r="L584" s="3692" t="s">
        <v>1126</v>
      </c>
      <c r="M584" s="3690">
        <f>SUM(AK558)</f>
        <v>16</v>
      </c>
      <c r="N584" s="3690">
        <f>SUM(AK557)</f>
        <v>0</v>
      </c>
      <c r="O584" s="3690">
        <f>SUM(AK559)</f>
        <v>14</v>
      </c>
      <c r="P584" s="3690">
        <f>SUM(AK560)</f>
        <v>9</v>
      </c>
      <c r="Q584" s="3690">
        <f>SUM(AK561)</f>
        <v>11</v>
      </c>
      <c r="R584" s="3690">
        <f>SUM(AK562)</f>
        <v>0</v>
      </c>
      <c r="S584" s="3690">
        <f>SUM(M584:R584)</f>
        <v>50</v>
      </c>
      <c r="T584" s="3705">
        <f>'[1]0156N'!$V$23</f>
        <v>0</v>
      </c>
      <c r="U584" s="3705"/>
      <c r="V584" s="3705"/>
      <c r="W584" s="3705"/>
      <c r="X584" s="3705"/>
      <c r="Y584" s="3695">
        <f>COUNTA(Y557:Y582)</f>
        <v>4</v>
      </c>
      <c r="Z584" s="3705"/>
      <c r="AA584" s="5445">
        <f>'[1]0156N'!$X$35</f>
        <v>49</v>
      </c>
      <c r="AB584" s="5445"/>
      <c r="AC584" s="5334">
        <f>AC583+AD583</f>
        <v>50</v>
      </c>
      <c r="AD584" s="5334"/>
      <c r="AE584" s="5335">
        <f>AE583+AF583</f>
        <v>3</v>
      </c>
      <c r="AF584" s="5335"/>
      <c r="AG584" s="5342">
        <f>AG583+AH583</f>
        <v>4</v>
      </c>
      <c r="AH584" s="5342"/>
      <c r="AI584" s="2636"/>
      <c r="AJ584" s="2636"/>
      <c r="AK584" s="2636">
        <f>SUM(AC584:AD584)+AE584</f>
        <v>53</v>
      </c>
      <c r="AL584" s="3462">
        <f>COUNTA(AL557:AL582)</f>
        <v>0</v>
      </c>
      <c r="AM584" s="3462">
        <f t="shared" ref="AM584:AQ584" si="174">COUNTA(AM557:AM582)</f>
        <v>0</v>
      </c>
      <c r="AN584" s="3462">
        <f t="shared" si="174"/>
        <v>0</v>
      </c>
      <c r="AO584" s="3462">
        <f t="shared" si="174"/>
        <v>0</v>
      </c>
      <c r="AP584" s="3462">
        <f t="shared" si="174"/>
        <v>0</v>
      </c>
      <c r="AQ584" s="3462">
        <f t="shared" si="174"/>
        <v>0</v>
      </c>
      <c r="AR584" s="3462">
        <v>12</v>
      </c>
    </row>
    <row r="585" spans="1:45" s="1446" customFormat="1" ht="27.95" customHeight="1">
      <c r="A585" s="3695" t="s">
        <v>230</v>
      </c>
      <c r="B585" s="3695">
        <f>SUM(Estadisticas!AY39:AZ39)</f>
        <v>1</v>
      </c>
      <c r="C585" s="3695">
        <f>SUM(Estadisticas!BA39:BB39)</f>
        <v>2</v>
      </c>
      <c r="D585" s="3695">
        <f>SUM(Estadisticas!BC39:BD39)</f>
        <v>0</v>
      </c>
      <c r="E585" s="3695">
        <f>SUM(Estadisticas!BE39:BF39)</f>
        <v>1</v>
      </c>
      <c r="F585" s="3695">
        <f>SUM(Estadisticas!BG39:BH39)</f>
        <v>0</v>
      </c>
      <c r="G585" s="3695">
        <f>SUM(Estadisticas!BI39:BJ39)</f>
        <v>0</v>
      </c>
      <c r="H585" s="5413">
        <f>SUM(B585:G585)</f>
        <v>4</v>
      </c>
      <c r="I585" s="5413"/>
      <c r="J585" s="3705"/>
      <c r="K585" s="3705"/>
      <c r="L585" s="3696" t="s">
        <v>423</v>
      </c>
      <c r="M585" s="3695">
        <f>SUM(AE558:AF558)</f>
        <v>0</v>
      </c>
      <c r="N585" s="3695">
        <f>SUM(AE557:AF557)</f>
        <v>0</v>
      </c>
      <c r="O585" s="3695">
        <f>SUM(AE559:AF559)</f>
        <v>1</v>
      </c>
      <c r="P585" s="3695">
        <f>SUM(AE560:AF560)</f>
        <v>1</v>
      </c>
      <c r="Q585" s="3695">
        <f>SUM(AE561:AF561)</f>
        <v>1</v>
      </c>
      <c r="R585" s="3695">
        <f>SUM(AE562:AF562)</f>
        <v>0</v>
      </c>
      <c r="S585" s="3695">
        <f t="shared" ref="S585:S586" si="175">SUM(M585:R585)</f>
        <v>3</v>
      </c>
      <c r="T585" s="3706"/>
      <c r="U585" s="3705" t="str">
        <f>U65</f>
        <v>PRE</v>
      </c>
      <c r="V585" s="3707">
        <f>'[1]0156N'!$F$39</f>
        <v>1</v>
      </c>
      <c r="W585" s="3707">
        <f>'[1]0156N'!$I$39</f>
        <v>0</v>
      </c>
      <c r="X585" s="3707">
        <f>'[1]0156N'!$L$39</f>
        <v>1</v>
      </c>
      <c r="Y585" s="3707">
        <f>'[1]0156N'!$O$39</f>
        <v>0</v>
      </c>
      <c r="Z585" s="3707">
        <f>'[1]0156N'!$R$39</f>
        <v>0</v>
      </c>
      <c r="AA585" s="3707">
        <f>'[1]0156N'!$U$39</f>
        <v>0</v>
      </c>
      <c r="AB585" s="3707">
        <f>SUM(V585:AA585)</f>
        <v>2</v>
      </c>
      <c r="AC585" s="2683"/>
      <c r="AD585" s="3238"/>
      <c r="AE585" s="2620"/>
      <c r="AF585" s="2621"/>
      <c r="AG585" s="2620"/>
      <c r="AH585" s="2621"/>
      <c r="AK585" s="2636"/>
      <c r="AL585" s="3448"/>
      <c r="AM585" s="3448"/>
      <c r="AN585" s="3448"/>
      <c r="AO585" s="3448"/>
      <c r="AP585" s="3448"/>
      <c r="AQ585" s="3448"/>
      <c r="AR585" s="3448"/>
    </row>
    <row r="586" spans="1:45" s="1441" customFormat="1" ht="27.95" customHeight="1">
      <c r="A586" s="3698" t="s">
        <v>478</v>
      </c>
      <c r="B586" s="3698">
        <f>SUM(Estadisticas!BK38:BL38)</f>
        <v>0</v>
      </c>
      <c r="C586" s="3698">
        <f>SUM(Estadisticas!BM38:BN38)</f>
        <v>0</v>
      </c>
      <c r="D586" s="3698">
        <f>SUM(Estadisticas!BO38:BP38)</f>
        <v>0</v>
      </c>
      <c r="E586" s="3698">
        <f>SUM(Estadisticas!BQ38:BR38)</f>
        <v>0</v>
      </c>
      <c r="F586" s="3698">
        <f>SUM(Estadisticas!BS38:BT38)</f>
        <v>0</v>
      </c>
      <c r="G586" s="3698">
        <f>SUM(Estadisticas!BU38:BV38)</f>
        <v>0</v>
      </c>
      <c r="H586" s="5414">
        <f>SUM(B586:G586)</f>
        <v>0</v>
      </c>
      <c r="I586" s="5414"/>
      <c r="J586" s="3716"/>
      <c r="K586" s="3717"/>
      <c r="L586" s="3701" t="s">
        <v>434</v>
      </c>
      <c r="M586" s="3702">
        <f>SUM(AG558:AH558)</f>
        <v>1</v>
      </c>
      <c r="N586" s="3702">
        <f>SUM(AG557:AH557)</f>
        <v>0</v>
      </c>
      <c r="O586" s="3702">
        <f>SUM(AG559:AH559)</f>
        <v>2</v>
      </c>
      <c r="P586" s="3702">
        <f>SUM(AG560:AH560)</f>
        <v>0</v>
      </c>
      <c r="Q586" s="3702">
        <f>SUM(AG561:AH561)</f>
        <v>1</v>
      </c>
      <c r="R586" s="3702">
        <f>SUM(AG562:AH562)</f>
        <v>0</v>
      </c>
      <c r="S586" s="3702">
        <f t="shared" si="175"/>
        <v>4</v>
      </c>
      <c r="T586" s="3716"/>
      <c r="U586" s="3710">
        <f>'[1]0156N'!$O$26</f>
        <v>18</v>
      </c>
      <c r="V586" s="3710">
        <f>'[1]0156N'!$F$35</f>
        <v>15</v>
      </c>
      <c r="W586" s="3710">
        <f>'[1]0156N'!$I$35</f>
        <v>13</v>
      </c>
      <c r="X586" s="3710">
        <f>'[1]0156N'!$L$35</f>
        <v>10</v>
      </c>
      <c r="Y586" s="3710">
        <f>'[1]0156N'!$O$35</f>
        <v>11</v>
      </c>
      <c r="Z586" s="3710">
        <f>'[1]0156N'!$R$35</f>
        <v>0</v>
      </c>
      <c r="AA586" s="3710">
        <f>'[1]0156N'!$U$35</f>
        <v>0</v>
      </c>
      <c r="AB586" s="3710">
        <f>SUM(V586:AA586)</f>
        <v>49</v>
      </c>
      <c r="AC586" s="2683"/>
      <c r="AD586" s="3238"/>
      <c r="AE586" s="2620"/>
      <c r="AF586" s="2621"/>
      <c r="AG586" s="2620"/>
      <c r="AH586" s="2621"/>
      <c r="AI586" s="1444"/>
      <c r="AJ586" s="1444"/>
      <c r="AK586" s="2636"/>
      <c r="AL586" s="3445"/>
      <c r="AM586" s="3445"/>
      <c r="AN586" s="3445"/>
      <c r="AO586" s="3445"/>
      <c r="AP586" s="3445"/>
      <c r="AQ586" s="3445"/>
      <c r="AR586" s="3445"/>
      <c r="AS586" s="108"/>
    </row>
    <row r="587" spans="1:45" s="1448" customFormat="1" ht="27.95" customHeight="1">
      <c r="A587" s="175"/>
      <c r="B587" s="1427"/>
      <c r="C587" s="173"/>
      <c r="D587" s="3262" t="s">
        <v>1193</v>
      </c>
      <c r="E587" s="5388" t="str">
        <f>B557</f>
        <v>G.CANTON PUERTO * REBECA</v>
      </c>
      <c r="F587" s="5388"/>
      <c r="G587" s="5388"/>
      <c r="H587" s="5388"/>
      <c r="I587" s="5388"/>
      <c r="J587" s="5388"/>
      <c r="K587" s="1603"/>
      <c r="L587" s="1428"/>
      <c r="M587" s="3262" t="s">
        <v>1234</v>
      </c>
      <c r="N587" s="5388" t="str">
        <f>N547</f>
        <v>RICALDE CASTRO JESUS MARTIN</v>
      </c>
      <c r="O587" s="5388"/>
      <c r="P587" s="5388"/>
      <c r="Q587" s="5388"/>
      <c r="R587" s="5388"/>
      <c r="S587" s="5388"/>
      <c r="T587" s="1603"/>
      <c r="U587" s="1603"/>
      <c r="V587" s="3262" t="s">
        <v>1195</v>
      </c>
      <c r="W587" s="5388" t="str">
        <f>W547</f>
        <v xml:space="preserve">ANCONA FLORES AURA EUGENIA </v>
      </c>
      <c r="X587" s="5388"/>
      <c r="Y587" s="5388"/>
      <c r="Z587" s="5388"/>
      <c r="AA587" s="5388"/>
      <c r="AB587" s="5388"/>
      <c r="AC587" s="2683"/>
      <c r="AD587" s="3238"/>
      <c r="AE587" s="2620"/>
      <c r="AF587" s="2621"/>
      <c r="AG587" s="2620"/>
      <c r="AH587" s="2621"/>
      <c r="AI587" s="2624"/>
      <c r="AJ587" s="2624"/>
      <c r="AK587" s="2636"/>
      <c r="AL587" s="3449"/>
      <c r="AM587" s="3449"/>
      <c r="AN587" s="3449"/>
      <c r="AO587" s="3449"/>
      <c r="AP587" s="3449"/>
      <c r="AQ587" s="3449"/>
      <c r="AR587" s="3449"/>
      <c r="AS587" s="3450"/>
    </row>
    <row r="588" spans="1:45" s="1430" customFormat="1" ht="27.95" customHeight="1">
      <c r="A588" s="1670"/>
      <c r="B588" s="1401"/>
      <c r="C588" s="1401"/>
      <c r="D588" s="1401"/>
      <c r="E588" s="1401"/>
      <c r="F588" s="1402"/>
      <c r="G588" s="1402"/>
      <c r="H588" s="1402"/>
      <c r="I588" s="1402"/>
      <c r="J588" s="1402"/>
      <c r="K588" s="27"/>
      <c r="M588" s="1431" t="s">
        <v>196</v>
      </c>
      <c r="N588" s="1402"/>
      <c r="O588" s="1402"/>
      <c r="P588" s="1402"/>
      <c r="Q588" s="1402"/>
      <c r="R588" s="1402"/>
      <c r="S588" s="1402"/>
      <c r="T588" s="1401"/>
      <c r="V588" s="3263"/>
      <c r="W588" s="1432" t="s">
        <v>764</v>
      </c>
      <c r="X588" s="5221" t="s">
        <v>247</v>
      </c>
      <c r="Y588" s="5221"/>
      <c r="Z588" s="5221"/>
      <c r="AA588" s="5221"/>
      <c r="AB588" s="1644"/>
      <c r="AC588" s="2683"/>
      <c r="AD588" s="3238"/>
      <c r="AE588" s="2637"/>
      <c r="AF588" s="2638"/>
      <c r="AG588" s="2637"/>
      <c r="AH588" s="2638"/>
      <c r="AI588" s="1449"/>
      <c r="AJ588" s="1449"/>
      <c r="AK588" s="2636"/>
      <c r="AL588" s="3451"/>
      <c r="AM588" s="3451"/>
      <c r="AN588" s="3451"/>
      <c r="AO588" s="3451"/>
      <c r="AP588" s="3451"/>
      <c r="AQ588" s="3451"/>
      <c r="AR588" s="3451"/>
      <c r="AS588" s="3452"/>
    </row>
    <row r="589" spans="1:45" ht="27.95" customHeight="1">
      <c r="A589" s="1663"/>
      <c r="B589" s="1406"/>
      <c r="C589" s="1406"/>
      <c r="D589" s="1406"/>
      <c r="E589" s="1406"/>
      <c r="F589" s="1407"/>
      <c r="G589" s="1407"/>
      <c r="H589" s="1407"/>
      <c r="I589" s="1407"/>
      <c r="J589" s="1407"/>
      <c r="K589" s="1407"/>
      <c r="L589" s="1407"/>
      <c r="M589" s="3260" t="s">
        <v>1148</v>
      </c>
      <c r="N589" s="1407"/>
      <c r="O589" s="1407"/>
      <c r="P589" s="1407"/>
      <c r="Q589" s="1407"/>
      <c r="R589" s="1407"/>
      <c r="S589" s="1407"/>
      <c r="T589" s="1408"/>
      <c r="U589" s="1408"/>
      <c r="V589" s="3263"/>
      <c r="W589" s="1432" t="s">
        <v>1149</v>
      </c>
      <c r="X589" s="5458" t="str">
        <f>X549</f>
        <v>2012 / 2013</v>
      </c>
      <c r="Y589" s="5458"/>
      <c r="Z589" s="5458"/>
      <c r="AA589" s="5458"/>
      <c r="AB589" s="1417"/>
      <c r="AC589" s="2683"/>
      <c r="AD589" s="3238"/>
      <c r="AE589" s="2620"/>
      <c r="AF589" s="2621"/>
      <c r="AG589" s="2620"/>
      <c r="AH589" s="2621"/>
      <c r="AK589" s="2636"/>
      <c r="AR589" s="3445"/>
    </row>
    <row r="590" spans="1:45" ht="27.95" customHeight="1">
      <c r="A590" s="1663"/>
      <c r="B590" s="1410"/>
      <c r="C590" s="1410"/>
      <c r="D590" s="1410"/>
      <c r="E590" s="1410"/>
      <c r="F590" s="1407"/>
      <c r="G590" s="1407"/>
      <c r="H590" s="1407"/>
      <c r="I590" s="1407"/>
      <c r="J590" s="1407"/>
      <c r="K590" s="1407"/>
      <c r="M590" s="3260" t="s">
        <v>1150</v>
      </c>
      <c r="N590" s="1407"/>
      <c r="O590" s="1407"/>
      <c r="P590" s="1407"/>
      <c r="Q590" s="1407"/>
      <c r="R590" s="1407"/>
      <c r="S590" s="1407"/>
      <c r="T590" s="1433"/>
      <c r="U590" s="1433"/>
      <c r="V590" s="1434"/>
      <c r="W590" s="3281" t="s">
        <v>42</v>
      </c>
      <c r="X590" s="5457" t="str">
        <f>X550</f>
        <v>042</v>
      </c>
      <c r="Y590" s="5457"/>
      <c r="Z590" s="5457"/>
      <c r="AA590" s="5457"/>
      <c r="AB590" s="1417"/>
      <c r="AC590" s="2683"/>
      <c r="AD590" s="3238"/>
      <c r="AE590" s="2620"/>
      <c r="AF590" s="2621"/>
      <c r="AG590" s="2620"/>
      <c r="AH590" s="2621"/>
      <c r="AK590" s="2636"/>
      <c r="AR590" s="3445"/>
    </row>
    <row r="591" spans="1:45" ht="27.95" customHeight="1">
      <c r="A591" s="1663"/>
      <c r="B591" s="1410"/>
      <c r="C591" s="1410"/>
      <c r="D591" s="1410"/>
      <c r="E591" s="1410"/>
      <c r="F591" s="1406"/>
      <c r="H591" s="1413"/>
      <c r="I591" s="1413"/>
      <c r="J591" s="1414"/>
      <c r="K591" s="1414"/>
      <c r="L591" s="1415" t="s">
        <v>1197</v>
      </c>
      <c r="M591" s="1415">
        <f>M551</f>
        <v>8</v>
      </c>
      <c r="N591" s="3271" t="s">
        <v>1152</v>
      </c>
      <c r="O591" s="5371" t="str">
        <f>O551</f>
        <v>AGOSTO</v>
      </c>
      <c r="P591" s="5371"/>
      <c r="Q591" s="1435" t="s">
        <v>1152</v>
      </c>
      <c r="R591" s="5371">
        <f>R551</f>
        <v>2012</v>
      </c>
      <c r="S591" s="5371"/>
      <c r="T591" s="1406"/>
      <c r="U591" s="5372" t="s">
        <v>246</v>
      </c>
      <c r="V591" s="5372"/>
      <c r="W591" s="5372"/>
      <c r="X591" s="5372"/>
      <c r="Y591" s="1436" t="s">
        <v>245</v>
      </c>
      <c r="Z591" s="1436"/>
      <c r="AA591" s="1437"/>
      <c r="AB591" s="1417"/>
      <c r="AC591" s="2683"/>
      <c r="AD591" s="3238"/>
      <c r="AE591" s="2620"/>
      <c r="AF591" s="2621"/>
      <c r="AG591" s="2620"/>
      <c r="AH591" s="2621"/>
      <c r="AK591" s="2636"/>
      <c r="AR591" s="3445"/>
    </row>
    <row r="592" spans="1:45" ht="27.95" customHeight="1">
      <c r="A592" s="5356" t="s">
        <v>1153</v>
      </c>
      <c r="B592" s="5356"/>
      <c r="C592" s="5356"/>
      <c r="D592" s="5389" t="s">
        <v>2325</v>
      </c>
      <c r="E592" s="5389"/>
      <c r="F592" s="5389"/>
      <c r="G592" s="5389"/>
      <c r="H592" s="5389"/>
      <c r="I592" s="5389"/>
      <c r="J592" s="5389"/>
      <c r="K592" s="5389"/>
      <c r="L592" s="3281" t="s">
        <v>19</v>
      </c>
      <c r="M592" s="5370" t="s">
        <v>1825</v>
      </c>
      <c r="N592" s="5370"/>
      <c r="O592" s="5390" t="s">
        <v>13</v>
      </c>
      <c r="P592" s="5390"/>
      <c r="Q592" s="5370" t="s">
        <v>69</v>
      </c>
      <c r="R592" s="5370"/>
      <c r="S592" s="5370"/>
      <c r="T592" s="174"/>
      <c r="U592" s="1418" t="s">
        <v>1522</v>
      </c>
      <c r="V592" s="5458" t="str">
        <f>V552</f>
        <v>2  BENITO JUAREZ</v>
      </c>
      <c r="W592" s="5458"/>
      <c r="X592" s="5458"/>
      <c r="Y592" s="5458"/>
      <c r="Z592" s="5458"/>
      <c r="AA592" s="5458"/>
      <c r="AB592" s="5458"/>
      <c r="AC592" s="2683"/>
      <c r="AD592" s="3238"/>
      <c r="AE592" s="2620"/>
      <c r="AF592" s="2621"/>
      <c r="AG592" s="2620"/>
      <c r="AH592" s="2621"/>
      <c r="AK592" s="2636"/>
      <c r="AR592" s="3445"/>
    </row>
    <row r="593" spans="1:45" s="1439" customFormat="1" ht="27.95" customHeight="1">
      <c r="A593" s="5356" t="s">
        <v>437</v>
      </c>
      <c r="B593" s="5356"/>
      <c r="C593" s="5389"/>
      <c r="D593" s="5389"/>
      <c r="E593" s="5389"/>
      <c r="F593" s="5389"/>
      <c r="G593" s="5389"/>
      <c r="H593" s="5389"/>
      <c r="I593" s="5389"/>
      <c r="J593" s="5389"/>
      <c r="K593" s="5389"/>
      <c r="L593" s="5389"/>
      <c r="M593" s="5389"/>
      <c r="N593" s="1419"/>
      <c r="O593" s="3281" t="s">
        <v>863</v>
      </c>
      <c r="P593" s="5370" t="str">
        <f>'[1]0163X'!$I$8</f>
        <v>9981 79 87 49</v>
      </c>
      <c r="Q593" s="5370"/>
      <c r="R593" s="5370"/>
      <c r="S593" s="5370"/>
      <c r="T593" s="5370"/>
      <c r="U593" s="1420"/>
      <c r="V593" s="3281"/>
      <c r="W593" s="3281" t="s">
        <v>1159</v>
      </c>
      <c r="X593" s="5459" t="str">
        <f>X553</f>
        <v>8  DE  AGOSTO  DE  2012</v>
      </c>
      <c r="Y593" s="5459"/>
      <c r="Z593" s="5459"/>
      <c r="AA593" s="5459"/>
      <c r="AB593" s="5459"/>
      <c r="AC593" s="5331" t="str">
        <f>D592</f>
        <v>COLEGIO KING DAVID</v>
      </c>
      <c r="AD593" s="5331"/>
      <c r="AE593" s="5331"/>
      <c r="AF593" s="5331"/>
      <c r="AG593" s="5331"/>
      <c r="AH593" s="5331"/>
      <c r="AI593" s="5332" t="str">
        <f>M592</f>
        <v>23PPR0163X</v>
      </c>
      <c r="AJ593" s="5332"/>
      <c r="AK593" s="5332"/>
      <c r="AL593" s="3446"/>
      <c r="AM593" s="3446"/>
      <c r="AN593" s="3446"/>
      <c r="AO593" s="3446"/>
      <c r="AP593" s="3446"/>
      <c r="AQ593" s="3446"/>
      <c r="AR593" s="3446"/>
      <c r="AS593" s="2166"/>
    </row>
    <row r="594" spans="1:45" s="1441" customFormat="1" ht="9.9499999999999993" customHeight="1">
      <c r="A594" s="1421"/>
      <c r="B594" s="1422"/>
      <c r="C594" s="1422"/>
      <c r="D594" s="3261"/>
      <c r="E594" s="3261"/>
      <c r="F594" s="3261"/>
      <c r="G594" s="3261"/>
      <c r="H594" s="3261"/>
      <c r="I594" s="3261"/>
      <c r="J594" s="3261"/>
      <c r="K594" s="3261"/>
      <c r="L594" s="3261"/>
      <c r="M594" s="1421"/>
      <c r="N594" s="1423"/>
      <c r="O594" s="1423"/>
      <c r="P594" s="1423"/>
      <c r="Q594" s="1424"/>
      <c r="R594" s="1423"/>
      <c r="S594" s="1423"/>
      <c r="T594" s="1422"/>
      <c r="U594" s="1422"/>
      <c r="V594" s="3261"/>
      <c r="W594" s="3261"/>
      <c r="X594" s="3261"/>
      <c r="Y594" s="3261"/>
      <c r="Z594" s="1422"/>
      <c r="AA594" s="1422"/>
      <c r="AB594" s="1422"/>
      <c r="AC594" s="2689"/>
      <c r="AD594" s="2690"/>
      <c r="AE594" s="2639"/>
      <c r="AF594" s="2640"/>
      <c r="AG594" s="2639"/>
      <c r="AH594" s="2640"/>
      <c r="AI594" s="1444"/>
      <c r="AJ594" s="1444"/>
      <c r="AK594" s="2636"/>
      <c r="AL594" s="3445"/>
      <c r="AM594" s="3445"/>
      <c r="AN594" s="3445"/>
      <c r="AO594" s="3445"/>
      <c r="AP594" s="3445"/>
      <c r="AQ594" s="3445"/>
      <c r="AR594" s="3445"/>
      <c r="AS594" s="108"/>
    </row>
    <row r="595" spans="1:45" s="1442" customFormat="1" ht="27.95" customHeight="1">
      <c r="A595" s="5415" t="s">
        <v>1160</v>
      </c>
      <c r="B595" s="5416" t="s">
        <v>1235</v>
      </c>
      <c r="C595" s="5416"/>
      <c r="D595" s="5416"/>
      <c r="E595" s="5416"/>
      <c r="F595" s="5416"/>
      <c r="G595" s="5416"/>
      <c r="H595" s="5417" t="s">
        <v>1161</v>
      </c>
      <c r="I595" s="5417"/>
      <c r="J595" s="5417" t="s">
        <v>212</v>
      </c>
      <c r="K595" s="5417" t="s">
        <v>1162</v>
      </c>
      <c r="L595" s="5417" t="s">
        <v>1163</v>
      </c>
      <c r="M595" s="5417"/>
      <c r="N595" s="5417" t="s">
        <v>1164</v>
      </c>
      <c r="O595" s="5417"/>
      <c r="P595" s="5417" t="s">
        <v>1165</v>
      </c>
      <c r="Q595" s="5417"/>
      <c r="R595" s="5417" t="s">
        <v>1166</v>
      </c>
      <c r="S595" s="5417"/>
      <c r="T595" s="5417" t="s">
        <v>1167</v>
      </c>
      <c r="U595" s="5417" t="s">
        <v>1168</v>
      </c>
      <c r="V595" s="5417"/>
      <c r="W595" s="5417" t="s">
        <v>1169</v>
      </c>
      <c r="X595" s="5417"/>
      <c r="Y595" s="5417" t="s">
        <v>3</v>
      </c>
      <c r="Z595" s="5417" t="s">
        <v>4</v>
      </c>
      <c r="AA595" s="5417" t="s">
        <v>28</v>
      </c>
      <c r="AB595" s="5417"/>
      <c r="AC595" s="5340" t="str">
        <f>AC555</f>
        <v>INICIAL</v>
      </c>
      <c r="AD595" s="5340"/>
      <c r="AE595" s="5344" t="str">
        <f>AE555</f>
        <v>ALTAS</v>
      </c>
      <c r="AF595" s="5345"/>
      <c r="AG595" s="5346" t="str">
        <f>AG555</f>
        <v>BAJAS</v>
      </c>
      <c r="AH595" s="5347"/>
      <c r="AI595" s="5333" t="str">
        <f>AI555</f>
        <v>REP</v>
      </c>
      <c r="AJ595" s="5333"/>
      <c r="AK595" s="2625" t="str">
        <f>AK555</f>
        <v>INI</v>
      </c>
      <c r="AL595" s="5328" t="s">
        <v>2509</v>
      </c>
      <c r="AM595" s="5329"/>
      <c r="AN595" s="5329"/>
      <c r="AO595" s="5329"/>
      <c r="AP595" s="5329"/>
      <c r="AQ595" s="5329"/>
      <c r="AR595" s="5330"/>
    </row>
    <row r="596" spans="1:45" s="1442" customFormat="1" ht="27.95" customHeight="1">
      <c r="A596" s="5415"/>
      <c r="B596" s="5416"/>
      <c r="C596" s="5416"/>
      <c r="D596" s="5416"/>
      <c r="E596" s="5416"/>
      <c r="F596" s="5416"/>
      <c r="G596" s="5416"/>
      <c r="H596" s="3269" t="s">
        <v>407</v>
      </c>
      <c r="I596" s="3269" t="s">
        <v>403</v>
      </c>
      <c r="J596" s="5417"/>
      <c r="K596" s="5417"/>
      <c r="L596" s="5417"/>
      <c r="M596" s="5417"/>
      <c r="N596" s="5417"/>
      <c r="O596" s="5417"/>
      <c r="P596" s="3269" t="s">
        <v>1170</v>
      </c>
      <c r="Q596" s="3269" t="s">
        <v>1171</v>
      </c>
      <c r="R596" s="3269" t="s">
        <v>1172</v>
      </c>
      <c r="S596" s="3269" t="s">
        <v>1173</v>
      </c>
      <c r="T596" s="5417"/>
      <c r="U596" s="5417"/>
      <c r="V596" s="5417"/>
      <c r="W596" s="5417"/>
      <c r="X596" s="5417"/>
      <c r="Y596" s="5417"/>
      <c r="Z596" s="5417"/>
      <c r="AA596" s="5417"/>
      <c r="AB596" s="5417"/>
      <c r="AC596" s="3295" t="str">
        <f>AC556</f>
        <v>H</v>
      </c>
      <c r="AD596" s="2686" t="str">
        <f>AD556</f>
        <v>M</v>
      </c>
      <c r="AE596" s="3295" t="str">
        <f t="shared" ref="AE596:AJ596" si="176">AE556</f>
        <v>H</v>
      </c>
      <c r="AF596" s="2686" t="str">
        <f t="shared" si="176"/>
        <v>M</v>
      </c>
      <c r="AG596" s="3295" t="str">
        <f t="shared" si="176"/>
        <v>H</v>
      </c>
      <c r="AH596" s="2686" t="str">
        <f t="shared" si="176"/>
        <v>M</v>
      </c>
      <c r="AI596" s="3295" t="str">
        <f t="shared" si="176"/>
        <v>H</v>
      </c>
      <c r="AJ596" s="2686" t="str">
        <f t="shared" si="176"/>
        <v>M</v>
      </c>
      <c r="AK596" s="2627" t="str">
        <f>AK556</f>
        <v>TTS</v>
      </c>
      <c r="AL596" s="3455" t="s">
        <v>393</v>
      </c>
      <c r="AM596" s="3463" t="s">
        <v>8</v>
      </c>
      <c r="AN596" s="3456" t="s">
        <v>347</v>
      </c>
      <c r="AO596" s="3456" t="s">
        <v>348</v>
      </c>
      <c r="AP596" s="3456" t="s">
        <v>2062</v>
      </c>
      <c r="AQ596" s="3457" t="s">
        <v>2081</v>
      </c>
      <c r="AR596" s="3456" t="s">
        <v>2510</v>
      </c>
    </row>
    <row r="597" spans="1:45" s="1443" customFormat="1" ht="27.95" customHeight="1">
      <c r="A597" s="3274">
        <v>1</v>
      </c>
      <c r="B597" s="3254" t="s">
        <v>2677</v>
      </c>
      <c r="C597" s="2147"/>
      <c r="D597" s="2147"/>
      <c r="E597" s="2147"/>
      <c r="F597" s="2147"/>
      <c r="G597" s="2149"/>
      <c r="H597" s="3418"/>
      <c r="I597" s="3418" t="s">
        <v>78</v>
      </c>
      <c r="J597" s="3255"/>
      <c r="K597" s="3418"/>
      <c r="L597" s="3673" t="s">
        <v>390</v>
      </c>
      <c r="M597" s="3672"/>
      <c r="N597" s="5350"/>
      <c r="O597" s="5350"/>
      <c r="P597" s="3420"/>
      <c r="Q597" s="3420"/>
      <c r="R597" s="3420"/>
      <c r="S597" s="2879" t="s">
        <v>2238</v>
      </c>
      <c r="T597" s="3418"/>
      <c r="U597" s="5350">
        <v>20</v>
      </c>
      <c r="V597" s="5350"/>
      <c r="W597" s="5394" t="s">
        <v>2008</v>
      </c>
      <c r="X597" s="5394"/>
      <c r="Y597" s="3564" t="s">
        <v>765</v>
      </c>
      <c r="Z597" s="3286" t="s">
        <v>228</v>
      </c>
      <c r="AA597" s="5352">
        <f>AC597+AD597+AE597+AF597-AG597-AH597</f>
        <v>21</v>
      </c>
      <c r="AB597" s="5352"/>
      <c r="AC597" s="2682">
        <v>8</v>
      </c>
      <c r="AD597" s="3289">
        <v>12</v>
      </c>
      <c r="AE597" s="2628">
        <v>2</v>
      </c>
      <c r="AF597" s="2629"/>
      <c r="AG597" s="2628">
        <v>1</v>
      </c>
      <c r="AH597" s="2629"/>
      <c r="AI597" s="2628"/>
      <c r="AJ597" s="2629"/>
      <c r="AK597" s="2670">
        <f t="shared" si="164"/>
        <v>20</v>
      </c>
      <c r="AL597" s="3464"/>
      <c r="AM597" s="3448"/>
      <c r="AN597" s="3448"/>
      <c r="AO597" s="3448"/>
      <c r="AP597" s="3448"/>
      <c r="AQ597" s="3448"/>
      <c r="AR597" s="3458" t="e">
        <f t="shared" ref="AR597:AR610" si="177">SUM(AM597:AQ597)/AS597</f>
        <v>#DIV/0!</v>
      </c>
      <c r="AS597" s="3459">
        <f>COUNTA(AM597:AQ597)</f>
        <v>0</v>
      </c>
    </row>
    <row r="598" spans="1:45" s="1443" customFormat="1" ht="27.95" customHeight="1">
      <c r="A598" s="3274"/>
      <c r="B598" s="3254" t="s">
        <v>2678</v>
      </c>
      <c r="C598" s="2147"/>
      <c r="D598" s="2147"/>
      <c r="E598" s="2147"/>
      <c r="F598" s="2147"/>
      <c r="G598" s="2149"/>
      <c r="H598" s="3274"/>
      <c r="I598" s="3274"/>
      <c r="J598" s="3255"/>
      <c r="K598" s="3274"/>
      <c r="L598" s="3673"/>
      <c r="M598" s="3672"/>
      <c r="N598" s="5350"/>
      <c r="O598" s="5350"/>
      <c r="P598" s="3280"/>
      <c r="Q598" s="3280"/>
      <c r="R598" s="3280"/>
      <c r="S598" s="2879"/>
      <c r="T598" s="3274"/>
      <c r="U598" s="5350"/>
      <c r="V598" s="5350"/>
      <c r="W598" s="5394"/>
      <c r="X598" s="5394"/>
      <c r="Y598" s="3564" t="s">
        <v>765</v>
      </c>
      <c r="Z598" s="3564" t="s">
        <v>230</v>
      </c>
      <c r="AA598" s="5352">
        <f t="shared" ref="AA598:AA622" si="178">AC598+AD598+AE598+AF598-AG598-AH598</f>
        <v>21</v>
      </c>
      <c r="AB598" s="5352"/>
      <c r="AC598" s="2682">
        <v>10</v>
      </c>
      <c r="AD598" s="3289">
        <v>11</v>
      </c>
      <c r="AE598" s="2628">
        <v>1</v>
      </c>
      <c r="AF598" s="2629"/>
      <c r="AG598" s="2628">
        <v>1</v>
      </c>
      <c r="AH598" s="2629"/>
      <c r="AI598" s="2628"/>
      <c r="AJ598" s="2629"/>
      <c r="AK598" s="2671">
        <f t="shared" si="164"/>
        <v>21</v>
      </c>
      <c r="AL598" s="3464"/>
      <c r="AM598" s="3448"/>
      <c r="AN598" s="3448"/>
      <c r="AO598" s="3448"/>
      <c r="AP598" s="3448"/>
      <c r="AQ598" s="3448"/>
      <c r="AR598" s="3458" t="e">
        <f t="shared" si="177"/>
        <v>#DIV/0!</v>
      </c>
      <c r="AS598" s="3459">
        <f t="shared" ref="AS598:AS623" si="179">COUNTA(AM598:AQ598)</f>
        <v>0</v>
      </c>
    </row>
    <row r="599" spans="1:45" s="1443" customFormat="1" ht="27.95" customHeight="1">
      <c r="A599" s="3274">
        <v>2</v>
      </c>
      <c r="B599" s="3254" t="s">
        <v>2683</v>
      </c>
      <c r="C599" s="2147"/>
      <c r="D599" s="2147"/>
      <c r="E599" s="2147"/>
      <c r="F599" s="2147"/>
      <c r="G599" s="2149"/>
      <c r="H599" s="3274"/>
      <c r="I599" s="3274" t="s">
        <v>78</v>
      </c>
      <c r="J599" s="3255" t="s">
        <v>2010</v>
      </c>
      <c r="K599" s="3274">
        <v>99999</v>
      </c>
      <c r="L599" s="3673" t="s">
        <v>390</v>
      </c>
      <c r="M599" s="3672"/>
      <c r="N599" s="5350"/>
      <c r="O599" s="5350"/>
      <c r="P599" s="3280"/>
      <c r="Q599" s="3280"/>
      <c r="R599" s="3280"/>
      <c r="S599" s="2879" t="s">
        <v>2234</v>
      </c>
      <c r="T599" s="3274"/>
      <c r="U599" s="5350">
        <v>20</v>
      </c>
      <c r="V599" s="5350"/>
      <c r="W599" s="5394" t="s">
        <v>1748</v>
      </c>
      <c r="X599" s="5394"/>
      <c r="Y599" s="3564" t="s">
        <v>766</v>
      </c>
      <c r="Z599" s="3286" t="s">
        <v>228</v>
      </c>
      <c r="AA599" s="5352">
        <f t="shared" si="178"/>
        <v>14</v>
      </c>
      <c r="AB599" s="5352"/>
      <c r="AC599" s="2682">
        <v>7</v>
      </c>
      <c r="AD599" s="3289">
        <v>6</v>
      </c>
      <c r="AE599" s="2628"/>
      <c r="AF599" s="2629">
        <v>1</v>
      </c>
      <c r="AG599" s="2628"/>
      <c r="AH599" s="2629"/>
      <c r="AI599" s="2628"/>
      <c r="AJ599" s="2629"/>
      <c r="AK599" s="2671">
        <f t="shared" si="164"/>
        <v>13</v>
      </c>
      <c r="AL599" s="3464"/>
      <c r="AM599" s="3448"/>
      <c r="AN599" s="3448"/>
      <c r="AO599" s="3448"/>
      <c r="AP599" s="3448"/>
      <c r="AQ599" s="3448"/>
      <c r="AR599" s="3458" t="e">
        <f t="shared" si="177"/>
        <v>#DIV/0!</v>
      </c>
      <c r="AS599" s="3459">
        <f t="shared" si="179"/>
        <v>0</v>
      </c>
    </row>
    <row r="600" spans="1:45" s="1443" customFormat="1" ht="27.95" customHeight="1">
      <c r="A600" s="3274">
        <v>3</v>
      </c>
      <c r="B600" s="3254" t="s">
        <v>2679</v>
      </c>
      <c r="C600" s="2147"/>
      <c r="D600" s="2147"/>
      <c r="E600" s="2147"/>
      <c r="F600" s="2147"/>
      <c r="G600" s="2149"/>
      <c r="H600" s="3274"/>
      <c r="I600" s="3274" t="s">
        <v>78</v>
      </c>
      <c r="J600" s="3255" t="s">
        <v>2009</v>
      </c>
      <c r="K600" s="3274">
        <v>99999</v>
      </c>
      <c r="L600" s="3673" t="s">
        <v>390</v>
      </c>
      <c r="M600" s="3672"/>
      <c r="N600" s="5350"/>
      <c r="O600" s="5350"/>
      <c r="P600" s="3280"/>
      <c r="Q600" s="3280"/>
      <c r="R600" s="3280"/>
      <c r="S600" s="2879" t="s">
        <v>2235</v>
      </c>
      <c r="T600" s="3274"/>
      <c r="U600" s="5350">
        <v>20</v>
      </c>
      <c r="V600" s="5350"/>
      <c r="W600" s="5394" t="s">
        <v>1748</v>
      </c>
      <c r="X600" s="5394"/>
      <c r="Y600" s="3564" t="s">
        <v>766</v>
      </c>
      <c r="Z600" s="3564" t="s">
        <v>230</v>
      </c>
      <c r="AA600" s="5352">
        <f t="shared" si="178"/>
        <v>15</v>
      </c>
      <c r="AB600" s="5352"/>
      <c r="AC600" s="2682">
        <v>7</v>
      </c>
      <c r="AD600" s="3289">
        <v>7</v>
      </c>
      <c r="AE600" s="2628">
        <v>2</v>
      </c>
      <c r="AF600" s="2629"/>
      <c r="AG600" s="2628"/>
      <c r="AH600" s="2629">
        <v>1</v>
      </c>
      <c r="AI600" s="2628"/>
      <c r="AJ600" s="2629"/>
      <c r="AK600" s="2671">
        <f t="shared" si="164"/>
        <v>14</v>
      </c>
      <c r="AL600" s="3464"/>
      <c r="AM600" s="3448"/>
      <c r="AN600" s="3448"/>
      <c r="AO600" s="3448"/>
      <c r="AP600" s="3448"/>
      <c r="AQ600" s="3448"/>
      <c r="AR600" s="3458" t="e">
        <f t="shared" si="177"/>
        <v>#DIV/0!</v>
      </c>
      <c r="AS600" s="3459">
        <f t="shared" si="179"/>
        <v>0</v>
      </c>
    </row>
    <row r="601" spans="1:45" s="1443" customFormat="1" ht="27.95" customHeight="1">
      <c r="A601" s="3274">
        <v>4</v>
      </c>
      <c r="B601" s="3254" t="s">
        <v>2680</v>
      </c>
      <c r="C601" s="2147"/>
      <c r="D601" s="2147"/>
      <c r="E601" s="2147"/>
      <c r="F601" s="2147"/>
      <c r="G601" s="2149"/>
      <c r="H601" s="3274"/>
      <c r="I601" s="3274" t="s">
        <v>78</v>
      </c>
      <c r="J601" s="3255"/>
      <c r="K601" s="3274">
        <v>99999</v>
      </c>
      <c r="L601" s="3673" t="s">
        <v>390</v>
      </c>
      <c r="M601" s="3672"/>
      <c r="N601" s="5350"/>
      <c r="O601" s="5350"/>
      <c r="P601" s="3280"/>
      <c r="Q601" s="3280"/>
      <c r="R601" s="3280"/>
      <c r="S601" s="2879" t="s">
        <v>2236</v>
      </c>
      <c r="T601" s="3274"/>
      <c r="U601" s="5350">
        <v>20</v>
      </c>
      <c r="V601" s="5350"/>
      <c r="W601" s="5394" t="s">
        <v>1748</v>
      </c>
      <c r="X601" s="5394"/>
      <c r="Y601" s="3564" t="s">
        <v>767</v>
      </c>
      <c r="Z601" s="3286" t="s">
        <v>228</v>
      </c>
      <c r="AA601" s="5352">
        <f t="shared" si="178"/>
        <v>13</v>
      </c>
      <c r="AB601" s="5352"/>
      <c r="AC601" s="2682">
        <v>5</v>
      </c>
      <c r="AD601" s="3289">
        <v>8</v>
      </c>
      <c r="AE601" s="2628">
        <v>1</v>
      </c>
      <c r="AF601" s="2629"/>
      <c r="AG601" s="2628"/>
      <c r="AH601" s="2629">
        <v>1</v>
      </c>
      <c r="AI601" s="2628"/>
      <c r="AJ601" s="2629"/>
      <c r="AK601" s="2671">
        <f t="shared" si="164"/>
        <v>13</v>
      </c>
      <c r="AL601" s="3464"/>
      <c r="AM601" s="3448"/>
      <c r="AN601" s="3448"/>
      <c r="AO601" s="3448"/>
      <c r="AP601" s="3448"/>
      <c r="AQ601" s="3448"/>
      <c r="AR601" s="3458" t="e">
        <f t="shared" si="177"/>
        <v>#DIV/0!</v>
      </c>
      <c r="AS601" s="3459">
        <f t="shared" si="179"/>
        <v>0</v>
      </c>
    </row>
    <row r="602" spans="1:45" s="1443" customFormat="1" ht="27.95" customHeight="1">
      <c r="A602" s="3274">
        <v>5</v>
      </c>
      <c r="B602" s="3254" t="s">
        <v>2684</v>
      </c>
      <c r="C602" s="2147"/>
      <c r="D602" s="2147"/>
      <c r="E602" s="2147"/>
      <c r="F602" s="2147"/>
      <c r="G602" s="2149"/>
      <c r="H602" s="3274"/>
      <c r="I602" s="3274" t="s">
        <v>78</v>
      </c>
      <c r="J602" s="3255" t="s">
        <v>2006</v>
      </c>
      <c r="K602" s="3274">
        <v>99999</v>
      </c>
      <c r="L602" s="3673" t="s">
        <v>390</v>
      </c>
      <c r="M602" s="3672"/>
      <c r="N602" s="5350"/>
      <c r="O602" s="5350"/>
      <c r="P602" s="3280"/>
      <c r="Q602" s="3280"/>
      <c r="R602" s="3280"/>
      <c r="S602" s="2879" t="s">
        <v>2237</v>
      </c>
      <c r="T602" s="3274"/>
      <c r="U602" s="5350">
        <v>20</v>
      </c>
      <c r="V602" s="5350"/>
      <c r="W602" s="5394" t="s">
        <v>1748</v>
      </c>
      <c r="X602" s="5394"/>
      <c r="Y602" s="3564" t="s">
        <v>767</v>
      </c>
      <c r="Z602" s="3564" t="s">
        <v>230</v>
      </c>
      <c r="AA602" s="5352">
        <f t="shared" si="178"/>
        <v>12</v>
      </c>
      <c r="AB602" s="5352"/>
      <c r="AC602" s="2682">
        <v>6</v>
      </c>
      <c r="AD602" s="3289">
        <v>6</v>
      </c>
      <c r="AE602" s="2628"/>
      <c r="AF602" s="2629"/>
      <c r="AG602" s="2628"/>
      <c r="AH602" s="2629"/>
      <c r="AI602" s="2628"/>
      <c r="AJ602" s="2629"/>
      <c r="AK602" s="2671">
        <f t="shared" si="164"/>
        <v>12</v>
      </c>
      <c r="AL602" s="3464"/>
      <c r="AM602" s="3448"/>
      <c r="AN602" s="3448"/>
      <c r="AO602" s="3448"/>
      <c r="AP602" s="3448"/>
      <c r="AQ602" s="3448"/>
      <c r="AR602" s="3458" t="e">
        <f t="shared" si="177"/>
        <v>#DIV/0!</v>
      </c>
      <c r="AS602" s="3459">
        <f t="shared" si="179"/>
        <v>0</v>
      </c>
    </row>
    <row r="603" spans="1:45" s="1443" customFormat="1" ht="27.95" customHeight="1">
      <c r="A603" s="3274">
        <v>6</v>
      </c>
      <c r="B603" s="3254" t="s">
        <v>2550</v>
      </c>
      <c r="C603" s="2147"/>
      <c r="D603" s="2147"/>
      <c r="E603" s="2147"/>
      <c r="F603" s="2147"/>
      <c r="G603" s="2149"/>
      <c r="H603" s="3636"/>
      <c r="I603" s="3636" t="s">
        <v>78</v>
      </c>
      <c r="J603" s="3255" t="s">
        <v>2007</v>
      </c>
      <c r="K603" s="3636"/>
      <c r="L603" s="3673" t="s">
        <v>390</v>
      </c>
      <c r="M603" s="3672"/>
      <c r="N603" s="5350"/>
      <c r="O603" s="5350"/>
      <c r="P603" s="3637"/>
      <c r="Q603" s="3637"/>
      <c r="R603" s="3637"/>
      <c r="S603" s="2879" t="s">
        <v>2238</v>
      </c>
      <c r="T603" s="3636"/>
      <c r="U603" s="5350">
        <v>20</v>
      </c>
      <c r="V603" s="5350"/>
      <c r="W603" s="5394" t="s">
        <v>2008</v>
      </c>
      <c r="X603" s="5394"/>
      <c r="Y603" s="3564" t="s">
        <v>771</v>
      </c>
      <c r="Z603" s="3687" t="s">
        <v>228</v>
      </c>
      <c r="AA603" s="5352">
        <f t="shared" si="178"/>
        <v>23</v>
      </c>
      <c r="AB603" s="5352"/>
      <c r="AC603" s="2682">
        <v>11</v>
      </c>
      <c r="AD603" s="3289">
        <v>12</v>
      </c>
      <c r="AE603" s="2628">
        <v>1</v>
      </c>
      <c r="AF603" s="2629"/>
      <c r="AG603" s="2628">
        <v>1</v>
      </c>
      <c r="AH603" s="2629"/>
      <c r="AI603" s="2628"/>
      <c r="AJ603" s="2629"/>
      <c r="AK603" s="2671">
        <f t="shared" si="164"/>
        <v>23</v>
      </c>
      <c r="AL603" s="3464"/>
      <c r="AM603" s="3448"/>
      <c r="AN603" s="3448"/>
      <c r="AO603" s="3448"/>
      <c r="AP603" s="3448"/>
      <c r="AQ603" s="3448"/>
      <c r="AR603" s="3458" t="e">
        <f t="shared" si="177"/>
        <v>#DIV/0!</v>
      </c>
      <c r="AS603" s="3459">
        <f t="shared" si="179"/>
        <v>0</v>
      </c>
    </row>
    <row r="604" spans="1:45" s="1443" customFormat="1" ht="27.95" customHeight="1">
      <c r="A604" s="3274">
        <v>7</v>
      </c>
      <c r="B604" s="3254" t="s">
        <v>2681</v>
      </c>
      <c r="C604" s="2147"/>
      <c r="D604" s="2147"/>
      <c r="E604" s="2147"/>
      <c r="F604" s="2147"/>
      <c r="G604" s="2149"/>
      <c r="H604" s="3274"/>
      <c r="I604" s="3274" t="s">
        <v>78</v>
      </c>
      <c r="J604" s="3255" t="s">
        <v>2011</v>
      </c>
      <c r="K604" s="3274">
        <v>99999</v>
      </c>
      <c r="L604" s="3673" t="s">
        <v>2012</v>
      </c>
      <c r="M604" s="3672"/>
      <c r="N604" s="5350"/>
      <c r="O604" s="5350"/>
      <c r="P604" s="3280"/>
      <c r="Q604" s="3280"/>
      <c r="R604" s="3280"/>
      <c r="S604" s="2879" t="s">
        <v>2239</v>
      </c>
      <c r="T604" s="3274"/>
      <c r="U604" s="5350">
        <v>20</v>
      </c>
      <c r="V604" s="5350"/>
      <c r="W604" s="5394" t="s">
        <v>1748</v>
      </c>
      <c r="X604" s="5394"/>
      <c r="Y604" s="3564" t="s">
        <v>772</v>
      </c>
      <c r="Z604" s="3564" t="s">
        <v>228</v>
      </c>
      <c r="AA604" s="5352">
        <f t="shared" si="178"/>
        <v>16</v>
      </c>
      <c r="AB604" s="5352"/>
      <c r="AC604" s="2682">
        <v>8</v>
      </c>
      <c r="AD604" s="3289">
        <v>8</v>
      </c>
      <c r="AE604" s="2628"/>
      <c r="AF604" s="2629"/>
      <c r="AG604" s="2628"/>
      <c r="AH604" s="2629"/>
      <c r="AI604" s="2628"/>
      <c r="AJ604" s="2629"/>
      <c r="AK604" s="2671">
        <f t="shared" si="164"/>
        <v>16</v>
      </c>
      <c r="AL604" s="3464"/>
      <c r="AM604" s="3448"/>
      <c r="AN604" s="3448"/>
      <c r="AO604" s="3448"/>
      <c r="AP604" s="3448"/>
      <c r="AQ604" s="3448"/>
      <c r="AR604" s="3458" t="e">
        <f t="shared" si="177"/>
        <v>#DIV/0!</v>
      </c>
      <c r="AS604" s="3459">
        <f t="shared" si="179"/>
        <v>0</v>
      </c>
    </row>
    <row r="605" spans="1:45" s="1444" customFormat="1" ht="27.95" customHeight="1">
      <c r="A605" s="3274">
        <v>8</v>
      </c>
      <c r="B605" s="3254" t="s">
        <v>2682</v>
      </c>
      <c r="C605" s="2147"/>
      <c r="D605" s="2147"/>
      <c r="E605" s="2147"/>
      <c r="F605" s="2147"/>
      <c r="G605" s="2149"/>
      <c r="H605" s="3274"/>
      <c r="I605" s="3274" t="s">
        <v>78</v>
      </c>
      <c r="J605" s="3255" t="s">
        <v>2013</v>
      </c>
      <c r="K605" s="3274">
        <v>99999</v>
      </c>
      <c r="L605" s="3673" t="s">
        <v>430</v>
      </c>
      <c r="M605" s="3672"/>
      <c r="N605" s="5350"/>
      <c r="O605" s="5350"/>
      <c r="P605" s="3280"/>
      <c r="Q605" s="3280"/>
      <c r="R605" s="3280"/>
      <c r="S605" s="2879" t="s">
        <v>2240</v>
      </c>
      <c r="T605" s="3274"/>
      <c r="U605" s="5350">
        <v>20</v>
      </c>
      <c r="V605" s="5350"/>
      <c r="W605" s="5394" t="s">
        <v>1748</v>
      </c>
      <c r="X605" s="5394"/>
      <c r="Y605" s="3564" t="s">
        <v>772</v>
      </c>
      <c r="Z605" s="3564" t="s">
        <v>230</v>
      </c>
      <c r="AA605" s="5352">
        <f t="shared" si="178"/>
        <v>16</v>
      </c>
      <c r="AB605" s="5352"/>
      <c r="AC605" s="2682">
        <v>8</v>
      </c>
      <c r="AD605" s="3289">
        <v>9</v>
      </c>
      <c r="AE605" s="2628"/>
      <c r="AF605" s="2629"/>
      <c r="AG605" s="2628"/>
      <c r="AH605" s="2629">
        <v>1</v>
      </c>
      <c r="AI605" s="2628"/>
      <c r="AJ605" s="2629"/>
      <c r="AK605" s="2671">
        <f t="shared" si="164"/>
        <v>17</v>
      </c>
      <c r="AL605" s="3464"/>
      <c r="AM605" s="3448"/>
      <c r="AN605" s="3448"/>
      <c r="AO605" s="3448"/>
      <c r="AP605" s="3448"/>
      <c r="AQ605" s="3448"/>
      <c r="AR605" s="3458" t="e">
        <f t="shared" si="177"/>
        <v>#DIV/0!</v>
      </c>
      <c r="AS605" s="3459">
        <f t="shared" si="179"/>
        <v>0</v>
      </c>
    </row>
    <row r="606" spans="1:45" s="1444" customFormat="1" ht="27.95" customHeight="1">
      <c r="A606" s="3274">
        <v>9</v>
      </c>
      <c r="B606" s="3254" t="s">
        <v>2685</v>
      </c>
      <c r="C606" s="2147"/>
      <c r="D606" s="2147"/>
      <c r="E606" s="2147"/>
      <c r="F606" s="2147"/>
      <c r="G606" s="2149"/>
      <c r="H606" s="3274"/>
      <c r="I606" s="3274" t="s">
        <v>78</v>
      </c>
      <c r="J606" s="3255" t="s">
        <v>2014</v>
      </c>
      <c r="K606" s="3274">
        <v>99999</v>
      </c>
      <c r="L606" s="3673" t="s">
        <v>430</v>
      </c>
      <c r="M606" s="3672"/>
      <c r="N606" s="5350"/>
      <c r="O606" s="5350"/>
      <c r="P606" s="3280"/>
      <c r="Q606" s="3280"/>
      <c r="R606" s="3280"/>
      <c r="S606" s="2879" t="s">
        <v>2241</v>
      </c>
      <c r="T606" s="3274"/>
      <c r="U606" s="5350">
        <v>20</v>
      </c>
      <c r="V606" s="5350"/>
      <c r="W606" s="5394" t="s">
        <v>1748</v>
      </c>
      <c r="X606" s="5394"/>
      <c r="Y606" s="3564" t="s">
        <v>773</v>
      </c>
      <c r="Z606" s="3564" t="s">
        <v>228</v>
      </c>
      <c r="AA606" s="5352">
        <f t="shared" si="178"/>
        <v>10</v>
      </c>
      <c r="AB606" s="5352"/>
      <c r="AC606" s="2682">
        <v>5</v>
      </c>
      <c r="AD606" s="3289">
        <v>4</v>
      </c>
      <c r="AE606" s="2628"/>
      <c r="AF606" s="2629">
        <v>1</v>
      </c>
      <c r="AG606" s="2628"/>
      <c r="AH606" s="2629"/>
      <c r="AI606" s="2628"/>
      <c r="AJ606" s="2629"/>
      <c r="AK606" s="2671">
        <f t="shared" si="164"/>
        <v>9</v>
      </c>
      <c r="AL606" s="3464"/>
      <c r="AM606" s="3448"/>
      <c r="AN606" s="3448"/>
      <c r="AO606" s="3448"/>
      <c r="AP606" s="3448"/>
      <c r="AQ606" s="3448"/>
      <c r="AR606" s="3458" t="e">
        <f t="shared" si="177"/>
        <v>#DIV/0!</v>
      </c>
      <c r="AS606" s="3459">
        <f t="shared" si="179"/>
        <v>0</v>
      </c>
    </row>
    <row r="607" spans="1:45" s="1444" customFormat="1" ht="27.95" customHeight="1">
      <c r="A607" s="3274">
        <v>10</v>
      </c>
      <c r="B607" s="3254" t="s">
        <v>2686</v>
      </c>
      <c r="C607" s="2147"/>
      <c r="D607" s="2147"/>
      <c r="E607" s="2147"/>
      <c r="F607" s="2147"/>
      <c r="G607" s="2149"/>
      <c r="H607" s="3274"/>
      <c r="I607" s="3274" t="s">
        <v>78</v>
      </c>
      <c r="J607" s="3255" t="s">
        <v>1747</v>
      </c>
      <c r="K607" s="3274">
        <v>99999</v>
      </c>
      <c r="L607" s="3673" t="s">
        <v>430</v>
      </c>
      <c r="M607" s="3672"/>
      <c r="N607" s="5350"/>
      <c r="O607" s="5350"/>
      <c r="P607" s="3280"/>
      <c r="Q607" s="3280"/>
      <c r="R607" s="3280"/>
      <c r="S607" s="2879" t="s">
        <v>2242</v>
      </c>
      <c r="T607" s="3274"/>
      <c r="U607" s="5350">
        <v>20</v>
      </c>
      <c r="V607" s="5350"/>
      <c r="W607" s="5394" t="s">
        <v>1748</v>
      </c>
      <c r="X607" s="5394"/>
      <c r="Y607" s="3286"/>
      <c r="Z607" s="3286"/>
      <c r="AA607" s="5352">
        <f t="shared" si="178"/>
        <v>0</v>
      </c>
      <c r="AB607" s="5352"/>
      <c r="AC607" s="2682"/>
      <c r="AD607" s="3289"/>
      <c r="AE607" s="2628"/>
      <c r="AF607" s="2629"/>
      <c r="AG607" s="2628"/>
      <c r="AH607" s="2629"/>
      <c r="AI607" s="2628"/>
      <c r="AJ607" s="2629"/>
      <c r="AK607" s="2671">
        <f t="shared" si="164"/>
        <v>0</v>
      </c>
      <c r="AL607" s="3464"/>
      <c r="AM607" s="3448"/>
      <c r="AN607" s="3448"/>
      <c r="AO607" s="3448"/>
      <c r="AP607" s="3448"/>
      <c r="AQ607" s="3448"/>
      <c r="AR607" s="3458" t="e">
        <f t="shared" si="177"/>
        <v>#DIV/0!</v>
      </c>
      <c r="AS607" s="3459">
        <f t="shared" si="179"/>
        <v>0</v>
      </c>
    </row>
    <row r="608" spans="1:45" s="1444" customFormat="1" ht="27.95" customHeight="1">
      <c r="A608" s="3274">
        <v>11</v>
      </c>
      <c r="B608" s="3254" t="s">
        <v>2687</v>
      </c>
      <c r="C608" s="2147"/>
      <c r="D608" s="2147"/>
      <c r="E608" s="2147"/>
      <c r="F608" s="2147"/>
      <c r="G608" s="2149"/>
      <c r="H608" s="3274"/>
      <c r="I608" s="3274" t="s">
        <v>78</v>
      </c>
      <c r="J608" s="3255" t="s">
        <v>2249</v>
      </c>
      <c r="K608" s="3274">
        <v>99999</v>
      </c>
      <c r="L608" s="3673" t="s">
        <v>430</v>
      </c>
      <c r="M608" s="3672"/>
      <c r="N608" s="5350"/>
      <c r="O608" s="5350"/>
      <c r="P608" s="3280"/>
      <c r="Q608" s="3280"/>
      <c r="R608" s="3280"/>
      <c r="S608" s="2879" t="s">
        <v>2250</v>
      </c>
      <c r="T608" s="3274"/>
      <c r="U608" s="5350">
        <v>20</v>
      </c>
      <c r="V608" s="5350"/>
      <c r="W608" s="5394" t="s">
        <v>1748</v>
      </c>
      <c r="X608" s="5394"/>
      <c r="Y608" s="3286"/>
      <c r="Z608" s="3286"/>
      <c r="AA608" s="5352">
        <f t="shared" si="178"/>
        <v>0</v>
      </c>
      <c r="AB608" s="5352"/>
      <c r="AC608" s="2682"/>
      <c r="AD608" s="3289"/>
      <c r="AE608" s="2628"/>
      <c r="AF608" s="2629"/>
      <c r="AG608" s="2628"/>
      <c r="AH608" s="2629"/>
      <c r="AI608" s="2628"/>
      <c r="AJ608" s="2629"/>
      <c r="AK608" s="2671">
        <f t="shared" si="164"/>
        <v>0</v>
      </c>
      <c r="AL608" s="3464"/>
      <c r="AM608" s="3448"/>
      <c r="AN608" s="3448"/>
      <c r="AO608" s="3448"/>
      <c r="AP608" s="3448"/>
      <c r="AQ608" s="3448"/>
      <c r="AR608" s="3458" t="e">
        <f t="shared" si="177"/>
        <v>#DIV/0!</v>
      </c>
      <c r="AS608" s="3459">
        <f t="shared" si="179"/>
        <v>0</v>
      </c>
    </row>
    <row r="609" spans="1:45" s="1444" customFormat="1" ht="27.95" customHeight="1">
      <c r="A609" s="3274">
        <v>12</v>
      </c>
      <c r="B609" s="3254" t="s">
        <v>2688</v>
      </c>
      <c r="C609" s="2147"/>
      <c r="D609" s="2147"/>
      <c r="E609" s="2147"/>
      <c r="F609" s="2147"/>
      <c r="G609" s="2149"/>
      <c r="H609" s="3274"/>
      <c r="I609" s="3274" t="s">
        <v>78</v>
      </c>
      <c r="J609" s="3255" t="s">
        <v>1745</v>
      </c>
      <c r="K609" s="3274">
        <v>99999</v>
      </c>
      <c r="L609" s="3673" t="s">
        <v>2005</v>
      </c>
      <c r="M609" s="3672"/>
      <c r="N609" s="5350"/>
      <c r="O609" s="5350"/>
      <c r="P609" s="3280"/>
      <c r="Q609" s="3280"/>
      <c r="R609" s="3280"/>
      <c r="S609" s="2879" t="s">
        <v>2243</v>
      </c>
      <c r="T609" s="3274"/>
      <c r="U609" s="5350">
        <v>20</v>
      </c>
      <c r="V609" s="5350"/>
      <c r="W609" s="5394" t="s">
        <v>1748</v>
      </c>
      <c r="X609" s="5394"/>
      <c r="Y609" s="3286"/>
      <c r="Z609" s="3286"/>
      <c r="AA609" s="5352">
        <f t="shared" si="178"/>
        <v>0</v>
      </c>
      <c r="AB609" s="5352"/>
      <c r="AC609" s="2682"/>
      <c r="AD609" s="3289"/>
      <c r="AE609" s="2628"/>
      <c r="AF609" s="2629"/>
      <c r="AG609" s="2628"/>
      <c r="AH609" s="2629"/>
      <c r="AI609" s="2628"/>
      <c r="AJ609" s="2629"/>
      <c r="AK609" s="2671">
        <f t="shared" si="164"/>
        <v>0</v>
      </c>
      <c r="AL609" s="3464"/>
      <c r="AM609" s="3448"/>
      <c r="AN609" s="3448"/>
      <c r="AO609" s="3448"/>
      <c r="AP609" s="3448"/>
      <c r="AQ609" s="3448"/>
      <c r="AR609" s="3458" t="e">
        <f t="shared" si="177"/>
        <v>#DIV/0!</v>
      </c>
      <c r="AS609" s="3459">
        <f t="shared" si="179"/>
        <v>0</v>
      </c>
    </row>
    <row r="610" spans="1:45" s="1444" customFormat="1" ht="27.95" customHeight="1">
      <c r="A610" s="3274">
        <v>13</v>
      </c>
      <c r="B610" s="3254" t="s">
        <v>2689</v>
      </c>
      <c r="C610" s="2147"/>
      <c r="D610" s="2147"/>
      <c r="E610" s="2147"/>
      <c r="F610" s="2147"/>
      <c r="G610" s="2149"/>
      <c r="H610" s="3274"/>
      <c r="I610" s="3274" t="s">
        <v>78</v>
      </c>
      <c r="J610" s="3255" t="s">
        <v>1746</v>
      </c>
      <c r="K610" s="3274">
        <v>99999</v>
      </c>
      <c r="L610" s="3673" t="s">
        <v>2017</v>
      </c>
      <c r="M610" s="3672"/>
      <c r="N610" s="5350"/>
      <c r="O610" s="5350"/>
      <c r="P610" s="3280"/>
      <c r="Q610" s="3280"/>
      <c r="R610" s="3280"/>
      <c r="S610" s="2879" t="s">
        <v>2244</v>
      </c>
      <c r="T610" s="3274"/>
      <c r="U610" s="5350">
        <v>20</v>
      </c>
      <c r="V610" s="5350"/>
      <c r="W610" s="5394" t="s">
        <v>1748</v>
      </c>
      <c r="X610" s="5394"/>
      <c r="Y610" s="3286"/>
      <c r="Z610" s="3286"/>
      <c r="AA610" s="5352">
        <f t="shared" si="178"/>
        <v>0</v>
      </c>
      <c r="AB610" s="5352"/>
      <c r="AC610" s="2682"/>
      <c r="AD610" s="3289"/>
      <c r="AE610" s="2628"/>
      <c r="AF610" s="2629"/>
      <c r="AG610" s="2628"/>
      <c r="AH610" s="2629"/>
      <c r="AI610" s="2628"/>
      <c r="AJ610" s="2629"/>
      <c r="AK610" s="2671">
        <f t="shared" si="164"/>
        <v>0</v>
      </c>
      <c r="AL610" s="3464"/>
      <c r="AM610" s="3448"/>
      <c r="AN610" s="3448"/>
      <c r="AO610" s="3448"/>
      <c r="AP610" s="3448"/>
      <c r="AQ610" s="3448"/>
      <c r="AR610" s="3458" t="e">
        <f t="shared" si="177"/>
        <v>#DIV/0!</v>
      </c>
      <c r="AS610" s="3459">
        <f t="shared" si="179"/>
        <v>0</v>
      </c>
    </row>
    <row r="611" spans="1:45" s="1444" customFormat="1" ht="27.95" customHeight="1">
      <c r="A611" s="3274">
        <v>14</v>
      </c>
      <c r="B611" s="3254" t="s">
        <v>2690</v>
      </c>
      <c r="C611" s="2147"/>
      <c r="D611" s="2147"/>
      <c r="E611" s="2147"/>
      <c r="F611" s="2147"/>
      <c r="G611" s="2149"/>
      <c r="H611" s="3274"/>
      <c r="I611" s="3274" t="s">
        <v>78</v>
      </c>
      <c r="J611" s="3255" t="s">
        <v>2247</v>
      </c>
      <c r="K611" s="3274">
        <v>99999</v>
      </c>
      <c r="L611" s="3673" t="s">
        <v>397</v>
      </c>
      <c r="M611" s="3672"/>
      <c r="N611" s="5350"/>
      <c r="O611" s="5350"/>
      <c r="P611" s="3280"/>
      <c r="Q611" s="3280"/>
      <c r="R611" s="3280"/>
      <c r="S611" s="2879" t="s">
        <v>2248</v>
      </c>
      <c r="T611" s="3274"/>
      <c r="U611" s="5350">
        <v>20</v>
      </c>
      <c r="V611" s="5350"/>
      <c r="W611" s="5394" t="s">
        <v>1748</v>
      </c>
      <c r="X611" s="5394"/>
      <c r="Y611" s="3286"/>
      <c r="Z611" s="3286"/>
      <c r="AA611" s="5352">
        <f t="shared" si="178"/>
        <v>0</v>
      </c>
      <c r="AB611" s="5352"/>
      <c r="AC611" s="2682"/>
      <c r="AD611" s="3289"/>
      <c r="AE611" s="2628"/>
      <c r="AF611" s="2629"/>
      <c r="AG611" s="2628"/>
      <c r="AH611" s="2629"/>
      <c r="AI611" s="2628"/>
      <c r="AJ611" s="2629"/>
      <c r="AK611" s="2671">
        <f t="shared" si="164"/>
        <v>0</v>
      </c>
      <c r="AL611" s="3464"/>
      <c r="AM611" s="3448"/>
      <c r="AN611" s="3448"/>
      <c r="AO611" s="3448"/>
      <c r="AP611" s="3448"/>
      <c r="AQ611" s="3448"/>
      <c r="AR611" s="3458" t="e">
        <f t="shared" ref="AR611:AR623" si="180">SUM(AM611:AQ611)/AS611</f>
        <v>#DIV/0!</v>
      </c>
      <c r="AS611" s="3459">
        <f t="shared" si="179"/>
        <v>0</v>
      </c>
    </row>
    <row r="612" spans="1:45" s="1444" customFormat="1" ht="27.95" customHeight="1">
      <c r="A612" s="3274">
        <v>15</v>
      </c>
      <c r="B612" s="3254" t="s">
        <v>2551</v>
      </c>
      <c r="C612" s="2147"/>
      <c r="D612" s="2147"/>
      <c r="E612" s="2147"/>
      <c r="F612" s="2147"/>
      <c r="G612" s="2149"/>
      <c r="H612" s="3274"/>
      <c r="I612" s="3274" t="s">
        <v>78</v>
      </c>
      <c r="J612" s="3255" t="s">
        <v>2015</v>
      </c>
      <c r="K612" s="3274">
        <v>99999</v>
      </c>
      <c r="L612" s="3673" t="s">
        <v>397</v>
      </c>
      <c r="M612" s="3672"/>
      <c r="N612" s="5350"/>
      <c r="O612" s="5350"/>
      <c r="P612" s="3280"/>
      <c r="Q612" s="3280"/>
      <c r="R612" s="3280"/>
      <c r="S612" s="2879" t="s">
        <v>2245</v>
      </c>
      <c r="T612" s="3274"/>
      <c r="U612" s="5350">
        <v>20</v>
      </c>
      <c r="V612" s="5350"/>
      <c r="W612" s="5394" t="s">
        <v>1748</v>
      </c>
      <c r="X612" s="5394"/>
      <c r="Y612" s="3286"/>
      <c r="Z612" s="3286"/>
      <c r="AA612" s="5352">
        <f t="shared" si="178"/>
        <v>0</v>
      </c>
      <c r="AB612" s="5352"/>
      <c r="AC612" s="2682"/>
      <c r="AD612" s="3289"/>
      <c r="AE612" s="2628"/>
      <c r="AF612" s="2629"/>
      <c r="AG612" s="2628"/>
      <c r="AH612" s="2629"/>
      <c r="AI612" s="2628"/>
      <c r="AJ612" s="2629"/>
      <c r="AK612" s="2671">
        <f t="shared" si="164"/>
        <v>0</v>
      </c>
      <c r="AL612" s="3464"/>
      <c r="AM612" s="3448"/>
      <c r="AN612" s="3448"/>
      <c r="AO612" s="3448"/>
      <c r="AP612" s="3448"/>
      <c r="AQ612" s="3448"/>
      <c r="AR612" s="3458" t="e">
        <f t="shared" si="180"/>
        <v>#DIV/0!</v>
      </c>
      <c r="AS612" s="3459">
        <f t="shared" si="179"/>
        <v>0</v>
      </c>
    </row>
    <row r="613" spans="1:45" s="1444" customFormat="1" ht="27.95" customHeight="1">
      <c r="A613" s="3274">
        <v>16</v>
      </c>
      <c r="B613" s="3254" t="s">
        <v>2552</v>
      </c>
      <c r="C613" s="2147"/>
      <c r="D613" s="2147"/>
      <c r="E613" s="2147"/>
      <c r="F613" s="2147"/>
      <c r="G613" s="2149"/>
      <c r="H613" s="3274" t="s">
        <v>78</v>
      </c>
      <c r="I613" s="3274"/>
      <c r="J613" s="3255" t="s">
        <v>2016</v>
      </c>
      <c r="K613" s="3274">
        <v>99999</v>
      </c>
      <c r="L613" s="3673" t="s">
        <v>426</v>
      </c>
      <c r="M613" s="3672"/>
      <c r="N613" s="5350"/>
      <c r="O613" s="5350"/>
      <c r="P613" s="3280"/>
      <c r="Q613" s="3280"/>
      <c r="R613" s="3280"/>
      <c r="S613" s="2879" t="s">
        <v>2246</v>
      </c>
      <c r="T613" s="3274"/>
      <c r="U613" s="5350">
        <v>20</v>
      </c>
      <c r="V613" s="5350"/>
      <c r="W613" s="5394" t="s">
        <v>1748</v>
      </c>
      <c r="X613" s="5394"/>
      <c r="Y613" s="3286"/>
      <c r="Z613" s="3286"/>
      <c r="AA613" s="5352">
        <f t="shared" si="178"/>
        <v>0</v>
      </c>
      <c r="AB613" s="5352"/>
      <c r="AC613" s="2682"/>
      <c r="AD613" s="3289"/>
      <c r="AE613" s="2628"/>
      <c r="AF613" s="2629"/>
      <c r="AG613" s="2628"/>
      <c r="AH613" s="2629"/>
      <c r="AI613" s="2628"/>
      <c r="AJ613" s="2629"/>
      <c r="AK613" s="2671">
        <f t="shared" si="164"/>
        <v>0</v>
      </c>
      <c r="AL613" s="3464"/>
      <c r="AM613" s="3448"/>
      <c r="AN613" s="3448"/>
      <c r="AO613" s="3448"/>
      <c r="AP613" s="3448"/>
      <c r="AQ613" s="3448"/>
      <c r="AR613" s="3458" t="e">
        <f t="shared" si="180"/>
        <v>#DIV/0!</v>
      </c>
      <c r="AS613" s="3459">
        <f t="shared" si="179"/>
        <v>0</v>
      </c>
    </row>
    <row r="614" spans="1:45" s="1444" customFormat="1" ht="27.95" customHeight="1">
      <c r="A614" s="3274"/>
      <c r="B614" s="2151"/>
      <c r="C614" s="2147"/>
      <c r="D614" s="2147"/>
      <c r="E614" s="2147"/>
      <c r="F614" s="2147"/>
      <c r="G614" s="2149"/>
      <c r="H614" s="3274"/>
      <c r="I614" s="3274"/>
      <c r="J614" s="3274"/>
      <c r="K614" s="3274"/>
      <c r="L614" s="3673"/>
      <c r="M614" s="3672"/>
      <c r="N614" s="5350"/>
      <c r="O614" s="5350"/>
      <c r="P614" s="3274"/>
      <c r="Q614" s="3274"/>
      <c r="R614" s="3274"/>
      <c r="S614" s="2875"/>
      <c r="T614" s="3274"/>
      <c r="U614" s="5350"/>
      <c r="V614" s="5350"/>
      <c r="W614" s="5351"/>
      <c r="X614" s="5351"/>
      <c r="Y614" s="3286"/>
      <c r="Z614" s="3286"/>
      <c r="AA614" s="5352">
        <f t="shared" si="178"/>
        <v>0</v>
      </c>
      <c r="AB614" s="5352"/>
      <c r="AC614" s="2682"/>
      <c r="AD614" s="3289"/>
      <c r="AE614" s="2628"/>
      <c r="AF614" s="2629"/>
      <c r="AG614" s="2628"/>
      <c r="AH614" s="2629"/>
      <c r="AI614" s="2628"/>
      <c r="AJ614" s="2629"/>
      <c r="AK614" s="2671">
        <f t="shared" si="164"/>
        <v>0</v>
      </c>
      <c r="AL614" s="3464"/>
      <c r="AM614" s="3448"/>
      <c r="AN614" s="3448"/>
      <c r="AO614" s="3448"/>
      <c r="AP614" s="3448"/>
      <c r="AQ614" s="3448"/>
      <c r="AR614" s="3458" t="e">
        <f t="shared" si="180"/>
        <v>#DIV/0!</v>
      </c>
      <c r="AS614" s="3459">
        <f t="shared" si="179"/>
        <v>0</v>
      </c>
    </row>
    <row r="615" spans="1:45" s="1444" customFormat="1" ht="27.95" customHeight="1">
      <c r="A615" s="3274"/>
      <c r="B615" s="3254"/>
      <c r="C615" s="2147"/>
      <c r="D615" s="2147"/>
      <c r="E615" s="2147"/>
      <c r="F615" s="2147"/>
      <c r="G615" s="2149"/>
      <c r="H615" s="3636"/>
      <c r="I615" s="3636"/>
      <c r="J615" s="3255"/>
      <c r="K615" s="3636"/>
      <c r="L615" s="3673"/>
      <c r="M615" s="3672"/>
      <c r="N615" s="5350"/>
      <c r="O615" s="5350"/>
      <c r="P615" s="3637"/>
      <c r="Q615" s="3637"/>
      <c r="R615" s="3637"/>
      <c r="S615" s="2879"/>
      <c r="T615" s="3636"/>
      <c r="U615" s="5350"/>
      <c r="V615" s="5350"/>
      <c r="W615" s="5394"/>
      <c r="X615" s="5394"/>
      <c r="Y615" s="3286"/>
      <c r="Z615" s="3286"/>
      <c r="AA615" s="5352">
        <f t="shared" si="178"/>
        <v>0</v>
      </c>
      <c r="AB615" s="5352"/>
      <c r="AC615" s="2682"/>
      <c r="AD615" s="3289"/>
      <c r="AE615" s="2628"/>
      <c r="AF615" s="2629"/>
      <c r="AG615" s="2628"/>
      <c r="AH615" s="2629"/>
      <c r="AI615" s="2628"/>
      <c r="AJ615" s="2629"/>
      <c r="AK615" s="2671">
        <f t="shared" ref="AK615:AK623" si="181">SUM(AC615:AD615)</f>
        <v>0</v>
      </c>
      <c r="AL615" s="3464"/>
      <c r="AM615" s="3448"/>
      <c r="AN615" s="3448"/>
      <c r="AO615" s="3448"/>
      <c r="AP615" s="3448"/>
      <c r="AQ615" s="3448"/>
      <c r="AR615" s="3458" t="e">
        <f t="shared" si="180"/>
        <v>#DIV/0!</v>
      </c>
      <c r="AS615" s="3459">
        <f t="shared" si="179"/>
        <v>0</v>
      </c>
    </row>
    <row r="616" spans="1:45" s="1444" customFormat="1" ht="27.95" customHeight="1">
      <c r="A616" s="3274"/>
      <c r="B616" s="2151"/>
      <c r="C616" s="2147"/>
      <c r="D616" s="2147"/>
      <c r="E616" s="2147"/>
      <c r="F616" s="2147"/>
      <c r="G616" s="2149"/>
      <c r="H616" s="3274"/>
      <c r="I616" s="3274"/>
      <c r="J616" s="3274"/>
      <c r="K616" s="3274"/>
      <c r="L616" s="3673"/>
      <c r="M616" s="3672"/>
      <c r="N616" s="5350"/>
      <c r="O616" s="5350"/>
      <c r="P616" s="3274"/>
      <c r="Q616" s="3274"/>
      <c r="R616" s="3274"/>
      <c r="S616" s="2875"/>
      <c r="T616" s="3274"/>
      <c r="U616" s="5350"/>
      <c r="V616" s="5350"/>
      <c r="W616" s="5351"/>
      <c r="X616" s="5351"/>
      <c r="Y616" s="3286"/>
      <c r="Z616" s="3286"/>
      <c r="AA616" s="5352">
        <f t="shared" si="178"/>
        <v>0</v>
      </c>
      <c r="AB616" s="5352"/>
      <c r="AC616" s="2682"/>
      <c r="AD616" s="3289"/>
      <c r="AE616" s="2628"/>
      <c r="AF616" s="2629"/>
      <c r="AG616" s="2628"/>
      <c r="AH616" s="2629"/>
      <c r="AI616" s="2628"/>
      <c r="AJ616" s="2629"/>
      <c r="AK616" s="2671">
        <f t="shared" si="181"/>
        <v>0</v>
      </c>
      <c r="AL616" s="3464"/>
      <c r="AM616" s="3448"/>
      <c r="AN616" s="3448"/>
      <c r="AO616" s="3448"/>
      <c r="AP616" s="3448"/>
      <c r="AQ616" s="3448"/>
      <c r="AR616" s="3458" t="e">
        <f t="shared" si="180"/>
        <v>#DIV/0!</v>
      </c>
      <c r="AS616" s="3459">
        <f t="shared" si="179"/>
        <v>0</v>
      </c>
    </row>
    <row r="617" spans="1:45" s="1444" customFormat="1" ht="27.95" customHeight="1">
      <c r="A617" s="3274"/>
      <c r="B617" s="2151"/>
      <c r="C617" s="2147"/>
      <c r="D617" s="2147"/>
      <c r="E617" s="2147"/>
      <c r="F617" s="2147"/>
      <c r="G617" s="2149"/>
      <c r="H617" s="3274"/>
      <c r="I617" s="3274"/>
      <c r="J617" s="3274"/>
      <c r="K617" s="3274"/>
      <c r="L617" s="3673"/>
      <c r="M617" s="3672"/>
      <c r="N617" s="5350"/>
      <c r="O617" s="5350"/>
      <c r="P617" s="3274"/>
      <c r="Q617" s="3274"/>
      <c r="R617" s="3274"/>
      <c r="S617" s="2875"/>
      <c r="T617" s="3274"/>
      <c r="U617" s="5350"/>
      <c r="V617" s="5350"/>
      <c r="W617" s="5351"/>
      <c r="X617" s="5351"/>
      <c r="Y617" s="3286"/>
      <c r="Z617" s="3286"/>
      <c r="AA617" s="5352">
        <f t="shared" si="178"/>
        <v>0</v>
      </c>
      <c r="AB617" s="5352"/>
      <c r="AC617" s="2682"/>
      <c r="AD617" s="3289"/>
      <c r="AE617" s="2628"/>
      <c r="AF617" s="2629"/>
      <c r="AG617" s="2628"/>
      <c r="AH617" s="2629"/>
      <c r="AI617" s="2628"/>
      <c r="AJ617" s="2629"/>
      <c r="AK617" s="2671">
        <f t="shared" si="181"/>
        <v>0</v>
      </c>
      <c r="AL617" s="3464"/>
      <c r="AM617" s="3448"/>
      <c r="AN617" s="3448"/>
      <c r="AO617" s="3448"/>
      <c r="AP617" s="3448"/>
      <c r="AQ617" s="3448"/>
      <c r="AR617" s="3458" t="e">
        <f t="shared" si="180"/>
        <v>#DIV/0!</v>
      </c>
      <c r="AS617" s="3459">
        <f t="shared" si="179"/>
        <v>0</v>
      </c>
    </row>
    <row r="618" spans="1:45" s="1444" customFormat="1" ht="27.95" customHeight="1">
      <c r="A618" s="3274"/>
      <c r="B618" s="2151"/>
      <c r="C618" s="2147"/>
      <c r="D618" s="2147"/>
      <c r="E618" s="2147"/>
      <c r="F618" s="2147"/>
      <c r="G618" s="2149"/>
      <c r="H618" s="3274"/>
      <c r="I618" s="3274"/>
      <c r="J618" s="3274"/>
      <c r="K618" s="3274"/>
      <c r="L618" s="3673"/>
      <c r="M618" s="3672"/>
      <c r="N618" s="5350"/>
      <c r="O618" s="5350"/>
      <c r="P618" s="3274"/>
      <c r="Q618" s="3274"/>
      <c r="R618" s="3274"/>
      <c r="S618" s="2875"/>
      <c r="T618" s="3274"/>
      <c r="U618" s="5350"/>
      <c r="V618" s="5350"/>
      <c r="W618" s="5351"/>
      <c r="X618" s="5351"/>
      <c r="Y618" s="3286"/>
      <c r="Z618" s="3286"/>
      <c r="AA618" s="5352">
        <f t="shared" si="178"/>
        <v>0</v>
      </c>
      <c r="AB618" s="5352"/>
      <c r="AC618" s="2682"/>
      <c r="AD618" s="3289"/>
      <c r="AE618" s="2628"/>
      <c r="AF618" s="2629"/>
      <c r="AG618" s="2628"/>
      <c r="AH618" s="2629"/>
      <c r="AI618" s="2628"/>
      <c r="AJ618" s="2629"/>
      <c r="AK618" s="2671">
        <f t="shared" si="181"/>
        <v>0</v>
      </c>
      <c r="AL618" s="3464"/>
      <c r="AM618" s="3448"/>
      <c r="AN618" s="3448"/>
      <c r="AO618" s="3448"/>
      <c r="AP618" s="3448"/>
      <c r="AQ618" s="3448"/>
      <c r="AR618" s="3458" t="e">
        <f t="shared" si="180"/>
        <v>#DIV/0!</v>
      </c>
      <c r="AS618" s="3459">
        <f t="shared" si="179"/>
        <v>0</v>
      </c>
    </row>
    <row r="619" spans="1:45" s="1444" customFormat="1" ht="27.95" customHeight="1">
      <c r="A619" s="3274"/>
      <c r="B619" s="2151"/>
      <c r="C619" s="2147"/>
      <c r="D619" s="2147"/>
      <c r="E619" s="2147"/>
      <c r="F619" s="2147"/>
      <c r="G619" s="2149"/>
      <c r="H619" s="3274"/>
      <c r="I619" s="3274"/>
      <c r="J619" s="3274"/>
      <c r="K619" s="3274"/>
      <c r="L619" s="3673"/>
      <c r="M619" s="3672"/>
      <c r="N619" s="5350"/>
      <c r="O619" s="5350"/>
      <c r="P619" s="3274"/>
      <c r="Q619" s="3274"/>
      <c r="R619" s="3274"/>
      <c r="S619" s="2875"/>
      <c r="T619" s="3274"/>
      <c r="U619" s="5350"/>
      <c r="V619" s="5350"/>
      <c r="W619" s="5351"/>
      <c r="X619" s="5351"/>
      <c r="Y619" s="3286"/>
      <c r="Z619" s="3286"/>
      <c r="AA619" s="5352">
        <f t="shared" si="178"/>
        <v>0</v>
      </c>
      <c r="AB619" s="5352"/>
      <c r="AC619" s="2682"/>
      <c r="AD619" s="3289"/>
      <c r="AE619" s="2628"/>
      <c r="AF619" s="2629"/>
      <c r="AG619" s="2628"/>
      <c r="AH619" s="2629"/>
      <c r="AI619" s="2628"/>
      <c r="AJ619" s="2629"/>
      <c r="AK619" s="2671">
        <f t="shared" si="181"/>
        <v>0</v>
      </c>
      <c r="AL619" s="3464"/>
      <c r="AM619" s="3448"/>
      <c r="AN619" s="3448"/>
      <c r="AO619" s="3448"/>
      <c r="AP619" s="3448"/>
      <c r="AQ619" s="3448"/>
      <c r="AR619" s="3458" t="e">
        <f t="shared" si="180"/>
        <v>#DIV/0!</v>
      </c>
      <c r="AS619" s="3459">
        <f t="shared" si="179"/>
        <v>0</v>
      </c>
    </row>
    <row r="620" spans="1:45" s="1444" customFormat="1" ht="27.95" customHeight="1">
      <c r="A620" s="3274"/>
      <c r="B620" s="2151"/>
      <c r="C620" s="2147"/>
      <c r="D620" s="2147"/>
      <c r="E620" s="2147"/>
      <c r="F620" s="2147"/>
      <c r="G620" s="2149"/>
      <c r="H620" s="3274"/>
      <c r="I620" s="3274"/>
      <c r="J620" s="3274"/>
      <c r="K620" s="3274"/>
      <c r="L620" s="3673"/>
      <c r="M620" s="3672"/>
      <c r="N620" s="5350"/>
      <c r="O620" s="5350"/>
      <c r="P620" s="3274"/>
      <c r="Q620" s="3274"/>
      <c r="R620" s="3274"/>
      <c r="S620" s="2875"/>
      <c r="T620" s="3274"/>
      <c r="U620" s="5350"/>
      <c r="V620" s="5350"/>
      <c r="W620" s="5351"/>
      <c r="X620" s="5351"/>
      <c r="Y620" s="3286"/>
      <c r="Z620" s="3286"/>
      <c r="AA620" s="5352">
        <f t="shared" si="178"/>
        <v>0</v>
      </c>
      <c r="AB620" s="5352"/>
      <c r="AC620" s="2682"/>
      <c r="AD620" s="3289"/>
      <c r="AE620" s="2628"/>
      <c r="AF620" s="2629"/>
      <c r="AG620" s="2628"/>
      <c r="AH620" s="2629"/>
      <c r="AI620" s="2628"/>
      <c r="AJ620" s="2629"/>
      <c r="AK620" s="2671">
        <f t="shared" si="181"/>
        <v>0</v>
      </c>
      <c r="AL620" s="3464"/>
      <c r="AM620" s="3448"/>
      <c r="AN620" s="3448"/>
      <c r="AO620" s="3448"/>
      <c r="AP620" s="3448"/>
      <c r="AQ620" s="3448"/>
      <c r="AR620" s="3458" t="e">
        <f t="shared" si="180"/>
        <v>#DIV/0!</v>
      </c>
      <c r="AS620" s="3459">
        <f t="shared" si="179"/>
        <v>0</v>
      </c>
    </row>
    <row r="621" spans="1:45" s="1444" customFormat="1" ht="27.95" customHeight="1">
      <c r="A621" s="3274"/>
      <c r="B621" s="2151"/>
      <c r="C621" s="2147"/>
      <c r="D621" s="2147"/>
      <c r="E621" s="2147"/>
      <c r="F621" s="2147"/>
      <c r="G621" s="2149"/>
      <c r="H621" s="3274"/>
      <c r="I621" s="3274"/>
      <c r="J621" s="3274"/>
      <c r="K621" s="3274"/>
      <c r="L621" s="3673"/>
      <c r="M621" s="3672"/>
      <c r="N621" s="5350"/>
      <c r="O621" s="5350"/>
      <c r="P621" s="3274"/>
      <c r="Q621" s="3274"/>
      <c r="R621" s="3274"/>
      <c r="S621" s="2875"/>
      <c r="T621" s="3274"/>
      <c r="U621" s="5350"/>
      <c r="V621" s="5350"/>
      <c r="W621" s="5351"/>
      <c r="X621" s="5351"/>
      <c r="Y621" s="3286"/>
      <c r="Z621" s="3286"/>
      <c r="AA621" s="5352">
        <f t="shared" si="178"/>
        <v>0</v>
      </c>
      <c r="AB621" s="5352"/>
      <c r="AC621" s="2682"/>
      <c r="AD621" s="3289"/>
      <c r="AE621" s="2628"/>
      <c r="AF621" s="2629"/>
      <c r="AG621" s="2628"/>
      <c r="AH621" s="2629"/>
      <c r="AI621" s="2628"/>
      <c r="AJ621" s="2629"/>
      <c r="AK621" s="2671">
        <f t="shared" si="181"/>
        <v>0</v>
      </c>
      <c r="AL621" s="3464"/>
      <c r="AM621" s="3448"/>
      <c r="AN621" s="3448"/>
      <c r="AO621" s="3448"/>
      <c r="AP621" s="3448"/>
      <c r="AQ621" s="3448"/>
      <c r="AR621" s="3458" t="e">
        <f t="shared" si="180"/>
        <v>#DIV/0!</v>
      </c>
      <c r="AS621" s="3459">
        <f t="shared" si="179"/>
        <v>0</v>
      </c>
    </row>
    <row r="622" spans="1:45" s="1444" customFormat="1" ht="27.95" customHeight="1">
      <c r="A622" s="3274"/>
      <c r="B622" s="2151"/>
      <c r="C622" s="2147"/>
      <c r="D622" s="2147"/>
      <c r="E622" s="2147"/>
      <c r="F622" s="2147"/>
      <c r="G622" s="2149"/>
      <c r="H622" s="3274"/>
      <c r="I622" s="3274"/>
      <c r="J622" s="3274"/>
      <c r="K622" s="3274"/>
      <c r="L622" s="3673"/>
      <c r="M622" s="3672"/>
      <c r="N622" s="5350"/>
      <c r="O622" s="5350"/>
      <c r="P622" s="3274"/>
      <c r="Q622" s="3274"/>
      <c r="R622" s="3274"/>
      <c r="S622" s="2875"/>
      <c r="T622" s="3274"/>
      <c r="U622" s="5350"/>
      <c r="V622" s="5350"/>
      <c r="W622" s="5351"/>
      <c r="X622" s="5351"/>
      <c r="Y622" s="3286"/>
      <c r="Z622" s="3286"/>
      <c r="AA622" s="5352">
        <f t="shared" si="178"/>
        <v>0</v>
      </c>
      <c r="AB622" s="5352"/>
      <c r="AC622" s="2682"/>
      <c r="AD622" s="3289"/>
      <c r="AE622" s="2628"/>
      <c r="AF622" s="2629"/>
      <c r="AG622" s="2628"/>
      <c r="AH622" s="2629"/>
      <c r="AI622" s="2628"/>
      <c r="AJ622" s="2629"/>
      <c r="AK622" s="2672">
        <f t="shared" si="181"/>
        <v>0</v>
      </c>
      <c r="AL622" s="3464"/>
      <c r="AM622" s="3448"/>
      <c r="AN622" s="3448"/>
      <c r="AO622" s="3448"/>
      <c r="AP622" s="3448"/>
      <c r="AQ622" s="3448"/>
      <c r="AR622" s="3458" t="e">
        <f t="shared" si="180"/>
        <v>#DIV/0!</v>
      </c>
      <c r="AS622" s="3459">
        <f t="shared" si="179"/>
        <v>0</v>
      </c>
    </row>
    <row r="623" spans="1:45" s="1444" customFormat="1" ht="27.95" customHeight="1">
      <c r="A623" s="3273">
        <f>COUNTA(B597:G622)</f>
        <v>17</v>
      </c>
      <c r="B623" s="2961" t="str">
        <f>'[1]0163X'!$S$3</f>
        <v>glorita05111@hotmail.com</v>
      </c>
      <c r="C623" s="2971"/>
      <c r="D623" s="2963"/>
      <c r="E623" s="2964" t="str">
        <f>'[1]0163X'!$C$8</f>
        <v>SM-313  MZA-20  LTE-3  AV-FONATUR</v>
      </c>
      <c r="F623" s="2971"/>
      <c r="G623" s="2972"/>
      <c r="H623" s="3273">
        <f>COUNTIF(H597:H603,"X")</f>
        <v>0</v>
      </c>
      <c r="I623" s="3273">
        <f>COUNTIF(I597:I603,"X")</f>
        <v>6</v>
      </c>
      <c r="J623" s="2966">
        <f>COUNTIF(L597:M622,"docente")</f>
        <v>6</v>
      </c>
      <c r="K623" s="2967">
        <f>COUNTIF(L597:M622,"intendente")</f>
        <v>1</v>
      </c>
      <c r="L623" s="1665">
        <f>COUNTA(N597:O622)</f>
        <v>0</v>
      </c>
      <c r="M623" s="2968">
        <f>COUNTIF(Y597:Y622,"1º")</f>
        <v>2</v>
      </c>
      <c r="N623" s="3278">
        <f>COUNTIF(Y597:Y622,"2º")</f>
        <v>2</v>
      </c>
      <c r="O623" s="3278">
        <f>COUNTIF(Y597:Y622,"3º")</f>
        <v>2</v>
      </c>
      <c r="P623" s="3278">
        <f>COUNTIF(Y597:Y622,"4º")</f>
        <v>1</v>
      </c>
      <c r="Q623" s="3278">
        <f>COUNTIF(Y597:Y622,"5º")</f>
        <v>2</v>
      </c>
      <c r="R623" s="3278">
        <f>COUNTIF(Y597:Y622,"6º")</f>
        <v>1</v>
      </c>
      <c r="S623" s="2968">
        <f>SUM(M623:R623)</f>
        <v>10</v>
      </c>
      <c r="T623" s="3273">
        <f>COUNTA(T597:T622)</f>
        <v>0</v>
      </c>
      <c r="U623" s="2968">
        <f>COUNTIF(U597:V622,"10")</f>
        <v>0</v>
      </c>
      <c r="V623" s="2969">
        <f>COUNTIF(U597:V622,"20")</f>
        <v>16</v>
      </c>
      <c r="W623" s="5409" t="s">
        <v>1232</v>
      </c>
      <c r="X623" s="5409"/>
      <c r="Y623" s="5409"/>
      <c r="Z623" s="3286">
        <f>COUNTA(Z597:Z622)</f>
        <v>10</v>
      </c>
      <c r="AA623" s="5411">
        <f>SUM(AA597:AB622)</f>
        <v>161</v>
      </c>
      <c r="AB623" s="5411"/>
      <c r="AC623" s="2687">
        <f t="shared" ref="AC623:AJ623" si="182">SUM(AC597:AC622)</f>
        <v>75</v>
      </c>
      <c r="AD623" s="2688">
        <f t="shared" si="182"/>
        <v>83</v>
      </c>
      <c r="AE623" s="2630">
        <f t="shared" si="182"/>
        <v>7</v>
      </c>
      <c r="AF623" s="2631">
        <f t="shared" si="182"/>
        <v>2</v>
      </c>
      <c r="AG623" s="2632">
        <f t="shared" si="182"/>
        <v>3</v>
      </c>
      <c r="AH623" s="2633">
        <f t="shared" si="182"/>
        <v>3</v>
      </c>
      <c r="AI623" s="2634">
        <f t="shared" si="182"/>
        <v>0</v>
      </c>
      <c r="AJ623" s="2635">
        <f t="shared" si="182"/>
        <v>0</v>
      </c>
      <c r="AK623" s="317">
        <f t="shared" si="181"/>
        <v>158</v>
      </c>
      <c r="AL623" s="3468" t="e">
        <f>SUM(AL597:AL622)/AL624</f>
        <v>#DIV/0!</v>
      </c>
      <c r="AM623" s="3467" t="e">
        <f t="shared" ref="AM623" si="183">SUM(AM597:AM622)/AM624</f>
        <v>#DIV/0!</v>
      </c>
      <c r="AN623" s="3466" t="e">
        <f t="shared" ref="AN623" si="184">SUM(AN597:AN622)/AN624</f>
        <v>#DIV/0!</v>
      </c>
      <c r="AO623" s="3466" t="e">
        <f t="shared" ref="AO623" si="185">SUM(AO597:AO622)/AO624</f>
        <v>#DIV/0!</v>
      </c>
      <c r="AP623" s="3466" t="e">
        <f t="shared" ref="AP623" si="186">SUM(AP597:AP622)/AP624</f>
        <v>#DIV/0!</v>
      </c>
      <c r="AQ623" s="3460" t="e">
        <f>SUM(AQ597:AQ622)/AQ624</f>
        <v>#DIV/0!</v>
      </c>
      <c r="AR623" s="3461" t="e">
        <f t="shared" si="180"/>
        <v>#DIV/0!</v>
      </c>
      <c r="AS623" s="3459">
        <f t="shared" si="179"/>
        <v>5</v>
      </c>
    </row>
    <row r="624" spans="1:45" s="1446" customFormat="1" ht="27.95" customHeight="1">
      <c r="A624" s="3690" t="s">
        <v>228</v>
      </c>
      <c r="B624" s="3691">
        <f>SUM(Estadisticas!AM40:AN40)</f>
        <v>3</v>
      </c>
      <c r="C624" s="3691">
        <f>SUM(Estadisticas!AO40:AP40)</f>
        <v>3</v>
      </c>
      <c r="D624" s="3691">
        <f>SUM(Estadisticas!AQ40:AR40)</f>
        <v>2</v>
      </c>
      <c r="E624" s="3691">
        <f>SUM(Estadisticas!AS40:AT40)</f>
        <v>1</v>
      </c>
      <c r="F624" s="3691">
        <f>SUM(Estadisticas!AU40:AV40)</f>
        <v>0</v>
      </c>
      <c r="G624" s="3691">
        <f>SUM(Estadisticas!AW40:AX40)</f>
        <v>1</v>
      </c>
      <c r="H624" s="5412">
        <f>SUM(B624:G624)</f>
        <v>10</v>
      </c>
      <c r="I624" s="5412"/>
      <c r="J624" s="3705"/>
      <c r="K624" s="3705"/>
      <c r="L624" s="3692" t="s">
        <v>1126</v>
      </c>
      <c r="M624" s="3690">
        <f>SUM(AK599)</f>
        <v>13</v>
      </c>
      <c r="N624" s="3690">
        <f>SUM(AK600)</f>
        <v>14</v>
      </c>
      <c r="O624" s="3690">
        <f>SUM(AK601)</f>
        <v>13</v>
      </c>
      <c r="P624" s="3690">
        <f>SUM(AK602:AK603)</f>
        <v>35</v>
      </c>
      <c r="Q624" s="3690">
        <f>SUM(AK597)</f>
        <v>20</v>
      </c>
      <c r="R624" s="3690">
        <f>SUM(AK598)</f>
        <v>21</v>
      </c>
      <c r="S624" s="3690">
        <f>SUM(M624:R624)</f>
        <v>116</v>
      </c>
      <c r="T624" s="3705">
        <f>'[1]0163X'!$V$23</f>
        <v>0</v>
      </c>
      <c r="U624" s="3705"/>
      <c r="V624" s="3705"/>
      <c r="W624" s="3705"/>
      <c r="X624" s="3705"/>
      <c r="Y624" s="3695">
        <f>COUNTA(Y597:Y622)</f>
        <v>10</v>
      </c>
      <c r="Z624" s="3705"/>
      <c r="AA624" s="5445">
        <f>'[1]0163X'!$X$35</f>
        <v>162</v>
      </c>
      <c r="AB624" s="5445"/>
      <c r="AC624" s="5334">
        <f>AC623+AD623</f>
        <v>158</v>
      </c>
      <c r="AD624" s="5334"/>
      <c r="AE624" s="5335">
        <f>AE623+AF623</f>
        <v>9</v>
      </c>
      <c r="AF624" s="5335"/>
      <c r="AG624" s="5335">
        <f>AG623+AH623</f>
        <v>6</v>
      </c>
      <c r="AH624" s="5335"/>
      <c r="AI624" s="2636"/>
      <c r="AJ624" s="2636"/>
      <c r="AK624" s="2636">
        <f>SUM(AC624:AD624)+AE624</f>
        <v>167</v>
      </c>
      <c r="AL624" s="3462">
        <f>COUNTA(AL597:AL622)</f>
        <v>0</v>
      </c>
      <c r="AM624" s="3462">
        <f t="shared" ref="AM624:AQ624" si="187">COUNTA(AM597:AM622)</f>
        <v>0</v>
      </c>
      <c r="AN624" s="3462">
        <f t="shared" si="187"/>
        <v>0</v>
      </c>
      <c r="AO624" s="3462">
        <f t="shared" si="187"/>
        <v>0</v>
      </c>
      <c r="AP624" s="3462">
        <f t="shared" si="187"/>
        <v>0</v>
      </c>
      <c r="AQ624" s="3462">
        <f t="shared" si="187"/>
        <v>0</v>
      </c>
      <c r="AR624" s="3462">
        <v>12</v>
      </c>
    </row>
    <row r="625" spans="1:45" s="1446" customFormat="1" ht="27.95" customHeight="1">
      <c r="A625" s="3695" t="s">
        <v>230</v>
      </c>
      <c r="B625" s="3695">
        <f>SUM(Estadisticas!AY40:AZ40)</f>
        <v>2</v>
      </c>
      <c r="C625" s="3695">
        <f>SUM(Estadisticas!BA40:BB40)</f>
        <v>1</v>
      </c>
      <c r="D625" s="3695">
        <f>SUM(Estadisticas!BC40:BD40)</f>
        <v>1</v>
      </c>
      <c r="E625" s="3695">
        <f>SUM(Estadisticas!BE40:BF40)</f>
        <v>1</v>
      </c>
      <c r="F625" s="3695">
        <f>SUM(Estadisticas!BG40:BH40)</f>
        <v>1</v>
      </c>
      <c r="G625" s="3695">
        <f>SUM(Estadisticas!BI40:BJ40)</f>
        <v>0</v>
      </c>
      <c r="H625" s="5413">
        <f>SUM(B625:G625)</f>
        <v>6</v>
      </c>
      <c r="I625" s="5413"/>
      <c r="J625" s="3705"/>
      <c r="K625" s="3705"/>
      <c r="L625" s="3696" t="s">
        <v>423</v>
      </c>
      <c r="M625" s="3695">
        <f>SUM(AE599:AF599)</f>
        <v>1</v>
      </c>
      <c r="N625" s="3695">
        <f>SUM(AE600:AF600)</f>
        <v>2</v>
      </c>
      <c r="O625" s="3695">
        <f>SUM(AE601:AF601)</f>
        <v>1</v>
      </c>
      <c r="P625" s="3695">
        <f>SUM(AE602:AF603)</f>
        <v>1</v>
      </c>
      <c r="Q625" s="3695">
        <f>SUM(AE597:AF597)</f>
        <v>2</v>
      </c>
      <c r="R625" s="3695">
        <f>SUM(AE598:AF598)</f>
        <v>1</v>
      </c>
      <c r="S625" s="3695">
        <f t="shared" ref="S625:S626" si="188">SUM(M625:R625)</f>
        <v>8</v>
      </c>
      <c r="T625" s="3706"/>
      <c r="U625" s="3707" t="str">
        <f>U65</f>
        <v>PRE</v>
      </c>
      <c r="V625" s="3707">
        <f>'[1]0163X'!$F$39</f>
        <v>2</v>
      </c>
      <c r="W625" s="3707">
        <f>'[1]0163X'!$I$39</f>
        <v>2</v>
      </c>
      <c r="X625" s="3707">
        <f>'[1]0163X'!$L$39</f>
        <v>2</v>
      </c>
      <c r="Y625" s="3707">
        <f>'[1]0163X'!$O$39</f>
        <v>1</v>
      </c>
      <c r="Z625" s="3707">
        <f>'[1]0163X'!$R$39</f>
        <v>2</v>
      </c>
      <c r="AA625" s="3707">
        <f>'[1]0163X'!$U$39</f>
        <v>0</v>
      </c>
      <c r="AB625" s="3707">
        <f>SUM(V625:AA625)</f>
        <v>9</v>
      </c>
      <c r="AC625" s="2683"/>
      <c r="AD625" s="3238"/>
      <c r="AE625" s="2620"/>
      <c r="AF625" s="2621"/>
      <c r="AG625" s="2620"/>
      <c r="AH625" s="2621"/>
      <c r="AK625" s="2636"/>
      <c r="AL625" s="3448"/>
      <c r="AM625" s="3448"/>
      <c r="AN625" s="3448"/>
      <c r="AO625" s="3448"/>
      <c r="AP625" s="3448"/>
      <c r="AQ625" s="3448"/>
    </row>
    <row r="626" spans="1:45" s="1441" customFormat="1" ht="27.95" customHeight="1">
      <c r="A626" s="3698" t="s">
        <v>478</v>
      </c>
      <c r="B626" s="3698">
        <f>SUM(Estadisticas!BK39:BL39)</f>
        <v>0</v>
      </c>
      <c r="C626" s="3698">
        <f>SUM(Estadisticas!BM39:BN39)</f>
        <v>0</v>
      </c>
      <c r="D626" s="3698">
        <f>SUM(Estadisticas!BO39:BP39)</f>
        <v>0</v>
      </c>
      <c r="E626" s="3698">
        <f>SUM(Estadisticas!BQ39:BR39)</f>
        <v>0</v>
      </c>
      <c r="F626" s="3698">
        <f>SUM(Estadisticas!BS39:BT39)</f>
        <v>0</v>
      </c>
      <c r="G626" s="3698">
        <f>SUM(Estadisticas!BU39:BV39)</f>
        <v>0</v>
      </c>
      <c r="H626" s="5414">
        <f>SUM(B626:G626)</f>
        <v>0</v>
      </c>
      <c r="I626" s="5414"/>
      <c r="J626" s="3716"/>
      <c r="K626" s="3717"/>
      <c r="L626" s="3701" t="s">
        <v>434</v>
      </c>
      <c r="M626" s="3702">
        <f>SUM(AG599:AH599)</f>
        <v>0</v>
      </c>
      <c r="N626" s="3702">
        <f>SUM(AG600:AH600)</f>
        <v>1</v>
      </c>
      <c r="O626" s="3702">
        <f>SUM(AG601:AH601)</f>
        <v>1</v>
      </c>
      <c r="P626" s="3702">
        <f>SUM(AG602:AH603)</f>
        <v>1</v>
      </c>
      <c r="Q626" s="3702">
        <f>SUM(AG597:AH597)</f>
        <v>1</v>
      </c>
      <c r="R626" s="3702">
        <f>SUM(AG598:AH598)</f>
        <v>1</v>
      </c>
      <c r="S626" s="3702">
        <f t="shared" si="188"/>
        <v>5</v>
      </c>
      <c r="T626" s="3716"/>
      <c r="U626" s="3710">
        <f>'[1]0163X'!$O$26</f>
        <v>28</v>
      </c>
      <c r="V626" s="3710">
        <f>'[1]0163X'!$F$35</f>
        <v>42</v>
      </c>
      <c r="W626" s="3710">
        <f>'[1]0163X'!$I$35</f>
        <v>29</v>
      </c>
      <c r="X626" s="3710">
        <f>'[1]0163X'!$L$35</f>
        <v>26</v>
      </c>
      <c r="Y626" s="3710">
        <f>'[1]0163X'!$O$35</f>
        <v>23</v>
      </c>
      <c r="Z626" s="3710">
        <f>'[1]0163X'!$R$35</f>
        <v>32</v>
      </c>
      <c r="AA626" s="3710">
        <f>'[1]0163X'!$U$35</f>
        <v>10</v>
      </c>
      <c r="AB626" s="3710">
        <f>SUM(V626:AA626)</f>
        <v>162</v>
      </c>
      <c r="AC626" s="2683"/>
      <c r="AD626" s="3238"/>
      <c r="AE626" s="2620"/>
      <c r="AF626" s="2621"/>
      <c r="AG626" s="2620"/>
      <c r="AH626" s="2621"/>
      <c r="AI626" s="1444"/>
      <c r="AJ626" s="1444"/>
      <c r="AK626" s="2636"/>
      <c r="AL626" s="3445"/>
      <c r="AM626" s="3445"/>
      <c r="AN626" s="3445"/>
      <c r="AO626" s="3445"/>
      <c r="AP626" s="3445"/>
      <c r="AQ626" s="3445"/>
      <c r="AS626" s="108"/>
    </row>
    <row r="627" spans="1:45" s="1448" customFormat="1" ht="27.95" customHeight="1">
      <c r="A627" s="175"/>
      <c r="B627" s="1427"/>
      <c r="C627" s="173"/>
      <c r="D627" s="3262" t="s">
        <v>1193</v>
      </c>
      <c r="E627" s="5388" t="s">
        <v>2699</v>
      </c>
      <c r="F627" s="5388"/>
      <c r="G627" s="5388"/>
      <c r="H627" s="5388"/>
      <c r="I627" s="5388"/>
      <c r="J627" s="5388"/>
      <c r="K627" s="1603"/>
      <c r="L627" s="1428"/>
      <c r="M627" s="3262" t="s">
        <v>1234</v>
      </c>
      <c r="N627" s="5388" t="str">
        <f>N587</f>
        <v>RICALDE CASTRO JESUS MARTIN</v>
      </c>
      <c r="O627" s="5388"/>
      <c r="P627" s="5388"/>
      <c r="Q627" s="5388"/>
      <c r="R627" s="5388"/>
      <c r="S627" s="5388"/>
      <c r="T627" s="1603"/>
      <c r="U627" s="1603"/>
      <c r="V627" s="3262" t="s">
        <v>1195</v>
      </c>
      <c r="W627" s="5388" t="str">
        <f>W587</f>
        <v xml:space="preserve">ANCONA FLORES AURA EUGENIA </v>
      </c>
      <c r="X627" s="5388"/>
      <c r="Y627" s="5388"/>
      <c r="Z627" s="5388"/>
      <c r="AA627" s="5388"/>
      <c r="AB627" s="5388"/>
      <c r="AC627" s="2683"/>
      <c r="AD627" s="3238"/>
      <c r="AE627" s="2620"/>
      <c r="AF627" s="2621"/>
      <c r="AG627" s="2620"/>
      <c r="AH627" s="2621"/>
      <c r="AI627" s="2624"/>
      <c r="AJ627" s="2624"/>
      <c r="AK627" s="2636"/>
      <c r="AL627" s="3449"/>
      <c r="AM627" s="3449"/>
      <c r="AN627" s="3449"/>
      <c r="AO627" s="3449"/>
      <c r="AP627" s="3449"/>
      <c r="AQ627" s="3449"/>
      <c r="AS627" s="3450"/>
    </row>
    <row r="628" spans="1:45" s="1430" customFormat="1" ht="27.95" customHeight="1">
      <c r="A628" s="1670"/>
      <c r="B628" s="1401"/>
      <c r="C628" s="1401"/>
      <c r="D628" s="1401"/>
      <c r="E628" s="1401"/>
      <c r="F628" s="1402"/>
      <c r="G628" s="1402"/>
      <c r="H628" s="1402"/>
      <c r="I628" s="1402"/>
      <c r="J628" s="1402"/>
      <c r="K628" s="27"/>
      <c r="M628" s="1431" t="s">
        <v>196</v>
      </c>
      <c r="N628" s="1402"/>
      <c r="O628" s="1402"/>
      <c r="P628" s="1402"/>
      <c r="Q628" s="1402"/>
      <c r="R628" s="1402"/>
      <c r="S628" s="1402"/>
      <c r="T628" s="1401"/>
      <c r="V628" s="3263"/>
      <c r="W628" s="1432" t="s">
        <v>764</v>
      </c>
      <c r="X628" s="5221" t="s">
        <v>247</v>
      </c>
      <c r="Y628" s="5221"/>
      <c r="Z628" s="5221"/>
      <c r="AA628" s="5221"/>
      <c r="AB628" s="1644"/>
      <c r="AC628" s="2683"/>
      <c r="AD628" s="3238"/>
      <c r="AE628" s="2637"/>
      <c r="AF628" s="2638"/>
      <c r="AG628" s="2637"/>
      <c r="AH628" s="2638"/>
      <c r="AI628" s="1449"/>
      <c r="AJ628" s="1449"/>
      <c r="AK628" s="2636"/>
      <c r="AL628" s="3451"/>
      <c r="AM628" s="3451"/>
      <c r="AN628" s="3451"/>
      <c r="AO628" s="3451"/>
      <c r="AP628" s="3451"/>
      <c r="AQ628" s="3451"/>
      <c r="AS628" s="3452"/>
    </row>
    <row r="629" spans="1:45" ht="27.95" customHeight="1">
      <c r="A629" s="1663"/>
      <c r="B629" s="1406"/>
      <c r="C629" s="1406"/>
      <c r="D629" s="1406"/>
      <c r="E629" s="1406"/>
      <c r="F629" s="1407"/>
      <c r="G629" s="1407"/>
      <c r="H629" s="1407"/>
      <c r="I629" s="1407"/>
      <c r="J629" s="1407"/>
      <c r="K629" s="1407"/>
      <c r="L629" s="1407"/>
      <c r="M629" s="3260" t="s">
        <v>1148</v>
      </c>
      <c r="N629" s="1407"/>
      <c r="O629" s="1407"/>
      <c r="P629" s="1407"/>
      <c r="Q629" s="1407"/>
      <c r="R629" s="1407"/>
      <c r="S629" s="1407"/>
      <c r="T629" s="1408"/>
      <c r="U629" s="1408"/>
      <c r="V629" s="3263"/>
      <c r="W629" s="1432" t="s">
        <v>1149</v>
      </c>
      <c r="X629" s="5221" t="str">
        <f>X589</f>
        <v>2012 / 2013</v>
      </c>
      <c r="Y629" s="5221"/>
      <c r="Z629" s="5221"/>
      <c r="AA629" s="5221"/>
      <c r="AB629" s="1453"/>
      <c r="AC629" s="2683"/>
      <c r="AD629" s="3238"/>
      <c r="AE629" s="2620"/>
      <c r="AF629" s="2621"/>
      <c r="AG629" s="2620"/>
      <c r="AH629" s="2621"/>
      <c r="AK629" s="2636"/>
    </row>
    <row r="630" spans="1:45" ht="27.95" customHeight="1">
      <c r="A630" s="1663"/>
      <c r="B630" s="1410"/>
      <c r="C630" s="1410"/>
      <c r="D630" s="1410"/>
      <c r="E630" s="1410"/>
      <c r="F630" s="1407"/>
      <c r="G630" s="1407"/>
      <c r="H630" s="1407"/>
      <c r="I630" s="1407"/>
      <c r="J630" s="1407"/>
      <c r="K630" s="1407"/>
      <c r="M630" s="3260" t="s">
        <v>1150</v>
      </c>
      <c r="N630" s="1407"/>
      <c r="O630" s="1407"/>
      <c r="P630" s="1407"/>
      <c r="Q630" s="1407"/>
      <c r="R630" s="1407"/>
      <c r="S630" s="1407"/>
      <c r="T630" s="1433"/>
      <c r="U630" s="1433"/>
      <c r="V630" s="1434"/>
      <c r="W630" s="3281" t="s">
        <v>42</v>
      </c>
      <c r="X630" s="5391" t="str">
        <f>X590</f>
        <v>042</v>
      </c>
      <c r="Y630" s="5391"/>
      <c r="Z630" s="5391"/>
      <c r="AA630" s="5391"/>
      <c r="AB630" s="1453"/>
      <c r="AC630" s="2683"/>
      <c r="AD630" s="3238"/>
      <c r="AE630" s="2620"/>
      <c r="AF630" s="2621"/>
      <c r="AG630" s="2620"/>
      <c r="AH630" s="2621"/>
      <c r="AK630" s="2636"/>
    </row>
    <row r="631" spans="1:45" ht="27.95" customHeight="1">
      <c r="A631" s="1663"/>
      <c r="B631" s="1410"/>
      <c r="C631" s="1410"/>
      <c r="D631" s="1410"/>
      <c r="E631" s="1410"/>
      <c r="F631" s="1406"/>
      <c r="H631" s="1413"/>
      <c r="I631" s="1413"/>
      <c r="J631" s="1414"/>
      <c r="K631" s="1414"/>
      <c r="L631" s="1415" t="s">
        <v>1197</v>
      </c>
      <c r="M631" s="1415">
        <f>M591</f>
        <v>8</v>
      </c>
      <c r="N631" s="3271" t="s">
        <v>1152</v>
      </c>
      <c r="O631" s="5371" t="str">
        <f>O591</f>
        <v>AGOSTO</v>
      </c>
      <c r="P631" s="5371"/>
      <c r="Q631" s="1435" t="s">
        <v>1152</v>
      </c>
      <c r="R631" s="5371">
        <f>R591</f>
        <v>2012</v>
      </c>
      <c r="S631" s="5371"/>
      <c r="T631" s="1406"/>
      <c r="U631" s="5372" t="s">
        <v>246</v>
      </c>
      <c r="V631" s="5372"/>
      <c r="W631" s="5372"/>
      <c r="X631" s="5372"/>
      <c r="Y631" s="1436" t="s">
        <v>245</v>
      </c>
      <c r="Z631" s="1436"/>
      <c r="AA631" s="1454"/>
      <c r="AB631" s="1453"/>
      <c r="AC631" s="2683"/>
      <c r="AD631" s="3238"/>
      <c r="AE631" s="2620"/>
      <c r="AF631" s="2621"/>
      <c r="AG631" s="2620"/>
      <c r="AH631" s="2621"/>
      <c r="AK631" s="2636"/>
    </row>
    <row r="632" spans="1:45" ht="27.95" customHeight="1">
      <c r="A632" s="5356" t="s">
        <v>1153</v>
      </c>
      <c r="B632" s="5356"/>
      <c r="C632" s="5356"/>
      <c r="D632" s="5389"/>
      <c r="E632" s="5389"/>
      <c r="F632" s="5389"/>
      <c r="G632" s="5389"/>
      <c r="H632" s="5389"/>
      <c r="I632" s="5389"/>
      <c r="J632" s="5389"/>
      <c r="K632" s="5389"/>
      <c r="L632" s="3281" t="s">
        <v>19</v>
      </c>
      <c r="M632" s="5370"/>
      <c r="N632" s="5370"/>
      <c r="O632" s="5390" t="s">
        <v>13</v>
      </c>
      <c r="P632" s="5390"/>
      <c r="Q632" s="5370"/>
      <c r="R632" s="5370"/>
      <c r="S632" s="5370"/>
      <c r="T632" s="174"/>
      <c r="U632" s="1418" t="s">
        <v>1157</v>
      </c>
      <c r="V632" s="5221" t="str">
        <f>V592</f>
        <v>2  BENITO JUAREZ</v>
      </c>
      <c r="W632" s="5221"/>
      <c r="X632" s="5221"/>
      <c r="Y632" s="5221"/>
      <c r="Z632" s="5221"/>
      <c r="AA632" s="5221"/>
      <c r="AB632" s="5221"/>
      <c r="AC632" s="2683"/>
      <c r="AD632" s="3238"/>
      <c r="AE632" s="2620"/>
      <c r="AF632" s="2621"/>
      <c r="AG632" s="2620"/>
      <c r="AH632" s="2621"/>
      <c r="AK632" s="2636"/>
    </row>
    <row r="633" spans="1:45" s="1439" customFormat="1" ht="27.95" customHeight="1">
      <c r="A633" s="5356" t="s">
        <v>437</v>
      </c>
      <c r="B633" s="5356"/>
      <c r="C633" s="5389"/>
      <c r="D633" s="5389"/>
      <c r="E633" s="5389"/>
      <c r="F633" s="5389"/>
      <c r="G633" s="5389"/>
      <c r="H633" s="5389"/>
      <c r="I633" s="5389"/>
      <c r="J633" s="5389"/>
      <c r="K633" s="5389"/>
      <c r="L633" s="5389"/>
      <c r="M633" s="5389"/>
      <c r="N633" s="1419"/>
      <c r="O633" s="3281" t="s">
        <v>863</v>
      </c>
      <c r="P633" s="5370"/>
      <c r="Q633" s="5370"/>
      <c r="R633" s="5370"/>
      <c r="S633" s="5370"/>
      <c r="T633" s="5370"/>
      <c r="U633" s="1420"/>
      <c r="V633" s="3281"/>
      <c r="W633" s="3281" t="s">
        <v>1159</v>
      </c>
      <c r="X633" s="5358" t="str">
        <f>X593</f>
        <v>8  DE  AGOSTO  DE  2012</v>
      </c>
      <c r="Y633" s="5358"/>
      <c r="Z633" s="5358"/>
      <c r="AA633" s="5358"/>
      <c r="AB633" s="5358"/>
      <c r="AC633" s="5331" t="str">
        <f>D592</f>
        <v>COLEGIO KING DAVID</v>
      </c>
      <c r="AD633" s="5331"/>
      <c r="AE633" s="5331"/>
      <c r="AF633" s="5331"/>
      <c r="AG633" s="5331"/>
      <c r="AH633" s="5331"/>
      <c r="AI633" s="5332" t="str">
        <f>M592</f>
        <v>23PPR0163X</v>
      </c>
      <c r="AJ633" s="5332"/>
      <c r="AK633" s="5332"/>
      <c r="AL633" s="3446"/>
      <c r="AM633" s="3446"/>
      <c r="AN633" s="3446"/>
      <c r="AO633" s="3446"/>
      <c r="AP633" s="3446"/>
      <c r="AQ633" s="3446"/>
      <c r="AR633" s="3446"/>
      <c r="AS633" s="2166"/>
    </row>
    <row r="634" spans="1:45" s="1441" customFormat="1" ht="9.9499999999999993" customHeight="1">
      <c r="A634" s="1421"/>
      <c r="B634" s="1422"/>
      <c r="C634" s="1422"/>
      <c r="D634" s="3261"/>
      <c r="E634" s="3261"/>
      <c r="F634" s="3261"/>
      <c r="G634" s="3261"/>
      <c r="H634" s="3261"/>
      <c r="I634" s="3261"/>
      <c r="J634" s="3261"/>
      <c r="K634" s="3261"/>
      <c r="L634" s="3261"/>
      <c r="M634" s="1421"/>
      <c r="N634" s="1423"/>
      <c r="O634" s="1423"/>
      <c r="P634" s="1423"/>
      <c r="Q634" s="1424"/>
      <c r="R634" s="1423"/>
      <c r="S634" s="1423"/>
      <c r="T634" s="1422"/>
      <c r="U634" s="1422"/>
      <c r="V634" s="3261"/>
      <c r="W634" s="3261"/>
      <c r="X634" s="3261"/>
      <c r="Y634" s="3261"/>
      <c r="Z634" s="1422"/>
      <c r="AA634" s="1422"/>
      <c r="AB634" s="1422"/>
      <c r="AC634" s="2689"/>
      <c r="AD634" s="2690"/>
      <c r="AE634" s="2639"/>
      <c r="AF634" s="2640"/>
      <c r="AG634" s="2639"/>
      <c r="AH634" s="2640"/>
      <c r="AI634" s="1444"/>
      <c r="AJ634" s="1444"/>
      <c r="AK634" s="2636"/>
      <c r="AL634" s="3445"/>
      <c r="AM634" s="3445"/>
      <c r="AN634" s="3445"/>
      <c r="AO634" s="3445"/>
      <c r="AP634" s="3445"/>
      <c r="AQ634" s="3445"/>
      <c r="AR634" s="3445"/>
      <c r="AS634" s="108"/>
    </row>
    <row r="635" spans="1:45" s="1442" customFormat="1" ht="27.95" customHeight="1">
      <c r="A635" s="5415" t="s">
        <v>1160</v>
      </c>
      <c r="B635" s="5416" t="s">
        <v>1235</v>
      </c>
      <c r="C635" s="5416"/>
      <c r="D635" s="5416"/>
      <c r="E635" s="5416"/>
      <c r="F635" s="5416"/>
      <c r="G635" s="5416"/>
      <c r="H635" s="5417" t="s">
        <v>1161</v>
      </c>
      <c r="I635" s="5417"/>
      <c r="J635" s="5417" t="s">
        <v>212</v>
      </c>
      <c r="K635" s="5417" t="s">
        <v>1162</v>
      </c>
      <c r="L635" s="5417" t="s">
        <v>1163</v>
      </c>
      <c r="M635" s="5417"/>
      <c r="N635" s="5417" t="s">
        <v>1164</v>
      </c>
      <c r="O635" s="5417"/>
      <c r="P635" s="5417" t="s">
        <v>1165</v>
      </c>
      <c r="Q635" s="5417"/>
      <c r="R635" s="5417" t="s">
        <v>1166</v>
      </c>
      <c r="S635" s="5417"/>
      <c r="T635" s="5417" t="s">
        <v>1167</v>
      </c>
      <c r="U635" s="5417" t="s">
        <v>1168</v>
      </c>
      <c r="V635" s="5417"/>
      <c r="W635" s="5417" t="s">
        <v>1169</v>
      </c>
      <c r="X635" s="5417"/>
      <c r="Y635" s="5417" t="s">
        <v>3</v>
      </c>
      <c r="Z635" s="5417" t="s">
        <v>4</v>
      </c>
      <c r="AA635" s="5417" t="s">
        <v>28</v>
      </c>
      <c r="AB635" s="5417"/>
      <c r="AC635" s="5340" t="str">
        <f>AC555</f>
        <v>INICIAL</v>
      </c>
      <c r="AD635" s="5340"/>
      <c r="AE635" s="5344" t="str">
        <f>AE555</f>
        <v>ALTAS</v>
      </c>
      <c r="AF635" s="5345"/>
      <c r="AG635" s="5346" t="str">
        <f>AG555</f>
        <v>BAJAS</v>
      </c>
      <c r="AH635" s="5347"/>
      <c r="AI635" s="5333" t="str">
        <f>AI555</f>
        <v>REP</v>
      </c>
      <c r="AJ635" s="5333"/>
      <c r="AK635" s="2625" t="str">
        <f>AK555</f>
        <v>INI</v>
      </c>
      <c r="AL635" s="5328" t="s">
        <v>2509</v>
      </c>
      <c r="AM635" s="5329"/>
      <c r="AN635" s="5329"/>
      <c r="AO635" s="5329"/>
      <c r="AP635" s="5329"/>
      <c r="AQ635" s="5329"/>
      <c r="AR635" s="5330"/>
    </row>
    <row r="636" spans="1:45" s="1442" customFormat="1" ht="27.95" customHeight="1">
      <c r="A636" s="5415"/>
      <c r="B636" s="5416"/>
      <c r="C636" s="5416"/>
      <c r="D636" s="5416"/>
      <c r="E636" s="5416"/>
      <c r="F636" s="5416"/>
      <c r="G636" s="5416"/>
      <c r="H636" s="3269" t="s">
        <v>407</v>
      </c>
      <c r="I636" s="3269" t="s">
        <v>403</v>
      </c>
      <c r="J636" s="5417"/>
      <c r="K636" s="5417"/>
      <c r="L636" s="5417"/>
      <c r="M636" s="5417"/>
      <c r="N636" s="5417"/>
      <c r="O636" s="5417"/>
      <c r="P636" s="3269" t="s">
        <v>1170</v>
      </c>
      <c r="Q636" s="3269" t="s">
        <v>1171</v>
      </c>
      <c r="R636" s="3269" t="s">
        <v>1172</v>
      </c>
      <c r="S636" s="3269" t="s">
        <v>1173</v>
      </c>
      <c r="T636" s="5417"/>
      <c r="U636" s="5417"/>
      <c r="V636" s="5417"/>
      <c r="W636" s="5417"/>
      <c r="X636" s="5417"/>
      <c r="Y636" s="5417"/>
      <c r="Z636" s="5417"/>
      <c r="AA636" s="5417"/>
      <c r="AB636" s="5417"/>
      <c r="AC636" s="3561" t="str">
        <f>AC556</f>
        <v>H</v>
      </c>
      <c r="AD636" s="2686" t="str">
        <f>AD556</f>
        <v>M</v>
      </c>
      <c r="AE636" s="3561" t="str">
        <f t="shared" ref="AE636:AJ636" si="189">AE596</f>
        <v>H</v>
      </c>
      <c r="AF636" s="2686" t="str">
        <f t="shared" si="189"/>
        <v>M</v>
      </c>
      <c r="AG636" s="3561" t="str">
        <f t="shared" si="189"/>
        <v>H</v>
      </c>
      <c r="AH636" s="2686" t="str">
        <f t="shared" si="189"/>
        <v>M</v>
      </c>
      <c r="AI636" s="3561" t="str">
        <f t="shared" si="189"/>
        <v>H</v>
      </c>
      <c r="AJ636" s="2686" t="str">
        <f t="shared" si="189"/>
        <v>M</v>
      </c>
      <c r="AK636" s="2627" t="str">
        <f>AK556</f>
        <v>TTS</v>
      </c>
      <c r="AL636" s="3455" t="s">
        <v>393</v>
      </c>
      <c r="AM636" s="3463" t="s">
        <v>8</v>
      </c>
      <c r="AN636" s="3456" t="s">
        <v>347</v>
      </c>
      <c r="AO636" s="3456" t="s">
        <v>348</v>
      </c>
      <c r="AP636" s="3456" t="s">
        <v>2062</v>
      </c>
      <c r="AQ636" s="3457" t="s">
        <v>2081</v>
      </c>
      <c r="AR636" s="3456" t="s">
        <v>2510</v>
      </c>
    </row>
    <row r="637" spans="1:45" s="1443" customFormat="1" ht="27.95" customHeight="1">
      <c r="A637" s="3280"/>
      <c r="B637" s="2292"/>
      <c r="C637" s="2293"/>
      <c r="D637" s="2293"/>
      <c r="E637" s="2293"/>
      <c r="F637" s="2293"/>
      <c r="G637" s="2294"/>
      <c r="H637" s="3280"/>
      <c r="I637" s="3280"/>
      <c r="J637" s="2295"/>
      <c r="K637" s="3280"/>
      <c r="L637" s="5460"/>
      <c r="M637" s="5460"/>
      <c r="N637" s="5461"/>
      <c r="O637" s="5461"/>
      <c r="P637" s="3280"/>
      <c r="Q637" s="3280"/>
      <c r="R637" s="3280"/>
      <c r="S637" s="2879"/>
      <c r="T637" s="3280"/>
      <c r="U637" s="5461"/>
      <c r="V637" s="5461"/>
      <c r="W637" s="5462"/>
      <c r="X637" s="5462"/>
      <c r="Y637" s="2694"/>
      <c r="Z637" s="2694"/>
      <c r="AA637" s="5463">
        <f>AC637+AD637+AE637+AF637-AG637-AH637</f>
        <v>0</v>
      </c>
      <c r="AB637" s="5463"/>
      <c r="AC637" s="2682"/>
      <c r="AD637" s="3289"/>
      <c r="AE637" s="2628"/>
      <c r="AF637" s="2629"/>
      <c r="AG637" s="2628"/>
      <c r="AH637" s="2629"/>
      <c r="AI637" s="2628"/>
      <c r="AJ637" s="2629"/>
      <c r="AK637" s="2670">
        <f t="shared" ref="AK637:AK654" si="190">SUM(AC637:AD637)</f>
        <v>0</v>
      </c>
      <c r="AL637" s="3464"/>
      <c r="AM637" s="3448"/>
      <c r="AN637" s="3448"/>
      <c r="AO637" s="3448"/>
      <c r="AP637" s="3448"/>
      <c r="AQ637" s="3448"/>
      <c r="AR637" s="3458" t="e">
        <f t="shared" ref="AR637:AR650" si="191">SUM(AM637:AQ637)/AS637</f>
        <v>#DIV/0!</v>
      </c>
      <c r="AS637" s="1446"/>
    </row>
    <row r="638" spans="1:45" s="1443" customFormat="1" ht="27.95" customHeight="1">
      <c r="A638" s="3280"/>
      <c r="B638" s="2292"/>
      <c r="C638" s="2293"/>
      <c r="D638" s="2293"/>
      <c r="E638" s="2293"/>
      <c r="F638" s="2293"/>
      <c r="G638" s="2294"/>
      <c r="H638" s="3280"/>
      <c r="I638" s="3280"/>
      <c r="J638" s="2295"/>
      <c r="K638" s="3280"/>
      <c r="L638" s="5460"/>
      <c r="M638" s="5460"/>
      <c r="N638" s="5461"/>
      <c r="O638" s="5461"/>
      <c r="P638" s="3280"/>
      <c r="Q638" s="3280"/>
      <c r="R638" s="3280"/>
      <c r="S638" s="2879"/>
      <c r="T638" s="3280"/>
      <c r="U638" s="5461"/>
      <c r="V638" s="5461"/>
      <c r="W638" s="5462"/>
      <c r="X638" s="5462"/>
      <c r="Y638" s="2694"/>
      <c r="Z638" s="2694"/>
      <c r="AA638" s="5463">
        <f t="shared" ref="AA638:AA662" si="192">AC638+AD638+AE638+AF638-AG638-AH638</f>
        <v>0</v>
      </c>
      <c r="AB638" s="5463"/>
      <c r="AC638" s="2682"/>
      <c r="AD638" s="3289"/>
      <c r="AE638" s="2628"/>
      <c r="AF638" s="2629"/>
      <c r="AG638" s="2628"/>
      <c r="AH638" s="2629"/>
      <c r="AI638" s="2628"/>
      <c r="AJ638" s="2629"/>
      <c r="AK638" s="2671">
        <f t="shared" si="190"/>
        <v>0</v>
      </c>
      <c r="AL638" s="3464"/>
      <c r="AM638" s="3448"/>
      <c r="AN638" s="3448"/>
      <c r="AO638" s="3448"/>
      <c r="AP638" s="3448"/>
      <c r="AQ638" s="3448"/>
      <c r="AR638" s="3458" t="e">
        <f t="shared" si="191"/>
        <v>#DIV/0!</v>
      </c>
      <c r="AS638" s="1446"/>
    </row>
    <row r="639" spans="1:45" s="1443" customFormat="1" ht="27.95" customHeight="1">
      <c r="A639" s="3280"/>
      <c r="B639" s="2292"/>
      <c r="C639" s="2293"/>
      <c r="D639" s="2293"/>
      <c r="E639" s="2293"/>
      <c r="F639" s="2293"/>
      <c r="G639" s="2294"/>
      <c r="H639" s="3280"/>
      <c r="I639" s="3280"/>
      <c r="J639" s="2295"/>
      <c r="K639" s="3280"/>
      <c r="L639" s="5460"/>
      <c r="M639" s="5460"/>
      <c r="N639" s="5461"/>
      <c r="O639" s="5461"/>
      <c r="P639" s="3280"/>
      <c r="Q639" s="3280"/>
      <c r="R639" s="3280"/>
      <c r="S639" s="2879"/>
      <c r="T639" s="3280"/>
      <c r="U639" s="5461"/>
      <c r="V639" s="5461"/>
      <c r="W639" s="5462"/>
      <c r="X639" s="5462"/>
      <c r="Y639" s="2694"/>
      <c r="Z639" s="2694"/>
      <c r="AA639" s="5463">
        <f t="shared" si="192"/>
        <v>0</v>
      </c>
      <c r="AB639" s="5463"/>
      <c r="AC639" s="2682"/>
      <c r="AD639" s="3289"/>
      <c r="AE639" s="2628"/>
      <c r="AF639" s="2629"/>
      <c r="AG639" s="2628"/>
      <c r="AH639" s="2629"/>
      <c r="AI639" s="2628"/>
      <c r="AJ639" s="2629"/>
      <c r="AK639" s="2671">
        <f t="shared" si="190"/>
        <v>0</v>
      </c>
      <c r="AL639" s="3464"/>
      <c r="AM639" s="3448"/>
      <c r="AN639" s="3448"/>
      <c r="AO639" s="3448"/>
      <c r="AP639" s="3448"/>
      <c r="AQ639" s="3448"/>
      <c r="AR639" s="3458" t="e">
        <f t="shared" si="191"/>
        <v>#DIV/0!</v>
      </c>
      <c r="AS639" s="1446"/>
    </row>
    <row r="640" spans="1:45" s="1443" customFormat="1" ht="27.95" customHeight="1">
      <c r="A640" s="3280"/>
      <c r="B640" s="2292"/>
      <c r="C640" s="2293"/>
      <c r="D640" s="2293"/>
      <c r="E640" s="2293"/>
      <c r="F640" s="2293"/>
      <c r="G640" s="2294"/>
      <c r="H640" s="3280"/>
      <c r="I640" s="3280"/>
      <c r="J640" s="2295"/>
      <c r="K640" s="3280"/>
      <c r="L640" s="5460"/>
      <c r="M640" s="5460"/>
      <c r="N640" s="5461"/>
      <c r="O640" s="5461"/>
      <c r="P640" s="3280"/>
      <c r="Q640" s="3280"/>
      <c r="R640" s="3280"/>
      <c r="S640" s="2879"/>
      <c r="T640" s="3280"/>
      <c r="U640" s="5461"/>
      <c r="V640" s="5461"/>
      <c r="W640" s="5462"/>
      <c r="X640" s="5462"/>
      <c r="Y640" s="2694"/>
      <c r="Z640" s="2694"/>
      <c r="AA640" s="5463">
        <f t="shared" si="192"/>
        <v>0</v>
      </c>
      <c r="AB640" s="5463"/>
      <c r="AC640" s="2682"/>
      <c r="AD640" s="3289"/>
      <c r="AE640" s="2628"/>
      <c r="AF640" s="2629"/>
      <c r="AG640" s="2628"/>
      <c r="AH640" s="2629"/>
      <c r="AI640" s="2628"/>
      <c r="AJ640" s="2629"/>
      <c r="AK640" s="2671">
        <f t="shared" si="190"/>
        <v>0</v>
      </c>
      <c r="AL640" s="3464"/>
      <c r="AM640" s="3448"/>
      <c r="AN640" s="3448"/>
      <c r="AO640" s="3448"/>
      <c r="AP640" s="3448"/>
      <c r="AQ640" s="3448"/>
      <c r="AR640" s="3458" t="e">
        <f t="shared" si="191"/>
        <v>#DIV/0!</v>
      </c>
      <c r="AS640" s="1446"/>
    </row>
    <row r="641" spans="1:45" s="1443" customFormat="1" ht="27.95" customHeight="1">
      <c r="A641" s="3280"/>
      <c r="B641" s="2292"/>
      <c r="C641" s="2293"/>
      <c r="D641" s="2293"/>
      <c r="E641" s="2293"/>
      <c r="F641" s="2293"/>
      <c r="G641" s="2294"/>
      <c r="H641" s="3280"/>
      <c r="I641" s="3280"/>
      <c r="J641" s="2295"/>
      <c r="K641" s="3280"/>
      <c r="L641" s="5460"/>
      <c r="M641" s="5460"/>
      <c r="N641" s="5461"/>
      <c r="O641" s="5461"/>
      <c r="P641" s="3280"/>
      <c r="Q641" s="3280"/>
      <c r="R641" s="3280"/>
      <c r="S641" s="2879"/>
      <c r="T641" s="3280"/>
      <c r="U641" s="5461"/>
      <c r="V641" s="5461"/>
      <c r="W641" s="5462"/>
      <c r="X641" s="5462"/>
      <c r="Y641" s="2694"/>
      <c r="Z641" s="2694"/>
      <c r="AA641" s="5463">
        <f t="shared" si="192"/>
        <v>0</v>
      </c>
      <c r="AB641" s="5463"/>
      <c r="AC641" s="2682"/>
      <c r="AD641" s="3289"/>
      <c r="AE641" s="2628"/>
      <c r="AF641" s="2629"/>
      <c r="AG641" s="2628"/>
      <c r="AH641" s="2629"/>
      <c r="AI641" s="2628"/>
      <c r="AJ641" s="2629"/>
      <c r="AK641" s="2671">
        <f t="shared" si="190"/>
        <v>0</v>
      </c>
      <c r="AL641" s="3464"/>
      <c r="AM641" s="3448"/>
      <c r="AN641" s="3448"/>
      <c r="AO641" s="3448"/>
      <c r="AP641" s="3448"/>
      <c r="AQ641" s="3448"/>
      <c r="AR641" s="3458" t="e">
        <f t="shared" si="191"/>
        <v>#DIV/0!</v>
      </c>
      <c r="AS641" s="1446"/>
    </row>
    <row r="642" spans="1:45" s="1443" customFormat="1" ht="27.95" customHeight="1">
      <c r="A642" s="3280"/>
      <c r="B642" s="2292"/>
      <c r="C642" s="2293"/>
      <c r="D642" s="2293"/>
      <c r="E642" s="2293"/>
      <c r="F642" s="2293"/>
      <c r="G642" s="2294"/>
      <c r="H642" s="3280"/>
      <c r="I642" s="3280"/>
      <c r="J642" s="2295"/>
      <c r="K642" s="3280"/>
      <c r="L642" s="5460"/>
      <c r="M642" s="5460"/>
      <c r="N642" s="5461"/>
      <c r="O642" s="5461"/>
      <c r="P642" s="3280"/>
      <c r="Q642" s="3280"/>
      <c r="R642" s="3280"/>
      <c r="S642" s="2879"/>
      <c r="T642" s="3280"/>
      <c r="U642" s="5461"/>
      <c r="V642" s="5461"/>
      <c r="W642" s="5462"/>
      <c r="X642" s="5462"/>
      <c r="Y642" s="2694"/>
      <c r="Z642" s="2694"/>
      <c r="AA642" s="5463">
        <f t="shared" si="192"/>
        <v>0</v>
      </c>
      <c r="AB642" s="5463"/>
      <c r="AC642" s="2682"/>
      <c r="AD642" s="3289"/>
      <c r="AE642" s="2628"/>
      <c r="AF642" s="2629"/>
      <c r="AG642" s="2628"/>
      <c r="AH642" s="2629"/>
      <c r="AI642" s="2628"/>
      <c r="AJ642" s="2629"/>
      <c r="AK642" s="2671">
        <f t="shared" si="190"/>
        <v>0</v>
      </c>
      <c r="AL642" s="3464"/>
      <c r="AM642" s="3448"/>
      <c r="AN642" s="3448"/>
      <c r="AO642" s="3448"/>
      <c r="AP642" s="3448"/>
      <c r="AQ642" s="3448"/>
      <c r="AR642" s="3458" t="e">
        <f t="shared" si="191"/>
        <v>#DIV/0!</v>
      </c>
      <c r="AS642" s="1446"/>
    </row>
    <row r="643" spans="1:45" s="1443" customFormat="1" ht="27.95" customHeight="1">
      <c r="A643" s="3280"/>
      <c r="B643" s="2292"/>
      <c r="C643" s="2293"/>
      <c r="D643" s="2293"/>
      <c r="E643" s="2293"/>
      <c r="F643" s="2293"/>
      <c r="G643" s="2294"/>
      <c r="H643" s="3280"/>
      <c r="I643" s="3280"/>
      <c r="J643" s="2295"/>
      <c r="K643" s="3280"/>
      <c r="L643" s="5460"/>
      <c r="M643" s="5460"/>
      <c r="N643" s="5461"/>
      <c r="O643" s="5461"/>
      <c r="P643" s="3280"/>
      <c r="Q643" s="3280"/>
      <c r="R643" s="3280"/>
      <c r="S643" s="2879"/>
      <c r="T643" s="3280"/>
      <c r="U643" s="5461"/>
      <c r="V643" s="5461"/>
      <c r="W643" s="5462"/>
      <c r="X643" s="5462"/>
      <c r="Y643" s="2694"/>
      <c r="Z643" s="2694"/>
      <c r="AA643" s="5463">
        <f>AC643+AD643+AE643+AF643-AG643-AH643</f>
        <v>0</v>
      </c>
      <c r="AB643" s="5463"/>
      <c r="AC643" s="2682"/>
      <c r="AD643" s="3289"/>
      <c r="AE643" s="2628"/>
      <c r="AF643" s="2629"/>
      <c r="AG643" s="2628"/>
      <c r="AH643" s="2629"/>
      <c r="AI643" s="2628"/>
      <c r="AJ643" s="2629"/>
      <c r="AK643" s="2671">
        <f t="shared" si="190"/>
        <v>0</v>
      </c>
      <c r="AL643" s="3464"/>
      <c r="AM643" s="3448"/>
      <c r="AN643" s="3448"/>
      <c r="AO643" s="3448"/>
      <c r="AP643" s="3448"/>
      <c r="AQ643" s="3448"/>
      <c r="AR643" s="3458" t="e">
        <f t="shared" si="191"/>
        <v>#DIV/0!</v>
      </c>
      <c r="AS643" s="1446"/>
    </row>
    <row r="644" spans="1:45" s="1443" customFormat="1" ht="27.95" customHeight="1">
      <c r="A644" s="3280"/>
      <c r="B644" s="2292"/>
      <c r="C644" s="2293"/>
      <c r="D644" s="2293"/>
      <c r="E644" s="2293"/>
      <c r="F644" s="2293"/>
      <c r="G644" s="2294"/>
      <c r="H644" s="3280"/>
      <c r="I644" s="3280"/>
      <c r="J644" s="2295"/>
      <c r="K644" s="3280"/>
      <c r="L644" s="5460"/>
      <c r="M644" s="5460"/>
      <c r="N644" s="5461"/>
      <c r="O644" s="5461"/>
      <c r="P644" s="3280"/>
      <c r="Q644" s="3280"/>
      <c r="R644" s="3280"/>
      <c r="S644" s="2879"/>
      <c r="T644" s="3280"/>
      <c r="U644" s="5461"/>
      <c r="V644" s="5461"/>
      <c r="W644" s="5462"/>
      <c r="X644" s="5462"/>
      <c r="Y644" s="2694"/>
      <c r="Z644" s="2694"/>
      <c r="AA644" s="5463">
        <f t="shared" si="192"/>
        <v>0</v>
      </c>
      <c r="AB644" s="5463"/>
      <c r="AC644" s="2682"/>
      <c r="AD644" s="3289"/>
      <c r="AE644" s="2628"/>
      <c r="AF644" s="2629"/>
      <c r="AG644" s="2628"/>
      <c r="AH644" s="2629"/>
      <c r="AI644" s="2628"/>
      <c r="AJ644" s="2629"/>
      <c r="AK644" s="2671">
        <f t="shared" si="190"/>
        <v>0</v>
      </c>
      <c r="AL644" s="3464"/>
      <c r="AM644" s="3448"/>
      <c r="AN644" s="3448"/>
      <c r="AO644" s="3448"/>
      <c r="AP644" s="3448"/>
      <c r="AQ644" s="3448"/>
      <c r="AR644" s="3458" t="e">
        <f t="shared" si="191"/>
        <v>#DIV/0!</v>
      </c>
      <c r="AS644" s="1446"/>
    </row>
    <row r="645" spans="1:45" s="1444" customFormat="1" ht="27.95" customHeight="1">
      <c r="A645" s="3280"/>
      <c r="B645" s="2292"/>
      <c r="C645" s="2293"/>
      <c r="D645" s="2293"/>
      <c r="E645" s="2293"/>
      <c r="F645" s="2293"/>
      <c r="G645" s="2294"/>
      <c r="H645" s="3280"/>
      <c r="I645" s="3280"/>
      <c r="J645" s="2295"/>
      <c r="K645" s="3280"/>
      <c r="L645" s="5460"/>
      <c r="M645" s="5460"/>
      <c r="N645" s="5461"/>
      <c r="O645" s="5461"/>
      <c r="P645" s="3280"/>
      <c r="Q645" s="3280"/>
      <c r="R645" s="3280"/>
      <c r="S645" s="2879"/>
      <c r="T645" s="3280"/>
      <c r="U645" s="5461"/>
      <c r="V645" s="5461"/>
      <c r="W645" s="5462"/>
      <c r="X645" s="5462"/>
      <c r="Y645" s="2694"/>
      <c r="Z645" s="2694"/>
      <c r="AA645" s="5463">
        <f t="shared" si="192"/>
        <v>0</v>
      </c>
      <c r="AB645" s="5463"/>
      <c r="AC645" s="2682"/>
      <c r="AD645" s="3289"/>
      <c r="AE645" s="2628"/>
      <c r="AF645" s="2629"/>
      <c r="AG645" s="2628"/>
      <c r="AH645" s="2629"/>
      <c r="AI645" s="2628"/>
      <c r="AJ645" s="2629"/>
      <c r="AK645" s="2671">
        <f t="shared" si="190"/>
        <v>0</v>
      </c>
      <c r="AL645" s="3464"/>
      <c r="AM645" s="3448"/>
      <c r="AN645" s="3448"/>
      <c r="AO645" s="3448"/>
      <c r="AP645" s="3448"/>
      <c r="AQ645" s="3448"/>
      <c r="AR645" s="3458" t="e">
        <f t="shared" si="191"/>
        <v>#DIV/0!</v>
      </c>
      <c r="AS645" s="1446"/>
    </row>
    <row r="646" spans="1:45" s="1444" customFormat="1" ht="27.95" customHeight="1">
      <c r="A646" s="3280"/>
      <c r="B646" s="2292"/>
      <c r="C646" s="2293"/>
      <c r="D646" s="2293"/>
      <c r="E646" s="2293"/>
      <c r="F646" s="2293"/>
      <c r="G646" s="2294"/>
      <c r="H646" s="3280"/>
      <c r="I646" s="3280"/>
      <c r="J646" s="2295"/>
      <c r="K646" s="3280"/>
      <c r="L646" s="5460"/>
      <c r="M646" s="5460"/>
      <c r="N646" s="5461"/>
      <c r="O646" s="5461"/>
      <c r="P646" s="3280"/>
      <c r="Q646" s="3280"/>
      <c r="R646" s="3280"/>
      <c r="S646" s="2879"/>
      <c r="T646" s="3280"/>
      <c r="U646" s="5461"/>
      <c r="V646" s="5461"/>
      <c r="W646" s="5462"/>
      <c r="X646" s="5462"/>
      <c r="Y646" s="2694"/>
      <c r="Z646" s="2694"/>
      <c r="AA646" s="5463">
        <f t="shared" si="192"/>
        <v>0</v>
      </c>
      <c r="AB646" s="5463"/>
      <c r="AC646" s="2682"/>
      <c r="AD646" s="3289"/>
      <c r="AE646" s="2628"/>
      <c r="AF646" s="2629"/>
      <c r="AG646" s="2628"/>
      <c r="AH646" s="2629"/>
      <c r="AI646" s="2628"/>
      <c r="AJ646" s="2629"/>
      <c r="AK646" s="2671">
        <f t="shared" si="190"/>
        <v>0</v>
      </c>
      <c r="AL646" s="3464"/>
      <c r="AM646" s="3448"/>
      <c r="AN646" s="3448"/>
      <c r="AO646" s="3448"/>
      <c r="AP646" s="3448"/>
      <c r="AQ646" s="3448"/>
      <c r="AR646" s="3458" t="e">
        <f t="shared" si="191"/>
        <v>#DIV/0!</v>
      </c>
      <c r="AS646" s="1446"/>
    </row>
    <row r="647" spans="1:45" s="1444" customFormat="1" ht="27.95" customHeight="1">
      <c r="A647" s="3280"/>
      <c r="B647" s="2292"/>
      <c r="C647" s="2293"/>
      <c r="D647" s="2293"/>
      <c r="E647" s="2293"/>
      <c r="F647" s="2293"/>
      <c r="G647" s="2294"/>
      <c r="H647" s="3280"/>
      <c r="I647" s="3280"/>
      <c r="J647" s="2295"/>
      <c r="K647" s="3280"/>
      <c r="L647" s="5460"/>
      <c r="M647" s="5460"/>
      <c r="N647" s="5461"/>
      <c r="O647" s="5461"/>
      <c r="P647" s="3280"/>
      <c r="Q647" s="3280"/>
      <c r="R647" s="3280"/>
      <c r="S647" s="2879"/>
      <c r="T647" s="3280"/>
      <c r="U647" s="5461"/>
      <c r="V647" s="5461"/>
      <c r="W647" s="5462"/>
      <c r="X647" s="5462"/>
      <c r="Y647" s="2694"/>
      <c r="Z647" s="2694"/>
      <c r="AA647" s="5463">
        <f t="shared" si="192"/>
        <v>0</v>
      </c>
      <c r="AB647" s="5463"/>
      <c r="AC647" s="2682"/>
      <c r="AD647" s="3289"/>
      <c r="AE647" s="2628"/>
      <c r="AF647" s="2629"/>
      <c r="AG647" s="2628"/>
      <c r="AH647" s="2629"/>
      <c r="AI647" s="2628"/>
      <c r="AJ647" s="2629"/>
      <c r="AK647" s="2671">
        <f t="shared" si="190"/>
        <v>0</v>
      </c>
      <c r="AL647" s="3464"/>
      <c r="AM647" s="3448"/>
      <c r="AN647" s="3448"/>
      <c r="AO647" s="3448"/>
      <c r="AP647" s="3448"/>
      <c r="AQ647" s="3448"/>
      <c r="AR647" s="3458" t="e">
        <f t="shared" si="191"/>
        <v>#DIV/0!</v>
      </c>
      <c r="AS647" s="1446"/>
    </row>
    <row r="648" spans="1:45" s="1444" customFormat="1" ht="27.95" customHeight="1">
      <c r="A648" s="3280"/>
      <c r="B648" s="2292"/>
      <c r="C648" s="2293"/>
      <c r="D648" s="2293"/>
      <c r="E648" s="2293"/>
      <c r="F648" s="2293"/>
      <c r="G648" s="2294"/>
      <c r="H648" s="3280"/>
      <c r="I648" s="3280"/>
      <c r="J648" s="2295"/>
      <c r="K648" s="3280"/>
      <c r="L648" s="5460"/>
      <c r="M648" s="5460"/>
      <c r="N648" s="5461"/>
      <c r="O648" s="5461"/>
      <c r="P648" s="3280"/>
      <c r="Q648" s="3280"/>
      <c r="R648" s="3280"/>
      <c r="S648" s="2879"/>
      <c r="T648" s="3280"/>
      <c r="U648" s="5461"/>
      <c r="V648" s="5461"/>
      <c r="W648" s="5462"/>
      <c r="X648" s="5462"/>
      <c r="Y648" s="2694"/>
      <c r="Z648" s="2694"/>
      <c r="AA648" s="5463">
        <f t="shared" si="192"/>
        <v>0</v>
      </c>
      <c r="AB648" s="5463"/>
      <c r="AC648" s="2682"/>
      <c r="AD648" s="3289"/>
      <c r="AE648" s="2628"/>
      <c r="AF648" s="2629"/>
      <c r="AG648" s="2628"/>
      <c r="AH648" s="2629"/>
      <c r="AI648" s="2628"/>
      <c r="AJ648" s="2629"/>
      <c r="AK648" s="2671">
        <f t="shared" si="190"/>
        <v>0</v>
      </c>
      <c r="AL648" s="3464"/>
      <c r="AM648" s="3448"/>
      <c r="AN648" s="3448"/>
      <c r="AO648" s="3448"/>
      <c r="AP648" s="3448"/>
      <c r="AQ648" s="3448"/>
      <c r="AR648" s="3458" t="e">
        <f t="shared" si="191"/>
        <v>#DIV/0!</v>
      </c>
      <c r="AS648" s="1446"/>
    </row>
    <row r="649" spans="1:45" s="1444" customFormat="1" ht="27.95" customHeight="1">
      <c r="A649" s="3280"/>
      <c r="B649" s="2292"/>
      <c r="C649" s="2293"/>
      <c r="D649" s="2293"/>
      <c r="E649" s="2293"/>
      <c r="F649" s="2293"/>
      <c r="G649" s="2294"/>
      <c r="H649" s="3280"/>
      <c r="I649" s="3280"/>
      <c r="J649" s="2295"/>
      <c r="K649" s="3280"/>
      <c r="L649" s="5460"/>
      <c r="M649" s="5460"/>
      <c r="N649" s="5461"/>
      <c r="O649" s="5461"/>
      <c r="P649" s="3280"/>
      <c r="Q649" s="3280"/>
      <c r="R649" s="3280"/>
      <c r="S649" s="2879"/>
      <c r="T649" s="3280"/>
      <c r="U649" s="5461"/>
      <c r="V649" s="5461"/>
      <c r="W649" s="5462"/>
      <c r="X649" s="5462"/>
      <c r="Y649" s="2694"/>
      <c r="Z649" s="2694"/>
      <c r="AA649" s="5463">
        <f t="shared" si="192"/>
        <v>0</v>
      </c>
      <c r="AB649" s="5463"/>
      <c r="AC649" s="2682"/>
      <c r="AD649" s="3289"/>
      <c r="AE649" s="2628"/>
      <c r="AF649" s="2629"/>
      <c r="AG649" s="2628"/>
      <c r="AH649" s="2629"/>
      <c r="AI649" s="2628"/>
      <c r="AJ649" s="2629"/>
      <c r="AK649" s="2671">
        <f t="shared" si="190"/>
        <v>0</v>
      </c>
      <c r="AL649" s="3464"/>
      <c r="AM649" s="3448"/>
      <c r="AN649" s="3448"/>
      <c r="AO649" s="3448"/>
      <c r="AP649" s="3448"/>
      <c r="AQ649" s="3448"/>
      <c r="AR649" s="3458" t="e">
        <f t="shared" si="191"/>
        <v>#DIV/0!</v>
      </c>
      <c r="AS649" s="1446"/>
    </row>
    <row r="650" spans="1:45" s="1444" customFormat="1" ht="27.95" customHeight="1">
      <c r="A650" s="3280"/>
      <c r="B650" s="2292"/>
      <c r="C650" s="2293"/>
      <c r="D650" s="2293"/>
      <c r="E650" s="2293"/>
      <c r="F650" s="2293"/>
      <c r="G650" s="2294"/>
      <c r="H650" s="3280"/>
      <c r="I650" s="3280"/>
      <c r="J650" s="2295"/>
      <c r="K650" s="3280"/>
      <c r="L650" s="5460"/>
      <c r="M650" s="5460"/>
      <c r="N650" s="5461"/>
      <c r="O650" s="5461"/>
      <c r="P650" s="3280"/>
      <c r="Q650" s="3280"/>
      <c r="R650" s="3280"/>
      <c r="S650" s="2879"/>
      <c r="T650" s="3280"/>
      <c r="U650" s="5461"/>
      <c r="V650" s="5461"/>
      <c r="W650" s="5462"/>
      <c r="X650" s="5462"/>
      <c r="Y650" s="2694"/>
      <c r="Z650" s="2694"/>
      <c r="AA650" s="5463">
        <f t="shared" si="192"/>
        <v>0</v>
      </c>
      <c r="AB650" s="5463"/>
      <c r="AC650" s="2682"/>
      <c r="AD650" s="3289"/>
      <c r="AE650" s="2628"/>
      <c r="AF650" s="2629"/>
      <c r="AG650" s="2628"/>
      <c r="AH650" s="2629"/>
      <c r="AI650" s="2628"/>
      <c r="AJ650" s="2629"/>
      <c r="AK650" s="2671">
        <f t="shared" si="190"/>
        <v>0</v>
      </c>
      <c r="AL650" s="3464"/>
      <c r="AM650" s="3448"/>
      <c r="AN650" s="3448"/>
      <c r="AO650" s="3448"/>
      <c r="AP650" s="3448"/>
      <c r="AQ650" s="3448"/>
      <c r="AR650" s="3458" t="e">
        <f t="shared" si="191"/>
        <v>#DIV/0!</v>
      </c>
      <c r="AS650" s="1446"/>
    </row>
    <row r="651" spans="1:45" s="1444" customFormat="1" ht="27.95" customHeight="1">
      <c r="A651" s="3280"/>
      <c r="B651" s="2292"/>
      <c r="C651" s="2293"/>
      <c r="D651" s="2293"/>
      <c r="E651" s="2293"/>
      <c r="F651" s="2293"/>
      <c r="G651" s="2294"/>
      <c r="H651" s="3280"/>
      <c r="I651" s="3280"/>
      <c r="J651" s="2295"/>
      <c r="K651" s="3280"/>
      <c r="L651" s="5460"/>
      <c r="M651" s="5460"/>
      <c r="N651" s="5461"/>
      <c r="O651" s="5461"/>
      <c r="P651" s="3280"/>
      <c r="Q651" s="3280"/>
      <c r="R651" s="3280"/>
      <c r="S651" s="2879"/>
      <c r="T651" s="3280"/>
      <c r="U651" s="5461"/>
      <c r="V651" s="5461"/>
      <c r="W651" s="5462"/>
      <c r="X651" s="5462"/>
      <c r="Y651" s="2694"/>
      <c r="Z651" s="2694"/>
      <c r="AA651" s="5463">
        <f t="shared" si="192"/>
        <v>0</v>
      </c>
      <c r="AB651" s="5463"/>
      <c r="AC651" s="2682"/>
      <c r="AD651" s="3289"/>
      <c r="AE651" s="2628"/>
      <c r="AF651" s="2629"/>
      <c r="AG651" s="2628"/>
      <c r="AH651" s="2629"/>
      <c r="AI651" s="2628"/>
      <c r="AJ651" s="2629"/>
      <c r="AK651" s="2671">
        <f t="shared" si="190"/>
        <v>0</v>
      </c>
      <c r="AL651" s="3464"/>
      <c r="AM651" s="3448"/>
      <c r="AN651" s="3448"/>
      <c r="AO651" s="3448"/>
      <c r="AP651" s="3448"/>
      <c r="AQ651" s="3448"/>
      <c r="AR651" s="3458" t="e">
        <f t="shared" ref="AR651:AR663" si="193">SUM(AM651:AQ651)/AS651</f>
        <v>#DIV/0!</v>
      </c>
      <c r="AS651" s="1446"/>
    </row>
    <row r="652" spans="1:45" s="1444" customFormat="1" ht="27.95" customHeight="1">
      <c r="A652" s="3280"/>
      <c r="B652" s="2292"/>
      <c r="C652" s="2293"/>
      <c r="D652" s="2293"/>
      <c r="E652" s="2293"/>
      <c r="F652" s="2293"/>
      <c r="G652" s="2294"/>
      <c r="H652" s="3280"/>
      <c r="I652" s="3280"/>
      <c r="J652" s="2295"/>
      <c r="K652" s="3280"/>
      <c r="L652" s="5460"/>
      <c r="M652" s="5460"/>
      <c r="N652" s="5461"/>
      <c r="O652" s="5461"/>
      <c r="P652" s="3280"/>
      <c r="Q652" s="3280"/>
      <c r="R652" s="3280"/>
      <c r="S652" s="2879"/>
      <c r="T652" s="3280"/>
      <c r="U652" s="5461"/>
      <c r="V652" s="5461"/>
      <c r="W652" s="5462"/>
      <c r="X652" s="5462"/>
      <c r="Y652" s="2694"/>
      <c r="Z652" s="2694"/>
      <c r="AA652" s="5463">
        <f t="shared" si="192"/>
        <v>0</v>
      </c>
      <c r="AB652" s="5463"/>
      <c r="AC652" s="2682"/>
      <c r="AD652" s="3289"/>
      <c r="AE652" s="2628"/>
      <c r="AF652" s="2629"/>
      <c r="AG652" s="2628"/>
      <c r="AH652" s="2629"/>
      <c r="AI652" s="2628"/>
      <c r="AJ652" s="2629"/>
      <c r="AK652" s="2671">
        <f t="shared" si="190"/>
        <v>0</v>
      </c>
      <c r="AL652" s="3464"/>
      <c r="AM652" s="3448"/>
      <c r="AN652" s="3448"/>
      <c r="AO652" s="3448"/>
      <c r="AP652" s="3448"/>
      <c r="AQ652" s="3448"/>
      <c r="AR652" s="3458" t="e">
        <f t="shared" si="193"/>
        <v>#DIV/0!</v>
      </c>
      <c r="AS652" s="1446"/>
    </row>
    <row r="653" spans="1:45" s="1444" customFormat="1" ht="27.95" customHeight="1">
      <c r="A653" s="3280"/>
      <c r="B653" s="2292"/>
      <c r="C653" s="2293"/>
      <c r="D653" s="2293"/>
      <c r="E653" s="2293"/>
      <c r="F653" s="2293"/>
      <c r="G653" s="2294"/>
      <c r="H653" s="3280"/>
      <c r="I653" s="3280"/>
      <c r="J653" s="2295"/>
      <c r="K653" s="3280"/>
      <c r="L653" s="5460"/>
      <c r="M653" s="5460"/>
      <c r="N653" s="5461"/>
      <c r="O653" s="5461"/>
      <c r="P653" s="3280"/>
      <c r="Q653" s="3280"/>
      <c r="R653" s="3280"/>
      <c r="S653" s="2879"/>
      <c r="T653" s="3280"/>
      <c r="U653" s="5461"/>
      <c r="V653" s="5461"/>
      <c r="W653" s="5462"/>
      <c r="X653" s="5462"/>
      <c r="Y653" s="2694"/>
      <c r="Z653" s="2694"/>
      <c r="AA653" s="5463">
        <f t="shared" si="192"/>
        <v>0</v>
      </c>
      <c r="AB653" s="5463"/>
      <c r="AC653" s="2682"/>
      <c r="AD653" s="3289"/>
      <c r="AE653" s="2628"/>
      <c r="AF653" s="2629"/>
      <c r="AG653" s="2628"/>
      <c r="AH653" s="2629"/>
      <c r="AI653" s="2628"/>
      <c r="AJ653" s="2629"/>
      <c r="AK653" s="2671">
        <f t="shared" si="190"/>
        <v>0</v>
      </c>
      <c r="AL653" s="3464"/>
      <c r="AM653" s="3448"/>
      <c r="AN653" s="3448"/>
      <c r="AO653" s="3448"/>
      <c r="AP653" s="3448"/>
      <c r="AQ653" s="3448"/>
      <c r="AR653" s="3458" t="e">
        <f t="shared" si="193"/>
        <v>#DIV/0!</v>
      </c>
      <c r="AS653" s="1446"/>
    </row>
    <row r="654" spans="1:45" s="1444" customFormat="1" ht="27.95" customHeight="1">
      <c r="A654" s="3274"/>
      <c r="B654" s="2292"/>
      <c r="C654" s="2293"/>
      <c r="D654" s="2293"/>
      <c r="E654" s="2293"/>
      <c r="F654" s="2293"/>
      <c r="G654" s="2294"/>
      <c r="H654" s="3280"/>
      <c r="I654" s="3280"/>
      <c r="J654" s="2295"/>
      <c r="K654" s="3280"/>
      <c r="L654" s="5460"/>
      <c r="M654" s="5460"/>
      <c r="N654" s="5461"/>
      <c r="O654" s="5461"/>
      <c r="P654" s="3280"/>
      <c r="Q654" s="3280"/>
      <c r="R654" s="3280"/>
      <c r="S654" s="2879"/>
      <c r="T654" s="3280"/>
      <c r="U654" s="5461"/>
      <c r="V654" s="5461"/>
      <c r="W654" s="5462"/>
      <c r="X654" s="5462"/>
      <c r="Y654" s="3286"/>
      <c r="Z654" s="3286"/>
      <c r="AA654" s="5352">
        <f t="shared" si="192"/>
        <v>0</v>
      </c>
      <c r="AB654" s="5352"/>
      <c r="AC654" s="2682"/>
      <c r="AD654" s="3289"/>
      <c r="AE654" s="2628"/>
      <c r="AF654" s="2629"/>
      <c r="AG654" s="2628"/>
      <c r="AH654" s="2629"/>
      <c r="AI654" s="2628"/>
      <c r="AJ654" s="2629"/>
      <c r="AK654" s="2671">
        <f t="shared" si="190"/>
        <v>0</v>
      </c>
      <c r="AL654" s="3464"/>
      <c r="AM654" s="3448"/>
      <c r="AN654" s="3448"/>
      <c r="AO654" s="3448"/>
      <c r="AP654" s="3448"/>
      <c r="AQ654" s="3448"/>
      <c r="AR654" s="3458" t="e">
        <f t="shared" si="193"/>
        <v>#DIV/0!</v>
      </c>
      <c r="AS654" s="1446"/>
    </row>
    <row r="655" spans="1:45" s="1444" customFormat="1" ht="27.95" customHeight="1">
      <c r="A655" s="3274"/>
      <c r="B655" s="2292"/>
      <c r="C655" s="2293"/>
      <c r="D655" s="2293"/>
      <c r="E655" s="2293"/>
      <c r="F655" s="2293"/>
      <c r="G655" s="2294"/>
      <c r="H655" s="3280"/>
      <c r="I655" s="3280"/>
      <c r="J655" s="2295"/>
      <c r="K655" s="3280"/>
      <c r="L655" s="5460"/>
      <c r="M655" s="5460"/>
      <c r="N655" s="5461"/>
      <c r="O655" s="5461"/>
      <c r="P655" s="3280"/>
      <c r="Q655" s="3280"/>
      <c r="R655" s="3280"/>
      <c r="S655" s="2879"/>
      <c r="T655" s="3280"/>
      <c r="U655" s="5461"/>
      <c r="V655" s="5461"/>
      <c r="W655" s="5462"/>
      <c r="X655" s="5462"/>
      <c r="Y655" s="3286"/>
      <c r="Z655" s="3286"/>
      <c r="AA655" s="5352">
        <f t="shared" si="192"/>
        <v>0</v>
      </c>
      <c r="AB655" s="5352"/>
      <c r="AC655" s="2682"/>
      <c r="AD655" s="3289"/>
      <c r="AE655" s="2628"/>
      <c r="AF655" s="2629"/>
      <c r="AG655" s="2628"/>
      <c r="AH655" s="2629"/>
      <c r="AI655" s="2628"/>
      <c r="AJ655" s="2629"/>
      <c r="AK655" s="2671">
        <f t="shared" ref="AK655:AK663" si="194">SUM(AC655:AD655)</f>
        <v>0</v>
      </c>
      <c r="AL655" s="3464"/>
      <c r="AM655" s="3448"/>
      <c r="AN655" s="3448"/>
      <c r="AO655" s="3448"/>
      <c r="AP655" s="3448"/>
      <c r="AQ655" s="3448"/>
      <c r="AR655" s="3458" t="e">
        <f t="shared" si="193"/>
        <v>#DIV/0!</v>
      </c>
      <c r="AS655" s="1446"/>
    </row>
    <row r="656" spans="1:45" s="1444" customFormat="1" ht="27.95" customHeight="1">
      <c r="A656" s="3274"/>
      <c r="B656" s="2292"/>
      <c r="C656" s="2293"/>
      <c r="D656" s="2293"/>
      <c r="E656" s="2293"/>
      <c r="F656" s="2293"/>
      <c r="G656" s="2294"/>
      <c r="H656" s="3280"/>
      <c r="I656" s="3280"/>
      <c r="J656" s="2295"/>
      <c r="K656" s="3280"/>
      <c r="L656" s="5460"/>
      <c r="M656" s="5460"/>
      <c r="N656" s="5461"/>
      <c r="O656" s="5461"/>
      <c r="P656" s="3280"/>
      <c r="Q656" s="3280"/>
      <c r="R656" s="3280"/>
      <c r="S656" s="2879"/>
      <c r="T656" s="3280"/>
      <c r="U656" s="5461"/>
      <c r="V656" s="5461"/>
      <c r="W656" s="5462"/>
      <c r="X656" s="5462"/>
      <c r="Y656" s="3286"/>
      <c r="Z656" s="3286"/>
      <c r="AA656" s="5352">
        <f t="shared" si="192"/>
        <v>0</v>
      </c>
      <c r="AB656" s="5352"/>
      <c r="AC656" s="2682"/>
      <c r="AD656" s="3289"/>
      <c r="AE656" s="2628"/>
      <c r="AF656" s="2629"/>
      <c r="AG656" s="2628"/>
      <c r="AH656" s="2629"/>
      <c r="AI656" s="2628"/>
      <c r="AJ656" s="2629"/>
      <c r="AK656" s="2671">
        <f t="shared" si="194"/>
        <v>0</v>
      </c>
      <c r="AL656" s="3464"/>
      <c r="AM656" s="3448"/>
      <c r="AN656" s="3448"/>
      <c r="AO656" s="3448"/>
      <c r="AP656" s="3448"/>
      <c r="AQ656" s="3448"/>
      <c r="AR656" s="3458" t="e">
        <f t="shared" si="193"/>
        <v>#DIV/0!</v>
      </c>
      <c r="AS656" s="1446"/>
    </row>
    <row r="657" spans="1:45" s="1444" customFormat="1" ht="27.95" customHeight="1">
      <c r="A657" s="3274"/>
      <c r="B657" s="2151"/>
      <c r="C657" s="2147"/>
      <c r="D657" s="2147"/>
      <c r="E657" s="2147"/>
      <c r="F657" s="2147"/>
      <c r="G657" s="2149"/>
      <c r="H657" s="3274"/>
      <c r="I657" s="3274"/>
      <c r="J657" s="3274"/>
      <c r="K657" s="3274"/>
      <c r="L657" s="5350"/>
      <c r="M657" s="5350"/>
      <c r="N657" s="5350"/>
      <c r="O657" s="5350"/>
      <c r="P657" s="3274"/>
      <c r="Q657" s="3274"/>
      <c r="R657" s="3274"/>
      <c r="S657" s="2875"/>
      <c r="T657" s="3274"/>
      <c r="U657" s="5350"/>
      <c r="V657" s="5350"/>
      <c r="W657" s="5351"/>
      <c r="X657" s="5351"/>
      <c r="Y657" s="3286"/>
      <c r="Z657" s="3286"/>
      <c r="AA657" s="5352">
        <f t="shared" si="192"/>
        <v>0</v>
      </c>
      <c r="AB657" s="5352"/>
      <c r="AC657" s="2682"/>
      <c r="AD657" s="3289"/>
      <c r="AE657" s="2628"/>
      <c r="AF657" s="2629"/>
      <c r="AG657" s="2628"/>
      <c r="AH657" s="2629"/>
      <c r="AI657" s="2628"/>
      <c r="AJ657" s="2629"/>
      <c r="AK657" s="2671">
        <f t="shared" si="194"/>
        <v>0</v>
      </c>
      <c r="AL657" s="3464"/>
      <c r="AM657" s="3448"/>
      <c r="AN657" s="3448"/>
      <c r="AO657" s="3448"/>
      <c r="AP657" s="3448"/>
      <c r="AQ657" s="3448"/>
      <c r="AR657" s="3458" t="e">
        <f t="shared" si="193"/>
        <v>#DIV/0!</v>
      </c>
      <c r="AS657" s="1446"/>
    </row>
    <row r="658" spans="1:45" s="1444" customFormat="1" ht="27.95" customHeight="1">
      <c r="A658" s="3274"/>
      <c r="B658" s="2292"/>
      <c r="C658" s="2293"/>
      <c r="D658" s="2293"/>
      <c r="E658" s="2293"/>
      <c r="F658" s="2293"/>
      <c r="G658" s="2294"/>
      <c r="H658" s="3280"/>
      <c r="I658" s="3280"/>
      <c r="J658" s="2295"/>
      <c r="K658" s="3280"/>
      <c r="L658" s="5460"/>
      <c r="M658" s="5460"/>
      <c r="N658" s="5461"/>
      <c r="O658" s="5461"/>
      <c r="P658" s="3280"/>
      <c r="Q658" s="3280"/>
      <c r="R658" s="3280"/>
      <c r="S658" s="2879"/>
      <c r="T658" s="3280"/>
      <c r="U658" s="5461"/>
      <c r="V658" s="5461"/>
      <c r="W658" s="5462"/>
      <c r="X658" s="5462"/>
      <c r="Y658" s="3286"/>
      <c r="Z658" s="3286"/>
      <c r="AA658" s="5352">
        <f>AC658+AD658+AE658+AF658-AG658-AH658</f>
        <v>0</v>
      </c>
      <c r="AB658" s="5352"/>
      <c r="AC658" s="2682"/>
      <c r="AD658" s="3289"/>
      <c r="AE658" s="2628"/>
      <c r="AF658" s="2629"/>
      <c r="AG658" s="2628"/>
      <c r="AH658" s="2629"/>
      <c r="AI658" s="2628"/>
      <c r="AJ658" s="2629"/>
      <c r="AK658" s="2671">
        <f t="shared" si="194"/>
        <v>0</v>
      </c>
      <c r="AL658" s="3464"/>
      <c r="AM658" s="3448"/>
      <c r="AN658" s="3448"/>
      <c r="AO658" s="3448"/>
      <c r="AP658" s="3448"/>
      <c r="AQ658" s="3448"/>
      <c r="AR658" s="3458" t="e">
        <f t="shared" si="193"/>
        <v>#DIV/0!</v>
      </c>
      <c r="AS658" s="1446"/>
    </row>
    <row r="659" spans="1:45" s="1444" customFormat="1" ht="27.95" customHeight="1">
      <c r="A659" s="3274"/>
      <c r="B659" s="2151"/>
      <c r="C659" s="2147"/>
      <c r="D659" s="2147"/>
      <c r="E659" s="2147"/>
      <c r="F659" s="2147"/>
      <c r="G659" s="2149"/>
      <c r="H659" s="3274"/>
      <c r="I659" s="3274"/>
      <c r="J659" s="3274"/>
      <c r="K659" s="3274"/>
      <c r="L659" s="5350"/>
      <c r="M659" s="5350"/>
      <c r="N659" s="5350"/>
      <c r="O659" s="5350"/>
      <c r="P659" s="3274"/>
      <c r="Q659" s="3274"/>
      <c r="R659" s="3274"/>
      <c r="S659" s="2875"/>
      <c r="T659" s="3274"/>
      <c r="U659" s="5350"/>
      <c r="V659" s="5350"/>
      <c r="W659" s="5351"/>
      <c r="X659" s="5351"/>
      <c r="Y659" s="3286"/>
      <c r="Z659" s="3286"/>
      <c r="AA659" s="5352">
        <f t="shared" si="192"/>
        <v>0</v>
      </c>
      <c r="AB659" s="5352"/>
      <c r="AC659" s="2682"/>
      <c r="AD659" s="3289"/>
      <c r="AE659" s="2628"/>
      <c r="AF659" s="2629"/>
      <c r="AG659" s="2628"/>
      <c r="AH659" s="2629"/>
      <c r="AI659" s="2628"/>
      <c r="AJ659" s="2629"/>
      <c r="AK659" s="2671">
        <f t="shared" si="194"/>
        <v>0</v>
      </c>
      <c r="AL659" s="3464"/>
      <c r="AM659" s="3448"/>
      <c r="AN659" s="3448"/>
      <c r="AO659" s="3448"/>
      <c r="AP659" s="3448"/>
      <c r="AQ659" s="3448"/>
      <c r="AR659" s="3458" t="e">
        <f t="shared" si="193"/>
        <v>#DIV/0!</v>
      </c>
      <c r="AS659" s="1446"/>
    </row>
    <row r="660" spans="1:45" s="1444" customFormat="1" ht="27.95" customHeight="1">
      <c r="A660" s="3274"/>
      <c r="B660" s="2151"/>
      <c r="C660" s="2147"/>
      <c r="D660" s="2147"/>
      <c r="E660" s="2147"/>
      <c r="F660" s="2147"/>
      <c r="G660" s="2149"/>
      <c r="H660" s="3274"/>
      <c r="I660" s="3274"/>
      <c r="J660" s="3274"/>
      <c r="K660" s="3274"/>
      <c r="L660" s="5350"/>
      <c r="M660" s="5350"/>
      <c r="N660" s="5350"/>
      <c r="O660" s="5350"/>
      <c r="P660" s="3274"/>
      <c r="Q660" s="3274"/>
      <c r="R660" s="3274"/>
      <c r="S660" s="2875"/>
      <c r="T660" s="3274"/>
      <c r="U660" s="5350"/>
      <c r="V660" s="5350"/>
      <c r="W660" s="5351"/>
      <c r="X660" s="5351"/>
      <c r="Y660" s="3286"/>
      <c r="Z660" s="3286"/>
      <c r="AA660" s="5352">
        <f t="shared" si="192"/>
        <v>0</v>
      </c>
      <c r="AB660" s="5352"/>
      <c r="AC660" s="2682"/>
      <c r="AD660" s="3289"/>
      <c r="AE660" s="2628"/>
      <c r="AF660" s="2629"/>
      <c r="AG660" s="2628"/>
      <c r="AH660" s="2629"/>
      <c r="AI660" s="2628"/>
      <c r="AJ660" s="2629"/>
      <c r="AK660" s="2671">
        <f t="shared" si="194"/>
        <v>0</v>
      </c>
      <c r="AL660" s="3464"/>
      <c r="AM660" s="3448"/>
      <c r="AN660" s="3448"/>
      <c r="AO660" s="3448"/>
      <c r="AP660" s="3448"/>
      <c r="AQ660" s="3448"/>
      <c r="AR660" s="3458" t="e">
        <f t="shared" si="193"/>
        <v>#DIV/0!</v>
      </c>
      <c r="AS660" s="1446"/>
    </row>
    <row r="661" spans="1:45" s="1444" customFormat="1" ht="27.95" customHeight="1">
      <c r="A661" s="3274"/>
      <c r="B661" s="2151"/>
      <c r="C661" s="2147"/>
      <c r="D661" s="2147"/>
      <c r="E661" s="2147"/>
      <c r="F661" s="2147"/>
      <c r="G661" s="2149"/>
      <c r="H661" s="3274"/>
      <c r="I661" s="3274"/>
      <c r="J661" s="3274"/>
      <c r="K661" s="3274"/>
      <c r="L661" s="5350"/>
      <c r="M661" s="5350"/>
      <c r="N661" s="5350"/>
      <c r="O661" s="5350"/>
      <c r="P661" s="3274"/>
      <c r="Q661" s="3274"/>
      <c r="R661" s="3274"/>
      <c r="S661" s="2875"/>
      <c r="T661" s="3274"/>
      <c r="U661" s="5350"/>
      <c r="V661" s="5350"/>
      <c r="W661" s="5351"/>
      <c r="X661" s="5351"/>
      <c r="Y661" s="3286"/>
      <c r="Z661" s="3286"/>
      <c r="AA661" s="5352">
        <f t="shared" si="192"/>
        <v>0</v>
      </c>
      <c r="AB661" s="5352"/>
      <c r="AC661" s="2682"/>
      <c r="AD661" s="3289"/>
      <c r="AE661" s="2628"/>
      <c r="AF661" s="2629"/>
      <c r="AG661" s="2628"/>
      <c r="AH661" s="2629"/>
      <c r="AI661" s="2628"/>
      <c r="AJ661" s="2629"/>
      <c r="AK661" s="2671">
        <f t="shared" si="194"/>
        <v>0</v>
      </c>
      <c r="AL661" s="3464"/>
      <c r="AM661" s="3448"/>
      <c r="AN661" s="3448"/>
      <c r="AO661" s="3448"/>
      <c r="AP661" s="3448"/>
      <c r="AQ661" s="3448"/>
      <c r="AR661" s="3458" t="e">
        <f t="shared" si="193"/>
        <v>#DIV/0!</v>
      </c>
      <c r="AS661" s="1446"/>
    </row>
    <row r="662" spans="1:45" s="1444" customFormat="1" ht="27.95" customHeight="1">
      <c r="A662" s="3274"/>
      <c r="B662" s="2151"/>
      <c r="C662" s="2147"/>
      <c r="D662" s="2147"/>
      <c r="E662" s="2147"/>
      <c r="F662" s="2147"/>
      <c r="G662" s="2149"/>
      <c r="H662" s="3274"/>
      <c r="I662" s="3274"/>
      <c r="J662" s="3274"/>
      <c r="K662" s="3274"/>
      <c r="L662" s="5350"/>
      <c r="M662" s="5350"/>
      <c r="N662" s="5350"/>
      <c r="O662" s="5350"/>
      <c r="P662" s="3274"/>
      <c r="Q662" s="3274"/>
      <c r="R662" s="3274"/>
      <c r="S662" s="2875"/>
      <c r="T662" s="3274"/>
      <c r="U662" s="5350"/>
      <c r="V662" s="5350"/>
      <c r="W662" s="5351"/>
      <c r="X662" s="5351"/>
      <c r="Y662" s="3286"/>
      <c r="Z662" s="3286"/>
      <c r="AA662" s="5352">
        <f t="shared" si="192"/>
        <v>0</v>
      </c>
      <c r="AB662" s="5352"/>
      <c r="AC662" s="2682"/>
      <c r="AD662" s="3289"/>
      <c r="AE662" s="2628"/>
      <c r="AF662" s="2629"/>
      <c r="AG662" s="2628"/>
      <c r="AH662" s="2629"/>
      <c r="AI662" s="2628"/>
      <c r="AJ662" s="2629"/>
      <c r="AK662" s="2672">
        <f t="shared" si="194"/>
        <v>0</v>
      </c>
      <c r="AL662" s="3464"/>
      <c r="AM662" s="3448"/>
      <c r="AN662" s="3448"/>
      <c r="AO662" s="3448"/>
      <c r="AP662" s="3448"/>
      <c r="AQ662" s="3448"/>
      <c r="AR662" s="3458" t="e">
        <f t="shared" si="193"/>
        <v>#DIV/0!</v>
      </c>
      <c r="AS662" s="1446"/>
    </row>
    <row r="663" spans="1:45" s="1444" customFormat="1" ht="27.95" customHeight="1">
      <c r="A663" s="3273">
        <f>COUNTA(B637:G662)</f>
        <v>0</v>
      </c>
      <c r="B663" s="2961" t="str">
        <f>'[1]0163X'!$S$3</f>
        <v>glorita05111@hotmail.com</v>
      </c>
      <c r="C663" s="2971"/>
      <c r="D663" s="2963"/>
      <c r="E663" s="2964" t="str">
        <f>'[4]0163X'!$C$8</f>
        <v>SM-313  MZA-20  LTE-3  AV-FONATUR</v>
      </c>
      <c r="F663" s="2971"/>
      <c r="G663" s="2972"/>
      <c r="H663" s="3273">
        <f>COUNTIF(H637:H662,"X")</f>
        <v>0</v>
      </c>
      <c r="I663" s="3273">
        <f>COUNTIF(I637:I662,"X")</f>
        <v>0</v>
      </c>
      <c r="J663" s="2966">
        <f>COUNTIF(L637:M662,"docente")</f>
        <v>0</v>
      </c>
      <c r="K663" s="2967">
        <f>COUNTIF(L637:M662,"intendente")</f>
        <v>0</v>
      </c>
      <c r="L663" s="1665">
        <f>COUNTA(N637:O662)</f>
        <v>0</v>
      </c>
      <c r="M663" s="2968">
        <f>COUNTIF(Y637:Y662,"1º")</f>
        <v>0</v>
      </c>
      <c r="N663" s="3278">
        <f>COUNTIF(Y637:Y662,"2º")</f>
        <v>0</v>
      </c>
      <c r="O663" s="3278">
        <f>COUNTIF(Y637:Y662,"3º")</f>
        <v>0</v>
      </c>
      <c r="P663" s="3278">
        <f>COUNTIF(Y637:Y662,"4º")</f>
        <v>0</v>
      </c>
      <c r="Q663" s="3278">
        <f>COUNTIF(Y637:Y662,"5º")</f>
        <v>0</v>
      </c>
      <c r="R663" s="3278">
        <f>COUNTIF(Y637:Y662,"6º")</f>
        <v>0</v>
      </c>
      <c r="S663" s="2968">
        <f>SUM(M663:R663)</f>
        <v>0</v>
      </c>
      <c r="T663" s="3273">
        <f>COUNTA(T637:T662)</f>
        <v>0</v>
      </c>
      <c r="U663" s="2968">
        <f>COUNTIF(U637:V662,"10")</f>
        <v>0</v>
      </c>
      <c r="V663" s="2969">
        <f>COUNTIF(U637:V662,"20")</f>
        <v>0</v>
      </c>
      <c r="W663" s="5409" t="s">
        <v>1232</v>
      </c>
      <c r="X663" s="5409"/>
      <c r="Y663" s="5409"/>
      <c r="Z663" s="3286">
        <f>COUNTA(Z637:Z662)</f>
        <v>0</v>
      </c>
      <c r="AA663" s="5411">
        <f>SUM(AA637:AB662)</f>
        <v>0</v>
      </c>
      <c r="AB663" s="5411"/>
      <c r="AC663" s="2687">
        <f t="shared" ref="AC663:AJ663" si="195">SUM(AC637:AC662)</f>
        <v>0</v>
      </c>
      <c r="AD663" s="2688">
        <f t="shared" si="195"/>
        <v>0</v>
      </c>
      <c r="AE663" s="2630">
        <f t="shared" si="195"/>
        <v>0</v>
      </c>
      <c r="AF663" s="2631">
        <f t="shared" si="195"/>
        <v>0</v>
      </c>
      <c r="AG663" s="2632">
        <f t="shared" si="195"/>
        <v>0</v>
      </c>
      <c r="AH663" s="2633">
        <f t="shared" si="195"/>
        <v>0</v>
      </c>
      <c r="AI663" s="2634">
        <f t="shared" si="195"/>
        <v>0</v>
      </c>
      <c r="AJ663" s="2635">
        <f t="shared" si="195"/>
        <v>0</v>
      </c>
      <c r="AK663" s="317">
        <f t="shared" si="194"/>
        <v>0</v>
      </c>
      <c r="AL663" s="3468" t="e">
        <f>SUM(AL597:AL622)/AL624</f>
        <v>#DIV/0!</v>
      </c>
      <c r="AM663" s="3467" t="e">
        <f t="shared" ref="AM663" si="196">SUM(AM637:AM662)/AM664</f>
        <v>#DIV/0!</v>
      </c>
      <c r="AN663" s="3466" t="e">
        <f t="shared" ref="AN663" si="197">SUM(AN637:AN662)/AN664</f>
        <v>#DIV/0!</v>
      </c>
      <c r="AO663" s="3466" t="e">
        <f t="shared" ref="AO663:AP663" si="198">SUM(AO637:AO662)/AO664</f>
        <v>#DIV/0!</v>
      </c>
      <c r="AP663" s="3466" t="e">
        <f t="shared" si="198"/>
        <v>#DIV/0!</v>
      </c>
      <c r="AQ663" s="3460" t="e">
        <f>SUM(AQ597:AQ622)/AQ624</f>
        <v>#DIV/0!</v>
      </c>
      <c r="AR663" s="3461" t="e">
        <f t="shared" si="193"/>
        <v>#DIV/0!</v>
      </c>
      <c r="AS663" s="1446"/>
    </row>
    <row r="664" spans="1:45" s="1446" customFormat="1" ht="27.95" customHeight="1">
      <c r="A664" s="1742" t="s">
        <v>228</v>
      </c>
      <c r="B664" s="3277">
        <f>SUM(Estadisticas!AM40:AN40)</f>
        <v>3</v>
      </c>
      <c r="C664" s="3277">
        <f>SUM(Estadisticas!AO40:AP40)</f>
        <v>3</v>
      </c>
      <c r="D664" s="3277">
        <f>SUM(Estadisticas!AQ40:AR40)</f>
        <v>2</v>
      </c>
      <c r="E664" s="3277">
        <f>SUM(Estadisticas!AS40:AT40)</f>
        <v>1</v>
      </c>
      <c r="F664" s="3277">
        <f>SUM(Estadisticas!AU40:AV40)</f>
        <v>0</v>
      </c>
      <c r="G664" s="3277">
        <f>SUM(Estadisticas!AW40:AX40)</f>
        <v>1</v>
      </c>
      <c r="H664" s="5465">
        <f>SUM(B664:G664)</f>
        <v>10</v>
      </c>
      <c r="I664" s="5465"/>
      <c r="J664" s="3273"/>
      <c r="K664" s="3273"/>
      <c r="L664" s="3273"/>
      <c r="M664" s="3273"/>
      <c r="N664" s="3273"/>
      <c r="O664" s="1665"/>
      <c r="P664" s="3273"/>
      <c r="Q664" s="3273"/>
      <c r="R664" s="3273"/>
      <c r="S664" s="3273"/>
      <c r="T664" s="3273">
        <f>'[1]0163X'!$V$23</f>
        <v>0</v>
      </c>
      <c r="U664" s="3273"/>
      <c r="V664" s="3273"/>
      <c r="W664" s="3273"/>
      <c r="X664" s="3273"/>
      <c r="Y664" s="3273"/>
      <c r="Z664" s="3273"/>
      <c r="AA664" s="5464"/>
      <c r="AB664" s="5464"/>
      <c r="AC664" s="5334">
        <f>AC663+AD663</f>
        <v>0</v>
      </c>
      <c r="AD664" s="5334"/>
      <c r="AE664" s="5335">
        <f>AE623+AF623</f>
        <v>9</v>
      </c>
      <c r="AF664" s="5335"/>
      <c r="AG664" s="5335">
        <f>AG623+AH623</f>
        <v>6</v>
      </c>
      <c r="AH664" s="5335"/>
      <c r="AI664" s="2636"/>
      <c r="AJ664" s="2636"/>
      <c r="AK664" s="2636">
        <f>SUM(AC624:AD624)+AE624</f>
        <v>167</v>
      </c>
      <c r="AL664" s="3462">
        <f>COUNTA(AL597:AL622)</f>
        <v>0</v>
      </c>
      <c r="AM664" s="3462">
        <f t="shared" ref="AM664:AQ664" si="199">COUNTA(AM637:AM662)</f>
        <v>0</v>
      </c>
      <c r="AN664" s="3462">
        <f t="shared" si="199"/>
        <v>0</v>
      </c>
      <c r="AO664" s="3462">
        <f t="shared" si="199"/>
        <v>0</v>
      </c>
      <c r="AP664" s="3462">
        <f t="shared" si="199"/>
        <v>0</v>
      </c>
      <c r="AQ664" s="3462">
        <f t="shared" si="199"/>
        <v>0</v>
      </c>
      <c r="AR664" s="3462">
        <v>12</v>
      </c>
    </row>
    <row r="665" spans="1:45" s="1446" customFormat="1" ht="27.95" customHeight="1">
      <c r="A665" s="1664" t="s">
        <v>230</v>
      </c>
      <c r="B665" s="1664">
        <f>SUM(Estadisticas!AY40:AZ40)</f>
        <v>2</v>
      </c>
      <c r="C665" s="1664">
        <f>SUM(Estadisticas!BA40:BB40)</f>
        <v>1</v>
      </c>
      <c r="D665" s="1664">
        <f>SUM(Estadisticas!BC40:BD40)</f>
        <v>1</v>
      </c>
      <c r="E665" s="1664">
        <f>SUM(Estadisticas!BE40:BF40)</f>
        <v>1</v>
      </c>
      <c r="F665" s="1664">
        <f>SUM(Estadisticas!BG40:BH40)</f>
        <v>1</v>
      </c>
      <c r="G665" s="1664">
        <f>SUM(Estadisticas!BI40:BJ40)</f>
        <v>0</v>
      </c>
      <c r="H665" s="5466">
        <f>SUM(B665:G665)</f>
        <v>6</v>
      </c>
      <c r="I665" s="5466"/>
      <c r="J665" s="3273"/>
      <c r="K665" s="3273"/>
      <c r="L665" s="3273"/>
      <c r="M665" s="3273"/>
      <c r="N665" s="3273"/>
      <c r="O665" s="3273"/>
      <c r="P665" s="3273"/>
      <c r="Q665" s="3273"/>
      <c r="R665" s="3273"/>
      <c r="S665" s="3273"/>
      <c r="T665" s="1665"/>
      <c r="U665" s="1661" t="str">
        <f>U65</f>
        <v>PRE</v>
      </c>
      <c r="V665" s="1661">
        <f>'[1]0163X'!$F$39</f>
        <v>2</v>
      </c>
      <c r="W665" s="1661">
        <f>'[1]0163X'!$I$39</f>
        <v>2</v>
      </c>
      <c r="X665" s="1661">
        <f>'[1]0163X'!$L$39</f>
        <v>2</v>
      </c>
      <c r="Y665" s="1661">
        <f>'[1]0163X'!$O$39</f>
        <v>1</v>
      </c>
      <c r="Z665" s="1661">
        <f>'[1]0163X'!$R$39</f>
        <v>2</v>
      </c>
      <c r="AA665" s="1661">
        <f>'[1]0163X'!$U$39</f>
        <v>0</v>
      </c>
      <c r="AB665" s="1661">
        <f>SUM(V665:AA665)</f>
        <v>9</v>
      </c>
      <c r="AC665" s="2682"/>
      <c r="AD665" s="3238"/>
      <c r="AE665" s="2620"/>
      <c r="AF665" s="2621"/>
      <c r="AG665" s="2620"/>
      <c r="AH665" s="2621"/>
      <c r="AK665" s="2636"/>
      <c r="AL665" s="3448"/>
      <c r="AM665" s="3448"/>
      <c r="AN665" s="3448"/>
      <c r="AO665" s="3448"/>
      <c r="AP665" s="3448"/>
      <c r="AQ665" s="3448"/>
    </row>
    <row r="666" spans="1:45" s="1441" customFormat="1" ht="27.95" customHeight="1">
      <c r="A666" s="3279" t="s">
        <v>478</v>
      </c>
      <c r="B666" s="3279">
        <f>SUM(Estadisticas!BK40:BL40)</f>
        <v>0</v>
      </c>
      <c r="C666" s="3279">
        <f>SUM(Estadisticas!BM40:BN40)</f>
        <v>0</v>
      </c>
      <c r="D666" s="3279">
        <f>SUM(Estadisticas!BO40:BP40)</f>
        <v>0</v>
      </c>
      <c r="E666" s="3279">
        <f>SUM(Estadisticas!BQ40:BR40)</f>
        <v>0</v>
      </c>
      <c r="F666" s="3279">
        <f>SUM(Estadisticas!BS40:BT40)</f>
        <v>0</v>
      </c>
      <c r="G666" s="3279">
        <f>SUM(Estadisticas!BU40:BV40)</f>
        <v>0</v>
      </c>
      <c r="H666" s="5467">
        <f>SUM(B666:G666)</f>
        <v>0</v>
      </c>
      <c r="I666" s="5467"/>
      <c r="J666" s="1668"/>
      <c r="K666" s="1669"/>
      <c r="L666" s="1669"/>
      <c r="M666" s="1669"/>
      <c r="N666" s="1669"/>
      <c r="O666" s="1669"/>
      <c r="P666" s="1669"/>
      <c r="Q666" s="1668"/>
      <c r="R666" s="1668"/>
      <c r="S666" s="1668"/>
      <c r="T666" s="1668"/>
      <c r="U666" s="1661">
        <f>'[1]0163X'!$O$26</f>
        <v>28</v>
      </c>
      <c r="V666" s="1661">
        <f>'[1]0163X'!$F$35</f>
        <v>42</v>
      </c>
      <c r="W666" s="1661">
        <f>'[1]0163X'!$I$35</f>
        <v>29</v>
      </c>
      <c r="X666" s="1661">
        <f>'[1]0163X'!$L$35</f>
        <v>26</v>
      </c>
      <c r="Y666" s="1661">
        <f>'[1]0163X'!$O$35</f>
        <v>23</v>
      </c>
      <c r="Z666" s="1661">
        <f>'[1]0163X'!$R$35</f>
        <v>32</v>
      </c>
      <c r="AA666" s="1661">
        <f>'[1]0163X'!$U$35</f>
        <v>10</v>
      </c>
      <c r="AB666" s="1661">
        <f>SUM(V666:AA666)</f>
        <v>162</v>
      </c>
      <c r="AC666" s="2682"/>
      <c r="AD666" s="3238"/>
      <c r="AE666" s="2620"/>
      <c r="AF666" s="2621"/>
      <c r="AG666" s="2620"/>
      <c r="AH666" s="2621"/>
      <c r="AI666" s="1444"/>
      <c r="AJ666" s="1444"/>
      <c r="AK666" s="2636"/>
      <c r="AL666" s="3445"/>
      <c r="AM666" s="3445"/>
      <c r="AN666" s="3445"/>
      <c r="AO666" s="3445"/>
      <c r="AP666" s="3445"/>
      <c r="AQ666" s="3445"/>
      <c r="AS666" s="108"/>
    </row>
    <row r="667" spans="1:45" s="1448" customFormat="1" ht="27.95" customHeight="1">
      <c r="A667" s="175"/>
      <c r="B667" s="1427"/>
      <c r="C667" s="173"/>
      <c r="D667" s="3262" t="s">
        <v>1193</v>
      </c>
      <c r="E667" s="5388">
        <f>B637</f>
        <v>0</v>
      </c>
      <c r="F667" s="5388"/>
      <c r="G667" s="5388"/>
      <c r="H667" s="5388"/>
      <c r="I667" s="5388"/>
      <c r="J667" s="5388"/>
      <c r="K667" s="1603"/>
      <c r="L667" s="1428"/>
      <c r="M667" s="3262" t="s">
        <v>1234</v>
      </c>
      <c r="N667" s="5388" t="str">
        <f>N627</f>
        <v>RICALDE CASTRO JESUS MARTIN</v>
      </c>
      <c r="O667" s="5388"/>
      <c r="P667" s="5388"/>
      <c r="Q667" s="5388"/>
      <c r="R667" s="5388"/>
      <c r="S667" s="5388"/>
      <c r="T667" s="1603"/>
      <c r="U667" s="1603"/>
      <c r="V667" s="3262" t="s">
        <v>1195</v>
      </c>
      <c r="W667" s="5388" t="str">
        <f>W627</f>
        <v xml:space="preserve">ANCONA FLORES AURA EUGENIA </v>
      </c>
      <c r="X667" s="5388"/>
      <c r="Y667" s="5388"/>
      <c r="Z667" s="5388"/>
      <c r="AA667" s="5388"/>
      <c r="AB667" s="5388"/>
      <c r="AC667" s="2682"/>
      <c r="AD667" s="3238"/>
      <c r="AE667" s="2620"/>
      <c r="AF667" s="2621"/>
      <c r="AG667" s="2620"/>
      <c r="AH667" s="2621"/>
      <c r="AI667" s="2624"/>
      <c r="AJ667" s="2624"/>
      <c r="AK667" s="2636"/>
      <c r="AL667" s="3449"/>
      <c r="AM667" s="3449"/>
      <c r="AN667" s="3449"/>
      <c r="AO667" s="3449"/>
      <c r="AP667" s="3449"/>
      <c r="AQ667" s="3449"/>
      <c r="AS667" s="3450"/>
    </row>
    <row r="668" spans="1:45" s="1430" customFormat="1" ht="21.95" customHeight="1">
      <c r="A668" s="1670"/>
      <c r="B668" s="1401"/>
      <c r="C668" s="1401"/>
      <c r="D668" s="1401"/>
      <c r="E668" s="1401"/>
      <c r="F668" s="1402"/>
      <c r="G668" s="1402"/>
      <c r="H668" s="1402"/>
      <c r="I668" s="1402"/>
      <c r="J668" s="1402"/>
      <c r="K668" s="27"/>
      <c r="M668" s="1431" t="s">
        <v>196</v>
      </c>
      <c r="N668" s="1402"/>
      <c r="O668" s="1402"/>
      <c r="P668" s="1402"/>
      <c r="Q668" s="1402"/>
      <c r="R668" s="1402"/>
      <c r="S668" s="1402"/>
      <c r="T668" s="1401"/>
      <c r="U668" s="3263" t="s">
        <v>764</v>
      </c>
      <c r="V668" s="3263"/>
      <c r="W668" s="3263"/>
      <c r="X668" s="1644" t="s">
        <v>247</v>
      </c>
      <c r="Y668" s="1644"/>
      <c r="Z668" s="1644"/>
      <c r="AA668" s="1644"/>
      <c r="AB668" s="1644"/>
      <c r="AC668" s="2682"/>
      <c r="AD668" s="3289"/>
      <c r="AE668" s="1449"/>
      <c r="AF668" s="1449"/>
      <c r="AG668" s="1449"/>
      <c r="AH668" s="1449"/>
      <c r="AI668" s="1449"/>
      <c r="AJ668" s="1449"/>
      <c r="AK668" s="3256"/>
      <c r="AL668" s="3451"/>
      <c r="AM668" s="3451"/>
      <c r="AN668" s="3451"/>
      <c r="AO668" s="3451"/>
      <c r="AP668" s="3451"/>
      <c r="AQ668" s="3451"/>
      <c r="AS668" s="3452"/>
    </row>
    <row r="669" spans="1:45" ht="21.95" customHeight="1">
      <c r="A669" s="1663"/>
      <c r="B669" s="1406"/>
      <c r="C669" s="1406"/>
      <c r="D669" s="1406"/>
      <c r="E669" s="1406"/>
      <c r="F669" s="1407"/>
      <c r="G669" s="1407"/>
      <c r="H669" s="1407"/>
      <c r="I669" s="1407"/>
      <c r="J669" s="1407"/>
      <c r="K669" s="1407"/>
      <c r="L669" s="1407"/>
      <c r="M669" s="3260" t="s">
        <v>1148</v>
      </c>
      <c r="N669" s="1407"/>
      <c r="O669" s="1407"/>
      <c r="P669" s="1407"/>
      <c r="Q669" s="1407"/>
      <c r="R669" s="1407"/>
      <c r="S669" s="1407"/>
      <c r="T669" s="1408"/>
      <c r="U669" s="1408"/>
      <c r="V669" s="3263"/>
      <c r="W669" s="1432" t="s">
        <v>1149</v>
      </c>
      <c r="X669" s="5221" t="str">
        <f>X629</f>
        <v>2012 / 2013</v>
      </c>
      <c r="Y669" s="5221"/>
      <c r="Z669" s="5221"/>
      <c r="AA669" s="5221"/>
      <c r="AB669" s="1417"/>
      <c r="AE669" s="1443"/>
      <c r="AF669" s="1443"/>
      <c r="AG669" s="1443"/>
      <c r="AH669" s="1443"/>
    </row>
    <row r="670" spans="1:45" ht="21.95" customHeight="1">
      <c r="A670" s="1663"/>
      <c r="B670" s="1410"/>
      <c r="C670" s="1410"/>
      <c r="D670" s="1410"/>
      <c r="E670" s="1410"/>
      <c r="F670" s="1407"/>
      <c r="G670" s="1407"/>
      <c r="H670" s="1407"/>
      <c r="I670" s="1407"/>
      <c r="J670" s="1407"/>
      <c r="K670" s="1407"/>
      <c r="M670" s="3260" t="s">
        <v>1150</v>
      </c>
      <c r="N670" s="1407"/>
      <c r="O670" s="1407"/>
      <c r="P670" s="1407"/>
      <c r="Q670" s="1407"/>
      <c r="R670" s="1407"/>
      <c r="S670" s="1407"/>
      <c r="T670" s="1433"/>
      <c r="U670" s="1433"/>
      <c r="V670" s="1434"/>
      <c r="W670" s="3281" t="s">
        <v>42</v>
      </c>
      <c r="X670" s="5391" t="str">
        <f>X630</f>
        <v>042</v>
      </c>
      <c r="Y670" s="5391"/>
      <c r="Z670" s="5391"/>
      <c r="AA670" s="5391"/>
      <c r="AB670" s="1417"/>
      <c r="AE670" s="1443"/>
      <c r="AF670" s="1443"/>
      <c r="AG670" s="1443"/>
      <c r="AH670" s="1443"/>
    </row>
    <row r="671" spans="1:45" ht="21.95" customHeight="1">
      <c r="A671" s="1663"/>
      <c r="B671" s="1410"/>
      <c r="C671" s="1410"/>
      <c r="D671" s="1410"/>
      <c r="E671" s="1410"/>
      <c r="F671" s="1406"/>
      <c r="H671" s="1413"/>
      <c r="I671" s="1413"/>
      <c r="J671" s="1414"/>
      <c r="K671" s="1414"/>
      <c r="L671" s="1415" t="s">
        <v>1197</v>
      </c>
      <c r="M671" s="1415">
        <f>M631</f>
        <v>8</v>
      </c>
      <c r="N671" s="3271" t="s">
        <v>1152</v>
      </c>
      <c r="O671" s="5371" t="str">
        <f>O631</f>
        <v>AGOSTO</v>
      </c>
      <c r="P671" s="5371"/>
      <c r="Q671" s="1435" t="s">
        <v>1152</v>
      </c>
      <c r="R671" s="5371">
        <f>R631</f>
        <v>2012</v>
      </c>
      <c r="S671" s="5371"/>
      <c r="T671" s="1406"/>
      <c r="U671" s="5470" t="s">
        <v>246</v>
      </c>
      <c r="V671" s="5470"/>
      <c r="W671" s="5470"/>
      <c r="X671" s="5470"/>
      <c r="Y671" s="1437" t="s">
        <v>245</v>
      </c>
      <c r="Z671" s="1437"/>
      <c r="AA671" s="1437"/>
      <c r="AB671" s="1417"/>
      <c r="AE671" s="1443"/>
      <c r="AF671" s="1443"/>
      <c r="AG671" s="1443"/>
      <c r="AH671" s="1443"/>
    </row>
    <row r="672" spans="1:45" ht="21.95" customHeight="1">
      <c r="A672" s="5446" t="s">
        <v>1153</v>
      </c>
      <c r="B672" s="5446"/>
      <c r="C672" s="5446"/>
      <c r="D672" s="5468"/>
      <c r="E672" s="5468"/>
      <c r="F672" s="5468"/>
      <c r="G672" s="5468"/>
      <c r="H672" s="5468"/>
      <c r="I672" s="5468"/>
      <c r="J672" s="5468"/>
      <c r="K672" s="5468"/>
      <c r="L672" s="3272" t="s">
        <v>19</v>
      </c>
      <c r="M672" s="5471"/>
      <c r="N672" s="5471"/>
      <c r="O672" s="5447" t="s">
        <v>13</v>
      </c>
      <c r="P672" s="5447"/>
      <c r="Q672" s="5472"/>
      <c r="R672" s="5472"/>
      <c r="S672" s="5472"/>
      <c r="T672" s="1439"/>
      <c r="U672" s="1438" t="s">
        <v>1157</v>
      </c>
      <c r="V672" s="5472" t="str">
        <f>V632</f>
        <v>2  BENITO JUAREZ</v>
      </c>
      <c r="W672" s="5472"/>
      <c r="X672" s="5472"/>
      <c r="Y672" s="5472"/>
      <c r="Z672" s="5472"/>
      <c r="AA672" s="5472"/>
      <c r="AB672" s="5472"/>
      <c r="AE672" s="1443"/>
      <c r="AF672" s="1443"/>
      <c r="AG672" s="1443"/>
      <c r="AH672" s="1443"/>
    </row>
    <row r="673" spans="1:45" s="1439" customFormat="1" ht="21.95" customHeight="1">
      <c r="A673" s="5446" t="s">
        <v>437</v>
      </c>
      <c r="B673" s="5446"/>
      <c r="C673" s="5468"/>
      <c r="D673" s="5468"/>
      <c r="E673" s="5468"/>
      <c r="F673" s="5468"/>
      <c r="G673" s="5468"/>
      <c r="H673" s="5468"/>
      <c r="I673" s="5468"/>
      <c r="J673" s="5468"/>
      <c r="K673" s="5468"/>
      <c r="L673" s="5468"/>
      <c r="M673" s="5468"/>
      <c r="N673" s="1423"/>
      <c r="O673" s="3272" t="s">
        <v>863</v>
      </c>
      <c r="P673" s="4868"/>
      <c r="Q673" s="4868"/>
      <c r="R673" s="4868"/>
      <c r="S673" s="4868"/>
      <c r="T673" s="4868"/>
      <c r="U673" s="1422"/>
      <c r="V673" s="3272"/>
      <c r="W673" s="3272" t="s">
        <v>1159</v>
      </c>
      <c r="X673" s="5469" t="str">
        <f>X633</f>
        <v>8  DE  AGOSTO  DE  2012</v>
      </c>
      <c r="Y673" s="5469"/>
      <c r="Z673" s="5469"/>
      <c r="AA673" s="5469"/>
      <c r="AB673" s="5469"/>
      <c r="AC673" s="5331">
        <f>D672</f>
        <v>0</v>
      </c>
      <c r="AD673" s="5331"/>
      <c r="AE673" s="5331"/>
      <c r="AF673" s="5331"/>
      <c r="AG673" s="5331"/>
      <c r="AH673" s="5331"/>
      <c r="AI673" s="5332">
        <f>M672</f>
        <v>0</v>
      </c>
      <c r="AJ673" s="5332"/>
      <c r="AK673" s="5332"/>
      <c r="AL673" s="3446"/>
      <c r="AM673" s="3446"/>
      <c r="AN673" s="3446"/>
      <c r="AO673" s="3446"/>
      <c r="AP673" s="3446"/>
      <c r="AQ673" s="3446"/>
      <c r="AR673" s="3446"/>
      <c r="AS673" s="2166"/>
    </row>
    <row r="674" spans="1:45" s="1441" customFormat="1" ht="21.95" customHeight="1">
      <c r="A674" s="1421"/>
      <c r="B674" s="1422"/>
      <c r="C674" s="1422"/>
      <c r="D674" s="3261"/>
      <c r="E674" s="3261"/>
      <c r="F674" s="3261"/>
      <c r="G674" s="3261"/>
      <c r="H674" s="3261"/>
      <c r="I674" s="3261"/>
      <c r="J674" s="3261"/>
      <c r="K674" s="3261"/>
      <c r="L674" s="3261"/>
      <c r="M674" s="1421"/>
      <c r="N674" s="1423"/>
      <c r="O674" s="1423"/>
      <c r="P674" s="1423"/>
      <c r="Q674" s="1424"/>
      <c r="R674" s="1423"/>
      <c r="S674" s="1423"/>
      <c r="T674" s="1422"/>
      <c r="U674" s="1422"/>
      <c r="V674" s="3261"/>
      <c r="W674" s="3261"/>
      <c r="X674" s="3261"/>
      <c r="Y674" s="3261"/>
      <c r="Z674" s="1422"/>
      <c r="AA674" s="1422"/>
      <c r="AB674" s="1422"/>
      <c r="AC674" s="2689"/>
      <c r="AD674" s="2690"/>
      <c r="AE674" s="2639"/>
      <c r="AF674" s="2640"/>
      <c r="AG674" s="2639"/>
      <c r="AH674" s="2640"/>
      <c r="AI674" s="1444"/>
      <c r="AJ674" s="1444"/>
      <c r="AK674" s="2636"/>
      <c r="AL674" s="3445"/>
      <c r="AM674" s="3445"/>
      <c r="AN674" s="3445"/>
      <c r="AO674" s="3445"/>
      <c r="AP674" s="3445"/>
      <c r="AQ674" s="3445"/>
      <c r="AR674" s="3445"/>
      <c r="AS674" s="108"/>
    </row>
    <row r="675" spans="1:45" s="1442" customFormat="1" ht="21.95" customHeight="1">
      <c r="A675" s="5415" t="s">
        <v>1160</v>
      </c>
      <c r="B675" s="5416" t="s">
        <v>1235</v>
      </c>
      <c r="C675" s="5416"/>
      <c r="D675" s="5416"/>
      <c r="E675" s="5416"/>
      <c r="F675" s="5416"/>
      <c r="G675" s="5416"/>
      <c r="H675" s="5417" t="s">
        <v>1161</v>
      </c>
      <c r="I675" s="5417"/>
      <c r="J675" s="5417" t="s">
        <v>212</v>
      </c>
      <c r="K675" s="5417" t="s">
        <v>1162</v>
      </c>
      <c r="L675" s="5417" t="s">
        <v>1163</v>
      </c>
      <c r="M675" s="5417"/>
      <c r="N675" s="5417" t="s">
        <v>1164</v>
      </c>
      <c r="O675" s="5417"/>
      <c r="P675" s="5417" t="s">
        <v>1165</v>
      </c>
      <c r="Q675" s="5417"/>
      <c r="R675" s="5417" t="s">
        <v>1166</v>
      </c>
      <c r="S675" s="5417"/>
      <c r="T675" s="5417" t="s">
        <v>1167</v>
      </c>
      <c r="U675" s="5417" t="s">
        <v>1168</v>
      </c>
      <c r="V675" s="5417"/>
      <c r="W675" s="5417" t="s">
        <v>1169</v>
      </c>
      <c r="X675" s="5417"/>
      <c r="Y675" s="5417" t="s">
        <v>3</v>
      </c>
      <c r="Z675" s="5417" t="s">
        <v>4</v>
      </c>
      <c r="AA675" s="5417" t="s">
        <v>28</v>
      </c>
      <c r="AB675" s="5417"/>
      <c r="AC675" s="5340" t="str">
        <f>AC635</f>
        <v>INICIAL</v>
      </c>
      <c r="AD675" s="5340"/>
      <c r="AE675" s="5344" t="str">
        <f>AE635</f>
        <v>ALTAS</v>
      </c>
      <c r="AF675" s="5345"/>
      <c r="AG675" s="5346" t="str">
        <f>AG635</f>
        <v>BAJAS</v>
      </c>
      <c r="AH675" s="5347"/>
      <c r="AI675" s="5333" t="str">
        <f>AI635</f>
        <v>REP</v>
      </c>
      <c r="AJ675" s="5333"/>
      <c r="AK675" s="2625" t="str">
        <f>AK635</f>
        <v>INI</v>
      </c>
      <c r="AL675" s="5328" t="s">
        <v>2509</v>
      </c>
      <c r="AM675" s="5329"/>
      <c r="AN675" s="5329"/>
      <c r="AO675" s="5329"/>
      <c r="AP675" s="5329"/>
      <c r="AQ675" s="5329"/>
      <c r="AR675" s="5330"/>
    </row>
    <row r="676" spans="1:45" s="1442" customFormat="1" ht="21.95" customHeight="1">
      <c r="A676" s="5415"/>
      <c r="B676" s="5416"/>
      <c r="C676" s="5416"/>
      <c r="D676" s="5416"/>
      <c r="E676" s="5416"/>
      <c r="F676" s="5416"/>
      <c r="G676" s="5416"/>
      <c r="H676" s="3269" t="s">
        <v>407</v>
      </c>
      <c r="I676" s="3269" t="s">
        <v>403</v>
      </c>
      <c r="J676" s="5417"/>
      <c r="K676" s="5417"/>
      <c r="L676" s="5417"/>
      <c r="M676" s="5417"/>
      <c r="N676" s="5417"/>
      <c r="O676" s="5417"/>
      <c r="P676" s="3269" t="s">
        <v>1170</v>
      </c>
      <c r="Q676" s="3269" t="s">
        <v>1171</v>
      </c>
      <c r="R676" s="3269" t="s">
        <v>1172</v>
      </c>
      <c r="S676" s="3269" t="s">
        <v>1173</v>
      </c>
      <c r="T676" s="5417"/>
      <c r="U676" s="5417"/>
      <c r="V676" s="5417"/>
      <c r="W676" s="5417"/>
      <c r="X676" s="5417"/>
      <c r="Y676" s="5417"/>
      <c r="Z676" s="5417"/>
      <c r="AA676" s="5417"/>
      <c r="AB676" s="5417"/>
      <c r="AC676" s="3561" t="str">
        <f>AC636</f>
        <v>H</v>
      </c>
      <c r="AD676" s="2686" t="str">
        <f>AD636</f>
        <v>M</v>
      </c>
      <c r="AE676" s="3561" t="str">
        <f t="shared" ref="AE676:AJ676" si="200">AE636</f>
        <v>H</v>
      </c>
      <c r="AF676" s="2686" t="str">
        <f t="shared" si="200"/>
        <v>M</v>
      </c>
      <c r="AG676" s="3561" t="str">
        <f t="shared" si="200"/>
        <v>H</v>
      </c>
      <c r="AH676" s="2686" t="str">
        <f t="shared" si="200"/>
        <v>M</v>
      </c>
      <c r="AI676" s="3561" t="str">
        <f t="shared" si="200"/>
        <v>H</v>
      </c>
      <c r="AJ676" s="2686" t="str">
        <f t="shared" si="200"/>
        <v>M</v>
      </c>
      <c r="AK676" s="2627" t="str">
        <f>AK636</f>
        <v>TTS</v>
      </c>
      <c r="AL676" s="3455" t="s">
        <v>393</v>
      </c>
      <c r="AM676" s="3463" t="s">
        <v>8</v>
      </c>
      <c r="AN676" s="3456" t="s">
        <v>347</v>
      </c>
      <c r="AO676" s="3456" t="s">
        <v>348</v>
      </c>
      <c r="AP676" s="3456" t="s">
        <v>2062</v>
      </c>
      <c r="AQ676" s="3457" t="s">
        <v>2081</v>
      </c>
      <c r="AR676" s="3456" t="s">
        <v>2510</v>
      </c>
    </row>
    <row r="677" spans="1:45" s="1443" customFormat="1" ht="21.95" customHeight="1">
      <c r="A677" s="3267"/>
      <c r="B677" s="1646"/>
      <c r="C677" s="1451"/>
      <c r="D677" s="1451"/>
      <c r="E677" s="1451"/>
      <c r="F677" s="1451"/>
      <c r="G677" s="1452"/>
      <c r="H677" s="3267"/>
      <c r="I677" s="3267"/>
      <c r="J677" s="3267"/>
      <c r="K677" s="3267"/>
      <c r="L677" s="5398"/>
      <c r="M677" s="5398"/>
      <c r="N677" s="5398"/>
      <c r="O677" s="5398"/>
      <c r="P677" s="3267"/>
      <c r="Q677" s="3267"/>
      <c r="R677" s="3267"/>
      <c r="S677" s="3267"/>
      <c r="T677" s="3267"/>
      <c r="U677" s="5398"/>
      <c r="V677" s="5398"/>
      <c r="W677" s="5398"/>
      <c r="X677" s="5398"/>
      <c r="Y677" s="3267"/>
      <c r="Z677" s="3267"/>
      <c r="AA677" s="5398"/>
      <c r="AB677" s="5398"/>
      <c r="AC677" s="2682"/>
      <c r="AD677" s="3289"/>
      <c r="AE677" s="2628"/>
      <c r="AF677" s="2629"/>
      <c r="AG677" s="2628"/>
      <c r="AH677" s="2629"/>
      <c r="AI677" s="2628"/>
      <c r="AJ677" s="2629"/>
      <c r="AK677" s="2670">
        <f t="shared" ref="AK677:AK694" si="201">SUM(AC677:AD677)</f>
        <v>0</v>
      </c>
      <c r="AL677" s="3464"/>
      <c r="AM677" s="3448"/>
      <c r="AN677" s="3448"/>
      <c r="AO677" s="3448"/>
      <c r="AP677" s="3448"/>
      <c r="AQ677" s="3448"/>
      <c r="AR677" s="3458" t="e">
        <f t="shared" ref="AR677:AR690" si="202">SUM(AM677:AQ677)/AS677</f>
        <v>#DIV/0!</v>
      </c>
      <c r="AS677" s="1446"/>
    </row>
    <row r="678" spans="1:45" s="1443" customFormat="1" ht="21.95" customHeight="1">
      <c r="A678" s="3267"/>
      <c r="B678" s="1646"/>
      <c r="C678" s="1451"/>
      <c r="D678" s="1451"/>
      <c r="E678" s="1451"/>
      <c r="F678" s="1451"/>
      <c r="G678" s="1452"/>
      <c r="H678" s="3267"/>
      <c r="I678" s="3267"/>
      <c r="J678" s="3267"/>
      <c r="K678" s="3267"/>
      <c r="L678" s="5398"/>
      <c r="M678" s="5398"/>
      <c r="N678" s="5398"/>
      <c r="O678" s="5398"/>
      <c r="P678" s="3267"/>
      <c r="Q678" s="3267"/>
      <c r="R678" s="3267"/>
      <c r="S678" s="3267"/>
      <c r="T678" s="3267"/>
      <c r="U678" s="5398"/>
      <c r="V678" s="5398"/>
      <c r="W678" s="5398"/>
      <c r="X678" s="5398"/>
      <c r="Y678" s="3267"/>
      <c r="Z678" s="3267"/>
      <c r="AA678" s="5398"/>
      <c r="AB678" s="5398"/>
      <c r="AC678" s="2682"/>
      <c r="AD678" s="3289"/>
      <c r="AE678" s="2628"/>
      <c r="AF678" s="2629"/>
      <c r="AG678" s="2628"/>
      <c r="AH678" s="2629"/>
      <c r="AI678" s="2628"/>
      <c r="AJ678" s="2629"/>
      <c r="AK678" s="2671">
        <f t="shared" si="201"/>
        <v>0</v>
      </c>
      <c r="AL678" s="3464"/>
      <c r="AM678" s="3448"/>
      <c r="AN678" s="3448"/>
      <c r="AO678" s="3448"/>
      <c r="AP678" s="3448"/>
      <c r="AQ678" s="3448"/>
      <c r="AR678" s="3458" t="e">
        <f t="shared" si="202"/>
        <v>#DIV/0!</v>
      </c>
      <c r="AS678" s="1446"/>
    </row>
    <row r="679" spans="1:45" s="1443" customFormat="1" ht="21.95" customHeight="1">
      <c r="A679" s="3267"/>
      <c r="B679" s="1646"/>
      <c r="C679" s="1451"/>
      <c r="D679" s="1451"/>
      <c r="E679" s="1451"/>
      <c r="F679" s="1451"/>
      <c r="G679" s="1452"/>
      <c r="H679" s="3267"/>
      <c r="I679" s="3267"/>
      <c r="J679" s="3267"/>
      <c r="K679" s="3267"/>
      <c r="L679" s="5398"/>
      <c r="M679" s="5398"/>
      <c r="N679" s="5398"/>
      <c r="O679" s="5398"/>
      <c r="P679" s="3267"/>
      <c r="Q679" s="3267"/>
      <c r="R679" s="3267"/>
      <c r="S679" s="3267"/>
      <c r="T679" s="3267"/>
      <c r="U679" s="5398"/>
      <c r="V679" s="5398"/>
      <c r="W679" s="5398"/>
      <c r="X679" s="5398"/>
      <c r="Y679" s="3267"/>
      <c r="Z679" s="3267"/>
      <c r="AA679" s="5398"/>
      <c r="AB679" s="5398"/>
      <c r="AC679" s="2682"/>
      <c r="AD679" s="3289"/>
      <c r="AE679" s="2628"/>
      <c r="AF679" s="2629"/>
      <c r="AG679" s="2628"/>
      <c r="AH679" s="2629"/>
      <c r="AI679" s="2628"/>
      <c r="AJ679" s="2629"/>
      <c r="AK679" s="2671">
        <f t="shared" si="201"/>
        <v>0</v>
      </c>
      <c r="AL679" s="3464"/>
      <c r="AM679" s="3448"/>
      <c r="AN679" s="3448"/>
      <c r="AO679" s="3448"/>
      <c r="AP679" s="3448"/>
      <c r="AQ679" s="3448"/>
      <c r="AR679" s="3458" t="e">
        <f t="shared" si="202"/>
        <v>#DIV/0!</v>
      </c>
      <c r="AS679" s="1446"/>
    </row>
    <row r="680" spans="1:45" s="1443" customFormat="1" ht="21.95" customHeight="1">
      <c r="A680" s="3267"/>
      <c r="B680" s="1646"/>
      <c r="C680" s="1451"/>
      <c r="D680" s="1451"/>
      <c r="E680" s="1451"/>
      <c r="F680" s="1451"/>
      <c r="G680" s="1452"/>
      <c r="H680" s="3267"/>
      <c r="I680" s="3267"/>
      <c r="J680" s="3267"/>
      <c r="K680" s="3267"/>
      <c r="L680" s="5398"/>
      <c r="M680" s="5398"/>
      <c r="N680" s="5398"/>
      <c r="O680" s="5398"/>
      <c r="P680" s="3267"/>
      <c r="Q680" s="3267"/>
      <c r="R680" s="3267"/>
      <c r="S680" s="3267"/>
      <c r="T680" s="3267"/>
      <c r="U680" s="5398"/>
      <c r="V680" s="5398"/>
      <c r="W680" s="5398"/>
      <c r="X680" s="5398"/>
      <c r="Y680" s="3267"/>
      <c r="Z680" s="3267"/>
      <c r="AA680" s="5398"/>
      <c r="AB680" s="5398"/>
      <c r="AC680" s="2682"/>
      <c r="AD680" s="3289"/>
      <c r="AE680" s="2628"/>
      <c r="AF680" s="2629"/>
      <c r="AG680" s="2628"/>
      <c r="AH680" s="2629"/>
      <c r="AI680" s="2628"/>
      <c r="AJ680" s="2629"/>
      <c r="AK680" s="2671">
        <f t="shared" si="201"/>
        <v>0</v>
      </c>
      <c r="AL680" s="3464"/>
      <c r="AM680" s="3448"/>
      <c r="AN680" s="3448"/>
      <c r="AO680" s="3448"/>
      <c r="AP680" s="3448"/>
      <c r="AQ680" s="3448"/>
      <c r="AR680" s="3458" t="e">
        <f t="shared" si="202"/>
        <v>#DIV/0!</v>
      </c>
      <c r="AS680" s="1446"/>
    </row>
    <row r="681" spans="1:45" s="1443" customFormat="1" ht="21.95" customHeight="1">
      <c r="A681" s="3267"/>
      <c r="B681" s="1646"/>
      <c r="C681" s="1451"/>
      <c r="D681" s="1451"/>
      <c r="E681" s="1451"/>
      <c r="F681" s="1451"/>
      <c r="G681" s="1452"/>
      <c r="H681" s="3267"/>
      <c r="I681" s="3267"/>
      <c r="J681" s="3267"/>
      <c r="K681" s="3267"/>
      <c r="L681" s="5398"/>
      <c r="M681" s="5398"/>
      <c r="N681" s="5398"/>
      <c r="O681" s="5398"/>
      <c r="P681" s="3267"/>
      <c r="Q681" s="3267"/>
      <c r="R681" s="3267"/>
      <c r="S681" s="3267"/>
      <c r="T681" s="3267"/>
      <c r="U681" s="5398"/>
      <c r="V681" s="5398"/>
      <c r="W681" s="5398"/>
      <c r="X681" s="5398"/>
      <c r="Y681" s="3267"/>
      <c r="Z681" s="3267"/>
      <c r="AA681" s="5398"/>
      <c r="AB681" s="5398"/>
      <c r="AC681" s="2682"/>
      <c r="AD681" s="3289"/>
      <c r="AE681" s="2628"/>
      <c r="AF681" s="2629"/>
      <c r="AG681" s="2628"/>
      <c r="AH681" s="2629"/>
      <c r="AI681" s="2628"/>
      <c r="AJ681" s="2629"/>
      <c r="AK681" s="2671">
        <f t="shared" si="201"/>
        <v>0</v>
      </c>
      <c r="AL681" s="3464"/>
      <c r="AM681" s="3448"/>
      <c r="AN681" s="3448"/>
      <c r="AO681" s="3448"/>
      <c r="AP681" s="3448"/>
      <c r="AQ681" s="3448"/>
      <c r="AR681" s="3458" t="e">
        <f t="shared" si="202"/>
        <v>#DIV/0!</v>
      </c>
      <c r="AS681" s="1446"/>
    </row>
    <row r="682" spans="1:45" s="1443" customFormat="1" ht="21.95" customHeight="1">
      <c r="A682" s="3267"/>
      <c r="B682" s="1646"/>
      <c r="C682" s="1451"/>
      <c r="D682" s="1451"/>
      <c r="E682" s="1451"/>
      <c r="F682" s="1451"/>
      <c r="G682" s="1452"/>
      <c r="H682" s="3267"/>
      <c r="I682" s="3267"/>
      <c r="J682" s="3267"/>
      <c r="K682" s="3267"/>
      <c r="L682" s="5398"/>
      <c r="M682" s="5398"/>
      <c r="N682" s="5398"/>
      <c r="O682" s="5398"/>
      <c r="P682" s="3267"/>
      <c r="Q682" s="3267"/>
      <c r="R682" s="3267"/>
      <c r="S682" s="3267"/>
      <c r="T682" s="3267"/>
      <c r="U682" s="5398"/>
      <c r="V682" s="5398"/>
      <c r="W682" s="5398"/>
      <c r="X682" s="5398"/>
      <c r="Y682" s="3267"/>
      <c r="Z682" s="3267"/>
      <c r="AA682" s="5398"/>
      <c r="AB682" s="5398"/>
      <c r="AC682" s="2682"/>
      <c r="AD682" s="3289"/>
      <c r="AE682" s="2628"/>
      <c r="AF682" s="2629"/>
      <c r="AG682" s="2628"/>
      <c r="AH682" s="2629"/>
      <c r="AI682" s="2628"/>
      <c r="AJ682" s="2629"/>
      <c r="AK682" s="2671">
        <f t="shared" si="201"/>
        <v>0</v>
      </c>
      <c r="AL682" s="3464"/>
      <c r="AM682" s="3448"/>
      <c r="AN682" s="3448"/>
      <c r="AO682" s="3448"/>
      <c r="AP682" s="3448"/>
      <c r="AQ682" s="3448"/>
      <c r="AR682" s="3458" t="e">
        <f t="shared" si="202"/>
        <v>#DIV/0!</v>
      </c>
      <c r="AS682" s="1446"/>
    </row>
    <row r="683" spans="1:45" s="1443" customFormat="1" ht="21.95" customHeight="1">
      <c r="A683" s="3267"/>
      <c r="B683" s="1646"/>
      <c r="C683" s="1451"/>
      <c r="D683" s="1451"/>
      <c r="E683" s="1451"/>
      <c r="F683" s="1451"/>
      <c r="G683" s="1452"/>
      <c r="H683" s="3267"/>
      <c r="I683" s="3267"/>
      <c r="J683" s="3267"/>
      <c r="K683" s="3267"/>
      <c r="L683" s="5398"/>
      <c r="M683" s="5398"/>
      <c r="N683" s="5398"/>
      <c r="O683" s="5398"/>
      <c r="P683" s="3267"/>
      <c r="Q683" s="3267"/>
      <c r="R683" s="3267"/>
      <c r="S683" s="3267"/>
      <c r="T683" s="3267"/>
      <c r="U683" s="5398"/>
      <c r="V683" s="5398"/>
      <c r="W683" s="5398"/>
      <c r="X683" s="5398"/>
      <c r="Y683" s="3267"/>
      <c r="Z683" s="3267"/>
      <c r="AA683" s="5398"/>
      <c r="AB683" s="5398"/>
      <c r="AC683" s="2682"/>
      <c r="AD683" s="3289"/>
      <c r="AE683" s="2628"/>
      <c r="AF683" s="2629"/>
      <c r="AG683" s="2628"/>
      <c r="AH683" s="2629"/>
      <c r="AI683" s="2628"/>
      <c r="AJ683" s="2629"/>
      <c r="AK683" s="2671">
        <f t="shared" si="201"/>
        <v>0</v>
      </c>
      <c r="AL683" s="3464"/>
      <c r="AM683" s="3448"/>
      <c r="AN683" s="3448"/>
      <c r="AO683" s="3448"/>
      <c r="AP683" s="3448"/>
      <c r="AQ683" s="3448"/>
      <c r="AR683" s="3458" t="e">
        <f t="shared" si="202"/>
        <v>#DIV/0!</v>
      </c>
      <c r="AS683" s="1446"/>
    </row>
    <row r="684" spans="1:45" s="1443" customFormat="1" ht="21.95" customHeight="1">
      <c r="A684" s="3267"/>
      <c r="B684" s="1646"/>
      <c r="C684" s="1451"/>
      <c r="D684" s="1451"/>
      <c r="E684" s="1451"/>
      <c r="F684" s="1451"/>
      <c r="G684" s="1452"/>
      <c r="H684" s="3267"/>
      <c r="I684" s="3267"/>
      <c r="J684" s="3267"/>
      <c r="K684" s="3267"/>
      <c r="L684" s="5398"/>
      <c r="M684" s="5398"/>
      <c r="N684" s="5398"/>
      <c r="O684" s="5398"/>
      <c r="P684" s="3267"/>
      <c r="Q684" s="3267"/>
      <c r="R684" s="3267"/>
      <c r="S684" s="3267"/>
      <c r="T684" s="3267"/>
      <c r="U684" s="5398"/>
      <c r="V684" s="5398"/>
      <c r="W684" s="5398"/>
      <c r="X684" s="5398"/>
      <c r="Y684" s="3267"/>
      <c r="Z684" s="3267"/>
      <c r="AA684" s="5398"/>
      <c r="AB684" s="5398"/>
      <c r="AC684" s="2682"/>
      <c r="AD684" s="3289"/>
      <c r="AE684" s="2628"/>
      <c r="AF684" s="2629"/>
      <c r="AG684" s="2628"/>
      <c r="AH684" s="2629"/>
      <c r="AI684" s="2628"/>
      <c r="AJ684" s="2629"/>
      <c r="AK684" s="2671">
        <f t="shared" si="201"/>
        <v>0</v>
      </c>
      <c r="AL684" s="3464"/>
      <c r="AM684" s="3448"/>
      <c r="AN684" s="3448"/>
      <c r="AO684" s="3448"/>
      <c r="AP684" s="3448"/>
      <c r="AQ684" s="3448"/>
      <c r="AR684" s="3458" t="e">
        <f t="shared" si="202"/>
        <v>#DIV/0!</v>
      </c>
      <c r="AS684" s="1446"/>
    </row>
    <row r="685" spans="1:45" s="1444" customFormat="1" ht="21.95" customHeight="1">
      <c r="A685" s="3267"/>
      <c r="B685" s="1646"/>
      <c r="C685" s="1451"/>
      <c r="D685" s="1451"/>
      <c r="E685" s="1451"/>
      <c r="F685" s="1451"/>
      <c r="G685" s="1452"/>
      <c r="H685" s="3267"/>
      <c r="I685" s="3267"/>
      <c r="J685" s="3267"/>
      <c r="K685" s="3267"/>
      <c r="L685" s="5398"/>
      <c r="M685" s="5398"/>
      <c r="N685" s="5398"/>
      <c r="O685" s="5398"/>
      <c r="P685" s="3267"/>
      <c r="Q685" s="3267"/>
      <c r="R685" s="3267"/>
      <c r="S685" s="3267"/>
      <c r="T685" s="3267"/>
      <c r="U685" s="5398"/>
      <c r="V685" s="5398"/>
      <c r="W685" s="5398"/>
      <c r="X685" s="5398"/>
      <c r="Y685" s="3267"/>
      <c r="Z685" s="3267"/>
      <c r="AA685" s="5398"/>
      <c r="AB685" s="5398"/>
      <c r="AC685" s="2682"/>
      <c r="AD685" s="3289"/>
      <c r="AE685" s="2628"/>
      <c r="AF685" s="2629"/>
      <c r="AG685" s="2628"/>
      <c r="AH685" s="2629"/>
      <c r="AI685" s="2628"/>
      <c r="AJ685" s="2629"/>
      <c r="AK685" s="2671">
        <f t="shared" si="201"/>
        <v>0</v>
      </c>
      <c r="AL685" s="3464"/>
      <c r="AM685" s="3448"/>
      <c r="AN685" s="3448"/>
      <c r="AO685" s="3448"/>
      <c r="AP685" s="3448"/>
      <c r="AQ685" s="3448"/>
      <c r="AR685" s="3458" t="e">
        <f t="shared" si="202"/>
        <v>#DIV/0!</v>
      </c>
      <c r="AS685" s="1446"/>
    </row>
    <row r="686" spans="1:45" s="1444" customFormat="1" ht="21.95" customHeight="1">
      <c r="A686" s="3267"/>
      <c r="B686" s="1646"/>
      <c r="C686" s="1451"/>
      <c r="D686" s="1451"/>
      <c r="E686" s="1451"/>
      <c r="F686" s="1451"/>
      <c r="G686" s="1452"/>
      <c r="H686" s="3267"/>
      <c r="I686" s="3267"/>
      <c r="J686" s="3267"/>
      <c r="K686" s="3267"/>
      <c r="L686" s="5398"/>
      <c r="M686" s="5398"/>
      <c r="N686" s="5398"/>
      <c r="O686" s="5398"/>
      <c r="P686" s="3267"/>
      <c r="Q686" s="3267"/>
      <c r="R686" s="3267"/>
      <c r="S686" s="3267"/>
      <c r="T686" s="3267"/>
      <c r="U686" s="5398"/>
      <c r="V686" s="5398"/>
      <c r="W686" s="5398"/>
      <c r="X686" s="5398"/>
      <c r="Y686" s="3267"/>
      <c r="Z686" s="3267"/>
      <c r="AA686" s="5398"/>
      <c r="AB686" s="5398"/>
      <c r="AC686" s="2682"/>
      <c r="AD686" s="3289"/>
      <c r="AE686" s="2628"/>
      <c r="AF686" s="2629"/>
      <c r="AG686" s="2628"/>
      <c r="AH686" s="2629"/>
      <c r="AI686" s="2628"/>
      <c r="AJ686" s="2629"/>
      <c r="AK686" s="2671">
        <f t="shared" si="201"/>
        <v>0</v>
      </c>
      <c r="AL686" s="3464"/>
      <c r="AM686" s="3448"/>
      <c r="AN686" s="3448"/>
      <c r="AO686" s="3448"/>
      <c r="AP686" s="3448"/>
      <c r="AQ686" s="3448"/>
      <c r="AR686" s="3458" t="e">
        <f t="shared" si="202"/>
        <v>#DIV/0!</v>
      </c>
      <c r="AS686" s="1446"/>
    </row>
    <row r="687" spans="1:45" s="1444" customFormat="1" ht="21.95" customHeight="1">
      <c r="A687" s="3267"/>
      <c r="B687" s="1646"/>
      <c r="C687" s="1451"/>
      <c r="D687" s="1451"/>
      <c r="E687" s="1451"/>
      <c r="F687" s="1451"/>
      <c r="G687" s="1452"/>
      <c r="H687" s="3267"/>
      <c r="I687" s="3267"/>
      <c r="J687" s="3267"/>
      <c r="K687" s="3267"/>
      <c r="L687" s="5398"/>
      <c r="M687" s="5398"/>
      <c r="N687" s="5398"/>
      <c r="O687" s="5398"/>
      <c r="P687" s="3267"/>
      <c r="Q687" s="3267"/>
      <c r="R687" s="3267"/>
      <c r="S687" s="3267"/>
      <c r="T687" s="3267"/>
      <c r="U687" s="5398"/>
      <c r="V687" s="5398"/>
      <c r="W687" s="5398"/>
      <c r="X687" s="5398"/>
      <c r="Y687" s="3267"/>
      <c r="Z687" s="3267"/>
      <c r="AA687" s="5398"/>
      <c r="AB687" s="5398"/>
      <c r="AC687" s="2682"/>
      <c r="AD687" s="3289"/>
      <c r="AE687" s="2628"/>
      <c r="AF687" s="2629"/>
      <c r="AG687" s="2628"/>
      <c r="AH687" s="2629"/>
      <c r="AI687" s="2628"/>
      <c r="AJ687" s="2629"/>
      <c r="AK687" s="2671">
        <f t="shared" si="201"/>
        <v>0</v>
      </c>
      <c r="AL687" s="3464"/>
      <c r="AM687" s="3448"/>
      <c r="AN687" s="3448"/>
      <c r="AO687" s="3448"/>
      <c r="AP687" s="3448"/>
      <c r="AQ687" s="3448"/>
      <c r="AR687" s="3458" t="e">
        <f t="shared" si="202"/>
        <v>#DIV/0!</v>
      </c>
      <c r="AS687" s="1446"/>
    </row>
    <row r="688" spans="1:45" s="1444" customFormat="1" ht="21.95" customHeight="1">
      <c r="A688" s="3267"/>
      <c r="B688" s="1646"/>
      <c r="C688" s="1451"/>
      <c r="D688" s="1451"/>
      <c r="E688" s="1451"/>
      <c r="F688" s="1451"/>
      <c r="G688" s="1452"/>
      <c r="H688" s="3267"/>
      <c r="I688" s="3267"/>
      <c r="J688" s="3267"/>
      <c r="K688" s="3267"/>
      <c r="L688" s="5398"/>
      <c r="M688" s="5398"/>
      <c r="N688" s="5398"/>
      <c r="O688" s="5398"/>
      <c r="P688" s="3267"/>
      <c r="Q688" s="3267"/>
      <c r="R688" s="3267"/>
      <c r="S688" s="3267"/>
      <c r="T688" s="3267"/>
      <c r="U688" s="5398"/>
      <c r="V688" s="5398"/>
      <c r="W688" s="5398"/>
      <c r="X688" s="5398"/>
      <c r="Y688" s="3267"/>
      <c r="Z688" s="3267"/>
      <c r="AA688" s="5398"/>
      <c r="AB688" s="5398"/>
      <c r="AC688" s="2682"/>
      <c r="AD688" s="3289"/>
      <c r="AE688" s="2628"/>
      <c r="AF688" s="2629"/>
      <c r="AG688" s="2628"/>
      <c r="AH688" s="2629"/>
      <c r="AI688" s="2628"/>
      <c r="AJ688" s="2629"/>
      <c r="AK688" s="2671">
        <f t="shared" si="201"/>
        <v>0</v>
      </c>
      <c r="AL688" s="3464"/>
      <c r="AM688" s="3448"/>
      <c r="AN688" s="3448"/>
      <c r="AO688" s="3448"/>
      <c r="AP688" s="3448"/>
      <c r="AQ688" s="3448"/>
      <c r="AR688" s="3458" t="e">
        <f t="shared" si="202"/>
        <v>#DIV/0!</v>
      </c>
      <c r="AS688" s="1446"/>
    </row>
    <row r="689" spans="1:45" s="1444" customFormat="1" ht="21.95" customHeight="1">
      <c r="A689" s="3267"/>
      <c r="B689" s="1646"/>
      <c r="C689" s="1451"/>
      <c r="D689" s="1451"/>
      <c r="E689" s="1451"/>
      <c r="F689" s="1451"/>
      <c r="G689" s="1452"/>
      <c r="H689" s="3267"/>
      <c r="I689" s="3267"/>
      <c r="J689" s="3267"/>
      <c r="K689" s="3267"/>
      <c r="L689" s="5398"/>
      <c r="M689" s="5398"/>
      <c r="N689" s="5398"/>
      <c r="O689" s="5398"/>
      <c r="P689" s="3267"/>
      <c r="Q689" s="3267"/>
      <c r="R689" s="3267"/>
      <c r="S689" s="3267"/>
      <c r="T689" s="3267"/>
      <c r="U689" s="5398"/>
      <c r="V689" s="5398"/>
      <c r="W689" s="5398"/>
      <c r="X689" s="5398"/>
      <c r="Y689" s="3267"/>
      <c r="Z689" s="3267"/>
      <c r="AA689" s="5398"/>
      <c r="AB689" s="5398"/>
      <c r="AC689" s="2682"/>
      <c r="AD689" s="3289"/>
      <c r="AE689" s="2628"/>
      <c r="AF689" s="2629"/>
      <c r="AG689" s="2628"/>
      <c r="AH689" s="2629"/>
      <c r="AI689" s="2628"/>
      <c r="AJ689" s="2629"/>
      <c r="AK689" s="2671">
        <f t="shared" si="201"/>
        <v>0</v>
      </c>
      <c r="AL689" s="3464"/>
      <c r="AM689" s="3448"/>
      <c r="AN689" s="3448"/>
      <c r="AO689" s="3448"/>
      <c r="AP689" s="3448"/>
      <c r="AQ689" s="3448"/>
      <c r="AR689" s="3458" t="e">
        <f t="shared" si="202"/>
        <v>#DIV/0!</v>
      </c>
      <c r="AS689" s="1446"/>
    </row>
    <row r="690" spans="1:45" s="1444" customFormat="1" ht="21.95" customHeight="1">
      <c r="A690" s="3267"/>
      <c r="B690" s="1646"/>
      <c r="C690" s="1451"/>
      <c r="D690" s="1451"/>
      <c r="E690" s="1451"/>
      <c r="F690" s="1451"/>
      <c r="G690" s="1452"/>
      <c r="H690" s="3267"/>
      <c r="I690" s="3267"/>
      <c r="J690" s="3267"/>
      <c r="K690" s="3267"/>
      <c r="L690" s="5398"/>
      <c r="M690" s="5398"/>
      <c r="N690" s="5398"/>
      <c r="O690" s="5398"/>
      <c r="P690" s="3267"/>
      <c r="Q690" s="3267"/>
      <c r="R690" s="3267"/>
      <c r="S690" s="3267"/>
      <c r="T690" s="3267"/>
      <c r="U690" s="5398"/>
      <c r="V690" s="5398"/>
      <c r="W690" s="5398"/>
      <c r="X690" s="5398"/>
      <c r="Y690" s="3267"/>
      <c r="Z690" s="3267"/>
      <c r="AA690" s="5398"/>
      <c r="AB690" s="5398"/>
      <c r="AC690" s="2682"/>
      <c r="AD690" s="3289"/>
      <c r="AE690" s="2628"/>
      <c r="AF690" s="2629"/>
      <c r="AG690" s="2628"/>
      <c r="AH690" s="2629"/>
      <c r="AI690" s="2628"/>
      <c r="AJ690" s="2629"/>
      <c r="AK690" s="2671">
        <f t="shared" si="201"/>
        <v>0</v>
      </c>
      <c r="AL690" s="3464"/>
      <c r="AM690" s="3448"/>
      <c r="AN690" s="3448"/>
      <c r="AO690" s="3448"/>
      <c r="AP690" s="3448"/>
      <c r="AQ690" s="3448"/>
      <c r="AR690" s="3458" t="e">
        <f t="shared" si="202"/>
        <v>#DIV/0!</v>
      </c>
      <c r="AS690" s="1446"/>
    </row>
    <row r="691" spans="1:45" s="1444" customFormat="1" ht="21.95" customHeight="1">
      <c r="A691" s="3267"/>
      <c r="B691" s="1646"/>
      <c r="C691" s="1451"/>
      <c r="D691" s="1451"/>
      <c r="E691" s="1451"/>
      <c r="F691" s="1451"/>
      <c r="G691" s="1452"/>
      <c r="H691" s="3267"/>
      <c r="I691" s="3267"/>
      <c r="J691" s="3267"/>
      <c r="K691" s="3267"/>
      <c r="L691" s="5398"/>
      <c r="M691" s="5398"/>
      <c r="N691" s="5398"/>
      <c r="O691" s="5398"/>
      <c r="P691" s="3267"/>
      <c r="Q691" s="3267"/>
      <c r="R691" s="3267"/>
      <c r="S691" s="3267"/>
      <c r="T691" s="3267"/>
      <c r="U691" s="5398"/>
      <c r="V691" s="5398"/>
      <c r="W691" s="5398"/>
      <c r="X691" s="5398"/>
      <c r="Y691" s="3267"/>
      <c r="Z691" s="3267"/>
      <c r="AA691" s="5398"/>
      <c r="AB691" s="5398"/>
      <c r="AC691" s="2682"/>
      <c r="AD691" s="3289"/>
      <c r="AE691" s="2628"/>
      <c r="AF691" s="2629"/>
      <c r="AG691" s="2628"/>
      <c r="AH691" s="2629"/>
      <c r="AI691" s="2628"/>
      <c r="AJ691" s="2629"/>
      <c r="AK691" s="2671">
        <f t="shared" si="201"/>
        <v>0</v>
      </c>
      <c r="AL691" s="3464"/>
      <c r="AM691" s="3448"/>
      <c r="AN691" s="3448"/>
      <c r="AO691" s="3448"/>
      <c r="AP691" s="3448"/>
      <c r="AQ691" s="3448"/>
      <c r="AR691" s="3458" t="e">
        <f t="shared" ref="AR691:AR703" si="203">SUM(AM691:AQ691)/AS691</f>
        <v>#DIV/0!</v>
      </c>
      <c r="AS691" s="1446"/>
    </row>
    <row r="692" spans="1:45" s="1444" customFormat="1" ht="21.95" customHeight="1">
      <c r="A692" s="3267"/>
      <c r="B692" s="1646"/>
      <c r="C692" s="1451"/>
      <c r="D692" s="1451"/>
      <c r="E692" s="1451"/>
      <c r="F692" s="1451"/>
      <c r="G692" s="1452"/>
      <c r="H692" s="3267"/>
      <c r="I692" s="3267"/>
      <c r="J692" s="3267"/>
      <c r="K692" s="3267"/>
      <c r="L692" s="5398"/>
      <c r="M692" s="5398"/>
      <c r="N692" s="5398"/>
      <c r="O692" s="5398"/>
      <c r="P692" s="3267"/>
      <c r="Q692" s="3267"/>
      <c r="R692" s="3267"/>
      <c r="S692" s="3267"/>
      <c r="T692" s="3267"/>
      <c r="U692" s="5398"/>
      <c r="V692" s="5398"/>
      <c r="W692" s="5398"/>
      <c r="X692" s="5398"/>
      <c r="Y692" s="3267"/>
      <c r="Z692" s="3267"/>
      <c r="AA692" s="5398"/>
      <c r="AB692" s="5398"/>
      <c r="AC692" s="2682"/>
      <c r="AD692" s="3289"/>
      <c r="AE692" s="2628"/>
      <c r="AF692" s="2629"/>
      <c r="AG692" s="2628"/>
      <c r="AH692" s="2629"/>
      <c r="AI692" s="2628"/>
      <c r="AJ692" s="2629"/>
      <c r="AK692" s="2671">
        <f t="shared" si="201"/>
        <v>0</v>
      </c>
      <c r="AL692" s="3464"/>
      <c r="AM692" s="3448"/>
      <c r="AN692" s="3448"/>
      <c r="AO692" s="3448"/>
      <c r="AP692" s="3448"/>
      <c r="AQ692" s="3448"/>
      <c r="AR692" s="3458" t="e">
        <f t="shared" si="203"/>
        <v>#DIV/0!</v>
      </c>
      <c r="AS692" s="1446"/>
    </row>
    <row r="693" spans="1:45" s="1444" customFormat="1" ht="21.95" customHeight="1">
      <c r="A693" s="3267"/>
      <c r="B693" s="1646"/>
      <c r="C693" s="1451"/>
      <c r="D693" s="1451"/>
      <c r="E693" s="1451"/>
      <c r="F693" s="1451"/>
      <c r="G693" s="1452"/>
      <c r="H693" s="3267"/>
      <c r="I693" s="3267"/>
      <c r="J693" s="3267"/>
      <c r="K693" s="3267"/>
      <c r="L693" s="5398"/>
      <c r="M693" s="5398"/>
      <c r="N693" s="5398"/>
      <c r="O693" s="5398"/>
      <c r="P693" s="3267"/>
      <c r="Q693" s="3267"/>
      <c r="R693" s="3267"/>
      <c r="S693" s="3267"/>
      <c r="T693" s="3267"/>
      <c r="U693" s="5398"/>
      <c r="V693" s="5398"/>
      <c r="W693" s="5398"/>
      <c r="X693" s="5398"/>
      <c r="Y693" s="3267"/>
      <c r="Z693" s="3267"/>
      <c r="AA693" s="5398"/>
      <c r="AB693" s="5398"/>
      <c r="AC693" s="2682"/>
      <c r="AD693" s="3289"/>
      <c r="AE693" s="2628"/>
      <c r="AF693" s="2629"/>
      <c r="AG693" s="2628"/>
      <c r="AH693" s="2629"/>
      <c r="AI693" s="2628"/>
      <c r="AJ693" s="2629"/>
      <c r="AK693" s="2671">
        <f t="shared" si="201"/>
        <v>0</v>
      </c>
      <c r="AL693" s="3464"/>
      <c r="AM693" s="3448"/>
      <c r="AN693" s="3448"/>
      <c r="AO693" s="3448"/>
      <c r="AP693" s="3448"/>
      <c r="AQ693" s="3448"/>
      <c r="AR693" s="3458" t="e">
        <f t="shared" si="203"/>
        <v>#DIV/0!</v>
      </c>
      <c r="AS693" s="1446"/>
    </row>
    <row r="694" spans="1:45" s="1444" customFormat="1" ht="21.95" customHeight="1">
      <c r="A694" s="3267"/>
      <c r="B694" s="1646"/>
      <c r="C694" s="1451"/>
      <c r="D694" s="1451"/>
      <c r="E694" s="1451"/>
      <c r="F694" s="1451"/>
      <c r="G694" s="1452"/>
      <c r="H694" s="3267"/>
      <c r="I694" s="3267"/>
      <c r="J694" s="3267"/>
      <c r="K694" s="3267"/>
      <c r="L694" s="5398"/>
      <c r="M694" s="5398"/>
      <c r="N694" s="5398"/>
      <c r="O694" s="5398"/>
      <c r="P694" s="3267"/>
      <c r="Q694" s="3267"/>
      <c r="R694" s="3267"/>
      <c r="S694" s="3267"/>
      <c r="T694" s="3267"/>
      <c r="U694" s="5398"/>
      <c r="V694" s="5398"/>
      <c r="W694" s="5398"/>
      <c r="X694" s="5398"/>
      <c r="Y694" s="3267"/>
      <c r="Z694" s="3267"/>
      <c r="AA694" s="5398"/>
      <c r="AB694" s="5398"/>
      <c r="AC694" s="2682"/>
      <c r="AD694" s="3289"/>
      <c r="AE694" s="2628"/>
      <c r="AF694" s="2629"/>
      <c r="AG694" s="2628"/>
      <c r="AH694" s="2629"/>
      <c r="AI694" s="2628"/>
      <c r="AJ694" s="2629"/>
      <c r="AK694" s="2671">
        <f t="shared" si="201"/>
        <v>0</v>
      </c>
      <c r="AL694" s="3464"/>
      <c r="AM694" s="3448"/>
      <c r="AN694" s="3448"/>
      <c r="AO694" s="3448"/>
      <c r="AP694" s="3448"/>
      <c r="AQ694" s="3448"/>
      <c r="AR694" s="3458" t="e">
        <f t="shared" si="203"/>
        <v>#DIV/0!</v>
      </c>
      <c r="AS694" s="1446"/>
    </row>
    <row r="695" spans="1:45" s="1444" customFormat="1" ht="21.95" customHeight="1">
      <c r="A695" s="3267"/>
      <c r="B695" s="1646"/>
      <c r="C695" s="1451"/>
      <c r="D695" s="1451"/>
      <c r="E695" s="1451"/>
      <c r="F695" s="1451"/>
      <c r="G695" s="1452"/>
      <c r="H695" s="3267"/>
      <c r="I695" s="3267"/>
      <c r="J695" s="3267"/>
      <c r="K695" s="3267"/>
      <c r="L695" s="5398"/>
      <c r="M695" s="5398"/>
      <c r="N695" s="5398"/>
      <c r="O695" s="5398"/>
      <c r="P695" s="3267"/>
      <c r="Q695" s="3267"/>
      <c r="R695" s="3267"/>
      <c r="S695" s="3267"/>
      <c r="T695" s="3267"/>
      <c r="U695" s="5398"/>
      <c r="V695" s="5398"/>
      <c r="W695" s="5398"/>
      <c r="X695" s="5398"/>
      <c r="Y695" s="3267"/>
      <c r="Z695" s="3267"/>
      <c r="AA695" s="5398"/>
      <c r="AB695" s="5398"/>
      <c r="AC695" s="2682"/>
      <c r="AD695" s="3289"/>
      <c r="AE695" s="2628"/>
      <c r="AF695" s="2629"/>
      <c r="AG695" s="2628"/>
      <c r="AH695" s="2629"/>
      <c r="AI695" s="2628"/>
      <c r="AJ695" s="2629"/>
      <c r="AK695" s="2671">
        <f t="shared" ref="AK695:AK703" si="204">SUM(AC695:AD695)</f>
        <v>0</v>
      </c>
      <c r="AL695" s="3464"/>
      <c r="AM695" s="3448"/>
      <c r="AN695" s="3448"/>
      <c r="AO695" s="3448"/>
      <c r="AP695" s="3448"/>
      <c r="AQ695" s="3448"/>
      <c r="AR695" s="3458" t="e">
        <f t="shared" si="203"/>
        <v>#DIV/0!</v>
      </c>
      <c r="AS695" s="1446"/>
    </row>
    <row r="696" spans="1:45" s="1444" customFormat="1" ht="21.95" customHeight="1">
      <c r="A696" s="3267"/>
      <c r="B696" s="1646"/>
      <c r="C696" s="1451"/>
      <c r="D696" s="1451"/>
      <c r="E696" s="1451"/>
      <c r="F696" s="1451"/>
      <c r="G696" s="1452"/>
      <c r="H696" s="3267"/>
      <c r="I696" s="3267"/>
      <c r="J696" s="3267"/>
      <c r="K696" s="3267"/>
      <c r="L696" s="5398"/>
      <c r="M696" s="5398"/>
      <c r="N696" s="5398"/>
      <c r="O696" s="5398"/>
      <c r="P696" s="3267"/>
      <c r="Q696" s="3267"/>
      <c r="R696" s="3267"/>
      <c r="S696" s="3267"/>
      <c r="T696" s="3267"/>
      <c r="U696" s="5398"/>
      <c r="V696" s="5398"/>
      <c r="W696" s="5398"/>
      <c r="X696" s="5398"/>
      <c r="Y696" s="3267"/>
      <c r="Z696" s="3267"/>
      <c r="AA696" s="5398"/>
      <c r="AB696" s="5398"/>
      <c r="AC696" s="2682"/>
      <c r="AD696" s="3289"/>
      <c r="AE696" s="2628"/>
      <c r="AF696" s="2629"/>
      <c r="AG696" s="2628"/>
      <c r="AH696" s="2629"/>
      <c r="AI696" s="2628"/>
      <c r="AJ696" s="2629"/>
      <c r="AK696" s="2671">
        <f t="shared" si="204"/>
        <v>0</v>
      </c>
      <c r="AL696" s="3464"/>
      <c r="AM696" s="3448"/>
      <c r="AN696" s="3448"/>
      <c r="AO696" s="3448"/>
      <c r="AP696" s="3448"/>
      <c r="AQ696" s="3448"/>
      <c r="AR696" s="3458" t="e">
        <f t="shared" si="203"/>
        <v>#DIV/0!</v>
      </c>
      <c r="AS696" s="1446"/>
    </row>
    <row r="697" spans="1:45" s="1444" customFormat="1" ht="21.95" customHeight="1">
      <c r="A697" s="3267"/>
      <c r="B697" s="1646"/>
      <c r="C697" s="1451"/>
      <c r="D697" s="1451"/>
      <c r="E697" s="1451"/>
      <c r="F697" s="1451"/>
      <c r="G697" s="1452"/>
      <c r="H697" s="3267"/>
      <c r="I697" s="3267"/>
      <c r="J697" s="3267"/>
      <c r="K697" s="3267"/>
      <c r="L697" s="5398"/>
      <c r="M697" s="5398"/>
      <c r="N697" s="5398"/>
      <c r="O697" s="5398"/>
      <c r="P697" s="3267"/>
      <c r="Q697" s="3267"/>
      <c r="R697" s="3267"/>
      <c r="S697" s="3267"/>
      <c r="T697" s="3267"/>
      <c r="U697" s="5398"/>
      <c r="V697" s="5398"/>
      <c r="W697" s="5398"/>
      <c r="X697" s="5398"/>
      <c r="Y697" s="3267"/>
      <c r="Z697" s="3267"/>
      <c r="AA697" s="5398"/>
      <c r="AB697" s="5398"/>
      <c r="AC697" s="2682"/>
      <c r="AD697" s="3289"/>
      <c r="AE697" s="2628"/>
      <c r="AF697" s="2629"/>
      <c r="AG697" s="2628"/>
      <c r="AH697" s="2629"/>
      <c r="AI697" s="2628"/>
      <c r="AJ697" s="2629"/>
      <c r="AK697" s="2671">
        <f t="shared" si="204"/>
        <v>0</v>
      </c>
      <c r="AL697" s="3464"/>
      <c r="AM697" s="3448"/>
      <c r="AN697" s="3448"/>
      <c r="AO697" s="3448"/>
      <c r="AP697" s="3448"/>
      <c r="AQ697" s="3448"/>
      <c r="AR697" s="3458" t="e">
        <f t="shared" si="203"/>
        <v>#DIV/0!</v>
      </c>
      <c r="AS697" s="1446"/>
    </row>
    <row r="698" spans="1:45" s="1444" customFormat="1" ht="21.95" customHeight="1">
      <c r="A698" s="3267"/>
      <c r="B698" s="1646"/>
      <c r="C698" s="1451"/>
      <c r="D698" s="1451"/>
      <c r="E698" s="1451"/>
      <c r="F698" s="1451"/>
      <c r="G698" s="1452"/>
      <c r="H698" s="3267"/>
      <c r="I698" s="3267"/>
      <c r="J698" s="3267"/>
      <c r="K698" s="3267"/>
      <c r="L698" s="5398"/>
      <c r="M698" s="5398"/>
      <c r="N698" s="5398"/>
      <c r="O698" s="5398"/>
      <c r="P698" s="3267"/>
      <c r="Q698" s="3267"/>
      <c r="R698" s="3267"/>
      <c r="S698" s="3267"/>
      <c r="T698" s="3267"/>
      <c r="U698" s="5398"/>
      <c r="V698" s="5398"/>
      <c r="W698" s="5398"/>
      <c r="X698" s="5398"/>
      <c r="Y698" s="3267"/>
      <c r="Z698" s="3267"/>
      <c r="AA698" s="5398"/>
      <c r="AB698" s="5398"/>
      <c r="AC698" s="2682"/>
      <c r="AD698" s="3289"/>
      <c r="AE698" s="2628"/>
      <c r="AF698" s="2629"/>
      <c r="AG698" s="2628"/>
      <c r="AH698" s="2629"/>
      <c r="AI698" s="2628"/>
      <c r="AJ698" s="2629"/>
      <c r="AK698" s="2671">
        <f t="shared" si="204"/>
        <v>0</v>
      </c>
      <c r="AL698" s="3464"/>
      <c r="AM698" s="3448"/>
      <c r="AN698" s="3448"/>
      <c r="AO698" s="3448"/>
      <c r="AP698" s="3448"/>
      <c r="AQ698" s="3448"/>
      <c r="AR698" s="3458" t="e">
        <f t="shared" si="203"/>
        <v>#DIV/0!</v>
      </c>
      <c r="AS698" s="1446"/>
    </row>
    <row r="699" spans="1:45" s="1444" customFormat="1" ht="21.95" customHeight="1">
      <c r="A699" s="3267"/>
      <c r="B699" s="1646"/>
      <c r="C699" s="1451"/>
      <c r="D699" s="1451"/>
      <c r="E699" s="1451"/>
      <c r="F699" s="1451"/>
      <c r="G699" s="1452"/>
      <c r="H699" s="3267"/>
      <c r="I699" s="3267"/>
      <c r="J699" s="3267"/>
      <c r="K699" s="3267"/>
      <c r="L699" s="5398"/>
      <c r="M699" s="5398"/>
      <c r="N699" s="5398"/>
      <c r="O699" s="5398"/>
      <c r="P699" s="3267"/>
      <c r="Q699" s="3267"/>
      <c r="R699" s="3267"/>
      <c r="S699" s="3267"/>
      <c r="T699" s="3267"/>
      <c r="U699" s="5398"/>
      <c r="V699" s="5398"/>
      <c r="W699" s="5398"/>
      <c r="X699" s="5398"/>
      <c r="Y699" s="3267"/>
      <c r="Z699" s="3267"/>
      <c r="AA699" s="5473"/>
      <c r="AB699" s="5474"/>
      <c r="AC699" s="2682"/>
      <c r="AD699" s="3289"/>
      <c r="AE699" s="2628"/>
      <c r="AF699" s="2629"/>
      <c r="AG699" s="2628"/>
      <c r="AH699" s="2629"/>
      <c r="AI699" s="2628"/>
      <c r="AJ699" s="2629"/>
      <c r="AK699" s="2671">
        <f t="shared" si="204"/>
        <v>0</v>
      </c>
      <c r="AL699" s="3464"/>
      <c r="AM699" s="3448"/>
      <c r="AN699" s="3448"/>
      <c r="AO699" s="3448"/>
      <c r="AP699" s="3448"/>
      <c r="AQ699" s="3448"/>
      <c r="AR699" s="3458" t="e">
        <f t="shared" si="203"/>
        <v>#DIV/0!</v>
      </c>
      <c r="AS699" s="1446"/>
    </row>
    <row r="700" spans="1:45" s="1444" customFormat="1" ht="21.95" customHeight="1">
      <c r="A700" s="3267"/>
      <c r="B700" s="1646"/>
      <c r="C700" s="1451"/>
      <c r="D700" s="1451"/>
      <c r="E700" s="1451"/>
      <c r="F700" s="1451"/>
      <c r="G700" s="1452"/>
      <c r="H700" s="3267"/>
      <c r="I700" s="3267"/>
      <c r="J700" s="3267"/>
      <c r="K700" s="3267"/>
      <c r="L700" s="5398"/>
      <c r="M700" s="5398"/>
      <c r="N700" s="5398"/>
      <c r="O700" s="5398"/>
      <c r="P700" s="3267"/>
      <c r="Q700" s="3267"/>
      <c r="R700" s="3267"/>
      <c r="S700" s="3267"/>
      <c r="T700" s="3267"/>
      <c r="U700" s="5398"/>
      <c r="V700" s="5398"/>
      <c r="W700" s="5398"/>
      <c r="X700" s="5398"/>
      <c r="Y700" s="3267"/>
      <c r="Z700" s="3267"/>
      <c r="AA700" s="5398"/>
      <c r="AB700" s="5398"/>
      <c r="AC700" s="2682"/>
      <c r="AD700" s="3289"/>
      <c r="AE700" s="2628"/>
      <c r="AF700" s="2629"/>
      <c r="AG700" s="2628"/>
      <c r="AH700" s="2629"/>
      <c r="AI700" s="2628"/>
      <c r="AJ700" s="2629"/>
      <c r="AK700" s="2671">
        <f t="shared" si="204"/>
        <v>0</v>
      </c>
      <c r="AL700" s="3464"/>
      <c r="AM700" s="3448"/>
      <c r="AN700" s="3448"/>
      <c r="AO700" s="3448"/>
      <c r="AP700" s="3448"/>
      <c r="AQ700" s="3448"/>
      <c r="AR700" s="3458" t="e">
        <f t="shared" si="203"/>
        <v>#DIV/0!</v>
      </c>
      <c r="AS700" s="1446"/>
    </row>
    <row r="701" spans="1:45" s="1444" customFormat="1" ht="21.95" customHeight="1">
      <c r="A701" s="3267"/>
      <c r="B701" s="1646"/>
      <c r="C701" s="1451"/>
      <c r="D701" s="1451"/>
      <c r="E701" s="1451"/>
      <c r="F701" s="1451"/>
      <c r="G701" s="1452"/>
      <c r="H701" s="3267"/>
      <c r="I701" s="3267"/>
      <c r="J701" s="3267"/>
      <c r="K701" s="3267"/>
      <c r="L701" s="5398"/>
      <c r="M701" s="5398"/>
      <c r="N701" s="5398"/>
      <c r="O701" s="5398"/>
      <c r="P701" s="3267"/>
      <c r="Q701" s="3267"/>
      <c r="R701" s="3267"/>
      <c r="S701" s="3267"/>
      <c r="T701" s="3267"/>
      <c r="U701" s="5398"/>
      <c r="V701" s="5398"/>
      <c r="W701" s="5398"/>
      <c r="X701" s="5398"/>
      <c r="Y701" s="3267"/>
      <c r="Z701" s="3267"/>
      <c r="AA701" s="5398"/>
      <c r="AB701" s="5398"/>
      <c r="AC701" s="2682"/>
      <c r="AD701" s="3289"/>
      <c r="AE701" s="2628"/>
      <c r="AF701" s="2629"/>
      <c r="AG701" s="2628"/>
      <c r="AH701" s="2629"/>
      <c r="AI701" s="2628"/>
      <c r="AJ701" s="2629"/>
      <c r="AK701" s="2671">
        <f t="shared" si="204"/>
        <v>0</v>
      </c>
      <c r="AL701" s="3464"/>
      <c r="AM701" s="3448"/>
      <c r="AN701" s="3448"/>
      <c r="AO701" s="3448"/>
      <c r="AP701" s="3448"/>
      <c r="AQ701" s="3448"/>
      <c r="AR701" s="3458" t="e">
        <f t="shared" si="203"/>
        <v>#DIV/0!</v>
      </c>
      <c r="AS701" s="1446"/>
    </row>
    <row r="702" spans="1:45" s="1444" customFormat="1" ht="21.95" customHeight="1">
      <c r="A702" s="3267"/>
      <c r="B702" s="1646"/>
      <c r="C702" s="1451"/>
      <c r="D702" s="1451"/>
      <c r="E702" s="1451"/>
      <c r="F702" s="1451"/>
      <c r="G702" s="1452"/>
      <c r="H702" s="3267"/>
      <c r="I702" s="3267"/>
      <c r="J702" s="3267"/>
      <c r="K702" s="3267"/>
      <c r="L702" s="5398"/>
      <c r="M702" s="5398"/>
      <c r="N702" s="5398"/>
      <c r="O702" s="5398"/>
      <c r="P702" s="3267"/>
      <c r="Q702" s="3267"/>
      <c r="R702" s="3267"/>
      <c r="S702" s="3267"/>
      <c r="T702" s="3267"/>
      <c r="U702" s="5398"/>
      <c r="V702" s="5398"/>
      <c r="W702" s="5398"/>
      <c r="X702" s="5398"/>
      <c r="Y702" s="3267"/>
      <c r="Z702" s="3267"/>
      <c r="AA702" s="5473"/>
      <c r="AB702" s="5474"/>
      <c r="AC702" s="2682"/>
      <c r="AD702" s="3289"/>
      <c r="AE702" s="2628"/>
      <c r="AF702" s="2629"/>
      <c r="AG702" s="2628"/>
      <c r="AH702" s="2629"/>
      <c r="AI702" s="2628"/>
      <c r="AJ702" s="2629"/>
      <c r="AK702" s="2672">
        <f t="shared" si="204"/>
        <v>0</v>
      </c>
      <c r="AL702" s="3464"/>
      <c r="AM702" s="3448"/>
      <c r="AN702" s="3448"/>
      <c r="AO702" s="3448"/>
      <c r="AP702" s="3448"/>
      <c r="AQ702" s="3448"/>
      <c r="AR702" s="3458" t="e">
        <f t="shared" si="203"/>
        <v>#DIV/0!</v>
      </c>
      <c r="AS702" s="1446"/>
    </row>
    <row r="703" spans="1:45" s="1444" customFormat="1" ht="21.95" customHeight="1">
      <c r="A703" s="3266"/>
      <c r="B703" s="1455" t="s">
        <v>437</v>
      </c>
      <c r="C703" s="1456"/>
      <c r="D703" s="1456"/>
      <c r="E703" s="1456"/>
      <c r="F703" s="1456"/>
      <c r="G703" s="1457"/>
      <c r="H703" s="1417">
        <f>'[8]VISITA DE INSP.'!$C$8</f>
        <v>0</v>
      </c>
      <c r="I703" s="1417"/>
      <c r="J703" s="1417"/>
      <c r="K703" s="1417"/>
      <c r="L703" s="1417"/>
      <c r="M703" s="1417"/>
      <c r="N703" s="1417"/>
      <c r="O703" s="1417"/>
      <c r="P703" s="1417"/>
      <c r="Q703" s="1417"/>
      <c r="R703" s="1417"/>
      <c r="S703" s="1417"/>
      <c r="T703" s="1417"/>
      <c r="U703" s="1417"/>
      <c r="V703" s="1417"/>
      <c r="W703" s="5477" t="s">
        <v>1232</v>
      </c>
      <c r="X703" s="5477"/>
      <c r="Y703" s="5477"/>
      <c r="Z703" s="3268">
        <f>COUNTA(Z677:Z702)</f>
        <v>0</v>
      </c>
      <c r="AA703" s="5477">
        <f>SUM(AA677:AB702)</f>
        <v>0</v>
      </c>
      <c r="AB703" s="5477"/>
      <c r="AC703" s="2687">
        <f t="shared" ref="AC703:AJ703" si="205">SUM(AC677:AC702)</f>
        <v>0</v>
      </c>
      <c r="AD703" s="2688">
        <f t="shared" si="205"/>
        <v>0</v>
      </c>
      <c r="AE703" s="2630">
        <f t="shared" si="205"/>
        <v>0</v>
      </c>
      <c r="AF703" s="2631">
        <f t="shared" si="205"/>
        <v>0</v>
      </c>
      <c r="AG703" s="2632">
        <f t="shared" si="205"/>
        <v>0</v>
      </c>
      <c r="AH703" s="2633">
        <f t="shared" si="205"/>
        <v>0</v>
      </c>
      <c r="AI703" s="2634">
        <f t="shared" si="205"/>
        <v>0</v>
      </c>
      <c r="AJ703" s="2635">
        <f t="shared" si="205"/>
        <v>0</v>
      </c>
      <c r="AK703" s="317">
        <f t="shared" si="204"/>
        <v>0</v>
      </c>
      <c r="AL703" s="3468" t="e">
        <f>SUM(AL677:AL702)/AL704</f>
        <v>#DIV/0!</v>
      </c>
      <c r="AM703" s="3467" t="e">
        <f t="shared" ref="AM703" si="206">SUM(AM677:AM702)/AM704</f>
        <v>#DIV/0!</v>
      </c>
      <c r="AN703" s="3466" t="e">
        <f t="shared" ref="AN703" si="207">SUM(AN677:AN702)/AN704</f>
        <v>#DIV/0!</v>
      </c>
      <c r="AO703" s="3466" t="e">
        <f t="shared" ref="AO703:AP703" si="208">SUM(AO677:AO702)/AO704</f>
        <v>#DIV/0!</v>
      </c>
      <c r="AP703" s="3466" t="e">
        <f t="shared" si="208"/>
        <v>#DIV/0!</v>
      </c>
      <c r="AQ703" s="3460" t="e">
        <f>SUM(AQ677:AQ702)/AQ704</f>
        <v>#DIV/0!</v>
      </c>
      <c r="AR703" s="3461" t="e">
        <f t="shared" si="203"/>
        <v>#DIV/0!</v>
      </c>
      <c r="AS703" s="1446"/>
    </row>
    <row r="704" spans="1:45" s="1446" customFormat="1" ht="21.95" customHeight="1">
      <c r="A704" s="3266"/>
      <c r="B704" s="1445">
        <f>COUNTA(B677:G702)</f>
        <v>0</v>
      </c>
      <c r="C704" s="1445"/>
      <c r="D704" s="3266"/>
      <c r="E704" s="3266"/>
      <c r="F704" s="3266"/>
      <c r="G704" s="3266"/>
      <c r="H704" s="3266">
        <f>COUNTA(H677:H702)</f>
        <v>0</v>
      </c>
      <c r="I704" s="3266">
        <f>COUNTA(I677:I702)</f>
        <v>0</v>
      </c>
      <c r="J704" s="3266"/>
      <c r="K704" s="3266"/>
      <c r="L704" s="3266"/>
      <c r="M704" s="3266"/>
      <c r="N704" s="3266"/>
      <c r="O704" s="3266">
        <f>COUNTA(N677:O702)</f>
        <v>0</v>
      </c>
      <c r="P704" s="3266"/>
      <c r="Q704" s="3266"/>
      <c r="R704" s="3266"/>
      <c r="S704" s="3266"/>
      <c r="T704" s="3266">
        <f>COUNTA(T677:T702)</f>
        <v>0</v>
      </c>
      <c r="U704" s="3266"/>
      <c r="V704" s="3266"/>
      <c r="W704" s="3266"/>
      <c r="X704" s="3266"/>
      <c r="Y704" s="3266"/>
      <c r="Z704" s="3266"/>
      <c r="AA704" s="5475">
        <f>'[8]VISITA DE INSP.'!$X$35</f>
        <v>0</v>
      </c>
      <c r="AB704" s="5476"/>
      <c r="AC704" s="5334">
        <f>AC703+AD703</f>
        <v>0</v>
      </c>
      <c r="AD704" s="5334"/>
      <c r="AE704" s="5335">
        <f>AE703+AF703</f>
        <v>0</v>
      </c>
      <c r="AF704" s="5335"/>
      <c r="AG704" s="5335">
        <f>AG703+AH703</f>
        <v>0</v>
      </c>
      <c r="AH704" s="5335"/>
      <c r="AI704" s="2636"/>
      <c r="AJ704" s="2636"/>
      <c r="AK704" s="2636">
        <f>SUM(AC704:AD704)+AE704</f>
        <v>0</v>
      </c>
      <c r="AL704" s="3462">
        <f>COUNTA(AL677:AL702)</f>
        <v>0</v>
      </c>
      <c r="AM704" s="3462">
        <f t="shared" ref="AM704:AQ704" si="209">COUNTA(AM677:AM702)</f>
        <v>0</v>
      </c>
      <c r="AN704" s="3462">
        <f t="shared" si="209"/>
        <v>0</v>
      </c>
      <c r="AO704" s="3462">
        <f t="shared" si="209"/>
        <v>0</v>
      </c>
      <c r="AP704" s="3462">
        <f t="shared" si="209"/>
        <v>0</v>
      </c>
      <c r="AQ704" s="3462">
        <f t="shared" si="209"/>
        <v>0</v>
      </c>
      <c r="AR704" s="3462">
        <v>12</v>
      </c>
    </row>
    <row r="705" spans="1:45" s="1446" customFormat="1" ht="21.95" customHeight="1">
      <c r="A705" s="3266"/>
      <c r="B705" s="1445"/>
      <c r="C705" s="1445"/>
      <c r="D705" s="3266"/>
      <c r="E705" s="3266"/>
      <c r="F705" s="3266"/>
      <c r="G705" s="3266"/>
      <c r="H705" s="3266"/>
      <c r="I705" s="3266"/>
      <c r="J705" s="3266"/>
      <c r="K705" s="3266"/>
      <c r="L705" s="3266"/>
      <c r="M705" s="3266"/>
      <c r="N705" s="3266"/>
      <c r="O705" s="3266"/>
      <c r="P705" s="3266"/>
      <c r="Q705" s="3266"/>
      <c r="R705" s="3266"/>
      <c r="S705" s="3266"/>
      <c r="T705" s="3266"/>
      <c r="U705" s="3266"/>
      <c r="V705" s="3266"/>
      <c r="W705" s="3266"/>
      <c r="X705" s="3266"/>
      <c r="Y705" s="3266"/>
      <c r="Z705" s="3266"/>
      <c r="AA705" s="1458"/>
      <c r="AB705" s="1458"/>
      <c r="AC705" s="2682"/>
      <c r="AK705" s="2636"/>
      <c r="AL705" s="3448"/>
      <c r="AM705" s="3448"/>
      <c r="AN705" s="3448"/>
      <c r="AO705" s="3448"/>
      <c r="AP705" s="3448"/>
      <c r="AQ705" s="3448"/>
    </row>
    <row r="706" spans="1:45" s="1441" customFormat="1" ht="21.95" customHeight="1">
      <c r="A706" s="1663"/>
      <c r="B706" s="1422"/>
      <c r="C706" s="1422"/>
      <c r="D706" s="1422"/>
      <c r="E706" s="1422"/>
      <c r="F706" s="1422"/>
      <c r="G706" s="1422"/>
      <c r="H706" s="1422"/>
      <c r="I706" s="1447"/>
      <c r="J706" s="1447"/>
      <c r="K706" s="1447"/>
      <c r="L706" s="1447"/>
      <c r="M706" s="1447"/>
      <c r="N706" s="1447"/>
      <c r="O706" s="1447"/>
      <c r="P706" s="1447"/>
      <c r="Q706" s="1422"/>
      <c r="R706" s="1422"/>
      <c r="S706" s="1422"/>
      <c r="T706" s="1422"/>
      <c r="U706" s="1422"/>
      <c r="V706" s="1422"/>
      <c r="W706" s="1422"/>
      <c r="X706" s="1422"/>
      <c r="Y706" s="1422"/>
      <c r="Z706" s="1422"/>
      <c r="AA706" s="1422"/>
      <c r="AB706" s="1422"/>
      <c r="AC706" s="2682"/>
      <c r="AD706" s="1444"/>
      <c r="AE706" s="1444"/>
      <c r="AF706" s="1444"/>
      <c r="AG706" s="1444"/>
      <c r="AH706" s="1444"/>
      <c r="AI706" s="1444"/>
      <c r="AJ706" s="1444"/>
      <c r="AK706" s="2636"/>
      <c r="AL706" s="3445"/>
      <c r="AM706" s="3445"/>
      <c r="AN706" s="3445"/>
      <c r="AO706" s="3445"/>
      <c r="AP706" s="3445"/>
      <c r="AQ706" s="3445"/>
      <c r="AS706" s="108"/>
    </row>
    <row r="707" spans="1:45" s="1448" customFormat="1" ht="21.95" customHeight="1">
      <c r="A707" s="108"/>
      <c r="B707" s="1427"/>
      <c r="C707" s="27"/>
      <c r="D707" s="3262" t="s">
        <v>1193</v>
      </c>
      <c r="E707" s="5388">
        <f>B677</f>
        <v>0</v>
      </c>
      <c r="F707" s="5388"/>
      <c r="G707" s="5388"/>
      <c r="H707" s="5388"/>
      <c r="I707" s="5388"/>
      <c r="J707" s="5388"/>
      <c r="K707" s="1429"/>
      <c r="L707" s="1428"/>
      <c r="M707" s="3262" t="s">
        <v>1234</v>
      </c>
      <c r="N707" s="5388" t="str">
        <f>N667</f>
        <v>RICALDE CASTRO JESUS MARTIN</v>
      </c>
      <c r="O707" s="5388"/>
      <c r="P707" s="5388"/>
      <c r="Q707" s="5388"/>
      <c r="R707" s="5388"/>
      <c r="S707" s="5388"/>
      <c r="T707" s="1429"/>
      <c r="U707" s="1429"/>
      <c r="V707" s="3262" t="s">
        <v>1195</v>
      </c>
      <c r="W707" s="5388" t="str">
        <f>W667</f>
        <v xml:space="preserve">ANCONA FLORES AURA EUGENIA </v>
      </c>
      <c r="X707" s="5388"/>
      <c r="Y707" s="5388"/>
      <c r="Z707" s="5388"/>
      <c r="AA707" s="5388"/>
      <c r="AB707" s="5388"/>
      <c r="AC707" s="2682"/>
      <c r="AD707" s="2624"/>
      <c r="AE707" s="2624"/>
      <c r="AF707" s="2624"/>
      <c r="AG707" s="2624"/>
      <c r="AH707" s="2624"/>
      <c r="AI707" s="2624"/>
      <c r="AJ707" s="2624"/>
      <c r="AK707" s="2636"/>
      <c r="AL707" s="3449"/>
      <c r="AM707" s="3449"/>
      <c r="AN707" s="3449"/>
      <c r="AO707" s="3449"/>
      <c r="AP707" s="3449"/>
      <c r="AQ707" s="3449"/>
      <c r="AS707" s="3450"/>
    </row>
    <row r="708" spans="1:45" s="1430" customFormat="1" ht="21.95" customHeight="1">
      <c r="A708" s="1670"/>
      <c r="B708" s="1401"/>
      <c r="C708" s="1401"/>
      <c r="D708" s="1401"/>
      <c r="E708" s="1401"/>
      <c r="F708" s="1402"/>
      <c r="G708" s="1402"/>
      <c r="H708" s="1402"/>
      <c r="I708" s="1402"/>
      <c r="J708" s="1402"/>
      <c r="K708" s="27"/>
      <c r="M708" s="1431" t="s">
        <v>196</v>
      </c>
      <c r="N708" s="1402"/>
      <c r="O708" s="1402"/>
      <c r="P708" s="1402"/>
      <c r="Q708" s="1402"/>
      <c r="R708" s="1402"/>
      <c r="S708" s="1402"/>
      <c r="T708" s="1401"/>
      <c r="U708" s="3263" t="s">
        <v>764</v>
      </c>
      <c r="V708" s="3263"/>
      <c r="W708" s="3263"/>
      <c r="X708" s="1644" t="s">
        <v>247</v>
      </c>
      <c r="Y708" s="1644"/>
      <c r="Z708" s="1644"/>
      <c r="AA708" s="1644"/>
      <c r="AB708" s="1644"/>
      <c r="AC708" s="2682"/>
      <c r="AD708" s="1449"/>
      <c r="AE708" s="1449"/>
      <c r="AF708" s="1449"/>
      <c r="AG708" s="1449"/>
      <c r="AH708" s="1449"/>
      <c r="AI708" s="1449"/>
      <c r="AJ708" s="1449"/>
      <c r="AK708" s="3256"/>
      <c r="AL708" s="3451"/>
      <c r="AM708" s="3451"/>
      <c r="AN708" s="3451"/>
      <c r="AO708" s="3451"/>
      <c r="AP708" s="3451"/>
      <c r="AQ708" s="3451"/>
      <c r="AS708" s="3452"/>
    </row>
    <row r="709" spans="1:45" ht="21.95" customHeight="1">
      <c r="A709" s="1663"/>
      <c r="B709" s="1406"/>
      <c r="C709" s="1406"/>
      <c r="D709" s="1406"/>
      <c r="E709" s="1406"/>
      <c r="F709" s="1407"/>
      <c r="G709" s="1407"/>
      <c r="H709" s="1407"/>
      <c r="I709" s="1407"/>
      <c r="J709" s="1407"/>
      <c r="K709" s="1407"/>
      <c r="L709" s="1407"/>
      <c r="M709" s="3260" t="s">
        <v>1148</v>
      </c>
      <c r="N709" s="1407"/>
      <c r="O709" s="1407"/>
      <c r="P709" s="1407"/>
      <c r="Q709" s="1407"/>
      <c r="R709" s="1407"/>
      <c r="S709" s="1407"/>
      <c r="T709" s="1408"/>
      <c r="U709" s="1408"/>
      <c r="V709" s="3263"/>
      <c r="W709" s="1432" t="s">
        <v>1149</v>
      </c>
      <c r="X709" s="5221" t="str">
        <f>X669</f>
        <v>2012 / 2013</v>
      </c>
      <c r="Y709" s="5221"/>
      <c r="Z709" s="5221"/>
      <c r="AA709" s="5221"/>
      <c r="AB709" s="1417"/>
      <c r="AD709" s="1443"/>
      <c r="AE709" s="1443"/>
      <c r="AF709" s="1443"/>
      <c r="AG709" s="1443"/>
      <c r="AH709" s="1443"/>
    </row>
    <row r="710" spans="1:45" ht="21.95" customHeight="1">
      <c r="A710" s="1663"/>
      <c r="B710" s="1410"/>
      <c r="C710" s="1410"/>
      <c r="D710" s="1410"/>
      <c r="E710" s="1410"/>
      <c r="F710" s="1407"/>
      <c r="G710" s="1407"/>
      <c r="H710" s="1407"/>
      <c r="I710" s="1407"/>
      <c r="J710" s="1407"/>
      <c r="K710" s="1407"/>
      <c r="M710" s="3260" t="s">
        <v>1150</v>
      </c>
      <c r="N710" s="1407"/>
      <c r="O710" s="1407"/>
      <c r="P710" s="1407"/>
      <c r="Q710" s="1407"/>
      <c r="R710" s="1407"/>
      <c r="S710" s="1407"/>
      <c r="T710" s="1433"/>
      <c r="U710" s="1433"/>
      <c r="V710" s="1434"/>
      <c r="W710" s="3281" t="s">
        <v>42</v>
      </c>
      <c r="X710" s="5391" t="str">
        <f>X670</f>
        <v>042</v>
      </c>
      <c r="Y710" s="5391"/>
      <c r="Z710" s="5391"/>
      <c r="AA710" s="5391"/>
      <c r="AB710" s="1417"/>
      <c r="AD710" s="1443"/>
      <c r="AE710" s="1443"/>
      <c r="AF710" s="1443"/>
      <c r="AG710" s="1443"/>
      <c r="AH710" s="1443"/>
    </row>
    <row r="711" spans="1:45" ht="21.95" customHeight="1">
      <c r="A711" s="1663"/>
      <c r="B711" s="1410"/>
      <c r="C711" s="1410"/>
      <c r="D711" s="1410"/>
      <c r="E711" s="1410"/>
      <c r="F711" s="1406"/>
      <c r="H711" s="1413"/>
      <c r="I711" s="1413"/>
      <c r="J711" s="1414"/>
      <c r="K711" s="1414"/>
      <c r="L711" s="1415" t="s">
        <v>1197</v>
      </c>
      <c r="M711" s="1415">
        <f>M671</f>
        <v>8</v>
      </c>
      <c r="N711" s="3271" t="s">
        <v>1152</v>
      </c>
      <c r="O711" s="5371" t="str">
        <f>O671</f>
        <v>AGOSTO</v>
      </c>
      <c r="P711" s="5371"/>
      <c r="Q711" s="1435" t="s">
        <v>1152</v>
      </c>
      <c r="R711" s="5371">
        <f>R671</f>
        <v>2012</v>
      </c>
      <c r="S711" s="5371"/>
      <c r="T711" s="1406"/>
      <c r="U711" s="5470" t="s">
        <v>246</v>
      </c>
      <c r="V711" s="5470"/>
      <c r="W711" s="5470"/>
      <c r="X711" s="5470"/>
      <c r="Y711" s="1437" t="s">
        <v>245</v>
      </c>
      <c r="Z711" s="1437"/>
      <c r="AA711" s="1437"/>
      <c r="AB711" s="1417"/>
      <c r="AD711" s="1443"/>
      <c r="AE711" s="1443"/>
      <c r="AF711" s="1443"/>
      <c r="AG711" s="1443"/>
      <c r="AH711" s="1443"/>
    </row>
    <row r="712" spans="1:45" ht="21.95" customHeight="1">
      <c r="A712" s="5446" t="s">
        <v>1153</v>
      </c>
      <c r="B712" s="5446"/>
      <c r="C712" s="5446"/>
      <c r="D712" s="5468"/>
      <c r="E712" s="5468"/>
      <c r="F712" s="5468"/>
      <c r="G712" s="5468"/>
      <c r="H712" s="5468"/>
      <c r="I712" s="5468"/>
      <c r="J712" s="5468"/>
      <c r="K712" s="5468"/>
      <c r="L712" s="3272" t="s">
        <v>19</v>
      </c>
      <c r="M712" s="5471"/>
      <c r="N712" s="5471"/>
      <c r="O712" s="5447" t="s">
        <v>13</v>
      </c>
      <c r="P712" s="5447"/>
      <c r="Q712" s="5472"/>
      <c r="R712" s="5472"/>
      <c r="S712" s="5472"/>
      <c r="T712" s="1439"/>
      <c r="U712" s="1438" t="s">
        <v>1157</v>
      </c>
      <c r="V712" s="5472" t="str">
        <f>V672</f>
        <v>2  BENITO JUAREZ</v>
      </c>
      <c r="W712" s="5472"/>
      <c r="X712" s="5472"/>
      <c r="Y712" s="5472"/>
      <c r="Z712" s="5472"/>
      <c r="AA712" s="5472"/>
      <c r="AB712" s="5472"/>
      <c r="AD712" s="1443"/>
      <c r="AE712" s="1443"/>
      <c r="AF712" s="1443"/>
      <c r="AG712" s="1443"/>
      <c r="AH712" s="1443"/>
    </row>
    <row r="713" spans="1:45" s="1439" customFormat="1" ht="21.95" customHeight="1">
      <c r="A713" s="5446" t="s">
        <v>437</v>
      </c>
      <c r="B713" s="5446"/>
      <c r="C713" s="5468"/>
      <c r="D713" s="5468"/>
      <c r="E713" s="5468"/>
      <c r="F713" s="5468"/>
      <c r="G713" s="5468"/>
      <c r="H713" s="5468"/>
      <c r="I713" s="5468"/>
      <c r="J713" s="5468"/>
      <c r="K713" s="5468"/>
      <c r="L713" s="5468"/>
      <c r="M713" s="5468"/>
      <c r="N713" s="1423"/>
      <c r="O713" s="3272" t="s">
        <v>863</v>
      </c>
      <c r="P713" s="4868"/>
      <c r="Q713" s="4868"/>
      <c r="R713" s="4868"/>
      <c r="S713" s="4868"/>
      <c r="T713" s="4868"/>
      <c r="U713" s="1422"/>
      <c r="V713" s="3272"/>
      <c r="W713" s="3272" t="s">
        <v>1159</v>
      </c>
      <c r="X713" s="5469" t="str">
        <f>X673</f>
        <v>8  DE  AGOSTO  DE  2012</v>
      </c>
      <c r="Y713" s="5469"/>
      <c r="Z713" s="5469"/>
      <c r="AA713" s="5469"/>
      <c r="AB713" s="5469"/>
      <c r="AC713" s="5331">
        <f>D712</f>
        <v>0</v>
      </c>
      <c r="AD713" s="5331"/>
      <c r="AE713" s="5331"/>
      <c r="AF713" s="5331"/>
      <c r="AG713" s="5331"/>
      <c r="AH713" s="5331"/>
      <c r="AI713" s="5332">
        <f>M712</f>
        <v>0</v>
      </c>
      <c r="AJ713" s="5332"/>
      <c r="AK713" s="5332"/>
      <c r="AL713" s="3446"/>
      <c r="AM713" s="3446"/>
      <c r="AN713" s="3446"/>
      <c r="AO713" s="3446"/>
      <c r="AP713" s="3446"/>
      <c r="AQ713" s="3446"/>
      <c r="AR713" s="3446"/>
      <c r="AS713" s="2166"/>
    </row>
    <row r="714" spans="1:45" s="1441" customFormat="1" ht="21.95" customHeight="1">
      <c r="A714" s="1421"/>
      <c r="B714" s="1422"/>
      <c r="C714" s="1422"/>
      <c r="D714" s="3261"/>
      <c r="E714" s="3261"/>
      <c r="F714" s="3261"/>
      <c r="G714" s="3261"/>
      <c r="H714" s="3261"/>
      <c r="I714" s="3261"/>
      <c r="J714" s="3261"/>
      <c r="K714" s="3261"/>
      <c r="L714" s="3261"/>
      <c r="M714" s="1421"/>
      <c r="N714" s="1423"/>
      <c r="O714" s="1423"/>
      <c r="P714" s="1423"/>
      <c r="Q714" s="1424"/>
      <c r="R714" s="1423"/>
      <c r="S714" s="1423"/>
      <c r="T714" s="1422"/>
      <c r="U714" s="1422"/>
      <c r="V714" s="3261"/>
      <c r="W714" s="3261"/>
      <c r="X714" s="3261"/>
      <c r="Y714" s="3261"/>
      <c r="Z714" s="1422"/>
      <c r="AA714" s="1422"/>
      <c r="AB714" s="1422"/>
      <c r="AC714" s="2689"/>
      <c r="AD714" s="2690"/>
      <c r="AE714" s="2639"/>
      <c r="AF714" s="2640"/>
      <c r="AG714" s="2639"/>
      <c r="AH714" s="2640"/>
      <c r="AI714" s="1444"/>
      <c r="AJ714" s="1444"/>
      <c r="AK714" s="2636"/>
      <c r="AL714" s="3445"/>
      <c r="AM714" s="3445"/>
      <c r="AN714" s="3445"/>
      <c r="AO714" s="3445"/>
      <c r="AP714" s="3445"/>
      <c r="AQ714" s="3445"/>
      <c r="AR714" s="3445"/>
      <c r="AS714" s="108"/>
    </row>
    <row r="715" spans="1:45" s="1442" customFormat="1" ht="21.95" customHeight="1">
      <c r="A715" s="5415" t="s">
        <v>1160</v>
      </c>
      <c r="B715" s="5416" t="s">
        <v>1235</v>
      </c>
      <c r="C715" s="5416"/>
      <c r="D715" s="5416"/>
      <c r="E715" s="5416"/>
      <c r="F715" s="5416"/>
      <c r="G715" s="5416"/>
      <c r="H715" s="5417" t="s">
        <v>1161</v>
      </c>
      <c r="I715" s="5417"/>
      <c r="J715" s="5417" t="s">
        <v>212</v>
      </c>
      <c r="K715" s="5417" t="s">
        <v>1162</v>
      </c>
      <c r="L715" s="5417" t="s">
        <v>1163</v>
      </c>
      <c r="M715" s="5417"/>
      <c r="N715" s="5417" t="s">
        <v>1164</v>
      </c>
      <c r="O715" s="5417"/>
      <c r="P715" s="5417" t="s">
        <v>1165</v>
      </c>
      <c r="Q715" s="5417"/>
      <c r="R715" s="5417" t="s">
        <v>1166</v>
      </c>
      <c r="S715" s="5417"/>
      <c r="T715" s="5417" t="s">
        <v>1167</v>
      </c>
      <c r="U715" s="5417" t="s">
        <v>1168</v>
      </c>
      <c r="V715" s="5417"/>
      <c r="W715" s="5417" t="s">
        <v>1169</v>
      </c>
      <c r="X715" s="5417"/>
      <c r="Y715" s="5417" t="s">
        <v>3</v>
      </c>
      <c r="Z715" s="5417" t="s">
        <v>4</v>
      </c>
      <c r="AA715" s="5417" t="s">
        <v>28</v>
      </c>
      <c r="AB715" s="5417"/>
      <c r="AC715" s="5340" t="str">
        <f>AC675</f>
        <v>INICIAL</v>
      </c>
      <c r="AD715" s="5340"/>
      <c r="AE715" s="5344" t="str">
        <f>AE675</f>
        <v>ALTAS</v>
      </c>
      <c r="AF715" s="5345"/>
      <c r="AG715" s="5346" t="str">
        <f>AG675</f>
        <v>BAJAS</v>
      </c>
      <c r="AH715" s="5347"/>
      <c r="AI715" s="5333" t="str">
        <f>AI675</f>
        <v>REP</v>
      </c>
      <c r="AJ715" s="5333"/>
      <c r="AK715" s="2625" t="str">
        <f>AK675</f>
        <v>INI</v>
      </c>
      <c r="AL715" s="5328" t="s">
        <v>2509</v>
      </c>
      <c r="AM715" s="5329"/>
      <c r="AN715" s="5329"/>
      <c r="AO715" s="5329"/>
      <c r="AP715" s="5329"/>
      <c r="AQ715" s="5329"/>
      <c r="AR715" s="5330"/>
    </row>
    <row r="716" spans="1:45" s="1442" customFormat="1" ht="21.95" customHeight="1">
      <c r="A716" s="5415"/>
      <c r="B716" s="5416"/>
      <c r="C716" s="5416"/>
      <c r="D716" s="5416"/>
      <c r="E716" s="5416"/>
      <c r="F716" s="5416"/>
      <c r="G716" s="5416"/>
      <c r="H716" s="3269" t="s">
        <v>407</v>
      </c>
      <c r="I716" s="3269" t="s">
        <v>403</v>
      </c>
      <c r="J716" s="5417"/>
      <c r="K716" s="5417"/>
      <c r="L716" s="5417"/>
      <c r="M716" s="5417"/>
      <c r="N716" s="5417"/>
      <c r="O716" s="5417"/>
      <c r="P716" s="3269" t="s">
        <v>1170</v>
      </c>
      <c r="Q716" s="3269" t="s">
        <v>1171</v>
      </c>
      <c r="R716" s="3269" t="s">
        <v>1172</v>
      </c>
      <c r="S716" s="3269" t="s">
        <v>1173</v>
      </c>
      <c r="T716" s="5417"/>
      <c r="U716" s="5417"/>
      <c r="V716" s="5417"/>
      <c r="W716" s="5417"/>
      <c r="X716" s="5417"/>
      <c r="Y716" s="5417"/>
      <c r="Z716" s="5417"/>
      <c r="AA716" s="5417"/>
      <c r="AB716" s="5417"/>
      <c r="AC716" s="3561" t="str">
        <f>AC676</f>
        <v>H</v>
      </c>
      <c r="AD716" s="2686" t="str">
        <f>AD676</f>
        <v>M</v>
      </c>
      <c r="AE716" s="3561" t="str">
        <f t="shared" ref="AE716:AJ716" si="210">AE676</f>
        <v>H</v>
      </c>
      <c r="AF716" s="2686" t="str">
        <f t="shared" si="210"/>
        <v>M</v>
      </c>
      <c r="AG716" s="3561" t="str">
        <f t="shared" si="210"/>
        <v>H</v>
      </c>
      <c r="AH716" s="2686" t="str">
        <f t="shared" si="210"/>
        <v>M</v>
      </c>
      <c r="AI716" s="3561" t="str">
        <f t="shared" si="210"/>
        <v>H</v>
      </c>
      <c r="AJ716" s="2686" t="str">
        <f t="shared" si="210"/>
        <v>M</v>
      </c>
      <c r="AK716" s="2627" t="str">
        <f>AK676</f>
        <v>TTS</v>
      </c>
      <c r="AL716" s="3455" t="s">
        <v>393</v>
      </c>
      <c r="AM716" s="3463" t="s">
        <v>8</v>
      </c>
      <c r="AN716" s="3456" t="s">
        <v>347</v>
      </c>
      <c r="AO716" s="3456" t="s">
        <v>348</v>
      </c>
      <c r="AP716" s="3456" t="s">
        <v>2062</v>
      </c>
      <c r="AQ716" s="3457" t="s">
        <v>2081</v>
      </c>
      <c r="AR716" s="3456" t="s">
        <v>2510</v>
      </c>
    </row>
    <row r="717" spans="1:45" s="1443" customFormat="1" ht="21.95" customHeight="1">
      <c r="A717" s="3267"/>
      <c r="B717" s="5478"/>
      <c r="C717" s="5478"/>
      <c r="D717" s="5478"/>
      <c r="E717" s="5478"/>
      <c r="F717" s="5478"/>
      <c r="G717" s="5478"/>
      <c r="H717" s="3267"/>
      <c r="I717" s="3267"/>
      <c r="J717" s="3267"/>
      <c r="K717" s="3267"/>
      <c r="L717" s="5398"/>
      <c r="M717" s="5398"/>
      <c r="N717" s="5398"/>
      <c r="O717" s="5398"/>
      <c r="P717" s="3267"/>
      <c r="Q717" s="3267"/>
      <c r="R717" s="3267"/>
      <c r="S717" s="3267"/>
      <c r="T717" s="3267"/>
      <c r="U717" s="5398"/>
      <c r="V717" s="5398"/>
      <c r="W717" s="5398"/>
      <c r="X717" s="5398"/>
      <c r="Y717" s="3267"/>
      <c r="Z717" s="3267"/>
      <c r="AA717" s="5398"/>
      <c r="AB717" s="5398"/>
      <c r="AC717" s="2682"/>
      <c r="AD717" s="3289"/>
      <c r="AE717" s="2628"/>
      <c r="AF717" s="2629"/>
      <c r="AG717" s="2628"/>
      <c r="AH717" s="2629"/>
      <c r="AI717" s="2628"/>
      <c r="AJ717" s="2629"/>
      <c r="AK717" s="2670">
        <f t="shared" ref="AK717:AK734" si="211">SUM(AC717:AD717)</f>
        <v>0</v>
      </c>
      <c r="AL717" s="3464"/>
      <c r="AM717" s="3448"/>
      <c r="AN717" s="3448"/>
      <c r="AO717" s="3448"/>
      <c r="AP717" s="3448"/>
      <c r="AQ717" s="3448"/>
      <c r="AR717" s="3458" t="e">
        <f t="shared" ref="AR717:AR730" si="212">SUM(AM717:AQ717)/AS717</f>
        <v>#DIV/0!</v>
      </c>
      <c r="AS717" s="1446"/>
    </row>
    <row r="718" spans="1:45" s="1443" customFormat="1" ht="21.95" customHeight="1">
      <c r="A718" s="3267"/>
      <c r="B718" s="5478"/>
      <c r="C718" s="5478"/>
      <c r="D718" s="5478"/>
      <c r="E718" s="5478"/>
      <c r="F718" s="5478"/>
      <c r="G718" s="5478"/>
      <c r="H718" s="3267"/>
      <c r="I718" s="3267"/>
      <c r="J718" s="3267"/>
      <c r="K718" s="3267"/>
      <c r="L718" s="5398"/>
      <c r="M718" s="5398"/>
      <c r="N718" s="5398"/>
      <c r="O718" s="5398"/>
      <c r="P718" s="3267"/>
      <c r="Q718" s="3267"/>
      <c r="R718" s="3267"/>
      <c r="S718" s="3267"/>
      <c r="T718" s="3267"/>
      <c r="U718" s="5398"/>
      <c r="V718" s="5398"/>
      <c r="W718" s="5398"/>
      <c r="X718" s="5398"/>
      <c r="Y718" s="3267"/>
      <c r="Z718" s="3267"/>
      <c r="AA718" s="5398"/>
      <c r="AB718" s="5398"/>
      <c r="AC718" s="2682"/>
      <c r="AD718" s="3289"/>
      <c r="AE718" s="2628"/>
      <c r="AF718" s="2629"/>
      <c r="AG718" s="2628"/>
      <c r="AH718" s="2629"/>
      <c r="AI718" s="2628"/>
      <c r="AJ718" s="2629"/>
      <c r="AK718" s="2671">
        <f t="shared" si="211"/>
        <v>0</v>
      </c>
      <c r="AL718" s="3464"/>
      <c r="AM718" s="3448"/>
      <c r="AN718" s="3448"/>
      <c r="AO718" s="3448"/>
      <c r="AP718" s="3448"/>
      <c r="AQ718" s="3448"/>
      <c r="AR718" s="3458" t="e">
        <f t="shared" si="212"/>
        <v>#DIV/0!</v>
      </c>
      <c r="AS718" s="1446"/>
    </row>
    <row r="719" spans="1:45" s="1443" customFormat="1" ht="21.95" customHeight="1">
      <c r="A719" s="3267"/>
      <c r="B719" s="5478"/>
      <c r="C719" s="5478"/>
      <c r="D719" s="5478"/>
      <c r="E719" s="5478"/>
      <c r="F719" s="5478"/>
      <c r="G719" s="5478"/>
      <c r="H719" s="3267"/>
      <c r="I719" s="3267"/>
      <c r="J719" s="3267"/>
      <c r="K719" s="3267"/>
      <c r="L719" s="5398"/>
      <c r="M719" s="5398"/>
      <c r="N719" s="5398"/>
      <c r="O719" s="5398"/>
      <c r="P719" s="3267"/>
      <c r="Q719" s="3267"/>
      <c r="R719" s="3267"/>
      <c r="S719" s="3267"/>
      <c r="T719" s="3267"/>
      <c r="U719" s="5398"/>
      <c r="V719" s="5398"/>
      <c r="W719" s="5398"/>
      <c r="X719" s="5398"/>
      <c r="Y719" s="3267"/>
      <c r="Z719" s="3267"/>
      <c r="AA719" s="5398"/>
      <c r="AB719" s="5398"/>
      <c r="AC719" s="2682"/>
      <c r="AD719" s="3289"/>
      <c r="AE719" s="2628"/>
      <c r="AF719" s="2629"/>
      <c r="AG719" s="2628"/>
      <c r="AH719" s="2629"/>
      <c r="AI719" s="2628"/>
      <c r="AJ719" s="2629"/>
      <c r="AK719" s="2671">
        <f t="shared" si="211"/>
        <v>0</v>
      </c>
      <c r="AL719" s="3464"/>
      <c r="AM719" s="3448"/>
      <c r="AN719" s="3448"/>
      <c r="AO719" s="3448"/>
      <c r="AP719" s="3448"/>
      <c r="AQ719" s="3448"/>
      <c r="AR719" s="3458" t="e">
        <f t="shared" si="212"/>
        <v>#DIV/0!</v>
      </c>
      <c r="AS719" s="1446"/>
    </row>
    <row r="720" spans="1:45" s="1443" customFormat="1" ht="21.95" customHeight="1">
      <c r="A720" s="3267"/>
      <c r="B720" s="5478"/>
      <c r="C720" s="5478"/>
      <c r="D720" s="5478"/>
      <c r="E720" s="5478"/>
      <c r="F720" s="5478"/>
      <c r="G720" s="5478"/>
      <c r="H720" s="3267"/>
      <c r="I720" s="3267"/>
      <c r="J720" s="3267"/>
      <c r="K720" s="3267"/>
      <c r="L720" s="5398"/>
      <c r="M720" s="5398"/>
      <c r="N720" s="5398"/>
      <c r="O720" s="5398"/>
      <c r="P720" s="3267"/>
      <c r="Q720" s="3267"/>
      <c r="R720" s="3267"/>
      <c r="S720" s="3267"/>
      <c r="T720" s="3267"/>
      <c r="U720" s="5398"/>
      <c r="V720" s="5398"/>
      <c r="W720" s="5398"/>
      <c r="X720" s="5398"/>
      <c r="Y720" s="3267"/>
      <c r="Z720" s="3267"/>
      <c r="AA720" s="5398"/>
      <c r="AB720" s="5398"/>
      <c r="AC720" s="2682"/>
      <c r="AD720" s="3289"/>
      <c r="AE720" s="2628"/>
      <c r="AF720" s="2629"/>
      <c r="AG720" s="2628"/>
      <c r="AH720" s="2629"/>
      <c r="AI720" s="2628"/>
      <c r="AJ720" s="2629"/>
      <c r="AK720" s="2671">
        <f t="shared" si="211"/>
        <v>0</v>
      </c>
      <c r="AL720" s="3464"/>
      <c r="AM720" s="3448"/>
      <c r="AN720" s="3448"/>
      <c r="AO720" s="3448"/>
      <c r="AP720" s="3448"/>
      <c r="AQ720" s="3448"/>
      <c r="AR720" s="3458" t="e">
        <f t="shared" si="212"/>
        <v>#DIV/0!</v>
      </c>
      <c r="AS720" s="1446"/>
    </row>
    <row r="721" spans="1:45" s="1443" customFormat="1" ht="21.95" customHeight="1">
      <c r="A721" s="3267"/>
      <c r="B721" s="5478"/>
      <c r="C721" s="5478"/>
      <c r="D721" s="5478"/>
      <c r="E721" s="5478"/>
      <c r="F721" s="5478"/>
      <c r="G721" s="5478"/>
      <c r="H721" s="3267"/>
      <c r="I721" s="3267"/>
      <c r="J721" s="3267"/>
      <c r="K721" s="3267"/>
      <c r="L721" s="5398"/>
      <c r="M721" s="5398"/>
      <c r="N721" s="5398"/>
      <c r="O721" s="5398"/>
      <c r="P721" s="3267"/>
      <c r="Q721" s="3267"/>
      <c r="R721" s="3267"/>
      <c r="S721" s="3267"/>
      <c r="T721" s="3267"/>
      <c r="U721" s="5398"/>
      <c r="V721" s="5398"/>
      <c r="W721" s="5398"/>
      <c r="X721" s="5398"/>
      <c r="Y721" s="3267"/>
      <c r="Z721" s="3267"/>
      <c r="AA721" s="5398"/>
      <c r="AB721" s="5398"/>
      <c r="AC721" s="2682"/>
      <c r="AD721" s="3289"/>
      <c r="AE721" s="2628"/>
      <c r="AF721" s="2629"/>
      <c r="AG721" s="2628"/>
      <c r="AH721" s="2629"/>
      <c r="AI721" s="2628"/>
      <c r="AJ721" s="2629"/>
      <c r="AK721" s="2671">
        <f t="shared" si="211"/>
        <v>0</v>
      </c>
      <c r="AL721" s="3464"/>
      <c r="AM721" s="3448"/>
      <c r="AN721" s="3448"/>
      <c r="AO721" s="3448"/>
      <c r="AP721" s="3448"/>
      <c r="AQ721" s="3448"/>
      <c r="AR721" s="3458" t="e">
        <f t="shared" si="212"/>
        <v>#DIV/0!</v>
      </c>
      <c r="AS721" s="1446"/>
    </row>
    <row r="722" spans="1:45" s="1443" customFormat="1" ht="21.95" customHeight="1">
      <c r="A722" s="3267"/>
      <c r="B722" s="5478"/>
      <c r="C722" s="5478"/>
      <c r="D722" s="5478"/>
      <c r="E722" s="5478"/>
      <c r="F722" s="5478"/>
      <c r="G722" s="5478"/>
      <c r="H722" s="3267"/>
      <c r="I722" s="3267"/>
      <c r="J722" s="3267"/>
      <c r="K722" s="3267"/>
      <c r="L722" s="5398"/>
      <c r="M722" s="5398"/>
      <c r="N722" s="5398"/>
      <c r="O722" s="5398"/>
      <c r="P722" s="3267"/>
      <c r="Q722" s="3267"/>
      <c r="R722" s="3267"/>
      <c r="S722" s="3267"/>
      <c r="T722" s="3267"/>
      <c r="U722" s="5398"/>
      <c r="V722" s="5398"/>
      <c r="W722" s="5398"/>
      <c r="X722" s="5398"/>
      <c r="Y722" s="3267"/>
      <c r="Z722" s="3267"/>
      <c r="AA722" s="5398"/>
      <c r="AB722" s="5398"/>
      <c r="AC722" s="2682"/>
      <c r="AD722" s="3289"/>
      <c r="AE722" s="2628"/>
      <c r="AF722" s="2629"/>
      <c r="AG722" s="2628"/>
      <c r="AH722" s="2629"/>
      <c r="AI722" s="2628"/>
      <c r="AJ722" s="2629"/>
      <c r="AK722" s="2671">
        <f t="shared" si="211"/>
        <v>0</v>
      </c>
      <c r="AL722" s="3464"/>
      <c r="AM722" s="3448"/>
      <c r="AN722" s="3448"/>
      <c r="AO722" s="3448"/>
      <c r="AP722" s="3448"/>
      <c r="AQ722" s="3448"/>
      <c r="AR722" s="3458" t="e">
        <f t="shared" si="212"/>
        <v>#DIV/0!</v>
      </c>
      <c r="AS722" s="1446"/>
    </row>
    <row r="723" spans="1:45" s="1443" customFormat="1" ht="21.95" customHeight="1">
      <c r="A723" s="3267"/>
      <c r="B723" s="5478"/>
      <c r="C723" s="5478"/>
      <c r="D723" s="5478"/>
      <c r="E723" s="5478"/>
      <c r="F723" s="5478"/>
      <c r="G723" s="5478"/>
      <c r="H723" s="3267"/>
      <c r="I723" s="3267"/>
      <c r="J723" s="3267"/>
      <c r="K723" s="3267"/>
      <c r="L723" s="5398"/>
      <c r="M723" s="5398"/>
      <c r="N723" s="5398"/>
      <c r="O723" s="5398"/>
      <c r="P723" s="3267"/>
      <c r="Q723" s="3267"/>
      <c r="R723" s="3267"/>
      <c r="S723" s="3267"/>
      <c r="T723" s="3267"/>
      <c r="U723" s="5398"/>
      <c r="V723" s="5398"/>
      <c r="W723" s="5398"/>
      <c r="X723" s="5398"/>
      <c r="Y723" s="3267"/>
      <c r="Z723" s="3267"/>
      <c r="AA723" s="5398"/>
      <c r="AB723" s="5398"/>
      <c r="AC723" s="2682"/>
      <c r="AD723" s="3289"/>
      <c r="AE723" s="2628"/>
      <c r="AF723" s="2629"/>
      <c r="AG723" s="2628"/>
      <c r="AH723" s="2629"/>
      <c r="AI723" s="2628"/>
      <c r="AJ723" s="2629"/>
      <c r="AK723" s="2671">
        <f t="shared" si="211"/>
        <v>0</v>
      </c>
      <c r="AL723" s="3464"/>
      <c r="AM723" s="3448"/>
      <c r="AN723" s="3448"/>
      <c r="AO723" s="3448"/>
      <c r="AP723" s="3448"/>
      <c r="AQ723" s="3448"/>
      <c r="AR723" s="3458" t="e">
        <f t="shared" si="212"/>
        <v>#DIV/0!</v>
      </c>
      <c r="AS723" s="1446"/>
    </row>
    <row r="724" spans="1:45" s="1443" customFormat="1" ht="21.95" customHeight="1">
      <c r="A724" s="3267"/>
      <c r="B724" s="5478"/>
      <c r="C724" s="5478"/>
      <c r="D724" s="5478"/>
      <c r="E724" s="5478"/>
      <c r="F724" s="5478"/>
      <c r="G724" s="5478"/>
      <c r="H724" s="3267"/>
      <c r="I724" s="3267"/>
      <c r="J724" s="3267"/>
      <c r="K724" s="3267"/>
      <c r="L724" s="5398"/>
      <c r="M724" s="5398"/>
      <c r="N724" s="5398"/>
      <c r="O724" s="5398"/>
      <c r="P724" s="3267"/>
      <c r="Q724" s="3267"/>
      <c r="R724" s="3267"/>
      <c r="S724" s="3267"/>
      <c r="T724" s="3267"/>
      <c r="U724" s="5398"/>
      <c r="V724" s="5398"/>
      <c r="W724" s="5398"/>
      <c r="X724" s="5398"/>
      <c r="Y724" s="3267"/>
      <c r="Z724" s="3267"/>
      <c r="AA724" s="5398"/>
      <c r="AB724" s="5398"/>
      <c r="AC724" s="2682"/>
      <c r="AD724" s="3289"/>
      <c r="AE724" s="2628"/>
      <c r="AF724" s="2629"/>
      <c r="AG724" s="2628"/>
      <c r="AH724" s="2629"/>
      <c r="AI724" s="2628"/>
      <c r="AJ724" s="2629"/>
      <c r="AK724" s="2671">
        <f t="shared" si="211"/>
        <v>0</v>
      </c>
      <c r="AL724" s="3464"/>
      <c r="AM724" s="3448"/>
      <c r="AN724" s="3448"/>
      <c r="AO724" s="3448"/>
      <c r="AP724" s="3448"/>
      <c r="AQ724" s="3448"/>
      <c r="AR724" s="3458" t="e">
        <f t="shared" si="212"/>
        <v>#DIV/0!</v>
      </c>
      <c r="AS724" s="1446"/>
    </row>
    <row r="725" spans="1:45" s="1444" customFormat="1" ht="21.95" customHeight="1">
      <c r="A725" s="3267"/>
      <c r="B725" s="5478"/>
      <c r="C725" s="5478"/>
      <c r="D725" s="5478"/>
      <c r="E725" s="5478"/>
      <c r="F725" s="5478"/>
      <c r="G725" s="5478"/>
      <c r="H725" s="3267"/>
      <c r="I725" s="3267"/>
      <c r="J725" s="3267"/>
      <c r="K725" s="3267"/>
      <c r="L725" s="5398"/>
      <c r="M725" s="5398"/>
      <c r="N725" s="5398"/>
      <c r="O725" s="5398"/>
      <c r="P725" s="3267"/>
      <c r="Q725" s="3267"/>
      <c r="R725" s="3267"/>
      <c r="S725" s="3267"/>
      <c r="T725" s="3267"/>
      <c r="U725" s="5398"/>
      <c r="V725" s="5398"/>
      <c r="W725" s="5398"/>
      <c r="X725" s="5398"/>
      <c r="Y725" s="3267"/>
      <c r="Z725" s="3267"/>
      <c r="AA725" s="5398"/>
      <c r="AB725" s="5398"/>
      <c r="AC725" s="2682"/>
      <c r="AD725" s="3289"/>
      <c r="AE725" s="2628"/>
      <c r="AF725" s="2629"/>
      <c r="AG725" s="2628"/>
      <c r="AH725" s="2629"/>
      <c r="AI725" s="2628"/>
      <c r="AJ725" s="2629"/>
      <c r="AK725" s="2671">
        <f t="shared" si="211"/>
        <v>0</v>
      </c>
      <c r="AL725" s="3464"/>
      <c r="AM725" s="3448"/>
      <c r="AN725" s="3448"/>
      <c r="AO725" s="3448"/>
      <c r="AP725" s="3448"/>
      <c r="AQ725" s="3448"/>
      <c r="AR725" s="3458" t="e">
        <f t="shared" si="212"/>
        <v>#DIV/0!</v>
      </c>
      <c r="AS725" s="1446"/>
    </row>
    <row r="726" spans="1:45" s="1444" customFormat="1" ht="21.95" customHeight="1">
      <c r="A726" s="3267"/>
      <c r="B726" s="5478"/>
      <c r="C726" s="5478"/>
      <c r="D726" s="5478"/>
      <c r="E726" s="5478"/>
      <c r="F726" s="5478"/>
      <c r="G726" s="5478"/>
      <c r="H726" s="3267"/>
      <c r="I726" s="3267"/>
      <c r="J726" s="3267"/>
      <c r="K726" s="3267"/>
      <c r="L726" s="5398"/>
      <c r="M726" s="5398"/>
      <c r="N726" s="5398"/>
      <c r="O726" s="5398"/>
      <c r="P726" s="3267"/>
      <c r="Q726" s="3267"/>
      <c r="R726" s="3267"/>
      <c r="S726" s="3267"/>
      <c r="T726" s="3267"/>
      <c r="U726" s="5398"/>
      <c r="V726" s="5398"/>
      <c r="W726" s="5398"/>
      <c r="X726" s="5398"/>
      <c r="Y726" s="3267"/>
      <c r="Z726" s="3267"/>
      <c r="AA726" s="5398"/>
      <c r="AB726" s="5398"/>
      <c r="AC726" s="2682"/>
      <c r="AD726" s="3289"/>
      <c r="AE726" s="2628"/>
      <c r="AF726" s="2629"/>
      <c r="AG726" s="2628"/>
      <c r="AH726" s="2629"/>
      <c r="AI726" s="2628"/>
      <c r="AJ726" s="2629"/>
      <c r="AK726" s="2671">
        <f t="shared" si="211"/>
        <v>0</v>
      </c>
      <c r="AL726" s="3464"/>
      <c r="AM726" s="3448"/>
      <c r="AN726" s="3448"/>
      <c r="AO726" s="3448"/>
      <c r="AP726" s="3448"/>
      <c r="AQ726" s="3448"/>
      <c r="AR726" s="3458" t="e">
        <f t="shared" si="212"/>
        <v>#DIV/0!</v>
      </c>
      <c r="AS726" s="1446"/>
    </row>
    <row r="727" spans="1:45" s="1444" customFormat="1" ht="21.95" customHeight="1">
      <c r="A727" s="3267"/>
      <c r="B727" s="5478"/>
      <c r="C727" s="5478"/>
      <c r="D727" s="5478"/>
      <c r="E727" s="5478"/>
      <c r="F727" s="5478"/>
      <c r="G727" s="5478"/>
      <c r="H727" s="3267"/>
      <c r="I727" s="3267"/>
      <c r="J727" s="3267"/>
      <c r="K727" s="3267"/>
      <c r="L727" s="5398"/>
      <c r="M727" s="5398"/>
      <c r="N727" s="5398"/>
      <c r="O727" s="5398"/>
      <c r="P727" s="3267"/>
      <c r="Q727" s="3267"/>
      <c r="R727" s="3267"/>
      <c r="S727" s="3267"/>
      <c r="T727" s="3267"/>
      <c r="U727" s="5398"/>
      <c r="V727" s="5398"/>
      <c r="W727" s="5398"/>
      <c r="X727" s="5398"/>
      <c r="Y727" s="3267"/>
      <c r="Z727" s="3267"/>
      <c r="AA727" s="5398"/>
      <c r="AB727" s="5398"/>
      <c r="AC727" s="2682"/>
      <c r="AD727" s="3289"/>
      <c r="AE727" s="2628"/>
      <c r="AF727" s="2629"/>
      <c r="AG727" s="2628"/>
      <c r="AH727" s="2629"/>
      <c r="AI727" s="2628"/>
      <c r="AJ727" s="2629"/>
      <c r="AK727" s="2671">
        <f t="shared" si="211"/>
        <v>0</v>
      </c>
      <c r="AL727" s="3464"/>
      <c r="AM727" s="3448"/>
      <c r="AN727" s="3448"/>
      <c r="AO727" s="3448"/>
      <c r="AP727" s="3448"/>
      <c r="AQ727" s="3448"/>
      <c r="AR727" s="3458" t="e">
        <f t="shared" si="212"/>
        <v>#DIV/0!</v>
      </c>
      <c r="AS727" s="1446"/>
    </row>
    <row r="728" spans="1:45" s="1444" customFormat="1" ht="21.95" customHeight="1">
      <c r="A728" s="3267"/>
      <c r="B728" s="5478"/>
      <c r="C728" s="5478"/>
      <c r="D728" s="5478"/>
      <c r="E728" s="5478"/>
      <c r="F728" s="5478"/>
      <c r="G728" s="5478"/>
      <c r="H728" s="3267"/>
      <c r="I728" s="3267"/>
      <c r="J728" s="3267"/>
      <c r="K728" s="3267"/>
      <c r="L728" s="5398"/>
      <c r="M728" s="5398"/>
      <c r="N728" s="5398"/>
      <c r="O728" s="5398"/>
      <c r="P728" s="3267"/>
      <c r="Q728" s="3267"/>
      <c r="R728" s="3267"/>
      <c r="S728" s="3267"/>
      <c r="T728" s="3267"/>
      <c r="U728" s="5398"/>
      <c r="V728" s="5398"/>
      <c r="W728" s="5398"/>
      <c r="X728" s="5398"/>
      <c r="Y728" s="3267"/>
      <c r="Z728" s="3267"/>
      <c r="AA728" s="5398"/>
      <c r="AB728" s="5398"/>
      <c r="AC728" s="2682"/>
      <c r="AD728" s="3289"/>
      <c r="AE728" s="2628"/>
      <c r="AF728" s="2629"/>
      <c r="AG728" s="2628"/>
      <c r="AH728" s="2629"/>
      <c r="AI728" s="2628"/>
      <c r="AJ728" s="2629"/>
      <c r="AK728" s="2671">
        <f t="shared" si="211"/>
        <v>0</v>
      </c>
      <c r="AL728" s="3464"/>
      <c r="AM728" s="3448"/>
      <c r="AN728" s="3448"/>
      <c r="AO728" s="3448"/>
      <c r="AP728" s="3448"/>
      <c r="AQ728" s="3448"/>
      <c r="AR728" s="3458" t="e">
        <f t="shared" si="212"/>
        <v>#DIV/0!</v>
      </c>
      <c r="AS728" s="1446"/>
    </row>
    <row r="729" spans="1:45" s="1444" customFormat="1" ht="21.95" customHeight="1">
      <c r="A729" s="3267"/>
      <c r="B729" s="5478"/>
      <c r="C729" s="5478"/>
      <c r="D729" s="5478"/>
      <c r="E729" s="5478"/>
      <c r="F729" s="5478"/>
      <c r="G729" s="5478"/>
      <c r="H729" s="3267"/>
      <c r="I729" s="3267"/>
      <c r="J729" s="3267"/>
      <c r="K729" s="3267"/>
      <c r="L729" s="5398"/>
      <c r="M729" s="5398"/>
      <c r="N729" s="5398"/>
      <c r="O729" s="5398"/>
      <c r="P729" s="3267"/>
      <c r="Q729" s="3267"/>
      <c r="R729" s="3267"/>
      <c r="S729" s="3267"/>
      <c r="T729" s="3267"/>
      <c r="U729" s="5398"/>
      <c r="V729" s="5398"/>
      <c r="W729" s="5398"/>
      <c r="X729" s="5398"/>
      <c r="Y729" s="3267"/>
      <c r="Z729" s="3267"/>
      <c r="AA729" s="5398"/>
      <c r="AB729" s="5398"/>
      <c r="AC729" s="2682"/>
      <c r="AD729" s="3289"/>
      <c r="AE729" s="2628"/>
      <c r="AF729" s="2629"/>
      <c r="AG729" s="2628"/>
      <c r="AH729" s="2629"/>
      <c r="AI729" s="2628"/>
      <c r="AJ729" s="2629"/>
      <c r="AK729" s="2671">
        <f t="shared" si="211"/>
        <v>0</v>
      </c>
      <c r="AL729" s="3464"/>
      <c r="AM729" s="3448"/>
      <c r="AN729" s="3448"/>
      <c r="AO729" s="3448"/>
      <c r="AP729" s="3448"/>
      <c r="AQ729" s="3448"/>
      <c r="AR729" s="3458" t="e">
        <f t="shared" si="212"/>
        <v>#DIV/0!</v>
      </c>
      <c r="AS729" s="1446"/>
    </row>
    <row r="730" spans="1:45" s="1444" customFormat="1" ht="21.95" customHeight="1">
      <c r="A730" s="3267"/>
      <c r="B730" s="5478"/>
      <c r="C730" s="5478"/>
      <c r="D730" s="5478"/>
      <c r="E730" s="5478"/>
      <c r="F730" s="5478"/>
      <c r="G730" s="5478"/>
      <c r="H730" s="3267"/>
      <c r="I730" s="3267"/>
      <c r="J730" s="3267"/>
      <c r="K730" s="3267"/>
      <c r="L730" s="5398"/>
      <c r="M730" s="5398"/>
      <c r="N730" s="5398"/>
      <c r="O730" s="5398"/>
      <c r="P730" s="3267"/>
      <c r="Q730" s="3267"/>
      <c r="R730" s="3267"/>
      <c r="S730" s="3267"/>
      <c r="T730" s="3267"/>
      <c r="U730" s="5398"/>
      <c r="V730" s="5398"/>
      <c r="W730" s="5398"/>
      <c r="X730" s="5398"/>
      <c r="Y730" s="3267"/>
      <c r="Z730" s="3267"/>
      <c r="AA730" s="5398"/>
      <c r="AB730" s="5398"/>
      <c r="AC730" s="2682"/>
      <c r="AD730" s="3289"/>
      <c r="AE730" s="2628"/>
      <c r="AF730" s="2629"/>
      <c r="AG730" s="2628"/>
      <c r="AH730" s="2629"/>
      <c r="AI730" s="2628"/>
      <c r="AJ730" s="2629"/>
      <c r="AK730" s="2671">
        <f t="shared" si="211"/>
        <v>0</v>
      </c>
      <c r="AL730" s="3464"/>
      <c r="AM730" s="3448"/>
      <c r="AN730" s="3448"/>
      <c r="AO730" s="3448"/>
      <c r="AP730" s="3448"/>
      <c r="AQ730" s="3448"/>
      <c r="AR730" s="3458" t="e">
        <f t="shared" si="212"/>
        <v>#DIV/0!</v>
      </c>
      <c r="AS730" s="1446"/>
    </row>
    <row r="731" spans="1:45" s="1444" customFormat="1" ht="21.95" customHeight="1">
      <c r="A731" s="3267"/>
      <c r="B731" s="5478"/>
      <c r="C731" s="5478"/>
      <c r="D731" s="5478"/>
      <c r="E731" s="5478"/>
      <c r="F731" s="5478"/>
      <c r="G731" s="5478"/>
      <c r="H731" s="3267"/>
      <c r="I731" s="3267"/>
      <c r="J731" s="3267"/>
      <c r="K731" s="3267"/>
      <c r="L731" s="5398"/>
      <c r="M731" s="5398"/>
      <c r="N731" s="5398"/>
      <c r="O731" s="5398"/>
      <c r="P731" s="3267"/>
      <c r="Q731" s="3267"/>
      <c r="R731" s="3267"/>
      <c r="S731" s="3267"/>
      <c r="T731" s="3267"/>
      <c r="U731" s="5398"/>
      <c r="V731" s="5398"/>
      <c r="W731" s="5398"/>
      <c r="X731" s="5398"/>
      <c r="Y731" s="3267"/>
      <c r="Z731" s="3267"/>
      <c r="AA731" s="5398"/>
      <c r="AB731" s="5398"/>
      <c r="AC731" s="2682"/>
      <c r="AD731" s="3289"/>
      <c r="AE731" s="2628"/>
      <c r="AF731" s="2629"/>
      <c r="AG731" s="2628"/>
      <c r="AH731" s="2629"/>
      <c r="AI731" s="2628"/>
      <c r="AJ731" s="2629"/>
      <c r="AK731" s="2671">
        <f t="shared" si="211"/>
        <v>0</v>
      </c>
      <c r="AL731" s="3464"/>
      <c r="AM731" s="3448"/>
      <c r="AN731" s="3448"/>
      <c r="AO731" s="3448"/>
      <c r="AP731" s="3448"/>
      <c r="AQ731" s="3448"/>
      <c r="AR731" s="3458" t="e">
        <f t="shared" ref="AR731:AR743" si="213">SUM(AM731:AQ731)/AS731</f>
        <v>#DIV/0!</v>
      </c>
      <c r="AS731" s="1446"/>
    </row>
    <row r="732" spans="1:45" s="1444" customFormat="1" ht="21.95" customHeight="1">
      <c r="A732" s="3267"/>
      <c r="B732" s="5478"/>
      <c r="C732" s="5478"/>
      <c r="D732" s="5478"/>
      <c r="E732" s="5478"/>
      <c r="F732" s="5478"/>
      <c r="G732" s="5478"/>
      <c r="H732" s="3267"/>
      <c r="I732" s="3267"/>
      <c r="J732" s="3267"/>
      <c r="K732" s="3267"/>
      <c r="L732" s="5398"/>
      <c r="M732" s="5398"/>
      <c r="N732" s="5398"/>
      <c r="O732" s="5398"/>
      <c r="P732" s="3267"/>
      <c r="Q732" s="3267"/>
      <c r="R732" s="3267"/>
      <c r="S732" s="3267"/>
      <c r="T732" s="3267"/>
      <c r="U732" s="5398"/>
      <c r="V732" s="5398"/>
      <c r="W732" s="5398"/>
      <c r="X732" s="5398"/>
      <c r="Y732" s="3267"/>
      <c r="Z732" s="3267"/>
      <c r="AA732" s="5398"/>
      <c r="AB732" s="5398"/>
      <c r="AC732" s="2682"/>
      <c r="AD732" s="3289"/>
      <c r="AE732" s="2628"/>
      <c r="AF732" s="2629"/>
      <c r="AG732" s="2628"/>
      <c r="AH732" s="2629"/>
      <c r="AI732" s="2628"/>
      <c r="AJ732" s="2629"/>
      <c r="AK732" s="2671">
        <f t="shared" si="211"/>
        <v>0</v>
      </c>
      <c r="AL732" s="3464"/>
      <c r="AM732" s="3448"/>
      <c r="AN732" s="3448"/>
      <c r="AO732" s="3448"/>
      <c r="AP732" s="3448"/>
      <c r="AQ732" s="3448"/>
      <c r="AR732" s="3458" t="e">
        <f t="shared" si="213"/>
        <v>#DIV/0!</v>
      </c>
      <c r="AS732" s="1446"/>
    </row>
    <row r="733" spans="1:45" s="1444" customFormat="1" ht="21.95" customHeight="1">
      <c r="A733" s="3267"/>
      <c r="B733" s="5478"/>
      <c r="C733" s="5478"/>
      <c r="D733" s="5478"/>
      <c r="E733" s="5478"/>
      <c r="F733" s="5478"/>
      <c r="G733" s="5478"/>
      <c r="H733" s="3267"/>
      <c r="I733" s="3267"/>
      <c r="J733" s="3267"/>
      <c r="K733" s="3267"/>
      <c r="L733" s="5398"/>
      <c r="M733" s="5398"/>
      <c r="N733" s="5398"/>
      <c r="O733" s="5398"/>
      <c r="P733" s="3267"/>
      <c r="Q733" s="3267"/>
      <c r="R733" s="3267"/>
      <c r="S733" s="3267"/>
      <c r="T733" s="3267"/>
      <c r="U733" s="5398"/>
      <c r="V733" s="5398"/>
      <c r="W733" s="5398"/>
      <c r="X733" s="5398"/>
      <c r="Y733" s="3267"/>
      <c r="Z733" s="3267"/>
      <c r="AA733" s="5398"/>
      <c r="AB733" s="5398"/>
      <c r="AC733" s="2682"/>
      <c r="AD733" s="3289"/>
      <c r="AE733" s="2628"/>
      <c r="AF733" s="2629"/>
      <c r="AG733" s="2628"/>
      <c r="AH733" s="2629"/>
      <c r="AI733" s="2628"/>
      <c r="AJ733" s="2629"/>
      <c r="AK733" s="2671">
        <f t="shared" si="211"/>
        <v>0</v>
      </c>
      <c r="AL733" s="3464"/>
      <c r="AM733" s="3448"/>
      <c r="AN733" s="3448"/>
      <c r="AO733" s="3448"/>
      <c r="AP733" s="3448"/>
      <c r="AQ733" s="3448"/>
      <c r="AR733" s="3458" t="e">
        <f t="shared" si="213"/>
        <v>#DIV/0!</v>
      </c>
      <c r="AS733" s="1446"/>
    </row>
    <row r="734" spans="1:45" s="1444" customFormat="1" ht="21.95" customHeight="1">
      <c r="A734" s="3267"/>
      <c r="B734" s="5478"/>
      <c r="C734" s="5478"/>
      <c r="D734" s="5478"/>
      <c r="E734" s="5478"/>
      <c r="F734" s="5478"/>
      <c r="G734" s="5478"/>
      <c r="H734" s="3267"/>
      <c r="I734" s="3267"/>
      <c r="J734" s="3267"/>
      <c r="K734" s="3267"/>
      <c r="L734" s="5398"/>
      <c r="M734" s="5398"/>
      <c r="N734" s="5398"/>
      <c r="O734" s="5398"/>
      <c r="P734" s="3267"/>
      <c r="Q734" s="3267"/>
      <c r="R734" s="3267"/>
      <c r="S734" s="3267"/>
      <c r="T734" s="3267"/>
      <c r="U734" s="5398"/>
      <c r="V734" s="5398"/>
      <c r="W734" s="5398"/>
      <c r="X734" s="5398"/>
      <c r="Y734" s="3267"/>
      <c r="Z734" s="3267"/>
      <c r="AA734" s="5398"/>
      <c r="AB734" s="5398"/>
      <c r="AC734" s="2682"/>
      <c r="AD734" s="3289"/>
      <c r="AE734" s="2628"/>
      <c r="AF734" s="2629"/>
      <c r="AG734" s="2628"/>
      <c r="AH734" s="2629"/>
      <c r="AI734" s="2628"/>
      <c r="AJ734" s="2629"/>
      <c r="AK734" s="2671">
        <f t="shared" si="211"/>
        <v>0</v>
      </c>
      <c r="AL734" s="3464"/>
      <c r="AM734" s="3448"/>
      <c r="AN734" s="3448"/>
      <c r="AO734" s="3448"/>
      <c r="AP734" s="3448"/>
      <c r="AQ734" s="3448"/>
      <c r="AR734" s="3458" t="e">
        <f t="shared" si="213"/>
        <v>#DIV/0!</v>
      </c>
      <c r="AS734" s="1446"/>
    </row>
    <row r="735" spans="1:45" s="1444" customFormat="1" ht="21.95" customHeight="1">
      <c r="A735" s="3267"/>
      <c r="B735" s="5478"/>
      <c r="C735" s="5478"/>
      <c r="D735" s="5478"/>
      <c r="E735" s="5478"/>
      <c r="F735" s="5478"/>
      <c r="G735" s="5478"/>
      <c r="H735" s="3267"/>
      <c r="I735" s="3267"/>
      <c r="J735" s="3267"/>
      <c r="K735" s="3267"/>
      <c r="L735" s="5398"/>
      <c r="M735" s="5398"/>
      <c r="N735" s="5398"/>
      <c r="O735" s="5398"/>
      <c r="P735" s="3267"/>
      <c r="Q735" s="3267"/>
      <c r="R735" s="3267"/>
      <c r="S735" s="3267"/>
      <c r="T735" s="3267"/>
      <c r="U735" s="5398"/>
      <c r="V735" s="5398"/>
      <c r="W735" s="5398"/>
      <c r="X735" s="5398"/>
      <c r="Y735" s="3267"/>
      <c r="Z735" s="3267"/>
      <c r="AA735" s="5398"/>
      <c r="AB735" s="5398"/>
      <c r="AC735" s="2682"/>
      <c r="AD735" s="3289"/>
      <c r="AE735" s="2628"/>
      <c r="AF735" s="2629"/>
      <c r="AG735" s="2628"/>
      <c r="AH735" s="2629"/>
      <c r="AI735" s="2628"/>
      <c r="AJ735" s="2629"/>
      <c r="AK735" s="2671">
        <f t="shared" ref="AK735:AK743" si="214">SUM(AC735:AD735)</f>
        <v>0</v>
      </c>
      <c r="AL735" s="3464"/>
      <c r="AM735" s="3448"/>
      <c r="AN735" s="3448"/>
      <c r="AO735" s="3448"/>
      <c r="AP735" s="3448"/>
      <c r="AQ735" s="3448"/>
      <c r="AR735" s="3458" t="e">
        <f t="shared" si="213"/>
        <v>#DIV/0!</v>
      </c>
      <c r="AS735" s="1446"/>
    </row>
    <row r="736" spans="1:45" s="1444" customFormat="1" ht="21.95" customHeight="1">
      <c r="A736" s="3267"/>
      <c r="B736" s="5478"/>
      <c r="C736" s="5478"/>
      <c r="D736" s="5478"/>
      <c r="E736" s="5478"/>
      <c r="F736" s="5478"/>
      <c r="G736" s="5478"/>
      <c r="H736" s="3267"/>
      <c r="I736" s="3267"/>
      <c r="J736" s="3267"/>
      <c r="K736" s="3267"/>
      <c r="L736" s="5398"/>
      <c r="M736" s="5398"/>
      <c r="N736" s="5398"/>
      <c r="O736" s="5398"/>
      <c r="P736" s="3267"/>
      <c r="Q736" s="3267"/>
      <c r="R736" s="3267"/>
      <c r="S736" s="3267"/>
      <c r="T736" s="3267"/>
      <c r="U736" s="5398"/>
      <c r="V736" s="5398"/>
      <c r="W736" s="5398"/>
      <c r="X736" s="5398"/>
      <c r="Y736" s="3267"/>
      <c r="Z736" s="3267"/>
      <c r="AA736" s="5398"/>
      <c r="AB736" s="5398"/>
      <c r="AC736" s="2682"/>
      <c r="AD736" s="3289"/>
      <c r="AE736" s="2628"/>
      <c r="AF736" s="2629"/>
      <c r="AG736" s="2628"/>
      <c r="AH736" s="2629"/>
      <c r="AI736" s="2628"/>
      <c r="AJ736" s="2629"/>
      <c r="AK736" s="2671">
        <f t="shared" si="214"/>
        <v>0</v>
      </c>
      <c r="AL736" s="3464"/>
      <c r="AM736" s="3448"/>
      <c r="AN736" s="3448"/>
      <c r="AO736" s="3448"/>
      <c r="AP736" s="3448"/>
      <c r="AQ736" s="3448"/>
      <c r="AR736" s="3458" t="e">
        <f t="shared" si="213"/>
        <v>#DIV/0!</v>
      </c>
      <c r="AS736" s="1446"/>
    </row>
    <row r="737" spans="1:45" s="1444" customFormat="1" ht="21.95" customHeight="1">
      <c r="A737" s="3267"/>
      <c r="B737" s="5478"/>
      <c r="C737" s="5478"/>
      <c r="D737" s="5478"/>
      <c r="E737" s="5478"/>
      <c r="F737" s="5478"/>
      <c r="G737" s="5478"/>
      <c r="H737" s="3267"/>
      <c r="I737" s="3267"/>
      <c r="J737" s="3267"/>
      <c r="K737" s="3267"/>
      <c r="L737" s="5398"/>
      <c r="M737" s="5398"/>
      <c r="N737" s="5398"/>
      <c r="O737" s="5398"/>
      <c r="P737" s="3267"/>
      <c r="Q737" s="3267"/>
      <c r="R737" s="3267"/>
      <c r="S737" s="3267"/>
      <c r="T737" s="3267"/>
      <c r="U737" s="5398"/>
      <c r="V737" s="5398"/>
      <c r="W737" s="5398"/>
      <c r="X737" s="5398"/>
      <c r="Y737" s="3267"/>
      <c r="Z737" s="3267"/>
      <c r="AA737" s="5398"/>
      <c r="AB737" s="5398"/>
      <c r="AC737" s="2682"/>
      <c r="AD737" s="3289"/>
      <c r="AE737" s="2628"/>
      <c r="AF737" s="2629"/>
      <c r="AG737" s="2628"/>
      <c r="AH737" s="2629"/>
      <c r="AI737" s="2628"/>
      <c r="AJ737" s="2629"/>
      <c r="AK737" s="2671">
        <f t="shared" si="214"/>
        <v>0</v>
      </c>
      <c r="AL737" s="3464"/>
      <c r="AM737" s="3448"/>
      <c r="AN737" s="3448"/>
      <c r="AO737" s="3448"/>
      <c r="AP737" s="3448"/>
      <c r="AQ737" s="3448"/>
      <c r="AR737" s="3458" t="e">
        <f t="shared" si="213"/>
        <v>#DIV/0!</v>
      </c>
      <c r="AS737" s="1446"/>
    </row>
    <row r="738" spans="1:45" s="1444" customFormat="1" ht="21.95" customHeight="1">
      <c r="A738" s="3267"/>
      <c r="B738" s="5478"/>
      <c r="C738" s="5478"/>
      <c r="D738" s="5478"/>
      <c r="E738" s="5478"/>
      <c r="F738" s="5478"/>
      <c r="G738" s="5478"/>
      <c r="H738" s="3267"/>
      <c r="I738" s="3267"/>
      <c r="J738" s="3267"/>
      <c r="K738" s="3267"/>
      <c r="L738" s="5398"/>
      <c r="M738" s="5398"/>
      <c r="N738" s="5398"/>
      <c r="O738" s="5398"/>
      <c r="P738" s="3267"/>
      <c r="Q738" s="3267"/>
      <c r="R738" s="3267"/>
      <c r="S738" s="3267"/>
      <c r="T738" s="3267"/>
      <c r="U738" s="5398"/>
      <c r="V738" s="5398"/>
      <c r="W738" s="5398"/>
      <c r="X738" s="5398"/>
      <c r="Y738" s="3267"/>
      <c r="Z738" s="3267"/>
      <c r="AA738" s="5398"/>
      <c r="AB738" s="5398"/>
      <c r="AC738" s="2682"/>
      <c r="AD738" s="3289"/>
      <c r="AE738" s="2628"/>
      <c r="AF738" s="2629"/>
      <c r="AG738" s="2628"/>
      <c r="AH738" s="2629"/>
      <c r="AI738" s="2628"/>
      <c r="AJ738" s="2629"/>
      <c r="AK738" s="2671">
        <f t="shared" si="214"/>
        <v>0</v>
      </c>
      <c r="AL738" s="3464"/>
      <c r="AM738" s="3448"/>
      <c r="AN738" s="3448"/>
      <c r="AO738" s="3448"/>
      <c r="AP738" s="3448"/>
      <c r="AQ738" s="3448"/>
      <c r="AR738" s="3458" t="e">
        <f t="shared" si="213"/>
        <v>#DIV/0!</v>
      </c>
      <c r="AS738" s="1446"/>
    </row>
    <row r="739" spans="1:45" s="1444" customFormat="1" ht="21.95" customHeight="1">
      <c r="A739" s="3267"/>
      <c r="B739" s="5478"/>
      <c r="C739" s="5478"/>
      <c r="D739" s="5478"/>
      <c r="E739" s="5478"/>
      <c r="F739" s="5478"/>
      <c r="G739" s="5478"/>
      <c r="H739" s="3267"/>
      <c r="I739" s="3267"/>
      <c r="J739" s="3267"/>
      <c r="K739" s="3267"/>
      <c r="L739" s="5398"/>
      <c r="M739" s="5398"/>
      <c r="N739" s="5398"/>
      <c r="O739" s="5398"/>
      <c r="P739" s="3267"/>
      <c r="Q739" s="3267"/>
      <c r="R739" s="3267"/>
      <c r="S739" s="3267"/>
      <c r="T739" s="3267"/>
      <c r="U739" s="5398"/>
      <c r="V739" s="5398"/>
      <c r="W739" s="5398"/>
      <c r="X739" s="5398"/>
      <c r="Y739" s="3267"/>
      <c r="Z739" s="3267"/>
      <c r="AA739" s="5398"/>
      <c r="AB739" s="5398"/>
      <c r="AC739" s="2682"/>
      <c r="AD739" s="3289"/>
      <c r="AE739" s="2628"/>
      <c r="AF739" s="2629"/>
      <c r="AG739" s="2628"/>
      <c r="AH739" s="2629"/>
      <c r="AI739" s="2628"/>
      <c r="AJ739" s="2629"/>
      <c r="AK739" s="2671">
        <f t="shared" si="214"/>
        <v>0</v>
      </c>
      <c r="AL739" s="3464"/>
      <c r="AM739" s="3448"/>
      <c r="AN739" s="3448"/>
      <c r="AO739" s="3448"/>
      <c r="AP739" s="3448"/>
      <c r="AQ739" s="3448"/>
      <c r="AR739" s="3458" t="e">
        <f t="shared" si="213"/>
        <v>#DIV/0!</v>
      </c>
      <c r="AS739" s="1446"/>
    </row>
    <row r="740" spans="1:45" s="1444" customFormat="1" ht="21.95" customHeight="1">
      <c r="A740" s="3267"/>
      <c r="B740" s="5478"/>
      <c r="C740" s="5478"/>
      <c r="D740" s="5478"/>
      <c r="E740" s="5478"/>
      <c r="F740" s="5478"/>
      <c r="G740" s="5478"/>
      <c r="H740" s="3267"/>
      <c r="I740" s="3267"/>
      <c r="J740" s="3267"/>
      <c r="K740" s="3267"/>
      <c r="L740" s="5398"/>
      <c r="M740" s="5398"/>
      <c r="N740" s="5398"/>
      <c r="O740" s="5398"/>
      <c r="P740" s="3267"/>
      <c r="Q740" s="3267"/>
      <c r="R740" s="3267"/>
      <c r="S740" s="3267"/>
      <c r="T740" s="3267"/>
      <c r="U740" s="5398"/>
      <c r="V740" s="5398"/>
      <c r="W740" s="5398"/>
      <c r="X740" s="5398"/>
      <c r="Y740" s="3267"/>
      <c r="Z740" s="3267"/>
      <c r="AA740" s="5398"/>
      <c r="AB740" s="5398"/>
      <c r="AC740" s="2682"/>
      <c r="AD740" s="3289"/>
      <c r="AE740" s="2628"/>
      <c r="AF740" s="2629"/>
      <c r="AG740" s="2628"/>
      <c r="AH740" s="2629"/>
      <c r="AI740" s="2628"/>
      <c r="AJ740" s="2629"/>
      <c r="AK740" s="2671">
        <f t="shared" si="214"/>
        <v>0</v>
      </c>
      <c r="AL740" s="3464"/>
      <c r="AM740" s="3448"/>
      <c r="AN740" s="3448"/>
      <c r="AO740" s="3448"/>
      <c r="AP740" s="3448"/>
      <c r="AQ740" s="3448"/>
      <c r="AR740" s="3458" t="e">
        <f t="shared" si="213"/>
        <v>#DIV/0!</v>
      </c>
      <c r="AS740" s="1446"/>
    </row>
    <row r="741" spans="1:45" s="1444" customFormat="1" ht="21.95" customHeight="1">
      <c r="A741" s="3267"/>
      <c r="B741" s="5478"/>
      <c r="C741" s="5478"/>
      <c r="D741" s="5478"/>
      <c r="E741" s="5478"/>
      <c r="F741" s="5478"/>
      <c r="G741" s="5478"/>
      <c r="H741" s="3267"/>
      <c r="I741" s="3267"/>
      <c r="J741" s="3267"/>
      <c r="K741" s="3267"/>
      <c r="L741" s="5398"/>
      <c r="M741" s="5398"/>
      <c r="N741" s="5398"/>
      <c r="O741" s="5398"/>
      <c r="P741" s="3267"/>
      <c r="Q741" s="3267"/>
      <c r="R741" s="3267"/>
      <c r="S741" s="3267"/>
      <c r="T741" s="3267"/>
      <c r="U741" s="5398"/>
      <c r="V741" s="5398"/>
      <c r="W741" s="5398"/>
      <c r="X741" s="5398"/>
      <c r="Y741" s="3267"/>
      <c r="Z741" s="3267"/>
      <c r="AA741" s="5398"/>
      <c r="AB741" s="5398"/>
      <c r="AC741" s="2682"/>
      <c r="AD741" s="3289"/>
      <c r="AE741" s="2628"/>
      <c r="AF741" s="2629"/>
      <c r="AG741" s="2628"/>
      <c r="AH741" s="2629"/>
      <c r="AI741" s="2628"/>
      <c r="AJ741" s="2629"/>
      <c r="AK741" s="2671">
        <f t="shared" si="214"/>
        <v>0</v>
      </c>
      <c r="AL741" s="3464"/>
      <c r="AM741" s="3448"/>
      <c r="AN741" s="3448"/>
      <c r="AO741" s="3448"/>
      <c r="AP741" s="3448"/>
      <c r="AQ741" s="3448"/>
      <c r="AR741" s="3458" t="e">
        <f t="shared" si="213"/>
        <v>#DIV/0!</v>
      </c>
      <c r="AS741" s="1446"/>
    </row>
    <row r="742" spans="1:45" s="1444" customFormat="1" ht="21.95" customHeight="1">
      <c r="A742" s="3267"/>
      <c r="B742" s="5478"/>
      <c r="C742" s="5478"/>
      <c r="D742" s="5478"/>
      <c r="E742" s="5478"/>
      <c r="F742" s="5478"/>
      <c r="G742" s="5478"/>
      <c r="H742" s="3267"/>
      <c r="I742" s="3267"/>
      <c r="J742" s="3267"/>
      <c r="K742" s="3267"/>
      <c r="L742" s="5398"/>
      <c r="M742" s="5398"/>
      <c r="N742" s="5398"/>
      <c r="O742" s="5398"/>
      <c r="P742" s="3267"/>
      <c r="Q742" s="3267"/>
      <c r="R742" s="3267"/>
      <c r="S742" s="3267"/>
      <c r="T742" s="3267"/>
      <c r="U742" s="5398"/>
      <c r="V742" s="5398"/>
      <c r="W742" s="5398"/>
      <c r="X742" s="5398"/>
      <c r="Y742" s="3267"/>
      <c r="Z742" s="3267"/>
      <c r="AA742" s="5398"/>
      <c r="AB742" s="5398"/>
      <c r="AC742" s="2682"/>
      <c r="AD742" s="3289"/>
      <c r="AE742" s="2628"/>
      <c r="AF742" s="2629"/>
      <c r="AG742" s="2628"/>
      <c r="AH742" s="2629"/>
      <c r="AI742" s="2628"/>
      <c r="AJ742" s="2629"/>
      <c r="AK742" s="2672">
        <f t="shared" si="214"/>
        <v>0</v>
      </c>
      <c r="AL742" s="3464"/>
      <c r="AM742" s="3448"/>
      <c r="AN742" s="3448"/>
      <c r="AO742" s="3448"/>
      <c r="AP742" s="3448"/>
      <c r="AQ742" s="3448"/>
      <c r="AR742" s="3458" t="e">
        <f t="shared" si="213"/>
        <v>#DIV/0!</v>
      </c>
      <c r="AS742" s="1446"/>
    </row>
    <row r="743" spans="1:45" s="1444" customFormat="1" ht="21.95" customHeight="1">
      <c r="A743" s="3266"/>
      <c r="B743" s="1455" t="s">
        <v>437</v>
      </c>
      <c r="C743" s="1456"/>
      <c r="D743" s="1456"/>
      <c r="E743" s="1456"/>
      <c r="F743" s="1456"/>
      <c r="G743" s="1457"/>
      <c r="H743" s="1417">
        <f>'[8]VISITA DE INSP.'!$C$8</f>
        <v>0</v>
      </c>
      <c r="I743" s="1417"/>
      <c r="J743" s="1417"/>
      <c r="K743" s="1417"/>
      <c r="L743" s="1417"/>
      <c r="M743" s="1417"/>
      <c r="N743" s="1417"/>
      <c r="O743" s="1417"/>
      <c r="P743" s="1417"/>
      <c r="Q743" s="1417"/>
      <c r="R743" s="1417"/>
      <c r="S743" s="1417"/>
      <c r="T743" s="1417"/>
      <c r="U743" s="1417"/>
      <c r="V743" s="1417"/>
      <c r="W743" s="5477" t="s">
        <v>1232</v>
      </c>
      <c r="X743" s="5477"/>
      <c r="Y743" s="5477"/>
      <c r="Z743" s="3268">
        <f>COUNTA(Z717:Z742)</f>
        <v>0</v>
      </c>
      <c r="AA743" s="5477">
        <f>SUM(AA717:AB742)</f>
        <v>0</v>
      </c>
      <c r="AB743" s="5477"/>
      <c r="AC743" s="2687">
        <f t="shared" ref="AC743:AJ743" si="215">SUM(AC717:AC742)</f>
        <v>0</v>
      </c>
      <c r="AD743" s="2688">
        <f t="shared" si="215"/>
        <v>0</v>
      </c>
      <c r="AE743" s="2630">
        <f t="shared" si="215"/>
        <v>0</v>
      </c>
      <c r="AF743" s="2631">
        <f t="shared" si="215"/>
        <v>0</v>
      </c>
      <c r="AG743" s="2632">
        <f t="shared" si="215"/>
        <v>0</v>
      </c>
      <c r="AH743" s="2633">
        <f t="shared" si="215"/>
        <v>0</v>
      </c>
      <c r="AI743" s="2634">
        <f t="shared" si="215"/>
        <v>0</v>
      </c>
      <c r="AJ743" s="2635">
        <f t="shared" si="215"/>
        <v>0</v>
      </c>
      <c r="AK743" s="317">
        <f t="shared" si="214"/>
        <v>0</v>
      </c>
      <c r="AL743" s="3468" t="e">
        <f>SUM(AL717:AL742)/AL744</f>
        <v>#DIV/0!</v>
      </c>
      <c r="AM743" s="3467" t="e">
        <f t="shared" ref="AM743" si="216">SUM(AM717:AM742)/AM744</f>
        <v>#DIV/0!</v>
      </c>
      <c r="AN743" s="3466" t="e">
        <f t="shared" ref="AN743" si="217">SUM(AN717:AN742)/AN744</f>
        <v>#DIV/0!</v>
      </c>
      <c r="AO743" s="3466" t="e">
        <f t="shared" ref="AO743:AP743" si="218">SUM(AO717:AO742)/AO744</f>
        <v>#DIV/0!</v>
      </c>
      <c r="AP743" s="3466" t="e">
        <f t="shared" si="218"/>
        <v>#DIV/0!</v>
      </c>
      <c r="AQ743" s="3460" t="e">
        <f>SUM(AQ717:AQ742)/AQ744</f>
        <v>#DIV/0!</v>
      </c>
      <c r="AR743" s="3461" t="e">
        <f t="shared" si="213"/>
        <v>#DIV/0!</v>
      </c>
      <c r="AS743" s="1446"/>
    </row>
    <row r="744" spans="1:45" s="1446" customFormat="1" ht="21.95" customHeight="1">
      <c r="A744" s="3266"/>
      <c r="B744" s="1445">
        <f>COUNTA(B717:G742)</f>
        <v>0</v>
      </c>
      <c r="C744" s="1445"/>
      <c r="D744" s="3266"/>
      <c r="E744" s="3266"/>
      <c r="F744" s="3266"/>
      <c r="G744" s="3266"/>
      <c r="H744" s="3266">
        <f>COUNTA(H717:H742)</f>
        <v>0</v>
      </c>
      <c r="I744" s="3266">
        <f>COUNTA(I717:I742)</f>
        <v>0</v>
      </c>
      <c r="J744" s="3266"/>
      <c r="K744" s="3266"/>
      <c r="L744" s="3266"/>
      <c r="M744" s="3266"/>
      <c r="N744" s="3266"/>
      <c r="O744" s="3266">
        <f>COUNTA(N717:O742)</f>
        <v>0</v>
      </c>
      <c r="P744" s="3266"/>
      <c r="Q744" s="3266"/>
      <c r="R744" s="3266"/>
      <c r="S744" s="3266"/>
      <c r="T744" s="3266">
        <f>COUNTA(T717:T742)</f>
        <v>0</v>
      </c>
      <c r="U744" s="3266"/>
      <c r="V744" s="3266"/>
      <c r="W744" s="3266"/>
      <c r="X744" s="3266"/>
      <c r="Y744" s="3266"/>
      <c r="Z744" s="3266"/>
      <c r="AA744" s="5475">
        <f>'[8]VISITA DE INSP.'!$X$35</f>
        <v>0</v>
      </c>
      <c r="AB744" s="5476"/>
      <c r="AC744" s="5334">
        <f>AC743+AD743</f>
        <v>0</v>
      </c>
      <c r="AD744" s="5334"/>
      <c r="AE744" s="5335">
        <f>AE743+AF743</f>
        <v>0</v>
      </c>
      <c r="AF744" s="5335"/>
      <c r="AG744" s="5335">
        <f>AG743+AH743</f>
        <v>0</v>
      </c>
      <c r="AH744" s="5335"/>
      <c r="AI744" s="2636"/>
      <c r="AJ744" s="2636"/>
      <c r="AK744" s="2636">
        <f>SUM(AC744:AD744)+AE744</f>
        <v>0</v>
      </c>
      <c r="AL744" s="3462">
        <f>COUNTA(AL717:AL742)</f>
        <v>0</v>
      </c>
      <c r="AM744" s="3462">
        <f t="shared" ref="AM744:AQ744" si="219">COUNTA(AM717:AM742)</f>
        <v>0</v>
      </c>
      <c r="AN744" s="3462">
        <f t="shared" si="219"/>
        <v>0</v>
      </c>
      <c r="AO744" s="3462">
        <f t="shared" si="219"/>
        <v>0</v>
      </c>
      <c r="AP744" s="3462">
        <f t="shared" si="219"/>
        <v>0</v>
      </c>
      <c r="AQ744" s="3462">
        <f t="shared" si="219"/>
        <v>0</v>
      </c>
      <c r="AR744" s="3462">
        <v>12</v>
      </c>
    </row>
    <row r="745" spans="1:45" s="1446" customFormat="1" ht="21.95" customHeight="1">
      <c r="A745" s="3266"/>
      <c r="B745" s="1445"/>
      <c r="C745" s="1445"/>
      <c r="D745" s="3266"/>
      <c r="E745" s="3266"/>
      <c r="F745" s="3266"/>
      <c r="G745" s="3266"/>
      <c r="H745" s="3266"/>
      <c r="I745" s="3266"/>
      <c r="J745" s="3266"/>
      <c r="K745" s="3266"/>
      <c r="L745" s="3266"/>
      <c r="M745" s="3266"/>
      <c r="N745" s="3266"/>
      <c r="O745" s="3266"/>
      <c r="P745" s="3266"/>
      <c r="Q745" s="3266"/>
      <c r="R745" s="3266"/>
      <c r="S745" s="3266"/>
      <c r="T745" s="3266"/>
      <c r="U745" s="3266"/>
      <c r="V745" s="3266"/>
      <c r="W745" s="3266"/>
      <c r="X745" s="3266"/>
      <c r="Y745" s="3266"/>
      <c r="Z745" s="3266"/>
      <c r="AA745" s="1458"/>
      <c r="AB745" s="1458"/>
      <c r="AC745" s="2682"/>
      <c r="AK745" s="2636"/>
      <c r="AL745" s="3448"/>
      <c r="AM745" s="3448"/>
      <c r="AN745" s="3448"/>
      <c r="AO745" s="3448"/>
      <c r="AP745" s="3448"/>
      <c r="AQ745" s="3448"/>
    </row>
    <row r="746" spans="1:45" s="1441" customFormat="1" ht="21.95" customHeight="1">
      <c r="A746" s="1663"/>
      <c r="B746" s="1422"/>
      <c r="C746" s="1422"/>
      <c r="D746" s="1422"/>
      <c r="E746" s="1422"/>
      <c r="F746" s="1422"/>
      <c r="G746" s="1422"/>
      <c r="H746" s="1422"/>
      <c r="I746" s="1447"/>
      <c r="J746" s="1447"/>
      <c r="K746" s="1447"/>
      <c r="L746" s="1447"/>
      <c r="M746" s="1447"/>
      <c r="N746" s="1447"/>
      <c r="O746" s="1447"/>
      <c r="P746" s="1447"/>
      <c r="Q746" s="1422"/>
      <c r="R746" s="1422"/>
      <c r="S746" s="1422"/>
      <c r="T746" s="1422"/>
      <c r="U746" s="1422"/>
      <c r="V746" s="1422"/>
      <c r="W746" s="1422"/>
      <c r="X746" s="1422"/>
      <c r="Y746" s="1422"/>
      <c r="Z746" s="1422"/>
      <c r="AA746" s="1422"/>
      <c r="AB746" s="1422"/>
      <c r="AC746" s="2682"/>
      <c r="AD746" s="1444"/>
      <c r="AE746" s="1444"/>
      <c r="AF746" s="1444"/>
      <c r="AG746" s="1444"/>
      <c r="AH746" s="1444"/>
      <c r="AI746" s="1444"/>
      <c r="AJ746" s="1444"/>
      <c r="AK746" s="2636"/>
      <c r="AL746" s="3445"/>
      <c r="AM746" s="3445"/>
      <c r="AN746" s="3445"/>
      <c r="AO746" s="3445"/>
      <c r="AP746" s="3445"/>
      <c r="AQ746" s="3445"/>
      <c r="AS746" s="108"/>
    </row>
    <row r="747" spans="1:45" s="1448" customFormat="1" ht="21.95" customHeight="1">
      <c r="A747" s="108"/>
      <c r="B747" s="1427"/>
      <c r="C747" s="27"/>
      <c r="D747" s="3262" t="s">
        <v>1193</v>
      </c>
      <c r="E747" s="5388">
        <f>B717</f>
        <v>0</v>
      </c>
      <c r="F747" s="5388"/>
      <c r="G747" s="5388"/>
      <c r="H747" s="5388"/>
      <c r="I747" s="5388"/>
      <c r="J747" s="5388"/>
      <c r="K747" s="1429"/>
      <c r="L747" s="1428"/>
      <c r="M747" s="3262" t="s">
        <v>1234</v>
      </c>
      <c r="N747" s="5388" t="str">
        <f>N707</f>
        <v>RICALDE CASTRO JESUS MARTIN</v>
      </c>
      <c r="O747" s="5388"/>
      <c r="P747" s="5388"/>
      <c r="Q747" s="5388"/>
      <c r="R747" s="5388"/>
      <c r="S747" s="5388"/>
      <c r="T747" s="1429"/>
      <c r="U747" s="1429"/>
      <c r="V747" s="3262" t="s">
        <v>1195</v>
      </c>
      <c r="W747" s="5388" t="str">
        <f>W707</f>
        <v xml:space="preserve">ANCONA FLORES AURA EUGENIA </v>
      </c>
      <c r="X747" s="5388"/>
      <c r="Y747" s="5388"/>
      <c r="Z747" s="5388"/>
      <c r="AA747" s="5388"/>
      <c r="AB747" s="5388"/>
      <c r="AC747" s="2682"/>
      <c r="AD747" s="2624"/>
      <c r="AE747" s="2624"/>
      <c r="AF747" s="2624"/>
      <c r="AG747" s="2624"/>
      <c r="AH747" s="2624"/>
      <c r="AI747" s="2624"/>
      <c r="AJ747" s="2624"/>
      <c r="AK747" s="2636"/>
      <c r="AL747" s="3449"/>
      <c r="AM747" s="3449"/>
      <c r="AN747" s="3449"/>
      <c r="AO747" s="3449"/>
      <c r="AP747" s="3449"/>
      <c r="AQ747" s="3449"/>
      <c r="AS747" s="3450"/>
    </row>
    <row r="748" spans="1:45" s="1430" customFormat="1" ht="21.95" customHeight="1">
      <c r="A748" s="1670"/>
      <c r="B748" s="1401"/>
      <c r="C748" s="1401"/>
      <c r="D748" s="1401"/>
      <c r="E748" s="1401"/>
      <c r="F748" s="1402"/>
      <c r="G748" s="1402"/>
      <c r="H748" s="1402"/>
      <c r="I748" s="1402"/>
      <c r="J748" s="1402"/>
      <c r="K748" s="27"/>
      <c r="M748" s="1431" t="s">
        <v>196</v>
      </c>
      <c r="N748" s="1402"/>
      <c r="O748" s="1402"/>
      <c r="P748" s="1402"/>
      <c r="Q748" s="1402"/>
      <c r="R748" s="1402"/>
      <c r="S748" s="1402"/>
      <c r="T748" s="1401"/>
      <c r="U748" s="3263" t="s">
        <v>764</v>
      </c>
      <c r="V748" s="3263"/>
      <c r="W748" s="3263"/>
      <c r="X748" s="1644" t="s">
        <v>247</v>
      </c>
      <c r="Y748" s="1644"/>
      <c r="Z748" s="1644"/>
      <c r="AA748" s="1644"/>
      <c r="AB748" s="1644"/>
      <c r="AC748" s="2682"/>
      <c r="AD748" s="1449"/>
      <c r="AE748" s="1449"/>
      <c r="AF748" s="1449"/>
      <c r="AG748" s="1449"/>
      <c r="AH748" s="1449"/>
      <c r="AI748" s="1449"/>
      <c r="AJ748" s="1449"/>
      <c r="AK748" s="3256"/>
      <c r="AL748" s="3451"/>
      <c r="AM748" s="3451"/>
      <c r="AN748" s="3451"/>
      <c r="AO748" s="3451"/>
      <c r="AP748" s="3451"/>
      <c r="AQ748" s="3451"/>
      <c r="AS748" s="3452"/>
    </row>
    <row r="749" spans="1:45" ht="21.95" customHeight="1">
      <c r="A749" s="1663"/>
      <c r="B749" s="1406"/>
      <c r="C749" s="1406"/>
      <c r="D749" s="1406"/>
      <c r="E749" s="1406"/>
      <c r="F749" s="1407"/>
      <c r="G749" s="1407"/>
      <c r="H749" s="1407"/>
      <c r="I749" s="1407"/>
      <c r="J749" s="1407"/>
      <c r="K749" s="1407"/>
      <c r="L749" s="1407"/>
      <c r="M749" s="3260" t="s">
        <v>1148</v>
      </c>
      <c r="N749" s="1407"/>
      <c r="O749" s="1407"/>
      <c r="P749" s="1407"/>
      <c r="Q749" s="1407"/>
      <c r="R749" s="1407"/>
      <c r="S749" s="1407"/>
      <c r="T749" s="1408"/>
      <c r="U749" s="1408"/>
      <c r="V749" s="3263"/>
      <c r="W749" s="1432" t="s">
        <v>1149</v>
      </c>
      <c r="X749" s="5221" t="str">
        <f>X709</f>
        <v>2012 / 2013</v>
      </c>
      <c r="Y749" s="5221"/>
      <c r="Z749" s="5221"/>
      <c r="AA749" s="5221"/>
      <c r="AB749" s="1417"/>
      <c r="AD749" s="1443"/>
      <c r="AE749" s="1443"/>
      <c r="AF749" s="1443"/>
      <c r="AG749" s="1443"/>
      <c r="AH749" s="1443"/>
    </row>
    <row r="750" spans="1:45" ht="21.95" customHeight="1">
      <c r="A750" s="1663"/>
      <c r="B750" s="1410"/>
      <c r="C750" s="1410"/>
      <c r="D750" s="1410"/>
      <c r="E750" s="1410"/>
      <c r="F750" s="1407"/>
      <c r="G750" s="1407"/>
      <c r="H750" s="1407"/>
      <c r="I750" s="1407"/>
      <c r="J750" s="1407"/>
      <c r="K750" s="1407"/>
      <c r="M750" s="3260" t="s">
        <v>1150</v>
      </c>
      <c r="N750" s="1407"/>
      <c r="O750" s="1407"/>
      <c r="P750" s="1407"/>
      <c r="Q750" s="1407"/>
      <c r="R750" s="1407"/>
      <c r="S750" s="1407"/>
      <c r="T750" s="1433"/>
      <c r="U750" s="1433"/>
      <c r="V750" s="1434"/>
      <c r="W750" s="3281" t="s">
        <v>42</v>
      </c>
      <c r="X750" s="5391" t="str">
        <f>X710</f>
        <v>042</v>
      </c>
      <c r="Y750" s="5391"/>
      <c r="Z750" s="5391"/>
      <c r="AA750" s="5391"/>
      <c r="AB750" s="1417"/>
      <c r="AD750" s="1443"/>
      <c r="AE750" s="1443"/>
      <c r="AF750" s="1443"/>
      <c r="AG750" s="1443"/>
      <c r="AH750" s="1443"/>
    </row>
    <row r="751" spans="1:45" ht="21.95" customHeight="1">
      <c r="A751" s="1663"/>
      <c r="B751" s="1410"/>
      <c r="C751" s="1410"/>
      <c r="D751" s="1410"/>
      <c r="E751" s="1410"/>
      <c r="F751" s="1406"/>
      <c r="H751" s="1413"/>
      <c r="I751" s="1413"/>
      <c r="J751" s="1414"/>
      <c r="K751" s="1414"/>
      <c r="L751" s="1415" t="s">
        <v>1197</v>
      </c>
      <c r="M751" s="1415">
        <f>M711</f>
        <v>8</v>
      </c>
      <c r="N751" s="3271" t="s">
        <v>1152</v>
      </c>
      <c r="O751" s="5371" t="str">
        <f>O711</f>
        <v>AGOSTO</v>
      </c>
      <c r="P751" s="5371"/>
      <c r="Q751" s="1435" t="s">
        <v>1152</v>
      </c>
      <c r="R751" s="5371">
        <f>R711</f>
        <v>2012</v>
      </c>
      <c r="S751" s="5371"/>
      <c r="T751" s="1406"/>
      <c r="U751" s="5470" t="s">
        <v>246</v>
      </c>
      <c r="V751" s="5470"/>
      <c r="W751" s="5470"/>
      <c r="X751" s="5470"/>
      <c r="Y751" s="1437" t="s">
        <v>245</v>
      </c>
      <c r="Z751" s="1437"/>
      <c r="AA751" s="1437"/>
      <c r="AB751" s="1417"/>
      <c r="AD751" s="1443"/>
      <c r="AE751" s="1443"/>
      <c r="AF751" s="1443"/>
      <c r="AG751" s="1443"/>
      <c r="AH751" s="1443"/>
    </row>
    <row r="752" spans="1:45" ht="21.95" customHeight="1">
      <c r="A752" s="5446" t="s">
        <v>1153</v>
      </c>
      <c r="B752" s="5446"/>
      <c r="C752" s="5446"/>
      <c r="D752" s="5468"/>
      <c r="E752" s="5468"/>
      <c r="F752" s="5468"/>
      <c r="G752" s="5468"/>
      <c r="H752" s="5468"/>
      <c r="I752" s="5468"/>
      <c r="J752" s="5468"/>
      <c r="K752" s="5468"/>
      <c r="L752" s="3272" t="s">
        <v>19</v>
      </c>
      <c r="M752" s="5471"/>
      <c r="N752" s="5471"/>
      <c r="O752" s="5447" t="s">
        <v>13</v>
      </c>
      <c r="P752" s="5447"/>
      <c r="Q752" s="5472"/>
      <c r="R752" s="5472"/>
      <c r="S752" s="5472"/>
      <c r="T752" s="1439"/>
      <c r="U752" s="1438" t="s">
        <v>1157</v>
      </c>
      <c r="V752" s="5472" t="str">
        <f>V712</f>
        <v>2  BENITO JUAREZ</v>
      </c>
      <c r="W752" s="5472"/>
      <c r="X752" s="5472"/>
      <c r="Y752" s="5472"/>
      <c r="Z752" s="5472"/>
      <c r="AA752" s="5472"/>
      <c r="AB752" s="5472"/>
      <c r="AD752" s="1443"/>
      <c r="AE752" s="1443"/>
      <c r="AF752" s="1443"/>
      <c r="AG752" s="1443"/>
      <c r="AH752" s="1443"/>
    </row>
    <row r="753" spans="1:45" s="1439" customFormat="1" ht="21.95" customHeight="1">
      <c r="A753" s="5446" t="s">
        <v>437</v>
      </c>
      <c r="B753" s="5446"/>
      <c r="C753" s="5468"/>
      <c r="D753" s="5468"/>
      <c r="E753" s="5468"/>
      <c r="F753" s="5468"/>
      <c r="G753" s="5468"/>
      <c r="H753" s="5468"/>
      <c r="I753" s="5468"/>
      <c r="J753" s="5468"/>
      <c r="K753" s="5468"/>
      <c r="L753" s="5468"/>
      <c r="M753" s="5468"/>
      <c r="N753" s="1423"/>
      <c r="O753" s="3272" t="s">
        <v>863</v>
      </c>
      <c r="P753" s="4868"/>
      <c r="Q753" s="4868"/>
      <c r="R753" s="4868"/>
      <c r="S753" s="4868"/>
      <c r="T753" s="4868"/>
      <c r="U753" s="1422"/>
      <c r="V753" s="3272"/>
      <c r="W753" s="3272" t="s">
        <v>1159</v>
      </c>
      <c r="X753" s="5469" t="str">
        <f>X713</f>
        <v>8  DE  AGOSTO  DE  2012</v>
      </c>
      <c r="Y753" s="5469"/>
      <c r="Z753" s="5469"/>
      <c r="AA753" s="5469"/>
      <c r="AB753" s="5469"/>
      <c r="AC753" s="5331">
        <f>D752</f>
        <v>0</v>
      </c>
      <c r="AD753" s="5331"/>
      <c r="AE753" s="5331"/>
      <c r="AF753" s="5331"/>
      <c r="AG753" s="5331"/>
      <c r="AH753" s="5331"/>
      <c r="AI753" s="5332">
        <f>M752</f>
        <v>0</v>
      </c>
      <c r="AJ753" s="5332"/>
      <c r="AK753" s="5332"/>
      <c r="AL753" s="3446"/>
      <c r="AM753" s="3446"/>
      <c r="AN753" s="3446"/>
      <c r="AO753" s="3446"/>
      <c r="AP753" s="3446"/>
      <c r="AQ753" s="3446"/>
      <c r="AR753" s="3446"/>
      <c r="AS753" s="2166"/>
    </row>
    <row r="754" spans="1:45" s="1441" customFormat="1" ht="21.95" customHeight="1">
      <c r="A754" s="1421"/>
      <c r="B754" s="1422"/>
      <c r="C754" s="1422"/>
      <c r="D754" s="3261"/>
      <c r="E754" s="3261"/>
      <c r="F754" s="3261"/>
      <c r="G754" s="3261"/>
      <c r="H754" s="3261"/>
      <c r="I754" s="3261"/>
      <c r="J754" s="3261"/>
      <c r="K754" s="3261"/>
      <c r="L754" s="3261"/>
      <c r="M754" s="1421"/>
      <c r="N754" s="1423"/>
      <c r="O754" s="1423"/>
      <c r="P754" s="1423"/>
      <c r="Q754" s="1424"/>
      <c r="R754" s="1423"/>
      <c r="S754" s="1423"/>
      <c r="T754" s="1422"/>
      <c r="U754" s="1422"/>
      <c r="V754" s="3261"/>
      <c r="W754" s="3261"/>
      <c r="X754" s="3261"/>
      <c r="Y754" s="3261"/>
      <c r="Z754" s="1422"/>
      <c r="AA754" s="1422"/>
      <c r="AB754" s="1422"/>
      <c r="AC754" s="2689"/>
      <c r="AD754" s="2690"/>
      <c r="AE754" s="2639"/>
      <c r="AF754" s="2640"/>
      <c r="AG754" s="2639"/>
      <c r="AH754" s="2640"/>
      <c r="AI754" s="1444"/>
      <c r="AJ754" s="1444"/>
      <c r="AK754" s="2636"/>
      <c r="AL754" s="3445"/>
      <c r="AM754" s="3445"/>
      <c r="AN754" s="3445"/>
      <c r="AO754" s="3445"/>
      <c r="AP754" s="3445"/>
      <c r="AQ754" s="3445"/>
      <c r="AR754" s="3445"/>
      <c r="AS754" s="108"/>
    </row>
    <row r="755" spans="1:45" s="1442" customFormat="1" ht="21.95" customHeight="1">
      <c r="A755" s="5415" t="s">
        <v>1160</v>
      </c>
      <c r="B755" s="5416" t="s">
        <v>1235</v>
      </c>
      <c r="C755" s="5416"/>
      <c r="D755" s="5416"/>
      <c r="E755" s="5416"/>
      <c r="F755" s="5416"/>
      <c r="G755" s="5416"/>
      <c r="H755" s="5417" t="s">
        <v>1161</v>
      </c>
      <c r="I755" s="5417"/>
      <c r="J755" s="5417" t="s">
        <v>212</v>
      </c>
      <c r="K755" s="5417" t="s">
        <v>1162</v>
      </c>
      <c r="L755" s="5417" t="s">
        <v>1163</v>
      </c>
      <c r="M755" s="5417"/>
      <c r="N755" s="5417" t="s">
        <v>1164</v>
      </c>
      <c r="O755" s="5417"/>
      <c r="P755" s="5417" t="s">
        <v>1165</v>
      </c>
      <c r="Q755" s="5417"/>
      <c r="R755" s="5417" t="s">
        <v>1166</v>
      </c>
      <c r="S755" s="5417"/>
      <c r="T755" s="5417" t="s">
        <v>1167</v>
      </c>
      <c r="U755" s="5417" t="s">
        <v>1168</v>
      </c>
      <c r="V755" s="5417"/>
      <c r="W755" s="5417" t="s">
        <v>1169</v>
      </c>
      <c r="X755" s="5417"/>
      <c r="Y755" s="5417" t="s">
        <v>3</v>
      </c>
      <c r="Z755" s="5417" t="s">
        <v>4</v>
      </c>
      <c r="AA755" s="5417" t="s">
        <v>28</v>
      </c>
      <c r="AB755" s="5417"/>
      <c r="AC755" s="5340" t="str">
        <f>AC715</f>
        <v>INICIAL</v>
      </c>
      <c r="AD755" s="5340"/>
      <c r="AE755" s="5344" t="str">
        <f>AE715</f>
        <v>ALTAS</v>
      </c>
      <c r="AF755" s="5345"/>
      <c r="AG755" s="5346" t="str">
        <f>AG715</f>
        <v>BAJAS</v>
      </c>
      <c r="AH755" s="5347"/>
      <c r="AI755" s="5333" t="str">
        <f>AI715</f>
        <v>REP</v>
      </c>
      <c r="AJ755" s="5333"/>
      <c r="AK755" s="2625" t="str">
        <f>AK715</f>
        <v>INI</v>
      </c>
      <c r="AL755" s="5328" t="s">
        <v>2509</v>
      </c>
      <c r="AM755" s="5329"/>
      <c r="AN755" s="5329"/>
      <c r="AO755" s="5329"/>
      <c r="AP755" s="5329"/>
      <c r="AQ755" s="5329"/>
      <c r="AR755" s="5330"/>
    </row>
    <row r="756" spans="1:45" s="1442" customFormat="1" ht="21.95" customHeight="1">
      <c r="A756" s="5415"/>
      <c r="B756" s="5416"/>
      <c r="C756" s="5416"/>
      <c r="D756" s="5416"/>
      <c r="E756" s="5416"/>
      <c r="F756" s="5416"/>
      <c r="G756" s="5416"/>
      <c r="H756" s="3269" t="s">
        <v>407</v>
      </c>
      <c r="I756" s="3269" t="s">
        <v>403</v>
      </c>
      <c r="J756" s="5417"/>
      <c r="K756" s="5417"/>
      <c r="L756" s="5417"/>
      <c r="M756" s="5417"/>
      <c r="N756" s="5417"/>
      <c r="O756" s="5417"/>
      <c r="P756" s="3269" t="s">
        <v>1170</v>
      </c>
      <c r="Q756" s="3269" t="s">
        <v>1171</v>
      </c>
      <c r="R756" s="3269" t="s">
        <v>1172</v>
      </c>
      <c r="S756" s="3269" t="s">
        <v>1173</v>
      </c>
      <c r="T756" s="5417"/>
      <c r="U756" s="5417"/>
      <c r="V756" s="5417"/>
      <c r="W756" s="5417"/>
      <c r="X756" s="5417"/>
      <c r="Y756" s="5417"/>
      <c r="Z756" s="5417"/>
      <c r="AA756" s="5417"/>
      <c r="AB756" s="5417"/>
      <c r="AC756" s="3561" t="str">
        <f>AC716</f>
        <v>H</v>
      </c>
      <c r="AD756" s="2686" t="str">
        <f>AD716</f>
        <v>M</v>
      </c>
      <c r="AE756" s="3561" t="str">
        <f t="shared" ref="AE756:AJ756" si="220">AE716</f>
        <v>H</v>
      </c>
      <c r="AF756" s="2686" t="str">
        <f t="shared" si="220"/>
        <v>M</v>
      </c>
      <c r="AG756" s="3561" t="str">
        <f t="shared" si="220"/>
        <v>H</v>
      </c>
      <c r="AH756" s="2686" t="str">
        <f t="shared" si="220"/>
        <v>M</v>
      </c>
      <c r="AI756" s="3561" t="str">
        <f t="shared" si="220"/>
        <v>H</v>
      </c>
      <c r="AJ756" s="2686" t="str">
        <f t="shared" si="220"/>
        <v>M</v>
      </c>
      <c r="AK756" s="2627" t="str">
        <f>AK716</f>
        <v>TTS</v>
      </c>
      <c r="AL756" s="3455" t="s">
        <v>393</v>
      </c>
      <c r="AM756" s="3463" t="s">
        <v>8</v>
      </c>
      <c r="AN756" s="3456" t="s">
        <v>347</v>
      </c>
      <c r="AO756" s="3456" t="s">
        <v>348</v>
      </c>
      <c r="AP756" s="3456" t="s">
        <v>2062</v>
      </c>
      <c r="AQ756" s="3457" t="s">
        <v>2081</v>
      </c>
      <c r="AR756" s="3456" t="s">
        <v>2510</v>
      </c>
    </row>
    <row r="757" spans="1:45" s="1443" customFormat="1" ht="21.95" customHeight="1">
      <c r="A757" s="3267"/>
      <c r="B757" s="5478"/>
      <c r="C757" s="5478"/>
      <c r="D757" s="5478"/>
      <c r="E757" s="5478"/>
      <c r="F757" s="5478"/>
      <c r="G757" s="5478"/>
      <c r="H757" s="3267"/>
      <c r="I757" s="3267"/>
      <c r="J757" s="3267"/>
      <c r="K757" s="3267"/>
      <c r="L757" s="5398"/>
      <c r="M757" s="5398"/>
      <c r="N757" s="5398"/>
      <c r="O757" s="5398"/>
      <c r="P757" s="3267"/>
      <c r="Q757" s="3267"/>
      <c r="R757" s="3267"/>
      <c r="S757" s="3267"/>
      <c r="T757" s="3267"/>
      <c r="U757" s="5398"/>
      <c r="V757" s="5398"/>
      <c r="W757" s="5398"/>
      <c r="X757" s="5398"/>
      <c r="Y757" s="3267"/>
      <c r="Z757" s="3267"/>
      <c r="AA757" s="5398"/>
      <c r="AB757" s="5398"/>
      <c r="AC757" s="2682"/>
      <c r="AD757" s="3289"/>
      <c r="AE757" s="2628"/>
      <c r="AF757" s="2629"/>
      <c r="AG757" s="2628"/>
      <c r="AH757" s="2629"/>
      <c r="AI757" s="2628"/>
      <c r="AJ757" s="2629"/>
      <c r="AK757" s="2670">
        <f t="shared" ref="AK757:AK774" si="221">SUM(AC757:AD757)</f>
        <v>0</v>
      </c>
      <c r="AL757" s="3464"/>
      <c r="AM757" s="3448"/>
      <c r="AN757" s="3448"/>
      <c r="AO757" s="3448"/>
      <c r="AP757" s="3448"/>
      <c r="AQ757" s="3448"/>
      <c r="AR757" s="3458" t="e">
        <f t="shared" ref="AR757:AR770" si="222">SUM(AM757:AQ757)/AS757</f>
        <v>#DIV/0!</v>
      </c>
      <c r="AS757" s="1446"/>
    </row>
    <row r="758" spans="1:45" s="1443" customFormat="1" ht="21.95" customHeight="1">
      <c r="A758" s="3267"/>
      <c r="B758" s="5478"/>
      <c r="C758" s="5478"/>
      <c r="D758" s="5478"/>
      <c r="E758" s="5478"/>
      <c r="F758" s="5478"/>
      <c r="G758" s="5478"/>
      <c r="H758" s="3267"/>
      <c r="I758" s="3267"/>
      <c r="J758" s="3267"/>
      <c r="K758" s="3267"/>
      <c r="L758" s="5398"/>
      <c r="M758" s="5398"/>
      <c r="N758" s="5398"/>
      <c r="O758" s="5398"/>
      <c r="P758" s="3267"/>
      <c r="Q758" s="3267"/>
      <c r="R758" s="3267"/>
      <c r="S758" s="3267"/>
      <c r="T758" s="3267"/>
      <c r="U758" s="5398"/>
      <c r="V758" s="5398"/>
      <c r="W758" s="5398"/>
      <c r="X758" s="5398"/>
      <c r="Y758" s="3267"/>
      <c r="Z758" s="3267"/>
      <c r="AA758" s="5398"/>
      <c r="AB758" s="5398"/>
      <c r="AC758" s="2682"/>
      <c r="AD758" s="3289"/>
      <c r="AE758" s="2628"/>
      <c r="AF758" s="2629"/>
      <c r="AG758" s="2628"/>
      <c r="AH758" s="2629"/>
      <c r="AI758" s="2628"/>
      <c r="AJ758" s="2629"/>
      <c r="AK758" s="2671">
        <f t="shared" si="221"/>
        <v>0</v>
      </c>
      <c r="AL758" s="3464"/>
      <c r="AM758" s="3448"/>
      <c r="AN758" s="3448"/>
      <c r="AO758" s="3448"/>
      <c r="AP758" s="3448"/>
      <c r="AQ758" s="3448"/>
      <c r="AR758" s="3458" t="e">
        <f t="shared" si="222"/>
        <v>#DIV/0!</v>
      </c>
      <c r="AS758" s="1446"/>
    </row>
    <row r="759" spans="1:45" s="1443" customFormat="1" ht="21.95" customHeight="1">
      <c r="A759" s="3267"/>
      <c r="B759" s="5478"/>
      <c r="C759" s="5478"/>
      <c r="D759" s="5478"/>
      <c r="E759" s="5478"/>
      <c r="F759" s="5478"/>
      <c r="G759" s="5478"/>
      <c r="H759" s="3267"/>
      <c r="I759" s="3267"/>
      <c r="J759" s="3267"/>
      <c r="K759" s="3267"/>
      <c r="L759" s="5398"/>
      <c r="M759" s="5398"/>
      <c r="N759" s="5398"/>
      <c r="O759" s="5398"/>
      <c r="P759" s="3267"/>
      <c r="Q759" s="3267"/>
      <c r="R759" s="3267"/>
      <c r="S759" s="3267"/>
      <c r="T759" s="3267"/>
      <c r="U759" s="5398"/>
      <c r="V759" s="5398"/>
      <c r="W759" s="5398"/>
      <c r="X759" s="5398"/>
      <c r="Y759" s="3267"/>
      <c r="Z759" s="3267"/>
      <c r="AA759" s="5398"/>
      <c r="AB759" s="5398"/>
      <c r="AC759" s="2682"/>
      <c r="AD759" s="3289"/>
      <c r="AE759" s="2628"/>
      <c r="AF759" s="2629"/>
      <c r="AG759" s="2628"/>
      <c r="AH759" s="2629"/>
      <c r="AI759" s="2628"/>
      <c r="AJ759" s="2629"/>
      <c r="AK759" s="2671">
        <f t="shared" si="221"/>
        <v>0</v>
      </c>
      <c r="AL759" s="3464"/>
      <c r="AM759" s="3448"/>
      <c r="AN759" s="3448"/>
      <c r="AO759" s="3448"/>
      <c r="AP759" s="3448"/>
      <c r="AQ759" s="3448"/>
      <c r="AR759" s="3458" t="e">
        <f t="shared" si="222"/>
        <v>#DIV/0!</v>
      </c>
      <c r="AS759" s="1446"/>
    </row>
    <row r="760" spans="1:45" s="1443" customFormat="1" ht="21.95" customHeight="1">
      <c r="A760" s="3267"/>
      <c r="B760" s="5478"/>
      <c r="C760" s="5478"/>
      <c r="D760" s="5478"/>
      <c r="E760" s="5478"/>
      <c r="F760" s="5478"/>
      <c r="G760" s="5478"/>
      <c r="H760" s="3267"/>
      <c r="I760" s="3267"/>
      <c r="J760" s="3267"/>
      <c r="K760" s="3267"/>
      <c r="L760" s="5398"/>
      <c r="M760" s="5398"/>
      <c r="N760" s="5398"/>
      <c r="O760" s="5398"/>
      <c r="P760" s="3267"/>
      <c r="Q760" s="3267"/>
      <c r="R760" s="3267"/>
      <c r="S760" s="3267"/>
      <c r="T760" s="3267"/>
      <c r="U760" s="5398"/>
      <c r="V760" s="5398"/>
      <c r="W760" s="5398"/>
      <c r="X760" s="5398"/>
      <c r="Y760" s="3267"/>
      <c r="Z760" s="3267"/>
      <c r="AA760" s="5398"/>
      <c r="AB760" s="5398"/>
      <c r="AC760" s="2682"/>
      <c r="AD760" s="3289"/>
      <c r="AE760" s="2628"/>
      <c r="AF760" s="2629"/>
      <c r="AG760" s="2628"/>
      <c r="AH760" s="2629"/>
      <c r="AI760" s="2628"/>
      <c r="AJ760" s="2629"/>
      <c r="AK760" s="2671">
        <f t="shared" si="221"/>
        <v>0</v>
      </c>
      <c r="AL760" s="3464"/>
      <c r="AM760" s="3448"/>
      <c r="AN760" s="3448"/>
      <c r="AO760" s="3448"/>
      <c r="AP760" s="3448"/>
      <c r="AQ760" s="3448"/>
      <c r="AR760" s="3458" t="e">
        <f t="shared" si="222"/>
        <v>#DIV/0!</v>
      </c>
      <c r="AS760" s="1446"/>
    </row>
    <row r="761" spans="1:45" s="1443" customFormat="1" ht="21.95" customHeight="1">
      <c r="A761" s="3267"/>
      <c r="B761" s="5478"/>
      <c r="C761" s="5478"/>
      <c r="D761" s="5478"/>
      <c r="E761" s="5478"/>
      <c r="F761" s="5478"/>
      <c r="G761" s="5478"/>
      <c r="H761" s="3267"/>
      <c r="I761" s="3267"/>
      <c r="J761" s="3267"/>
      <c r="K761" s="3267"/>
      <c r="L761" s="5398"/>
      <c r="M761" s="5398"/>
      <c r="N761" s="5398"/>
      <c r="O761" s="5398"/>
      <c r="P761" s="3267"/>
      <c r="Q761" s="3267"/>
      <c r="R761" s="3267"/>
      <c r="S761" s="3267"/>
      <c r="T761" s="3267"/>
      <c r="U761" s="5398"/>
      <c r="V761" s="5398"/>
      <c r="W761" s="5398"/>
      <c r="X761" s="5398"/>
      <c r="Y761" s="3267"/>
      <c r="Z761" s="3267"/>
      <c r="AA761" s="5398"/>
      <c r="AB761" s="5398"/>
      <c r="AC761" s="2682"/>
      <c r="AD761" s="3289"/>
      <c r="AE761" s="2628"/>
      <c r="AF761" s="2629"/>
      <c r="AG761" s="2628"/>
      <c r="AH761" s="2629"/>
      <c r="AI761" s="2628"/>
      <c r="AJ761" s="2629"/>
      <c r="AK761" s="2671">
        <f t="shared" si="221"/>
        <v>0</v>
      </c>
      <c r="AL761" s="3464"/>
      <c r="AM761" s="3448"/>
      <c r="AN761" s="3448"/>
      <c r="AO761" s="3448"/>
      <c r="AP761" s="3448"/>
      <c r="AQ761" s="3448"/>
      <c r="AR761" s="3458" t="e">
        <f t="shared" si="222"/>
        <v>#DIV/0!</v>
      </c>
      <c r="AS761" s="1446"/>
    </row>
    <row r="762" spans="1:45" s="1443" customFormat="1" ht="21.95" customHeight="1">
      <c r="A762" s="3267"/>
      <c r="B762" s="5478"/>
      <c r="C762" s="5478"/>
      <c r="D762" s="5478"/>
      <c r="E762" s="5478"/>
      <c r="F762" s="5478"/>
      <c r="G762" s="5478"/>
      <c r="H762" s="3267"/>
      <c r="I762" s="3267"/>
      <c r="J762" s="3267"/>
      <c r="K762" s="3267"/>
      <c r="L762" s="5398"/>
      <c r="M762" s="5398"/>
      <c r="N762" s="5398"/>
      <c r="O762" s="5398"/>
      <c r="P762" s="3267"/>
      <c r="Q762" s="3267"/>
      <c r="R762" s="3267"/>
      <c r="S762" s="3267"/>
      <c r="T762" s="3267"/>
      <c r="U762" s="5398"/>
      <c r="V762" s="5398"/>
      <c r="W762" s="5398"/>
      <c r="X762" s="5398"/>
      <c r="Y762" s="3267"/>
      <c r="Z762" s="3267"/>
      <c r="AA762" s="5398"/>
      <c r="AB762" s="5398"/>
      <c r="AC762" s="2682"/>
      <c r="AD762" s="3289"/>
      <c r="AE762" s="2628"/>
      <c r="AF762" s="2629"/>
      <c r="AG762" s="2628"/>
      <c r="AH762" s="2629"/>
      <c r="AI762" s="2628"/>
      <c r="AJ762" s="2629"/>
      <c r="AK762" s="2671">
        <f t="shared" si="221"/>
        <v>0</v>
      </c>
      <c r="AL762" s="3464"/>
      <c r="AM762" s="3448"/>
      <c r="AN762" s="3448"/>
      <c r="AO762" s="3448"/>
      <c r="AP762" s="3448"/>
      <c r="AQ762" s="3448"/>
      <c r="AR762" s="3458" t="e">
        <f t="shared" si="222"/>
        <v>#DIV/0!</v>
      </c>
      <c r="AS762" s="1446"/>
    </row>
    <row r="763" spans="1:45" s="1443" customFormat="1" ht="21.95" customHeight="1">
      <c r="A763" s="3267"/>
      <c r="B763" s="5478"/>
      <c r="C763" s="5478"/>
      <c r="D763" s="5478"/>
      <c r="E763" s="5478"/>
      <c r="F763" s="5478"/>
      <c r="G763" s="5478"/>
      <c r="H763" s="3267"/>
      <c r="I763" s="3267"/>
      <c r="J763" s="3267"/>
      <c r="K763" s="3267"/>
      <c r="L763" s="5398"/>
      <c r="M763" s="5398"/>
      <c r="N763" s="5398"/>
      <c r="O763" s="5398"/>
      <c r="P763" s="3267"/>
      <c r="Q763" s="3267"/>
      <c r="R763" s="3267"/>
      <c r="S763" s="3267"/>
      <c r="T763" s="3267"/>
      <c r="U763" s="5398"/>
      <c r="V763" s="5398"/>
      <c r="W763" s="5398"/>
      <c r="X763" s="5398"/>
      <c r="Y763" s="3267"/>
      <c r="Z763" s="3267"/>
      <c r="AA763" s="5398"/>
      <c r="AB763" s="5398"/>
      <c r="AC763" s="2682"/>
      <c r="AD763" s="3289"/>
      <c r="AE763" s="2628"/>
      <c r="AF763" s="2629"/>
      <c r="AG763" s="2628"/>
      <c r="AH763" s="2629"/>
      <c r="AI763" s="2628"/>
      <c r="AJ763" s="2629"/>
      <c r="AK763" s="2671">
        <f t="shared" si="221"/>
        <v>0</v>
      </c>
      <c r="AL763" s="3464"/>
      <c r="AM763" s="3448"/>
      <c r="AN763" s="3448"/>
      <c r="AO763" s="3448"/>
      <c r="AP763" s="3448"/>
      <c r="AQ763" s="3448"/>
      <c r="AR763" s="3458" t="e">
        <f t="shared" si="222"/>
        <v>#DIV/0!</v>
      </c>
      <c r="AS763" s="1446"/>
    </row>
    <row r="764" spans="1:45" s="1443" customFormat="1" ht="21.95" customHeight="1">
      <c r="A764" s="3267"/>
      <c r="B764" s="5478"/>
      <c r="C764" s="5478"/>
      <c r="D764" s="5478"/>
      <c r="E764" s="5478"/>
      <c r="F764" s="5478"/>
      <c r="G764" s="5478"/>
      <c r="H764" s="3267"/>
      <c r="I764" s="3267"/>
      <c r="J764" s="3267"/>
      <c r="K764" s="3267"/>
      <c r="L764" s="5398"/>
      <c r="M764" s="5398"/>
      <c r="N764" s="5398"/>
      <c r="O764" s="5398"/>
      <c r="P764" s="3267"/>
      <c r="Q764" s="3267"/>
      <c r="R764" s="3267"/>
      <c r="S764" s="3267"/>
      <c r="T764" s="3267"/>
      <c r="U764" s="5398"/>
      <c r="V764" s="5398"/>
      <c r="W764" s="5398"/>
      <c r="X764" s="5398"/>
      <c r="Y764" s="3267"/>
      <c r="Z764" s="3267"/>
      <c r="AA764" s="5398"/>
      <c r="AB764" s="5398"/>
      <c r="AC764" s="2682"/>
      <c r="AD764" s="3289"/>
      <c r="AE764" s="2628"/>
      <c r="AF764" s="2629"/>
      <c r="AG764" s="2628"/>
      <c r="AH764" s="2629"/>
      <c r="AI764" s="2628"/>
      <c r="AJ764" s="2629"/>
      <c r="AK764" s="2671">
        <f t="shared" si="221"/>
        <v>0</v>
      </c>
      <c r="AL764" s="3464"/>
      <c r="AM764" s="3448"/>
      <c r="AN764" s="3448"/>
      <c r="AO764" s="3448"/>
      <c r="AP764" s="3448"/>
      <c r="AQ764" s="3448"/>
      <c r="AR764" s="3458" t="e">
        <f t="shared" si="222"/>
        <v>#DIV/0!</v>
      </c>
      <c r="AS764" s="1446"/>
    </row>
    <row r="765" spans="1:45" s="1444" customFormat="1" ht="21.95" customHeight="1">
      <c r="A765" s="3267"/>
      <c r="B765" s="5478"/>
      <c r="C765" s="5478"/>
      <c r="D765" s="5478"/>
      <c r="E765" s="5478"/>
      <c r="F765" s="5478"/>
      <c r="G765" s="5478"/>
      <c r="H765" s="3267"/>
      <c r="I765" s="3267"/>
      <c r="J765" s="3267"/>
      <c r="K765" s="3267"/>
      <c r="L765" s="5398"/>
      <c r="M765" s="5398"/>
      <c r="N765" s="5398"/>
      <c r="O765" s="5398"/>
      <c r="P765" s="3267"/>
      <c r="Q765" s="3267"/>
      <c r="R765" s="3267"/>
      <c r="S765" s="3267"/>
      <c r="T765" s="3267"/>
      <c r="U765" s="5398"/>
      <c r="V765" s="5398"/>
      <c r="W765" s="5398"/>
      <c r="X765" s="5398"/>
      <c r="Y765" s="3267"/>
      <c r="Z765" s="3267"/>
      <c r="AA765" s="5398"/>
      <c r="AB765" s="5398"/>
      <c r="AC765" s="2682"/>
      <c r="AD765" s="3289"/>
      <c r="AE765" s="2628"/>
      <c r="AF765" s="2629"/>
      <c r="AG765" s="2628"/>
      <c r="AH765" s="2629"/>
      <c r="AI765" s="2628"/>
      <c r="AJ765" s="2629"/>
      <c r="AK765" s="2671">
        <f t="shared" si="221"/>
        <v>0</v>
      </c>
      <c r="AL765" s="3464"/>
      <c r="AM765" s="3448"/>
      <c r="AN765" s="3448"/>
      <c r="AO765" s="3448"/>
      <c r="AP765" s="3448"/>
      <c r="AQ765" s="3448"/>
      <c r="AR765" s="3458" t="e">
        <f t="shared" si="222"/>
        <v>#DIV/0!</v>
      </c>
      <c r="AS765" s="1446"/>
    </row>
    <row r="766" spans="1:45" s="1444" customFormat="1" ht="21.95" customHeight="1">
      <c r="A766" s="3267"/>
      <c r="B766" s="5478"/>
      <c r="C766" s="5478"/>
      <c r="D766" s="5478"/>
      <c r="E766" s="5478"/>
      <c r="F766" s="5478"/>
      <c r="G766" s="5478"/>
      <c r="H766" s="3267"/>
      <c r="I766" s="3267"/>
      <c r="J766" s="3267"/>
      <c r="K766" s="3267"/>
      <c r="L766" s="5398"/>
      <c r="M766" s="5398"/>
      <c r="N766" s="5398"/>
      <c r="O766" s="5398"/>
      <c r="P766" s="3267"/>
      <c r="Q766" s="3267"/>
      <c r="R766" s="3267"/>
      <c r="S766" s="3267"/>
      <c r="T766" s="3267"/>
      <c r="U766" s="5398"/>
      <c r="V766" s="5398"/>
      <c r="W766" s="5398"/>
      <c r="X766" s="5398"/>
      <c r="Y766" s="3267"/>
      <c r="Z766" s="3267"/>
      <c r="AA766" s="5398"/>
      <c r="AB766" s="5398"/>
      <c r="AC766" s="2682"/>
      <c r="AD766" s="3289"/>
      <c r="AE766" s="2628"/>
      <c r="AF766" s="2629"/>
      <c r="AG766" s="2628"/>
      <c r="AH766" s="2629"/>
      <c r="AI766" s="2628"/>
      <c r="AJ766" s="2629"/>
      <c r="AK766" s="2671">
        <f t="shared" si="221"/>
        <v>0</v>
      </c>
      <c r="AL766" s="3464"/>
      <c r="AM766" s="3448"/>
      <c r="AN766" s="3448"/>
      <c r="AO766" s="3448"/>
      <c r="AP766" s="3448"/>
      <c r="AQ766" s="3448"/>
      <c r="AR766" s="3458" t="e">
        <f t="shared" si="222"/>
        <v>#DIV/0!</v>
      </c>
      <c r="AS766" s="1446"/>
    </row>
    <row r="767" spans="1:45" s="1444" customFormat="1" ht="21.95" customHeight="1">
      <c r="A767" s="3267"/>
      <c r="B767" s="5478"/>
      <c r="C767" s="5478"/>
      <c r="D767" s="5478"/>
      <c r="E767" s="5478"/>
      <c r="F767" s="5478"/>
      <c r="G767" s="5478"/>
      <c r="H767" s="3267"/>
      <c r="I767" s="3267"/>
      <c r="J767" s="3267"/>
      <c r="K767" s="3267"/>
      <c r="L767" s="5398"/>
      <c r="M767" s="5398"/>
      <c r="N767" s="5398"/>
      <c r="O767" s="5398"/>
      <c r="P767" s="3267"/>
      <c r="Q767" s="3267"/>
      <c r="R767" s="3267"/>
      <c r="S767" s="3267"/>
      <c r="T767" s="3267"/>
      <c r="U767" s="5398"/>
      <c r="V767" s="5398"/>
      <c r="W767" s="5398"/>
      <c r="X767" s="5398"/>
      <c r="Y767" s="3267"/>
      <c r="Z767" s="3267"/>
      <c r="AA767" s="5398"/>
      <c r="AB767" s="5398"/>
      <c r="AC767" s="2682"/>
      <c r="AD767" s="3289"/>
      <c r="AE767" s="2628"/>
      <c r="AF767" s="2629"/>
      <c r="AG767" s="2628"/>
      <c r="AH767" s="2629"/>
      <c r="AI767" s="2628"/>
      <c r="AJ767" s="2629"/>
      <c r="AK767" s="2671">
        <f t="shared" si="221"/>
        <v>0</v>
      </c>
      <c r="AL767" s="3464"/>
      <c r="AM767" s="3448"/>
      <c r="AN767" s="3448"/>
      <c r="AO767" s="3448"/>
      <c r="AP767" s="3448"/>
      <c r="AQ767" s="3448"/>
      <c r="AR767" s="3458" t="e">
        <f t="shared" si="222"/>
        <v>#DIV/0!</v>
      </c>
      <c r="AS767" s="1446"/>
    </row>
    <row r="768" spans="1:45" s="1444" customFormat="1" ht="21.95" customHeight="1">
      <c r="A768" s="3267"/>
      <c r="B768" s="5478"/>
      <c r="C768" s="5478"/>
      <c r="D768" s="5478"/>
      <c r="E768" s="5478"/>
      <c r="F768" s="5478"/>
      <c r="G768" s="5478"/>
      <c r="H768" s="3267"/>
      <c r="I768" s="3267"/>
      <c r="J768" s="3267"/>
      <c r="K768" s="3267"/>
      <c r="L768" s="5398"/>
      <c r="M768" s="5398"/>
      <c r="N768" s="5398"/>
      <c r="O768" s="5398"/>
      <c r="P768" s="3267"/>
      <c r="Q768" s="3267"/>
      <c r="R768" s="3267"/>
      <c r="S768" s="3267"/>
      <c r="T768" s="3267"/>
      <c r="U768" s="5398"/>
      <c r="V768" s="5398"/>
      <c r="W768" s="5398"/>
      <c r="X768" s="5398"/>
      <c r="Y768" s="3267"/>
      <c r="Z768" s="3267"/>
      <c r="AA768" s="5398"/>
      <c r="AB768" s="5398"/>
      <c r="AC768" s="2682"/>
      <c r="AD768" s="3289"/>
      <c r="AE768" s="2628"/>
      <c r="AF768" s="2629"/>
      <c r="AG768" s="2628"/>
      <c r="AH768" s="2629"/>
      <c r="AI768" s="2628"/>
      <c r="AJ768" s="2629"/>
      <c r="AK768" s="2671">
        <f t="shared" si="221"/>
        <v>0</v>
      </c>
      <c r="AL768" s="3464"/>
      <c r="AM768" s="3448"/>
      <c r="AN768" s="3448"/>
      <c r="AO768" s="3448"/>
      <c r="AP768" s="3448"/>
      <c r="AQ768" s="3448"/>
      <c r="AR768" s="3458" t="e">
        <f t="shared" si="222"/>
        <v>#DIV/0!</v>
      </c>
      <c r="AS768" s="1446"/>
    </row>
    <row r="769" spans="1:45" s="1444" customFormat="1" ht="21.95" customHeight="1">
      <c r="A769" s="3267"/>
      <c r="B769" s="5478"/>
      <c r="C769" s="5478"/>
      <c r="D769" s="5478"/>
      <c r="E769" s="5478"/>
      <c r="F769" s="5478"/>
      <c r="G769" s="5478"/>
      <c r="H769" s="3267"/>
      <c r="I769" s="3267"/>
      <c r="J769" s="3267"/>
      <c r="K769" s="3267"/>
      <c r="L769" s="5398"/>
      <c r="M769" s="5398"/>
      <c r="N769" s="5398"/>
      <c r="O769" s="5398"/>
      <c r="P769" s="3267"/>
      <c r="Q769" s="3267"/>
      <c r="R769" s="3267"/>
      <c r="S769" s="3267"/>
      <c r="T769" s="3267"/>
      <c r="U769" s="5398"/>
      <c r="V769" s="5398"/>
      <c r="W769" s="5398"/>
      <c r="X769" s="5398"/>
      <c r="Y769" s="3267"/>
      <c r="Z769" s="3267"/>
      <c r="AA769" s="5398"/>
      <c r="AB769" s="5398"/>
      <c r="AC769" s="2682"/>
      <c r="AD769" s="3289"/>
      <c r="AE769" s="2628"/>
      <c r="AF769" s="2629"/>
      <c r="AG769" s="2628"/>
      <c r="AH769" s="2629"/>
      <c r="AI769" s="2628"/>
      <c r="AJ769" s="2629"/>
      <c r="AK769" s="2671">
        <f t="shared" si="221"/>
        <v>0</v>
      </c>
      <c r="AL769" s="3464"/>
      <c r="AM769" s="3448"/>
      <c r="AN769" s="3448"/>
      <c r="AO769" s="3448"/>
      <c r="AP769" s="3448"/>
      <c r="AQ769" s="3448"/>
      <c r="AR769" s="3458" t="e">
        <f t="shared" si="222"/>
        <v>#DIV/0!</v>
      </c>
      <c r="AS769" s="1446"/>
    </row>
    <row r="770" spans="1:45" s="1444" customFormat="1" ht="21.95" customHeight="1">
      <c r="A770" s="3267"/>
      <c r="B770" s="5478"/>
      <c r="C770" s="5478"/>
      <c r="D770" s="5478"/>
      <c r="E770" s="5478"/>
      <c r="F770" s="5478"/>
      <c r="G770" s="5478"/>
      <c r="H770" s="3267"/>
      <c r="I770" s="3267"/>
      <c r="J770" s="3267"/>
      <c r="K770" s="3267"/>
      <c r="L770" s="5398"/>
      <c r="M770" s="5398"/>
      <c r="N770" s="5398"/>
      <c r="O770" s="5398"/>
      <c r="P770" s="3267"/>
      <c r="Q770" s="3267"/>
      <c r="R770" s="3267"/>
      <c r="S770" s="3267"/>
      <c r="T770" s="3267"/>
      <c r="U770" s="5398"/>
      <c r="V770" s="5398"/>
      <c r="W770" s="5398"/>
      <c r="X770" s="5398"/>
      <c r="Y770" s="3267"/>
      <c r="Z770" s="3267"/>
      <c r="AA770" s="5398"/>
      <c r="AB770" s="5398"/>
      <c r="AC770" s="2682"/>
      <c r="AD770" s="3289"/>
      <c r="AE770" s="2628"/>
      <c r="AF770" s="2629"/>
      <c r="AG770" s="2628"/>
      <c r="AH770" s="2629"/>
      <c r="AI770" s="2628"/>
      <c r="AJ770" s="2629"/>
      <c r="AK770" s="2671">
        <f t="shared" si="221"/>
        <v>0</v>
      </c>
      <c r="AL770" s="3464"/>
      <c r="AM770" s="3448"/>
      <c r="AN770" s="3448"/>
      <c r="AO770" s="3448"/>
      <c r="AP770" s="3448"/>
      <c r="AQ770" s="3448"/>
      <c r="AR770" s="3458" t="e">
        <f t="shared" si="222"/>
        <v>#DIV/0!</v>
      </c>
      <c r="AS770" s="1446"/>
    </row>
    <row r="771" spans="1:45" s="1444" customFormat="1" ht="21.95" customHeight="1">
      <c r="A771" s="3267"/>
      <c r="B771" s="5478"/>
      <c r="C771" s="5478"/>
      <c r="D771" s="5478"/>
      <c r="E771" s="5478"/>
      <c r="F771" s="5478"/>
      <c r="G771" s="5478"/>
      <c r="H771" s="3267"/>
      <c r="I771" s="3267"/>
      <c r="J771" s="3267"/>
      <c r="K771" s="3267"/>
      <c r="L771" s="5398"/>
      <c r="M771" s="5398"/>
      <c r="N771" s="5398"/>
      <c r="O771" s="5398"/>
      <c r="P771" s="3267"/>
      <c r="Q771" s="3267"/>
      <c r="R771" s="3267"/>
      <c r="S771" s="3267"/>
      <c r="T771" s="3267"/>
      <c r="U771" s="5398"/>
      <c r="V771" s="5398"/>
      <c r="W771" s="5398"/>
      <c r="X771" s="5398"/>
      <c r="Y771" s="3267"/>
      <c r="Z771" s="3267"/>
      <c r="AA771" s="5398"/>
      <c r="AB771" s="5398"/>
      <c r="AC771" s="2682"/>
      <c r="AD771" s="3289"/>
      <c r="AE771" s="2628"/>
      <c r="AF771" s="2629"/>
      <c r="AG771" s="2628"/>
      <c r="AH771" s="2629"/>
      <c r="AI771" s="2628"/>
      <c r="AJ771" s="2629"/>
      <c r="AK771" s="2671">
        <f t="shared" si="221"/>
        <v>0</v>
      </c>
      <c r="AL771" s="3464"/>
      <c r="AM771" s="3448"/>
      <c r="AN771" s="3448"/>
      <c r="AO771" s="3448"/>
      <c r="AP771" s="3448"/>
      <c r="AQ771" s="3448"/>
      <c r="AR771" s="3458" t="e">
        <f t="shared" ref="AR771:AR783" si="223">SUM(AM771:AQ771)/AS771</f>
        <v>#DIV/0!</v>
      </c>
      <c r="AS771" s="1446"/>
    </row>
    <row r="772" spans="1:45" s="1444" customFormat="1" ht="21.95" customHeight="1">
      <c r="A772" s="3267"/>
      <c r="B772" s="5478"/>
      <c r="C772" s="5478"/>
      <c r="D772" s="5478"/>
      <c r="E772" s="5478"/>
      <c r="F772" s="5478"/>
      <c r="G772" s="5478"/>
      <c r="H772" s="3267"/>
      <c r="I772" s="3267"/>
      <c r="J772" s="3267"/>
      <c r="K772" s="3267"/>
      <c r="L772" s="5398"/>
      <c r="M772" s="5398"/>
      <c r="N772" s="5398"/>
      <c r="O772" s="5398"/>
      <c r="P772" s="3267"/>
      <c r="Q772" s="3267"/>
      <c r="R772" s="3267"/>
      <c r="S772" s="3267"/>
      <c r="T772" s="3267"/>
      <c r="U772" s="5398"/>
      <c r="V772" s="5398"/>
      <c r="W772" s="5398"/>
      <c r="X772" s="5398"/>
      <c r="Y772" s="3267"/>
      <c r="Z772" s="3267"/>
      <c r="AA772" s="5398"/>
      <c r="AB772" s="5398"/>
      <c r="AC772" s="2682"/>
      <c r="AD772" s="3289"/>
      <c r="AE772" s="2628"/>
      <c r="AF772" s="2629"/>
      <c r="AG772" s="2628"/>
      <c r="AH772" s="2629"/>
      <c r="AI772" s="2628"/>
      <c r="AJ772" s="2629"/>
      <c r="AK772" s="2671">
        <f t="shared" si="221"/>
        <v>0</v>
      </c>
      <c r="AL772" s="3464"/>
      <c r="AM772" s="3448"/>
      <c r="AN772" s="3448"/>
      <c r="AO772" s="3448"/>
      <c r="AP772" s="3448"/>
      <c r="AQ772" s="3448"/>
      <c r="AR772" s="3458" t="e">
        <f t="shared" si="223"/>
        <v>#DIV/0!</v>
      </c>
      <c r="AS772" s="1446"/>
    </row>
    <row r="773" spans="1:45" s="1444" customFormat="1" ht="21.95" customHeight="1">
      <c r="A773" s="3267"/>
      <c r="B773" s="5478"/>
      <c r="C773" s="5478"/>
      <c r="D773" s="5478"/>
      <c r="E773" s="5478"/>
      <c r="F773" s="5478"/>
      <c r="G773" s="5478"/>
      <c r="H773" s="3267"/>
      <c r="I773" s="3267"/>
      <c r="J773" s="3267"/>
      <c r="K773" s="3267"/>
      <c r="L773" s="5398"/>
      <c r="M773" s="5398"/>
      <c r="N773" s="5398"/>
      <c r="O773" s="5398"/>
      <c r="P773" s="3267"/>
      <c r="Q773" s="3267"/>
      <c r="R773" s="3267"/>
      <c r="S773" s="3267"/>
      <c r="T773" s="3267"/>
      <c r="U773" s="5398"/>
      <c r="V773" s="5398"/>
      <c r="W773" s="5398"/>
      <c r="X773" s="5398"/>
      <c r="Y773" s="3267"/>
      <c r="Z773" s="3267"/>
      <c r="AA773" s="5398"/>
      <c r="AB773" s="5398"/>
      <c r="AC773" s="2682"/>
      <c r="AD773" s="3289"/>
      <c r="AE773" s="2628"/>
      <c r="AF773" s="2629"/>
      <c r="AG773" s="2628"/>
      <c r="AH773" s="2629"/>
      <c r="AI773" s="2628"/>
      <c r="AJ773" s="2629"/>
      <c r="AK773" s="2671">
        <f t="shared" si="221"/>
        <v>0</v>
      </c>
      <c r="AL773" s="3464"/>
      <c r="AM773" s="3448"/>
      <c r="AN773" s="3448"/>
      <c r="AO773" s="3448"/>
      <c r="AP773" s="3448"/>
      <c r="AQ773" s="3448"/>
      <c r="AR773" s="3458" t="e">
        <f t="shared" si="223"/>
        <v>#DIV/0!</v>
      </c>
      <c r="AS773" s="1446"/>
    </row>
    <row r="774" spans="1:45" s="1444" customFormat="1" ht="21.95" customHeight="1">
      <c r="A774" s="3267"/>
      <c r="B774" s="5478"/>
      <c r="C774" s="5478"/>
      <c r="D774" s="5478"/>
      <c r="E774" s="5478"/>
      <c r="F774" s="5478"/>
      <c r="G774" s="5478"/>
      <c r="H774" s="3267"/>
      <c r="I774" s="3267"/>
      <c r="J774" s="3267"/>
      <c r="K774" s="3267"/>
      <c r="L774" s="5398"/>
      <c r="M774" s="5398"/>
      <c r="N774" s="5398"/>
      <c r="O774" s="5398"/>
      <c r="P774" s="3267"/>
      <c r="Q774" s="3267"/>
      <c r="R774" s="3267"/>
      <c r="S774" s="3267"/>
      <c r="T774" s="3267"/>
      <c r="U774" s="5398"/>
      <c r="V774" s="5398"/>
      <c r="W774" s="5398"/>
      <c r="X774" s="5398"/>
      <c r="Y774" s="3267"/>
      <c r="Z774" s="3267"/>
      <c r="AA774" s="5398"/>
      <c r="AB774" s="5398"/>
      <c r="AC774" s="2682"/>
      <c r="AD774" s="3289"/>
      <c r="AE774" s="2628"/>
      <c r="AF774" s="2629"/>
      <c r="AG774" s="2628"/>
      <c r="AH774" s="2629"/>
      <c r="AI774" s="2628"/>
      <c r="AJ774" s="2629"/>
      <c r="AK774" s="2671">
        <f t="shared" si="221"/>
        <v>0</v>
      </c>
      <c r="AL774" s="3464"/>
      <c r="AM774" s="3448"/>
      <c r="AN774" s="3448"/>
      <c r="AO774" s="3448"/>
      <c r="AP774" s="3448"/>
      <c r="AQ774" s="3448"/>
      <c r="AR774" s="3458" t="e">
        <f t="shared" si="223"/>
        <v>#DIV/0!</v>
      </c>
      <c r="AS774" s="1446"/>
    </row>
    <row r="775" spans="1:45" s="1444" customFormat="1" ht="21.95" customHeight="1">
      <c r="A775" s="3267"/>
      <c r="B775" s="5478"/>
      <c r="C775" s="5478"/>
      <c r="D775" s="5478"/>
      <c r="E775" s="5478"/>
      <c r="F775" s="5478"/>
      <c r="G775" s="5478"/>
      <c r="H775" s="3267"/>
      <c r="I775" s="3267"/>
      <c r="J775" s="3267"/>
      <c r="K775" s="3267"/>
      <c r="L775" s="5398"/>
      <c r="M775" s="5398"/>
      <c r="N775" s="5398"/>
      <c r="O775" s="5398"/>
      <c r="P775" s="3267"/>
      <c r="Q775" s="3267"/>
      <c r="R775" s="3267"/>
      <c r="S775" s="3267"/>
      <c r="T775" s="3267"/>
      <c r="U775" s="5398"/>
      <c r="V775" s="5398"/>
      <c r="W775" s="5398"/>
      <c r="X775" s="5398"/>
      <c r="Y775" s="3267"/>
      <c r="Z775" s="3267"/>
      <c r="AA775" s="5398"/>
      <c r="AB775" s="5398"/>
      <c r="AC775" s="2682"/>
      <c r="AD775" s="3289"/>
      <c r="AE775" s="2628"/>
      <c r="AF775" s="2629"/>
      <c r="AG775" s="2628"/>
      <c r="AH775" s="2629"/>
      <c r="AI775" s="2628"/>
      <c r="AJ775" s="2629"/>
      <c r="AK775" s="2671">
        <f t="shared" ref="AK775:AK783" si="224">SUM(AC775:AD775)</f>
        <v>0</v>
      </c>
      <c r="AL775" s="3464"/>
      <c r="AM775" s="3448"/>
      <c r="AN775" s="3448"/>
      <c r="AO775" s="3448"/>
      <c r="AP775" s="3448"/>
      <c r="AQ775" s="3448"/>
      <c r="AR775" s="3458" t="e">
        <f t="shared" si="223"/>
        <v>#DIV/0!</v>
      </c>
      <c r="AS775" s="1446"/>
    </row>
    <row r="776" spans="1:45" s="1444" customFormat="1" ht="21.95" customHeight="1">
      <c r="A776" s="3267"/>
      <c r="B776" s="5478"/>
      <c r="C776" s="5478"/>
      <c r="D776" s="5478"/>
      <c r="E776" s="5478"/>
      <c r="F776" s="5478"/>
      <c r="G776" s="5478"/>
      <c r="H776" s="3267"/>
      <c r="I776" s="3267"/>
      <c r="J776" s="3267"/>
      <c r="K776" s="3267"/>
      <c r="L776" s="5398"/>
      <c r="M776" s="5398"/>
      <c r="N776" s="5398"/>
      <c r="O776" s="5398"/>
      <c r="P776" s="3267"/>
      <c r="Q776" s="3267"/>
      <c r="R776" s="3267"/>
      <c r="S776" s="3267"/>
      <c r="T776" s="3267"/>
      <c r="U776" s="5398"/>
      <c r="V776" s="5398"/>
      <c r="W776" s="5398"/>
      <c r="X776" s="5398"/>
      <c r="Y776" s="3267"/>
      <c r="Z776" s="3267"/>
      <c r="AA776" s="5398"/>
      <c r="AB776" s="5398"/>
      <c r="AC776" s="2682"/>
      <c r="AD776" s="3289"/>
      <c r="AE776" s="2628"/>
      <c r="AF776" s="2629"/>
      <c r="AG776" s="2628"/>
      <c r="AH776" s="2629"/>
      <c r="AI776" s="2628"/>
      <c r="AJ776" s="2629"/>
      <c r="AK776" s="2671">
        <f t="shared" si="224"/>
        <v>0</v>
      </c>
      <c r="AL776" s="3464"/>
      <c r="AM776" s="3448"/>
      <c r="AN776" s="3448"/>
      <c r="AO776" s="3448"/>
      <c r="AP776" s="3448"/>
      <c r="AQ776" s="3448"/>
      <c r="AR776" s="3458" t="e">
        <f t="shared" si="223"/>
        <v>#DIV/0!</v>
      </c>
      <c r="AS776" s="1446"/>
    </row>
    <row r="777" spans="1:45" s="1444" customFormat="1" ht="21.95" customHeight="1">
      <c r="A777" s="3267"/>
      <c r="B777" s="5478"/>
      <c r="C777" s="5478"/>
      <c r="D777" s="5478"/>
      <c r="E777" s="5478"/>
      <c r="F777" s="5478"/>
      <c r="G777" s="5478"/>
      <c r="H777" s="3267"/>
      <c r="I777" s="3267"/>
      <c r="J777" s="3267"/>
      <c r="K777" s="3267"/>
      <c r="L777" s="5398"/>
      <c r="M777" s="5398"/>
      <c r="N777" s="5398"/>
      <c r="O777" s="5398"/>
      <c r="P777" s="3267"/>
      <c r="Q777" s="3267"/>
      <c r="R777" s="3267"/>
      <c r="S777" s="3267"/>
      <c r="T777" s="3267"/>
      <c r="U777" s="5398"/>
      <c r="V777" s="5398"/>
      <c r="W777" s="5398"/>
      <c r="X777" s="5398"/>
      <c r="Y777" s="3267"/>
      <c r="Z777" s="3267"/>
      <c r="AA777" s="5398"/>
      <c r="AB777" s="5398"/>
      <c r="AC777" s="2682"/>
      <c r="AD777" s="3289"/>
      <c r="AE777" s="2628"/>
      <c r="AF777" s="2629"/>
      <c r="AG777" s="2628"/>
      <c r="AH777" s="2629"/>
      <c r="AI777" s="2628"/>
      <c r="AJ777" s="2629"/>
      <c r="AK777" s="2671">
        <f t="shared" si="224"/>
        <v>0</v>
      </c>
      <c r="AL777" s="3464"/>
      <c r="AM777" s="3448"/>
      <c r="AN777" s="3448"/>
      <c r="AO777" s="3448"/>
      <c r="AP777" s="3448"/>
      <c r="AQ777" s="3448"/>
      <c r="AR777" s="3458" t="e">
        <f t="shared" si="223"/>
        <v>#DIV/0!</v>
      </c>
      <c r="AS777" s="1446"/>
    </row>
    <row r="778" spans="1:45" s="1444" customFormat="1" ht="21.95" customHeight="1">
      <c r="A778" s="3267"/>
      <c r="B778" s="5478"/>
      <c r="C778" s="5478"/>
      <c r="D778" s="5478"/>
      <c r="E778" s="5478"/>
      <c r="F778" s="5478"/>
      <c r="G778" s="5478"/>
      <c r="H778" s="3267"/>
      <c r="I778" s="3267"/>
      <c r="J778" s="3267"/>
      <c r="K778" s="3267"/>
      <c r="L778" s="5398"/>
      <c r="M778" s="5398"/>
      <c r="N778" s="5398"/>
      <c r="O778" s="5398"/>
      <c r="P778" s="3267"/>
      <c r="Q778" s="3267"/>
      <c r="R778" s="3267"/>
      <c r="S778" s="3267"/>
      <c r="T778" s="3267"/>
      <c r="U778" s="5398"/>
      <c r="V778" s="5398"/>
      <c r="W778" s="5398"/>
      <c r="X778" s="5398"/>
      <c r="Y778" s="3267"/>
      <c r="Z778" s="3267"/>
      <c r="AA778" s="5398"/>
      <c r="AB778" s="5398"/>
      <c r="AC778" s="2682"/>
      <c r="AD778" s="3289"/>
      <c r="AE778" s="2628"/>
      <c r="AF778" s="2629"/>
      <c r="AG778" s="2628"/>
      <c r="AH778" s="2629"/>
      <c r="AI778" s="2628"/>
      <c r="AJ778" s="2629"/>
      <c r="AK778" s="2671">
        <f t="shared" si="224"/>
        <v>0</v>
      </c>
      <c r="AL778" s="3464"/>
      <c r="AM778" s="3448"/>
      <c r="AN778" s="3448"/>
      <c r="AO778" s="3448"/>
      <c r="AP778" s="3448"/>
      <c r="AQ778" s="3448"/>
      <c r="AR778" s="3458" t="e">
        <f t="shared" si="223"/>
        <v>#DIV/0!</v>
      </c>
      <c r="AS778" s="1446"/>
    </row>
    <row r="779" spans="1:45" s="1444" customFormat="1" ht="21.95" customHeight="1">
      <c r="A779" s="3267"/>
      <c r="B779" s="5478"/>
      <c r="C779" s="5478"/>
      <c r="D779" s="5478"/>
      <c r="E779" s="5478"/>
      <c r="F779" s="5478"/>
      <c r="G779" s="5478"/>
      <c r="H779" s="3267"/>
      <c r="I779" s="3267"/>
      <c r="J779" s="3267"/>
      <c r="K779" s="3267"/>
      <c r="L779" s="5398"/>
      <c r="M779" s="5398"/>
      <c r="N779" s="5398"/>
      <c r="O779" s="5398"/>
      <c r="P779" s="3267"/>
      <c r="Q779" s="3267"/>
      <c r="R779" s="3267"/>
      <c r="S779" s="3267"/>
      <c r="T779" s="3267"/>
      <c r="U779" s="5398"/>
      <c r="V779" s="5398"/>
      <c r="W779" s="5398"/>
      <c r="X779" s="5398"/>
      <c r="Y779" s="3267"/>
      <c r="Z779" s="3267"/>
      <c r="AA779" s="5398"/>
      <c r="AB779" s="5398"/>
      <c r="AC779" s="2682"/>
      <c r="AD779" s="3289"/>
      <c r="AE779" s="2628"/>
      <c r="AF779" s="2629"/>
      <c r="AG779" s="2628"/>
      <c r="AH779" s="2629"/>
      <c r="AI779" s="2628"/>
      <c r="AJ779" s="2629"/>
      <c r="AK779" s="2671">
        <f t="shared" si="224"/>
        <v>0</v>
      </c>
      <c r="AL779" s="3464"/>
      <c r="AM779" s="3448"/>
      <c r="AN779" s="3448"/>
      <c r="AO779" s="3448"/>
      <c r="AP779" s="3448"/>
      <c r="AQ779" s="3448"/>
      <c r="AR779" s="3458" t="e">
        <f t="shared" si="223"/>
        <v>#DIV/0!</v>
      </c>
      <c r="AS779" s="1446"/>
    </row>
    <row r="780" spans="1:45" s="1444" customFormat="1" ht="21.95" customHeight="1">
      <c r="A780" s="3267"/>
      <c r="B780" s="5478"/>
      <c r="C780" s="5478"/>
      <c r="D780" s="5478"/>
      <c r="E780" s="5478"/>
      <c r="F780" s="5478"/>
      <c r="G780" s="5478"/>
      <c r="H780" s="3267"/>
      <c r="I780" s="3267"/>
      <c r="J780" s="3267"/>
      <c r="K780" s="3267"/>
      <c r="L780" s="5398"/>
      <c r="M780" s="5398"/>
      <c r="N780" s="5398"/>
      <c r="O780" s="5398"/>
      <c r="P780" s="3267"/>
      <c r="Q780" s="3267"/>
      <c r="R780" s="3267"/>
      <c r="S780" s="3267"/>
      <c r="T780" s="3267"/>
      <c r="U780" s="5398"/>
      <c r="V780" s="5398"/>
      <c r="W780" s="5398"/>
      <c r="X780" s="5398"/>
      <c r="Y780" s="3267"/>
      <c r="Z780" s="3267"/>
      <c r="AA780" s="5398"/>
      <c r="AB780" s="5398"/>
      <c r="AC780" s="2682"/>
      <c r="AD780" s="3289"/>
      <c r="AE780" s="2628"/>
      <c r="AF780" s="2629"/>
      <c r="AG780" s="2628"/>
      <c r="AH780" s="2629"/>
      <c r="AI780" s="2628"/>
      <c r="AJ780" s="2629"/>
      <c r="AK780" s="2671">
        <f t="shared" si="224"/>
        <v>0</v>
      </c>
      <c r="AL780" s="3464"/>
      <c r="AM780" s="3448"/>
      <c r="AN780" s="3448"/>
      <c r="AO780" s="3448"/>
      <c r="AP780" s="3448"/>
      <c r="AQ780" s="3448"/>
      <c r="AR780" s="3458" t="e">
        <f t="shared" si="223"/>
        <v>#DIV/0!</v>
      </c>
      <c r="AS780" s="1446"/>
    </row>
    <row r="781" spans="1:45" s="1444" customFormat="1" ht="21.95" customHeight="1">
      <c r="A781" s="3267"/>
      <c r="B781" s="5478"/>
      <c r="C781" s="5478"/>
      <c r="D781" s="5478"/>
      <c r="E781" s="5478"/>
      <c r="F781" s="5478"/>
      <c r="G781" s="5478"/>
      <c r="H781" s="3267"/>
      <c r="I781" s="3267"/>
      <c r="J781" s="3267"/>
      <c r="K781" s="3267"/>
      <c r="L781" s="5398"/>
      <c r="M781" s="5398"/>
      <c r="N781" s="5398"/>
      <c r="O781" s="5398"/>
      <c r="P781" s="3267"/>
      <c r="Q781" s="3267"/>
      <c r="R781" s="3267"/>
      <c r="S781" s="3267"/>
      <c r="T781" s="3267"/>
      <c r="U781" s="5398"/>
      <c r="V781" s="5398"/>
      <c r="W781" s="5398"/>
      <c r="X781" s="5398"/>
      <c r="Y781" s="3267"/>
      <c r="Z781" s="3267"/>
      <c r="AA781" s="5398"/>
      <c r="AB781" s="5398"/>
      <c r="AC781" s="2682"/>
      <c r="AD781" s="3289"/>
      <c r="AE781" s="2628"/>
      <c r="AF781" s="2629"/>
      <c r="AG781" s="2628"/>
      <c r="AH781" s="2629"/>
      <c r="AI781" s="2628"/>
      <c r="AJ781" s="2629"/>
      <c r="AK781" s="2671">
        <f t="shared" si="224"/>
        <v>0</v>
      </c>
      <c r="AL781" s="3464"/>
      <c r="AM781" s="3448"/>
      <c r="AN781" s="3448"/>
      <c r="AO781" s="3448"/>
      <c r="AP781" s="3448"/>
      <c r="AQ781" s="3448"/>
      <c r="AR781" s="3458" t="e">
        <f t="shared" si="223"/>
        <v>#DIV/0!</v>
      </c>
      <c r="AS781" s="1446"/>
    </row>
    <row r="782" spans="1:45" s="1444" customFormat="1" ht="21.95" customHeight="1">
      <c r="A782" s="3267"/>
      <c r="B782" s="5478"/>
      <c r="C782" s="5478"/>
      <c r="D782" s="5478"/>
      <c r="E782" s="5478"/>
      <c r="F782" s="5478"/>
      <c r="G782" s="5478"/>
      <c r="H782" s="3267"/>
      <c r="I782" s="3267"/>
      <c r="J782" s="3267"/>
      <c r="K782" s="3267"/>
      <c r="L782" s="5398"/>
      <c r="M782" s="5398"/>
      <c r="N782" s="5398"/>
      <c r="O782" s="5398"/>
      <c r="P782" s="3267"/>
      <c r="Q782" s="3267"/>
      <c r="R782" s="3267"/>
      <c r="S782" s="3267"/>
      <c r="T782" s="3267"/>
      <c r="U782" s="5398"/>
      <c r="V782" s="5398"/>
      <c r="W782" s="5398"/>
      <c r="X782" s="5398"/>
      <c r="Y782" s="3267"/>
      <c r="Z782" s="3267"/>
      <c r="AA782" s="5398"/>
      <c r="AB782" s="5398"/>
      <c r="AC782" s="2682"/>
      <c r="AD782" s="3289"/>
      <c r="AE782" s="2628"/>
      <c r="AF782" s="2629"/>
      <c r="AG782" s="2628"/>
      <c r="AH782" s="2629"/>
      <c r="AI782" s="2628"/>
      <c r="AJ782" s="2629"/>
      <c r="AK782" s="2672">
        <f t="shared" si="224"/>
        <v>0</v>
      </c>
      <c r="AL782" s="3464"/>
      <c r="AM782" s="3448"/>
      <c r="AN782" s="3448"/>
      <c r="AO782" s="3448"/>
      <c r="AP782" s="3448"/>
      <c r="AQ782" s="3448"/>
      <c r="AR782" s="3458" t="e">
        <f t="shared" si="223"/>
        <v>#DIV/0!</v>
      </c>
      <c r="AS782" s="1446"/>
    </row>
    <row r="783" spans="1:45" s="1444" customFormat="1" ht="21.95" customHeight="1">
      <c r="A783" s="3266"/>
      <c r="B783" s="1455" t="s">
        <v>437</v>
      </c>
      <c r="C783" s="1456"/>
      <c r="D783" s="1456"/>
      <c r="E783" s="1456"/>
      <c r="F783" s="1456"/>
      <c r="G783" s="1457"/>
      <c r="H783" s="1417">
        <f>'[8]VISITA DE INSP.'!$C$8</f>
        <v>0</v>
      </c>
      <c r="I783" s="1417"/>
      <c r="J783" s="1417"/>
      <c r="K783" s="1417"/>
      <c r="L783" s="1417"/>
      <c r="M783" s="1417"/>
      <c r="N783" s="1417"/>
      <c r="O783" s="1417"/>
      <c r="P783" s="1417"/>
      <c r="Q783" s="1417"/>
      <c r="R783" s="1417"/>
      <c r="S783" s="1417"/>
      <c r="T783" s="1417"/>
      <c r="U783" s="1417"/>
      <c r="V783" s="1417"/>
      <c r="W783" s="5477" t="s">
        <v>1232</v>
      </c>
      <c r="X783" s="5477"/>
      <c r="Y783" s="5477"/>
      <c r="Z783" s="3268">
        <f>COUNTA(Z757:Z782)</f>
        <v>0</v>
      </c>
      <c r="AA783" s="5477">
        <f>SUM(AA757:AB782)</f>
        <v>0</v>
      </c>
      <c r="AB783" s="5477"/>
      <c r="AC783" s="2687">
        <f t="shared" ref="AC783:AJ783" si="225">SUM(AC757:AC782)</f>
        <v>0</v>
      </c>
      <c r="AD783" s="2688">
        <f t="shared" si="225"/>
        <v>0</v>
      </c>
      <c r="AE783" s="2630">
        <f t="shared" si="225"/>
        <v>0</v>
      </c>
      <c r="AF783" s="2631">
        <f t="shared" si="225"/>
        <v>0</v>
      </c>
      <c r="AG783" s="2632">
        <f t="shared" si="225"/>
        <v>0</v>
      </c>
      <c r="AH783" s="2633">
        <f t="shared" si="225"/>
        <v>0</v>
      </c>
      <c r="AI783" s="2634">
        <f t="shared" si="225"/>
        <v>0</v>
      </c>
      <c r="AJ783" s="2635">
        <f t="shared" si="225"/>
        <v>0</v>
      </c>
      <c r="AK783" s="317">
        <f t="shared" si="224"/>
        <v>0</v>
      </c>
      <c r="AL783" s="3468" t="e">
        <f>SUM(AL757:AL782)/AL784</f>
        <v>#DIV/0!</v>
      </c>
      <c r="AM783" s="3467" t="e">
        <f t="shared" ref="AM783" si="226">SUM(AM757:AM782)/AM784</f>
        <v>#DIV/0!</v>
      </c>
      <c r="AN783" s="3466" t="e">
        <f t="shared" ref="AN783" si="227">SUM(AN757:AN782)/AN784</f>
        <v>#DIV/0!</v>
      </c>
      <c r="AO783" s="3466" t="e">
        <f t="shared" ref="AO783:AP783" si="228">SUM(AO757:AO782)/AO784</f>
        <v>#DIV/0!</v>
      </c>
      <c r="AP783" s="3466" t="e">
        <f t="shared" si="228"/>
        <v>#DIV/0!</v>
      </c>
      <c r="AQ783" s="3460" t="e">
        <f>SUM(AQ757:AQ782)/AQ784</f>
        <v>#DIV/0!</v>
      </c>
      <c r="AR783" s="3461" t="e">
        <f t="shared" si="223"/>
        <v>#DIV/0!</v>
      </c>
      <c r="AS783" s="1446"/>
    </row>
    <row r="784" spans="1:45" s="1446" customFormat="1" ht="21.95" customHeight="1">
      <c r="A784" s="3266"/>
      <c r="B784" s="1445">
        <f>COUNTA(B757:G782)</f>
        <v>0</v>
      </c>
      <c r="C784" s="1445"/>
      <c r="D784" s="3266"/>
      <c r="E784" s="3266"/>
      <c r="F784" s="3266"/>
      <c r="G784" s="3266"/>
      <c r="H784" s="3266">
        <f>COUNTA(H757:H782)</f>
        <v>0</v>
      </c>
      <c r="I784" s="3266">
        <f>COUNTA(I757:I782)</f>
        <v>0</v>
      </c>
      <c r="J784" s="3266"/>
      <c r="K784" s="3266"/>
      <c r="L784" s="3266"/>
      <c r="M784" s="3266"/>
      <c r="N784" s="3266"/>
      <c r="O784" s="3266">
        <f>COUNTA(N757:O782)</f>
        <v>0</v>
      </c>
      <c r="P784" s="3266"/>
      <c r="Q784" s="3266"/>
      <c r="R784" s="3266"/>
      <c r="S784" s="3266"/>
      <c r="T784" s="3266">
        <f>COUNTA(T757:T782)</f>
        <v>0</v>
      </c>
      <c r="U784" s="3266"/>
      <c r="V784" s="3266"/>
      <c r="W784" s="3266"/>
      <c r="X784" s="3266"/>
      <c r="Y784" s="3266"/>
      <c r="Z784" s="3266"/>
      <c r="AA784" s="5475">
        <f>'[8]VISITA DE INSP.'!$X$35</f>
        <v>0</v>
      </c>
      <c r="AB784" s="5476"/>
      <c r="AC784" s="5334">
        <f>AC783+AD783</f>
        <v>0</v>
      </c>
      <c r="AD784" s="5334"/>
      <c r="AE784" s="5335">
        <f>AE783+AF783</f>
        <v>0</v>
      </c>
      <c r="AF784" s="5335"/>
      <c r="AG784" s="5335">
        <f>AG783+AH783</f>
        <v>0</v>
      </c>
      <c r="AH784" s="5335"/>
      <c r="AI784" s="2636"/>
      <c r="AJ784" s="2636"/>
      <c r="AK784" s="2636">
        <f>SUM(AC784:AD784)+AE784</f>
        <v>0</v>
      </c>
      <c r="AL784" s="3462">
        <f>COUNTA(AL757:AL782)</f>
        <v>0</v>
      </c>
      <c r="AM784" s="3462">
        <f t="shared" ref="AM784:AQ784" si="229">COUNTA(AM757:AM782)</f>
        <v>0</v>
      </c>
      <c r="AN784" s="3462">
        <f t="shared" si="229"/>
        <v>0</v>
      </c>
      <c r="AO784" s="3462">
        <f t="shared" si="229"/>
        <v>0</v>
      </c>
      <c r="AP784" s="3462">
        <f t="shared" si="229"/>
        <v>0</v>
      </c>
      <c r="AQ784" s="3462">
        <f t="shared" si="229"/>
        <v>0</v>
      </c>
      <c r="AR784" s="3462">
        <v>12</v>
      </c>
    </row>
    <row r="785" spans="1:45" s="1446" customFormat="1" ht="21.95" customHeight="1">
      <c r="A785" s="3266"/>
      <c r="B785" s="1445"/>
      <c r="C785" s="1445"/>
      <c r="D785" s="3266"/>
      <c r="E785" s="3266"/>
      <c r="F785" s="3266"/>
      <c r="G785" s="3266"/>
      <c r="H785" s="3266"/>
      <c r="I785" s="3266"/>
      <c r="J785" s="3266"/>
      <c r="K785" s="3266"/>
      <c r="L785" s="3266"/>
      <c r="M785" s="3266"/>
      <c r="N785" s="3266"/>
      <c r="O785" s="3266"/>
      <c r="P785" s="3266"/>
      <c r="Q785" s="3266"/>
      <c r="R785" s="3266"/>
      <c r="S785" s="3266"/>
      <c r="T785" s="3266"/>
      <c r="U785" s="3266"/>
      <c r="V785" s="3266"/>
      <c r="W785" s="3266"/>
      <c r="X785" s="3266"/>
      <c r="Y785" s="3266"/>
      <c r="Z785" s="3266"/>
      <c r="AA785" s="1458"/>
      <c r="AB785" s="1458"/>
      <c r="AC785" s="2682"/>
      <c r="AK785" s="2636"/>
      <c r="AL785" s="3448"/>
      <c r="AM785" s="3448"/>
      <c r="AN785" s="3448"/>
      <c r="AO785" s="3448"/>
      <c r="AP785" s="3448"/>
      <c r="AQ785" s="3448"/>
    </row>
    <row r="786" spans="1:45" s="1441" customFormat="1" ht="21.95" customHeight="1">
      <c r="A786" s="1663"/>
      <c r="B786" s="1422"/>
      <c r="C786" s="1422"/>
      <c r="D786" s="1422"/>
      <c r="E786" s="1422"/>
      <c r="F786" s="1422"/>
      <c r="G786" s="1422"/>
      <c r="H786" s="1422"/>
      <c r="I786" s="1447"/>
      <c r="J786" s="1447"/>
      <c r="K786" s="1447"/>
      <c r="L786" s="1447"/>
      <c r="M786" s="1447"/>
      <c r="N786" s="1447"/>
      <c r="O786" s="1447"/>
      <c r="P786" s="1447"/>
      <c r="Q786" s="1422"/>
      <c r="R786" s="1422"/>
      <c r="S786" s="1422"/>
      <c r="T786" s="1422"/>
      <c r="U786" s="1422"/>
      <c r="V786" s="1422"/>
      <c r="W786" s="1422"/>
      <c r="X786" s="1422"/>
      <c r="Y786" s="1422"/>
      <c r="Z786" s="1422"/>
      <c r="AA786" s="1422"/>
      <c r="AB786" s="1422"/>
      <c r="AC786" s="2682"/>
      <c r="AD786" s="1444"/>
      <c r="AE786" s="1444"/>
      <c r="AF786" s="1444"/>
      <c r="AG786" s="1444"/>
      <c r="AH786" s="1444"/>
      <c r="AI786" s="1444"/>
      <c r="AJ786" s="1444"/>
      <c r="AK786" s="2636"/>
      <c r="AL786" s="3445"/>
      <c r="AM786" s="3445"/>
      <c r="AN786" s="3445"/>
      <c r="AO786" s="3445"/>
      <c r="AP786" s="3445"/>
      <c r="AQ786" s="3445"/>
      <c r="AS786" s="108"/>
    </row>
    <row r="787" spans="1:45" s="1448" customFormat="1" ht="21.95" customHeight="1">
      <c r="A787" s="108"/>
      <c r="B787" s="1427"/>
      <c r="C787" s="27"/>
      <c r="D787" s="3262" t="s">
        <v>1193</v>
      </c>
      <c r="E787" s="5388">
        <f>B757</f>
        <v>0</v>
      </c>
      <c r="F787" s="5388"/>
      <c r="G787" s="5388"/>
      <c r="H787" s="5388"/>
      <c r="I787" s="5388"/>
      <c r="J787" s="5388"/>
      <c r="K787" s="1429"/>
      <c r="L787" s="1428"/>
      <c r="M787" s="3262" t="s">
        <v>1234</v>
      </c>
      <c r="N787" s="5388" t="str">
        <f>N747</f>
        <v>RICALDE CASTRO JESUS MARTIN</v>
      </c>
      <c r="O787" s="5388"/>
      <c r="P787" s="5388"/>
      <c r="Q787" s="5388"/>
      <c r="R787" s="5388"/>
      <c r="S787" s="5388"/>
      <c r="T787" s="1429"/>
      <c r="U787" s="1429"/>
      <c r="V787" s="3262" t="s">
        <v>1195</v>
      </c>
      <c r="W787" s="5388" t="str">
        <f>W747</f>
        <v xml:space="preserve">ANCONA FLORES AURA EUGENIA </v>
      </c>
      <c r="X787" s="5388"/>
      <c r="Y787" s="5388"/>
      <c r="Z787" s="5388"/>
      <c r="AA787" s="5388"/>
      <c r="AB787" s="5388"/>
      <c r="AC787" s="2682"/>
      <c r="AD787" s="2624"/>
      <c r="AE787" s="2624"/>
      <c r="AF787" s="2624"/>
      <c r="AG787" s="2624"/>
      <c r="AH787" s="2624"/>
      <c r="AI787" s="2624"/>
      <c r="AJ787" s="2624"/>
      <c r="AK787" s="2636"/>
      <c r="AL787" s="3449"/>
      <c r="AM787" s="3449"/>
      <c r="AN787" s="3449"/>
      <c r="AO787" s="3449"/>
      <c r="AP787" s="3449"/>
      <c r="AQ787" s="3449"/>
      <c r="AS787" s="3450"/>
    </row>
    <row r="788" spans="1:45" s="1441" customFormat="1" ht="21.95" customHeight="1">
      <c r="A788" s="1670"/>
      <c r="B788" s="1401"/>
      <c r="C788" s="1401"/>
      <c r="D788" s="1401"/>
      <c r="E788" s="1401"/>
      <c r="F788" s="1402"/>
      <c r="G788" s="1402"/>
      <c r="H788" s="1402"/>
      <c r="I788" s="1402"/>
      <c r="J788" s="1402"/>
      <c r="K788" s="27"/>
      <c r="L788" s="1430"/>
      <c r="M788" s="1431" t="s">
        <v>196</v>
      </c>
      <c r="N788" s="1402"/>
      <c r="O788" s="1402"/>
      <c r="P788" s="1402"/>
      <c r="Q788" s="1402"/>
      <c r="R788" s="1402"/>
      <c r="S788" s="1402"/>
      <c r="T788" s="1401"/>
      <c r="U788" s="3263" t="s">
        <v>764</v>
      </c>
      <c r="V788" s="3263"/>
      <c r="W788" s="3263"/>
      <c r="X788" s="1644" t="s">
        <v>247</v>
      </c>
      <c r="Y788" s="1644"/>
      <c r="Z788" s="1644"/>
      <c r="AA788" s="1644"/>
      <c r="AB788" s="1644"/>
      <c r="AC788" s="2682"/>
      <c r="AD788" s="1444"/>
      <c r="AE788" s="1444"/>
      <c r="AF788" s="1444"/>
      <c r="AG788" s="1444"/>
      <c r="AH788" s="1444"/>
      <c r="AI788" s="1444"/>
      <c r="AJ788" s="1444"/>
      <c r="AK788" s="2636"/>
      <c r="AL788" s="3445"/>
      <c r="AM788" s="3445"/>
      <c r="AN788" s="3445"/>
      <c r="AO788" s="3445"/>
      <c r="AP788" s="3445"/>
      <c r="AQ788" s="3445"/>
      <c r="AS788" s="108"/>
    </row>
    <row r="789" spans="1:45" ht="21.95" customHeight="1">
      <c r="A789" s="1663"/>
      <c r="B789" s="1406"/>
      <c r="C789" s="1406"/>
      <c r="D789" s="1406"/>
      <c r="E789" s="1406"/>
      <c r="F789" s="1407"/>
      <c r="G789" s="1407"/>
      <c r="H789" s="1407"/>
      <c r="I789" s="1407"/>
      <c r="J789" s="1407"/>
      <c r="K789" s="1407"/>
      <c r="L789" s="1407"/>
      <c r="M789" s="3260" t="s">
        <v>1148</v>
      </c>
      <c r="N789" s="1407"/>
      <c r="O789" s="1407"/>
      <c r="P789" s="1407"/>
      <c r="Q789" s="1407"/>
      <c r="R789" s="1407"/>
      <c r="S789" s="1407"/>
      <c r="T789" s="1408"/>
      <c r="U789" s="1408"/>
      <c r="V789" s="3263"/>
      <c r="W789" s="1432" t="s">
        <v>1149</v>
      </c>
      <c r="X789" s="5221" t="str">
        <f>X749</f>
        <v>2012 / 2013</v>
      </c>
      <c r="Y789" s="5221"/>
      <c r="Z789" s="5221"/>
      <c r="AA789" s="5221"/>
      <c r="AB789" s="1417"/>
      <c r="AD789" s="1443"/>
      <c r="AE789" s="1443"/>
      <c r="AF789" s="1443"/>
      <c r="AG789" s="1443"/>
      <c r="AH789" s="1443"/>
    </row>
    <row r="790" spans="1:45" ht="21.95" customHeight="1">
      <c r="A790" s="1663"/>
      <c r="B790" s="1410"/>
      <c r="C790" s="1410"/>
      <c r="D790" s="1410"/>
      <c r="E790" s="1410"/>
      <c r="F790" s="1407"/>
      <c r="G790" s="1407"/>
      <c r="H790" s="1407"/>
      <c r="I790" s="1407"/>
      <c r="J790" s="1407"/>
      <c r="K790" s="1407"/>
      <c r="M790" s="3260" t="s">
        <v>1150</v>
      </c>
      <c r="N790" s="1407"/>
      <c r="O790" s="1407"/>
      <c r="P790" s="1407"/>
      <c r="Q790" s="1407"/>
      <c r="R790" s="1407"/>
      <c r="S790" s="1407"/>
      <c r="T790" s="1433"/>
      <c r="U790" s="1433"/>
      <c r="V790" s="1434"/>
      <c r="W790" s="3281" t="s">
        <v>42</v>
      </c>
      <c r="X790" s="5391" t="str">
        <f>X750</f>
        <v>042</v>
      </c>
      <c r="Y790" s="5391"/>
      <c r="Z790" s="5391"/>
      <c r="AA790" s="5391"/>
      <c r="AB790" s="1417"/>
      <c r="AD790" s="1443"/>
      <c r="AE790" s="1443"/>
      <c r="AF790" s="1443"/>
      <c r="AG790" s="1443"/>
      <c r="AH790" s="1443"/>
    </row>
    <row r="791" spans="1:45" ht="21.95" customHeight="1">
      <c r="A791" s="1663"/>
      <c r="B791" s="1410"/>
      <c r="C791" s="1410"/>
      <c r="D791" s="1410"/>
      <c r="E791" s="1410"/>
      <c r="F791" s="1406"/>
      <c r="H791" s="1413"/>
      <c r="I791" s="1413"/>
      <c r="J791" s="1414"/>
      <c r="K791" s="1414"/>
      <c r="L791" s="1415" t="s">
        <v>1197</v>
      </c>
      <c r="M791" s="1415">
        <f>M751</f>
        <v>8</v>
      </c>
      <c r="N791" s="3271" t="s">
        <v>1152</v>
      </c>
      <c r="O791" s="5371" t="str">
        <f>O751</f>
        <v>AGOSTO</v>
      </c>
      <c r="P791" s="5371"/>
      <c r="Q791" s="1435" t="s">
        <v>1152</v>
      </c>
      <c r="R791" s="5371">
        <f>R751</f>
        <v>2012</v>
      </c>
      <c r="S791" s="5371"/>
      <c r="T791" s="1406"/>
      <c r="U791" s="5470" t="s">
        <v>246</v>
      </c>
      <c r="V791" s="5470"/>
      <c r="W791" s="5470"/>
      <c r="X791" s="5470"/>
      <c r="Y791" s="1437" t="s">
        <v>245</v>
      </c>
      <c r="Z791" s="1437"/>
      <c r="AA791" s="1437"/>
      <c r="AB791" s="1417"/>
      <c r="AD791" s="1443"/>
      <c r="AE791" s="1443"/>
      <c r="AF791" s="1443"/>
      <c r="AG791" s="1443"/>
      <c r="AH791" s="1443"/>
    </row>
    <row r="792" spans="1:45" ht="21.95" customHeight="1">
      <c r="A792" s="5446" t="s">
        <v>1153</v>
      </c>
      <c r="B792" s="5446"/>
      <c r="C792" s="5446"/>
      <c r="D792" s="5468"/>
      <c r="E792" s="5468"/>
      <c r="F792" s="5468"/>
      <c r="G792" s="5468"/>
      <c r="H792" s="5468"/>
      <c r="I792" s="5468"/>
      <c r="J792" s="5468"/>
      <c r="K792" s="5468"/>
      <c r="L792" s="3272" t="s">
        <v>19</v>
      </c>
      <c r="M792" s="5471"/>
      <c r="N792" s="5471"/>
      <c r="O792" s="5447" t="s">
        <v>13</v>
      </c>
      <c r="P792" s="5447"/>
      <c r="Q792" s="5472"/>
      <c r="R792" s="5472"/>
      <c r="S792" s="5472"/>
      <c r="T792" s="1439"/>
      <c r="U792" s="1438" t="s">
        <v>1157</v>
      </c>
      <c r="V792" s="5472" t="str">
        <f>V752</f>
        <v>2  BENITO JUAREZ</v>
      </c>
      <c r="W792" s="5472"/>
      <c r="X792" s="5472"/>
      <c r="Y792" s="5472"/>
      <c r="Z792" s="5472"/>
      <c r="AA792" s="5472"/>
      <c r="AB792" s="5472"/>
      <c r="AD792" s="1443"/>
      <c r="AE792" s="1443"/>
      <c r="AF792" s="1443"/>
      <c r="AG792" s="1443"/>
      <c r="AH792" s="1443"/>
    </row>
    <row r="793" spans="1:45" ht="21.95" customHeight="1">
      <c r="A793" s="5446" t="s">
        <v>437</v>
      </c>
      <c r="B793" s="5446"/>
      <c r="C793" s="5468"/>
      <c r="D793" s="5468"/>
      <c r="E793" s="5468"/>
      <c r="F793" s="5468"/>
      <c r="G793" s="5468"/>
      <c r="H793" s="5468"/>
      <c r="I793" s="5468"/>
      <c r="J793" s="5468"/>
      <c r="K793" s="5468"/>
      <c r="L793" s="5468"/>
      <c r="M793" s="5468"/>
      <c r="N793" s="1423"/>
      <c r="O793" s="3272" t="s">
        <v>863</v>
      </c>
      <c r="P793" s="4868"/>
      <c r="Q793" s="4868"/>
      <c r="R793" s="4868"/>
      <c r="S793" s="4868"/>
      <c r="T793" s="4868"/>
      <c r="U793" s="1422"/>
      <c r="V793" s="3272"/>
      <c r="W793" s="3272" t="s">
        <v>1159</v>
      </c>
      <c r="X793" s="5469" t="str">
        <f>X753</f>
        <v>8  DE  AGOSTO  DE  2012</v>
      </c>
      <c r="Y793" s="5469"/>
      <c r="Z793" s="5469"/>
      <c r="AA793" s="5469"/>
      <c r="AB793" s="5469"/>
      <c r="AC793" s="5331">
        <f>D792</f>
        <v>0</v>
      </c>
      <c r="AD793" s="5331"/>
      <c r="AE793" s="5331"/>
      <c r="AF793" s="5331"/>
      <c r="AG793" s="5331"/>
      <c r="AH793" s="5331"/>
      <c r="AI793" s="5332">
        <f>M792</f>
        <v>0</v>
      </c>
      <c r="AJ793" s="5332"/>
      <c r="AK793" s="5332"/>
      <c r="AL793" s="3446"/>
      <c r="AM793" s="3446"/>
      <c r="AN793" s="3446"/>
      <c r="AO793" s="3446"/>
      <c r="AP793" s="3446"/>
      <c r="AQ793" s="3446"/>
      <c r="AR793" s="3446"/>
    </row>
    <row r="794" spans="1:45" ht="21.95" customHeight="1">
      <c r="A794" s="1421"/>
      <c r="B794" s="1422"/>
      <c r="C794" s="1422"/>
      <c r="D794" s="3261"/>
      <c r="E794" s="3261"/>
      <c r="F794" s="3261"/>
      <c r="G794" s="3261"/>
      <c r="H794" s="3261"/>
      <c r="I794" s="3261"/>
      <c r="J794" s="3261"/>
      <c r="K794" s="3261"/>
      <c r="L794" s="3261"/>
      <c r="M794" s="1421"/>
      <c r="N794" s="1423"/>
      <c r="O794" s="1423"/>
      <c r="P794" s="1423"/>
      <c r="Q794" s="1424"/>
      <c r="R794" s="1423"/>
      <c r="S794" s="1423"/>
      <c r="T794" s="1422"/>
      <c r="U794" s="1422"/>
      <c r="V794" s="3261"/>
      <c r="W794" s="3261"/>
      <c r="X794" s="3261"/>
      <c r="Y794" s="3261"/>
      <c r="Z794" s="1422"/>
      <c r="AA794" s="1422"/>
      <c r="AB794" s="1422"/>
      <c r="AC794" s="2689"/>
      <c r="AD794" s="2690"/>
      <c r="AE794" s="2639"/>
      <c r="AF794" s="2640"/>
      <c r="AG794" s="2639"/>
      <c r="AH794" s="2640"/>
      <c r="AI794" s="1444"/>
      <c r="AJ794" s="1444"/>
      <c r="AK794" s="2636"/>
      <c r="AR794" s="3445"/>
    </row>
    <row r="795" spans="1:45" ht="21.95" customHeight="1">
      <c r="A795" s="5415" t="s">
        <v>1160</v>
      </c>
      <c r="B795" s="5416" t="s">
        <v>1235</v>
      </c>
      <c r="C795" s="5416"/>
      <c r="D795" s="5416"/>
      <c r="E795" s="5416"/>
      <c r="F795" s="5416"/>
      <c r="G795" s="5416"/>
      <c r="H795" s="5417" t="s">
        <v>1161</v>
      </c>
      <c r="I795" s="5417"/>
      <c r="J795" s="5417" t="s">
        <v>212</v>
      </c>
      <c r="K795" s="5417" t="s">
        <v>1162</v>
      </c>
      <c r="L795" s="5417" t="s">
        <v>1163</v>
      </c>
      <c r="M795" s="5417"/>
      <c r="N795" s="5417" t="s">
        <v>1164</v>
      </c>
      <c r="O795" s="5417"/>
      <c r="P795" s="5417" t="s">
        <v>1165</v>
      </c>
      <c r="Q795" s="5417"/>
      <c r="R795" s="5417" t="s">
        <v>1166</v>
      </c>
      <c r="S795" s="5417"/>
      <c r="T795" s="5417" t="s">
        <v>1167</v>
      </c>
      <c r="U795" s="5417" t="s">
        <v>1168</v>
      </c>
      <c r="V795" s="5417"/>
      <c r="W795" s="5417" t="s">
        <v>1169</v>
      </c>
      <c r="X795" s="5417"/>
      <c r="Y795" s="5417" t="s">
        <v>3</v>
      </c>
      <c r="Z795" s="5417" t="s">
        <v>4</v>
      </c>
      <c r="AA795" s="5417" t="s">
        <v>28</v>
      </c>
      <c r="AB795" s="5417"/>
      <c r="AC795" s="5340" t="str">
        <f>AC755</f>
        <v>INICIAL</v>
      </c>
      <c r="AD795" s="5340"/>
      <c r="AE795" s="5344" t="str">
        <f>AE755</f>
        <v>ALTAS</v>
      </c>
      <c r="AF795" s="5345"/>
      <c r="AG795" s="5346" t="str">
        <f>AG755</f>
        <v>BAJAS</v>
      </c>
      <c r="AH795" s="5347"/>
      <c r="AI795" s="5333" t="str">
        <f>AI755</f>
        <v>REP</v>
      </c>
      <c r="AJ795" s="5333"/>
      <c r="AK795" s="2625" t="str">
        <f>AK755</f>
        <v>INI</v>
      </c>
      <c r="AL795" s="5328" t="s">
        <v>2509</v>
      </c>
      <c r="AM795" s="5329"/>
      <c r="AN795" s="5329"/>
      <c r="AO795" s="5329"/>
      <c r="AP795" s="5329"/>
      <c r="AQ795" s="5329"/>
      <c r="AR795" s="5330"/>
    </row>
    <row r="796" spans="1:45" ht="21.95" customHeight="1">
      <c r="A796" s="5424"/>
      <c r="B796" s="5425"/>
      <c r="C796" s="5425"/>
      <c r="D796" s="5425"/>
      <c r="E796" s="5425"/>
      <c r="F796" s="5425"/>
      <c r="G796" s="5425"/>
      <c r="H796" s="3270" t="s">
        <v>407</v>
      </c>
      <c r="I796" s="3270" t="s">
        <v>403</v>
      </c>
      <c r="J796" s="5426"/>
      <c r="K796" s="5426"/>
      <c r="L796" s="5426"/>
      <c r="M796" s="5426"/>
      <c r="N796" s="5426"/>
      <c r="O796" s="5426"/>
      <c r="P796" s="3270" t="s">
        <v>1170</v>
      </c>
      <c r="Q796" s="3270" t="s">
        <v>1171</v>
      </c>
      <c r="R796" s="3270" t="s">
        <v>1172</v>
      </c>
      <c r="S796" s="3270" t="s">
        <v>1173</v>
      </c>
      <c r="T796" s="5426"/>
      <c r="U796" s="5426"/>
      <c r="V796" s="5426"/>
      <c r="W796" s="5426"/>
      <c r="X796" s="5426"/>
      <c r="Y796" s="5426"/>
      <c r="Z796" s="5426"/>
      <c r="AA796" s="5426"/>
      <c r="AB796" s="5426"/>
      <c r="AC796" s="3561" t="str">
        <f>AC756</f>
        <v>H</v>
      </c>
      <c r="AD796" s="2686" t="str">
        <f>AD756</f>
        <v>M</v>
      </c>
      <c r="AE796" s="3561" t="str">
        <f t="shared" ref="AE796:AJ796" si="230">AE756</f>
        <v>H</v>
      </c>
      <c r="AF796" s="2686" t="str">
        <f t="shared" si="230"/>
        <v>M</v>
      </c>
      <c r="AG796" s="3561" t="str">
        <f t="shared" si="230"/>
        <v>H</v>
      </c>
      <c r="AH796" s="2686" t="str">
        <f t="shared" si="230"/>
        <v>M</v>
      </c>
      <c r="AI796" s="3561" t="str">
        <f t="shared" si="230"/>
        <v>H</v>
      </c>
      <c r="AJ796" s="2686" t="str">
        <f t="shared" si="230"/>
        <v>M</v>
      </c>
      <c r="AK796" s="2627" t="str">
        <f>AK756</f>
        <v>TTS</v>
      </c>
      <c r="AL796" s="3455" t="s">
        <v>393</v>
      </c>
      <c r="AM796" s="3463" t="s">
        <v>8</v>
      </c>
      <c r="AN796" s="3456" t="s">
        <v>347</v>
      </c>
      <c r="AO796" s="3456" t="s">
        <v>348</v>
      </c>
      <c r="AP796" s="3456" t="s">
        <v>2062</v>
      </c>
      <c r="AQ796" s="3457" t="s">
        <v>2081</v>
      </c>
      <c r="AR796" s="3456" t="s">
        <v>2510</v>
      </c>
    </row>
    <row r="797" spans="1:45" ht="21.95" customHeight="1">
      <c r="A797" s="3267">
        <v>1</v>
      </c>
      <c r="B797" s="1646"/>
      <c r="C797" s="1451"/>
      <c r="D797" s="1451"/>
      <c r="E797" s="1451"/>
      <c r="F797" s="1451"/>
      <c r="G797" s="1452"/>
      <c r="H797" s="3267"/>
      <c r="I797" s="3267"/>
      <c r="J797" s="3267"/>
      <c r="K797" s="3267"/>
      <c r="L797" s="5398"/>
      <c r="M797" s="5398"/>
      <c r="N797" s="5398"/>
      <c r="O797" s="5398"/>
      <c r="P797" s="3267"/>
      <c r="Q797" s="3267"/>
      <c r="R797" s="3267"/>
      <c r="S797" s="3267"/>
      <c r="T797" s="3267"/>
      <c r="U797" s="5398"/>
      <c r="V797" s="5398"/>
      <c r="W797" s="5398"/>
      <c r="X797" s="5398"/>
      <c r="Y797" s="3267"/>
      <c r="Z797" s="3267"/>
      <c r="AA797" s="5398"/>
      <c r="AB797" s="5398"/>
      <c r="AE797" s="2628"/>
      <c r="AF797" s="2629"/>
      <c r="AG797" s="2628"/>
      <c r="AH797" s="2629"/>
      <c r="AI797" s="2628"/>
      <c r="AJ797" s="2629"/>
      <c r="AK797" s="2670">
        <f t="shared" ref="AK797:AK814" si="231">SUM(AC797:AD797)</f>
        <v>0</v>
      </c>
      <c r="AL797" s="3464"/>
      <c r="AM797" s="3448"/>
      <c r="AN797" s="3448"/>
      <c r="AO797" s="3448"/>
      <c r="AP797" s="3448"/>
      <c r="AQ797" s="3448"/>
      <c r="AR797" s="3458" t="e">
        <f t="shared" ref="AR797:AR810" si="232">SUM(AM797:AQ797)/AS797</f>
        <v>#DIV/0!</v>
      </c>
    </row>
    <row r="798" spans="1:45" ht="21.95" customHeight="1">
      <c r="A798" s="3267">
        <v>2</v>
      </c>
      <c r="B798" s="1646"/>
      <c r="C798" s="1451"/>
      <c r="D798" s="1451"/>
      <c r="E798" s="1451"/>
      <c r="F798" s="1451"/>
      <c r="G798" s="1452"/>
      <c r="H798" s="3267"/>
      <c r="I798" s="3267"/>
      <c r="J798" s="3267"/>
      <c r="K798" s="3267"/>
      <c r="L798" s="5398"/>
      <c r="M798" s="5398"/>
      <c r="N798" s="5398"/>
      <c r="O798" s="5398"/>
      <c r="P798" s="3267"/>
      <c r="Q798" s="3267"/>
      <c r="R798" s="3267"/>
      <c r="S798" s="3267"/>
      <c r="T798" s="3267"/>
      <c r="U798" s="5398"/>
      <c r="V798" s="5398"/>
      <c r="W798" s="5398"/>
      <c r="X798" s="5398"/>
      <c r="Y798" s="3267"/>
      <c r="Z798" s="3267"/>
      <c r="AA798" s="5398"/>
      <c r="AB798" s="5398"/>
      <c r="AE798" s="2628"/>
      <c r="AF798" s="2629"/>
      <c r="AG798" s="2628"/>
      <c r="AH798" s="2629"/>
      <c r="AI798" s="2628"/>
      <c r="AJ798" s="2629"/>
      <c r="AK798" s="2671">
        <f t="shared" si="231"/>
        <v>0</v>
      </c>
      <c r="AL798" s="3464"/>
      <c r="AM798" s="3448"/>
      <c r="AN798" s="3448"/>
      <c r="AO798" s="3448"/>
      <c r="AP798" s="3448"/>
      <c r="AQ798" s="3448"/>
      <c r="AR798" s="3458" t="e">
        <f t="shared" si="232"/>
        <v>#DIV/0!</v>
      </c>
    </row>
    <row r="799" spans="1:45" ht="21.95" customHeight="1">
      <c r="A799" s="3267">
        <v>3</v>
      </c>
      <c r="B799" s="1646"/>
      <c r="C799" s="1451"/>
      <c r="D799" s="1451"/>
      <c r="E799" s="1451"/>
      <c r="F799" s="1451"/>
      <c r="G799" s="1452"/>
      <c r="H799" s="3267"/>
      <c r="I799" s="3267"/>
      <c r="J799" s="3267"/>
      <c r="K799" s="3267"/>
      <c r="L799" s="5398"/>
      <c r="M799" s="5398"/>
      <c r="N799" s="5398"/>
      <c r="O799" s="5398"/>
      <c r="P799" s="3267"/>
      <c r="Q799" s="3267"/>
      <c r="R799" s="3267"/>
      <c r="S799" s="3267"/>
      <c r="T799" s="3267"/>
      <c r="U799" s="5398"/>
      <c r="V799" s="5398"/>
      <c r="W799" s="5398"/>
      <c r="X799" s="5398"/>
      <c r="Y799" s="3267"/>
      <c r="Z799" s="3267"/>
      <c r="AA799" s="5398"/>
      <c r="AB799" s="5398"/>
      <c r="AE799" s="2628"/>
      <c r="AF799" s="2629"/>
      <c r="AG799" s="2628"/>
      <c r="AH799" s="2629"/>
      <c r="AI799" s="2628"/>
      <c r="AJ799" s="2629"/>
      <c r="AK799" s="2671">
        <f t="shared" si="231"/>
        <v>0</v>
      </c>
      <c r="AL799" s="3464"/>
      <c r="AM799" s="3448"/>
      <c r="AN799" s="3448"/>
      <c r="AO799" s="3448"/>
      <c r="AP799" s="3448"/>
      <c r="AQ799" s="3448"/>
      <c r="AR799" s="3458" t="e">
        <f t="shared" si="232"/>
        <v>#DIV/0!</v>
      </c>
    </row>
    <row r="800" spans="1:45" ht="21.95" customHeight="1">
      <c r="A800" s="3267">
        <v>4</v>
      </c>
      <c r="B800" s="1646"/>
      <c r="C800" s="1451"/>
      <c r="D800" s="1451"/>
      <c r="E800" s="1451"/>
      <c r="F800" s="1451"/>
      <c r="G800" s="1452"/>
      <c r="H800" s="3267"/>
      <c r="I800" s="3267"/>
      <c r="J800" s="3267"/>
      <c r="K800" s="3267"/>
      <c r="L800" s="5398"/>
      <c r="M800" s="5398"/>
      <c r="N800" s="5398"/>
      <c r="O800" s="5398"/>
      <c r="P800" s="3267"/>
      <c r="Q800" s="3267"/>
      <c r="R800" s="3267"/>
      <c r="S800" s="3267"/>
      <c r="T800" s="3267"/>
      <c r="U800" s="5398"/>
      <c r="V800" s="5398"/>
      <c r="W800" s="5398"/>
      <c r="X800" s="5398"/>
      <c r="Y800" s="3267"/>
      <c r="Z800" s="3267"/>
      <c r="AA800" s="5398"/>
      <c r="AB800" s="5398"/>
      <c r="AE800" s="2628"/>
      <c r="AF800" s="2629"/>
      <c r="AG800" s="2628"/>
      <c r="AH800" s="2629"/>
      <c r="AI800" s="2628"/>
      <c r="AJ800" s="2629"/>
      <c r="AK800" s="2671">
        <f t="shared" si="231"/>
        <v>0</v>
      </c>
      <c r="AL800" s="3464"/>
      <c r="AM800" s="3448"/>
      <c r="AN800" s="3448"/>
      <c r="AO800" s="3448"/>
      <c r="AP800" s="3448"/>
      <c r="AQ800" s="3448"/>
      <c r="AR800" s="3458" t="e">
        <f t="shared" si="232"/>
        <v>#DIV/0!</v>
      </c>
    </row>
    <row r="801" spans="1:44" ht="21.95" customHeight="1">
      <c r="A801" s="3267">
        <v>5</v>
      </c>
      <c r="B801" s="1646"/>
      <c r="C801" s="1451"/>
      <c r="D801" s="1451"/>
      <c r="E801" s="1451"/>
      <c r="F801" s="1451"/>
      <c r="G801" s="1452"/>
      <c r="H801" s="3267"/>
      <c r="I801" s="3267"/>
      <c r="J801" s="3267"/>
      <c r="K801" s="3267"/>
      <c r="L801" s="5398"/>
      <c r="M801" s="5398"/>
      <c r="N801" s="5398"/>
      <c r="O801" s="5398"/>
      <c r="P801" s="3267"/>
      <c r="Q801" s="3267"/>
      <c r="R801" s="3267"/>
      <c r="S801" s="3267"/>
      <c r="T801" s="3267"/>
      <c r="U801" s="5398"/>
      <c r="V801" s="5398"/>
      <c r="W801" s="5398"/>
      <c r="X801" s="5398"/>
      <c r="Y801" s="3267"/>
      <c r="Z801" s="3267"/>
      <c r="AA801" s="5398"/>
      <c r="AB801" s="5398"/>
      <c r="AE801" s="2628"/>
      <c r="AF801" s="2629"/>
      <c r="AG801" s="2628"/>
      <c r="AH801" s="2629"/>
      <c r="AI801" s="2628"/>
      <c r="AJ801" s="2629"/>
      <c r="AK801" s="2671">
        <f t="shared" si="231"/>
        <v>0</v>
      </c>
      <c r="AL801" s="3464"/>
      <c r="AM801" s="3448"/>
      <c r="AN801" s="3448"/>
      <c r="AO801" s="3448"/>
      <c r="AP801" s="3448"/>
      <c r="AQ801" s="3448"/>
      <c r="AR801" s="3458" t="e">
        <f t="shared" si="232"/>
        <v>#DIV/0!</v>
      </c>
    </row>
    <row r="802" spans="1:44" ht="21.95" customHeight="1">
      <c r="A802" s="3267">
        <v>6</v>
      </c>
      <c r="B802" s="1646"/>
      <c r="C802" s="1451"/>
      <c r="D802" s="1451"/>
      <c r="E802" s="1451"/>
      <c r="F802" s="1451"/>
      <c r="G802" s="1452"/>
      <c r="H802" s="3267"/>
      <c r="I802" s="3267"/>
      <c r="J802" s="3267"/>
      <c r="K802" s="3267"/>
      <c r="L802" s="5398"/>
      <c r="M802" s="5398"/>
      <c r="N802" s="5398"/>
      <c r="O802" s="5398"/>
      <c r="P802" s="3267"/>
      <c r="Q802" s="3267"/>
      <c r="R802" s="3267"/>
      <c r="S802" s="3267"/>
      <c r="T802" s="3267"/>
      <c r="U802" s="5398"/>
      <c r="V802" s="5398"/>
      <c r="W802" s="5398"/>
      <c r="X802" s="5398"/>
      <c r="Y802" s="3267"/>
      <c r="Z802" s="3267"/>
      <c r="AA802" s="5398"/>
      <c r="AB802" s="5398"/>
      <c r="AE802" s="2628"/>
      <c r="AF802" s="2629"/>
      <c r="AG802" s="2628"/>
      <c r="AH802" s="2629"/>
      <c r="AI802" s="2628"/>
      <c r="AJ802" s="2629"/>
      <c r="AK802" s="2671">
        <f t="shared" si="231"/>
        <v>0</v>
      </c>
      <c r="AL802" s="3464"/>
      <c r="AM802" s="3448"/>
      <c r="AN802" s="3448"/>
      <c r="AO802" s="3448"/>
      <c r="AP802" s="3448"/>
      <c r="AQ802" s="3448"/>
      <c r="AR802" s="3458" t="e">
        <f t="shared" si="232"/>
        <v>#DIV/0!</v>
      </c>
    </row>
    <row r="803" spans="1:44" ht="21.95" customHeight="1">
      <c r="A803" s="3267">
        <v>7</v>
      </c>
      <c r="B803" s="1646"/>
      <c r="C803" s="1451"/>
      <c r="D803" s="1451"/>
      <c r="E803" s="1451"/>
      <c r="F803" s="1451"/>
      <c r="G803" s="1452"/>
      <c r="H803" s="3267"/>
      <c r="I803" s="3267"/>
      <c r="J803" s="3267"/>
      <c r="K803" s="3267"/>
      <c r="L803" s="5398"/>
      <c r="M803" s="5398"/>
      <c r="N803" s="5398"/>
      <c r="O803" s="5398"/>
      <c r="P803" s="3267"/>
      <c r="Q803" s="3267"/>
      <c r="R803" s="3267"/>
      <c r="S803" s="3267"/>
      <c r="T803" s="3267"/>
      <c r="U803" s="5398"/>
      <c r="V803" s="5398"/>
      <c r="W803" s="5398"/>
      <c r="X803" s="5398"/>
      <c r="Y803" s="3267"/>
      <c r="Z803" s="3267"/>
      <c r="AA803" s="5398"/>
      <c r="AB803" s="5398"/>
      <c r="AE803" s="2628"/>
      <c r="AF803" s="2629"/>
      <c r="AG803" s="2628"/>
      <c r="AH803" s="2629"/>
      <c r="AI803" s="2628"/>
      <c r="AJ803" s="2629"/>
      <c r="AK803" s="2671">
        <f t="shared" si="231"/>
        <v>0</v>
      </c>
      <c r="AL803" s="3464"/>
      <c r="AM803" s="3448"/>
      <c r="AN803" s="3448"/>
      <c r="AO803" s="3448"/>
      <c r="AP803" s="3448"/>
      <c r="AQ803" s="3448"/>
      <c r="AR803" s="3458" t="e">
        <f t="shared" si="232"/>
        <v>#DIV/0!</v>
      </c>
    </row>
    <row r="804" spans="1:44" ht="21.95" customHeight="1">
      <c r="A804" s="3267">
        <v>8</v>
      </c>
      <c r="B804" s="1646"/>
      <c r="C804" s="1451"/>
      <c r="D804" s="1451"/>
      <c r="E804" s="1451"/>
      <c r="F804" s="1451"/>
      <c r="G804" s="1452"/>
      <c r="H804" s="3267"/>
      <c r="I804" s="3267"/>
      <c r="J804" s="3267"/>
      <c r="K804" s="3267"/>
      <c r="L804" s="5398"/>
      <c r="M804" s="5398"/>
      <c r="N804" s="5398"/>
      <c r="O804" s="5398"/>
      <c r="P804" s="3267"/>
      <c r="Q804" s="3267"/>
      <c r="R804" s="3267"/>
      <c r="S804" s="3267"/>
      <c r="T804" s="3267"/>
      <c r="U804" s="5398"/>
      <c r="V804" s="5398"/>
      <c r="W804" s="5398"/>
      <c r="X804" s="5398"/>
      <c r="Y804" s="3267"/>
      <c r="Z804" s="3267"/>
      <c r="AA804" s="5398"/>
      <c r="AB804" s="5398"/>
      <c r="AE804" s="2628"/>
      <c r="AF804" s="2629"/>
      <c r="AG804" s="2628"/>
      <c r="AH804" s="2629"/>
      <c r="AI804" s="2628"/>
      <c r="AJ804" s="2629"/>
      <c r="AK804" s="2671">
        <f t="shared" si="231"/>
        <v>0</v>
      </c>
      <c r="AL804" s="3464"/>
      <c r="AM804" s="3448"/>
      <c r="AN804" s="3448"/>
      <c r="AO804" s="3448"/>
      <c r="AP804" s="3448"/>
      <c r="AQ804" s="3448"/>
      <c r="AR804" s="3458" t="e">
        <f t="shared" si="232"/>
        <v>#DIV/0!</v>
      </c>
    </row>
    <row r="805" spans="1:44" ht="21.95" customHeight="1">
      <c r="A805" s="3267">
        <v>9</v>
      </c>
      <c r="B805" s="1646"/>
      <c r="C805" s="1451"/>
      <c r="D805" s="1451"/>
      <c r="E805" s="1451"/>
      <c r="F805" s="1451"/>
      <c r="G805" s="1452"/>
      <c r="H805" s="3267"/>
      <c r="I805" s="3267"/>
      <c r="J805" s="3267"/>
      <c r="K805" s="3267"/>
      <c r="L805" s="5398"/>
      <c r="M805" s="5398"/>
      <c r="N805" s="5398"/>
      <c r="O805" s="5398"/>
      <c r="P805" s="3267"/>
      <c r="Q805" s="3267"/>
      <c r="R805" s="3267"/>
      <c r="S805" s="3267"/>
      <c r="T805" s="3267"/>
      <c r="U805" s="5398"/>
      <c r="V805" s="5398"/>
      <c r="W805" s="5398"/>
      <c r="X805" s="5398"/>
      <c r="Y805" s="3267"/>
      <c r="Z805" s="3267"/>
      <c r="AA805" s="5398"/>
      <c r="AB805" s="5398"/>
      <c r="AE805" s="2628"/>
      <c r="AF805" s="2629"/>
      <c r="AG805" s="2628"/>
      <c r="AH805" s="2629"/>
      <c r="AI805" s="2628"/>
      <c r="AJ805" s="2629"/>
      <c r="AK805" s="2671">
        <f t="shared" si="231"/>
        <v>0</v>
      </c>
      <c r="AL805" s="3464"/>
      <c r="AM805" s="3448"/>
      <c r="AN805" s="3448"/>
      <c r="AO805" s="3448"/>
      <c r="AP805" s="3448"/>
      <c r="AQ805" s="3448"/>
      <c r="AR805" s="3458" t="e">
        <f t="shared" si="232"/>
        <v>#DIV/0!</v>
      </c>
    </row>
    <row r="806" spans="1:44" ht="21.95" customHeight="1">
      <c r="A806" s="3267">
        <v>10</v>
      </c>
      <c r="B806" s="1646"/>
      <c r="C806" s="1451"/>
      <c r="D806" s="1451"/>
      <c r="E806" s="1451"/>
      <c r="F806" s="1451"/>
      <c r="G806" s="1452"/>
      <c r="H806" s="3267"/>
      <c r="I806" s="3267"/>
      <c r="J806" s="3267"/>
      <c r="K806" s="3267"/>
      <c r="L806" s="5398"/>
      <c r="M806" s="5398"/>
      <c r="N806" s="5398"/>
      <c r="O806" s="5398"/>
      <c r="P806" s="3267"/>
      <c r="Q806" s="3267"/>
      <c r="R806" s="3267"/>
      <c r="S806" s="3267"/>
      <c r="T806" s="3267"/>
      <c r="U806" s="5398"/>
      <c r="V806" s="5398"/>
      <c r="W806" s="5398"/>
      <c r="X806" s="5398"/>
      <c r="Y806" s="3267"/>
      <c r="Z806" s="3267"/>
      <c r="AA806" s="5398"/>
      <c r="AB806" s="5398"/>
      <c r="AE806" s="2628"/>
      <c r="AF806" s="2629"/>
      <c r="AG806" s="2628"/>
      <c r="AH806" s="2629"/>
      <c r="AI806" s="2628"/>
      <c r="AJ806" s="2629"/>
      <c r="AK806" s="2671">
        <f t="shared" si="231"/>
        <v>0</v>
      </c>
      <c r="AL806" s="3464"/>
      <c r="AM806" s="3448"/>
      <c r="AN806" s="3448"/>
      <c r="AO806" s="3448"/>
      <c r="AP806" s="3448"/>
      <c r="AQ806" s="3448"/>
      <c r="AR806" s="3458" t="e">
        <f t="shared" si="232"/>
        <v>#DIV/0!</v>
      </c>
    </row>
    <row r="807" spans="1:44" ht="21.95" customHeight="1">
      <c r="A807" s="3267">
        <v>11</v>
      </c>
      <c r="B807" s="1646"/>
      <c r="C807" s="1451"/>
      <c r="D807" s="1451"/>
      <c r="E807" s="1451"/>
      <c r="F807" s="1451"/>
      <c r="G807" s="1452"/>
      <c r="H807" s="3267"/>
      <c r="I807" s="3267"/>
      <c r="J807" s="3267"/>
      <c r="K807" s="3267"/>
      <c r="L807" s="5398"/>
      <c r="M807" s="5398"/>
      <c r="N807" s="5398"/>
      <c r="O807" s="5398"/>
      <c r="P807" s="3267"/>
      <c r="Q807" s="3267"/>
      <c r="R807" s="3267"/>
      <c r="S807" s="3267"/>
      <c r="T807" s="3267"/>
      <c r="U807" s="5398"/>
      <c r="V807" s="5398"/>
      <c r="W807" s="5398"/>
      <c r="X807" s="5398"/>
      <c r="Y807" s="3267"/>
      <c r="Z807" s="3267"/>
      <c r="AA807" s="5398"/>
      <c r="AB807" s="5398"/>
      <c r="AE807" s="2628"/>
      <c r="AF807" s="2629"/>
      <c r="AG807" s="2628"/>
      <c r="AH807" s="2629"/>
      <c r="AI807" s="2628"/>
      <c r="AJ807" s="2629"/>
      <c r="AK807" s="2671">
        <f t="shared" si="231"/>
        <v>0</v>
      </c>
      <c r="AL807" s="3464"/>
      <c r="AM807" s="3448"/>
      <c r="AN807" s="3448"/>
      <c r="AO807" s="3448"/>
      <c r="AP807" s="3448"/>
      <c r="AQ807" s="3448"/>
      <c r="AR807" s="3458" t="e">
        <f t="shared" si="232"/>
        <v>#DIV/0!</v>
      </c>
    </row>
    <row r="808" spans="1:44" ht="21.95" customHeight="1">
      <c r="A808" s="3267">
        <v>12</v>
      </c>
      <c r="B808" s="1646"/>
      <c r="C808" s="1451"/>
      <c r="D808" s="1451"/>
      <c r="E808" s="1451"/>
      <c r="F808" s="1451"/>
      <c r="G808" s="1452"/>
      <c r="H808" s="3267"/>
      <c r="I808" s="3267"/>
      <c r="J808" s="3267"/>
      <c r="K808" s="3267"/>
      <c r="L808" s="5398"/>
      <c r="M808" s="5398"/>
      <c r="N808" s="5398"/>
      <c r="O808" s="5398"/>
      <c r="P808" s="3267"/>
      <c r="Q808" s="3267"/>
      <c r="R808" s="3267"/>
      <c r="S808" s="3267"/>
      <c r="T808" s="3267"/>
      <c r="U808" s="5398"/>
      <c r="V808" s="5398"/>
      <c r="W808" s="5398"/>
      <c r="X808" s="5398"/>
      <c r="Y808" s="3267"/>
      <c r="Z808" s="3267"/>
      <c r="AA808" s="5398"/>
      <c r="AB808" s="5398"/>
      <c r="AE808" s="2628"/>
      <c r="AF808" s="2629"/>
      <c r="AG808" s="2628"/>
      <c r="AH808" s="2629"/>
      <c r="AI808" s="2628"/>
      <c r="AJ808" s="2629"/>
      <c r="AK808" s="2671">
        <f t="shared" si="231"/>
        <v>0</v>
      </c>
      <c r="AL808" s="3464"/>
      <c r="AM808" s="3448"/>
      <c r="AN808" s="3448"/>
      <c r="AO808" s="3448"/>
      <c r="AP808" s="3448"/>
      <c r="AQ808" s="3448"/>
      <c r="AR808" s="3458" t="e">
        <f t="shared" si="232"/>
        <v>#DIV/0!</v>
      </c>
    </row>
    <row r="809" spans="1:44" ht="21.95" customHeight="1">
      <c r="A809" s="3267">
        <v>13</v>
      </c>
      <c r="B809" s="1646"/>
      <c r="C809" s="1451"/>
      <c r="D809" s="1451"/>
      <c r="E809" s="1451"/>
      <c r="F809" s="1451"/>
      <c r="G809" s="1452"/>
      <c r="H809" s="3267"/>
      <c r="I809" s="3267"/>
      <c r="J809" s="3267"/>
      <c r="K809" s="3267"/>
      <c r="L809" s="5398"/>
      <c r="M809" s="5398"/>
      <c r="N809" s="5398"/>
      <c r="O809" s="5398"/>
      <c r="P809" s="3267"/>
      <c r="Q809" s="3267"/>
      <c r="R809" s="3267"/>
      <c r="S809" s="3267"/>
      <c r="T809" s="3267"/>
      <c r="U809" s="5398"/>
      <c r="V809" s="5398"/>
      <c r="W809" s="5398"/>
      <c r="X809" s="5398"/>
      <c r="Y809" s="3267"/>
      <c r="Z809" s="3267"/>
      <c r="AA809" s="5398"/>
      <c r="AB809" s="5398"/>
      <c r="AE809" s="2628"/>
      <c r="AF809" s="2629"/>
      <c r="AG809" s="2628"/>
      <c r="AH809" s="2629"/>
      <c r="AI809" s="2628"/>
      <c r="AJ809" s="2629"/>
      <c r="AK809" s="2671">
        <f t="shared" si="231"/>
        <v>0</v>
      </c>
      <c r="AL809" s="3464"/>
      <c r="AM809" s="3448"/>
      <c r="AN809" s="3448"/>
      <c r="AO809" s="3448"/>
      <c r="AP809" s="3448"/>
      <c r="AQ809" s="3448"/>
      <c r="AR809" s="3458" t="e">
        <f t="shared" si="232"/>
        <v>#DIV/0!</v>
      </c>
    </row>
    <row r="810" spans="1:44" ht="21.95" customHeight="1">
      <c r="A810" s="3267">
        <v>14</v>
      </c>
      <c r="B810" s="1646"/>
      <c r="C810" s="1451"/>
      <c r="D810" s="1451"/>
      <c r="E810" s="1451"/>
      <c r="F810" s="1451"/>
      <c r="G810" s="1452"/>
      <c r="H810" s="3267"/>
      <c r="I810" s="3267"/>
      <c r="J810" s="3267"/>
      <c r="K810" s="3267"/>
      <c r="L810" s="5398"/>
      <c r="M810" s="5398"/>
      <c r="N810" s="5398"/>
      <c r="O810" s="5398"/>
      <c r="P810" s="3267"/>
      <c r="Q810" s="3267"/>
      <c r="R810" s="3267"/>
      <c r="S810" s="3267"/>
      <c r="T810" s="3267"/>
      <c r="U810" s="5398"/>
      <c r="V810" s="5398"/>
      <c r="W810" s="5398"/>
      <c r="X810" s="5398"/>
      <c r="Y810" s="3267"/>
      <c r="Z810" s="3267"/>
      <c r="AA810" s="5398"/>
      <c r="AB810" s="5398"/>
      <c r="AE810" s="2628"/>
      <c r="AF810" s="2629"/>
      <c r="AG810" s="2628"/>
      <c r="AH810" s="2629"/>
      <c r="AI810" s="2628"/>
      <c r="AJ810" s="2629"/>
      <c r="AK810" s="2671">
        <f t="shared" si="231"/>
        <v>0</v>
      </c>
      <c r="AL810" s="3464"/>
      <c r="AM810" s="3448"/>
      <c r="AN810" s="3448"/>
      <c r="AO810" s="3448"/>
      <c r="AP810" s="3448"/>
      <c r="AQ810" s="3448"/>
      <c r="AR810" s="3458" t="e">
        <f t="shared" si="232"/>
        <v>#DIV/0!</v>
      </c>
    </row>
    <row r="811" spans="1:44" ht="21.95" customHeight="1">
      <c r="A811" s="3267">
        <v>15</v>
      </c>
      <c r="B811" s="1646"/>
      <c r="C811" s="1451"/>
      <c r="D811" s="1451"/>
      <c r="E811" s="1451"/>
      <c r="F811" s="1451"/>
      <c r="G811" s="1452"/>
      <c r="H811" s="3267"/>
      <c r="I811" s="3267"/>
      <c r="J811" s="3267"/>
      <c r="K811" s="3267"/>
      <c r="L811" s="5398"/>
      <c r="M811" s="5398"/>
      <c r="N811" s="5398"/>
      <c r="O811" s="5398"/>
      <c r="P811" s="3267"/>
      <c r="Q811" s="3267"/>
      <c r="R811" s="3267"/>
      <c r="S811" s="3267"/>
      <c r="T811" s="3267"/>
      <c r="U811" s="5398"/>
      <c r="V811" s="5398"/>
      <c r="W811" s="5398"/>
      <c r="X811" s="5398"/>
      <c r="Y811" s="3267"/>
      <c r="Z811" s="3267"/>
      <c r="AA811" s="5398"/>
      <c r="AB811" s="5398"/>
      <c r="AE811" s="2628"/>
      <c r="AF811" s="2629"/>
      <c r="AG811" s="2628"/>
      <c r="AH811" s="2629"/>
      <c r="AI811" s="2628"/>
      <c r="AJ811" s="2629"/>
      <c r="AK811" s="2671">
        <f t="shared" si="231"/>
        <v>0</v>
      </c>
      <c r="AL811" s="3464"/>
      <c r="AM811" s="3448"/>
      <c r="AN811" s="3448"/>
      <c r="AO811" s="3448"/>
      <c r="AP811" s="3448"/>
      <c r="AQ811" s="3448"/>
      <c r="AR811" s="3458" t="e">
        <f t="shared" ref="AR811:AR823" si="233">SUM(AM811:AQ811)/AS811</f>
        <v>#DIV/0!</v>
      </c>
    </row>
    <row r="812" spans="1:44" ht="21.95" customHeight="1">
      <c r="A812" s="3267">
        <v>16</v>
      </c>
      <c r="B812" s="1646"/>
      <c r="C812" s="1451"/>
      <c r="D812" s="1451"/>
      <c r="E812" s="1451"/>
      <c r="F812" s="1451"/>
      <c r="G812" s="1452"/>
      <c r="H812" s="3267"/>
      <c r="I812" s="3267"/>
      <c r="J812" s="3267"/>
      <c r="K812" s="3267"/>
      <c r="L812" s="5398"/>
      <c r="M812" s="5398"/>
      <c r="N812" s="5398"/>
      <c r="O812" s="5398"/>
      <c r="P812" s="3267"/>
      <c r="Q812" s="3267"/>
      <c r="R812" s="3267"/>
      <c r="S812" s="3267"/>
      <c r="T812" s="3267"/>
      <c r="U812" s="5398"/>
      <c r="V812" s="5398"/>
      <c r="W812" s="5398"/>
      <c r="X812" s="5398"/>
      <c r="Y812" s="3267"/>
      <c r="Z812" s="3267"/>
      <c r="AA812" s="5398"/>
      <c r="AB812" s="5398"/>
      <c r="AE812" s="2628"/>
      <c r="AF812" s="2629"/>
      <c r="AG812" s="2628"/>
      <c r="AH812" s="2629"/>
      <c r="AI812" s="2628"/>
      <c r="AJ812" s="2629"/>
      <c r="AK812" s="2671">
        <f t="shared" si="231"/>
        <v>0</v>
      </c>
      <c r="AL812" s="3464"/>
      <c r="AM812" s="3448"/>
      <c r="AN812" s="3448"/>
      <c r="AO812" s="3448"/>
      <c r="AP812" s="3448"/>
      <c r="AQ812" s="3448"/>
      <c r="AR812" s="3458" t="e">
        <f t="shared" si="233"/>
        <v>#DIV/0!</v>
      </c>
    </row>
    <row r="813" spans="1:44" ht="21.95" customHeight="1">
      <c r="A813" s="3267">
        <v>17</v>
      </c>
      <c r="B813" s="1646"/>
      <c r="C813" s="1451"/>
      <c r="D813" s="1451"/>
      <c r="E813" s="1451"/>
      <c r="F813" s="1451"/>
      <c r="G813" s="1452"/>
      <c r="H813" s="3267"/>
      <c r="I813" s="3267"/>
      <c r="J813" s="3267"/>
      <c r="K813" s="3267"/>
      <c r="L813" s="5398"/>
      <c r="M813" s="5398"/>
      <c r="N813" s="5398"/>
      <c r="O813" s="5398"/>
      <c r="P813" s="3267"/>
      <c r="Q813" s="3267"/>
      <c r="R813" s="3267"/>
      <c r="S813" s="3267"/>
      <c r="T813" s="3267"/>
      <c r="U813" s="5398"/>
      <c r="V813" s="5398"/>
      <c r="W813" s="5398"/>
      <c r="X813" s="5398"/>
      <c r="Y813" s="3267"/>
      <c r="Z813" s="3267"/>
      <c r="AA813" s="5398"/>
      <c r="AB813" s="5398"/>
      <c r="AE813" s="2628"/>
      <c r="AF813" s="2629"/>
      <c r="AG813" s="2628"/>
      <c r="AH813" s="2629"/>
      <c r="AI813" s="2628"/>
      <c r="AJ813" s="2629"/>
      <c r="AK813" s="2671">
        <f t="shared" si="231"/>
        <v>0</v>
      </c>
      <c r="AL813" s="3464"/>
      <c r="AM813" s="3448"/>
      <c r="AN813" s="3448"/>
      <c r="AO813" s="3448"/>
      <c r="AP813" s="3448"/>
      <c r="AQ813" s="3448"/>
      <c r="AR813" s="3458" t="e">
        <f t="shared" si="233"/>
        <v>#DIV/0!</v>
      </c>
    </row>
    <row r="814" spans="1:44" ht="21.95" customHeight="1">
      <c r="A814" s="3267">
        <v>18</v>
      </c>
      <c r="B814" s="1646"/>
      <c r="C814" s="1451"/>
      <c r="D814" s="1451"/>
      <c r="E814" s="1451"/>
      <c r="F814" s="1451"/>
      <c r="G814" s="1452"/>
      <c r="H814" s="3267"/>
      <c r="I814" s="3267"/>
      <c r="J814" s="3267"/>
      <c r="K814" s="3267"/>
      <c r="L814" s="5398"/>
      <c r="M814" s="5398"/>
      <c r="N814" s="5398"/>
      <c r="O814" s="5398"/>
      <c r="P814" s="3267"/>
      <c r="Q814" s="3267"/>
      <c r="R814" s="3267"/>
      <c r="S814" s="3267"/>
      <c r="T814" s="3267"/>
      <c r="U814" s="5398"/>
      <c r="V814" s="5398"/>
      <c r="W814" s="5398"/>
      <c r="X814" s="5398"/>
      <c r="Y814" s="3267"/>
      <c r="Z814" s="3267"/>
      <c r="AA814" s="5398"/>
      <c r="AB814" s="5398"/>
      <c r="AE814" s="2628"/>
      <c r="AF814" s="2629"/>
      <c r="AG814" s="2628"/>
      <c r="AH814" s="2629"/>
      <c r="AI814" s="2628"/>
      <c r="AJ814" s="2629"/>
      <c r="AK814" s="2671">
        <f t="shared" si="231"/>
        <v>0</v>
      </c>
      <c r="AL814" s="3464"/>
      <c r="AM814" s="3448"/>
      <c r="AN814" s="3448"/>
      <c r="AO814" s="3448"/>
      <c r="AP814" s="3448"/>
      <c r="AQ814" s="3448"/>
      <c r="AR814" s="3458" t="e">
        <f t="shared" si="233"/>
        <v>#DIV/0!</v>
      </c>
    </row>
    <row r="815" spans="1:44" ht="21.95" customHeight="1">
      <c r="A815" s="3267">
        <v>19</v>
      </c>
      <c r="B815" s="1646"/>
      <c r="C815" s="1451"/>
      <c r="D815" s="1451"/>
      <c r="E815" s="1451"/>
      <c r="F815" s="1451"/>
      <c r="G815" s="1452"/>
      <c r="H815" s="3267"/>
      <c r="I815" s="3267"/>
      <c r="J815" s="3267"/>
      <c r="K815" s="3267"/>
      <c r="L815" s="5398"/>
      <c r="M815" s="5398"/>
      <c r="N815" s="5398"/>
      <c r="O815" s="5398"/>
      <c r="P815" s="3267"/>
      <c r="Q815" s="3267"/>
      <c r="R815" s="3267"/>
      <c r="S815" s="3267"/>
      <c r="T815" s="3267"/>
      <c r="U815" s="5398"/>
      <c r="V815" s="5398"/>
      <c r="W815" s="5398"/>
      <c r="X815" s="5398"/>
      <c r="Y815" s="3267"/>
      <c r="Z815" s="3267"/>
      <c r="AA815" s="5398"/>
      <c r="AB815" s="5398"/>
      <c r="AE815" s="2628"/>
      <c r="AF815" s="2629"/>
      <c r="AG815" s="2628"/>
      <c r="AH815" s="2629"/>
      <c r="AI815" s="2628"/>
      <c r="AJ815" s="2629"/>
      <c r="AK815" s="2671">
        <f t="shared" ref="AK815:AK823" si="234">SUM(AC815:AD815)</f>
        <v>0</v>
      </c>
      <c r="AL815" s="3464"/>
      <c r="AM815" s="3448"/>
      <c r="AN815" s="3448"/>
      <c r="AO815" s="3448"/>
      <c r="AP815" s="3448"/>
      <c r="AQ815" s="3448"/>
      <c r="AR815" s="3458" t="e">
        <f t="shared" si="233"/>
        <v>#DIV/0!</v>
      </c>
    </row>
    <row r="816" spans="1:44" ht="21.95" customHeight="1">
      <c r="A816" s="3267">
        <v>20</v>
      </c>
      <c r="B816" s="1646"/>
      <c r="C816" s="1451"/>
      <c r="D816" s="1451"/>
      <c r="E816" s="1451"/>
      <c r="F816" s="1451"/>
      <c r="G816" s="1452"/>
      <c r="H816" s="3267"/>
      <c r="I816" s="3267"/>
      <c r="J816" s="3267"/>
      <c r="K816" s="3267"/>
      <c r="L816" s="5398"/>
      <c r="M816" s="5398"/>
      <c r="N816" s="5398"/>
      <c r="O816" s="5398"/>
      <c r="P816" s="3267"/>
      <c r="Q816" s="3267"/>
      <c r="R816" s="3267"/>
      <c r="S816" s="3267"/>
      <c r="T816" s="3267"/>
      <c r="U816" s="5398"/>
      <c r="V816" s="5398"/>
      <c r="W816" s="5398"/>
      <c r="X816" s="5398"/>
      <c r="Y816" s="3267"/>
      <c r="Z816" s="3267"/>
      <c r="AA816" s="5398"/>
      <c r="AB816" s="5398"/>
      <c r="AE816" s="2628"/>
      <c r="AF816" s="2629"/>
      <c r="AG816" s="2628"/>
      <c r="AH816" s="2629"/>
      <c r="AI816" s="2628"/>
      <c r="AJ816" s="2629"/>
      <c r="AK816" s="2671">
        <f t="shared" si="234"/>
        <v>0</v>
      </c>
      <c r="AL816" s="3464"/>
      <c r="AM816" s="3448"/>
      <c r="AN816" s="3448"/>
      <c r="AO816" s="3448"/>
      <c r="AP816" s="3448"/>
      <c r="AQ816" s="3448"/>
      <c r="AR816" s="3458" t="e">
        <f t="shared" si="233"/>
        <v>#DIV/0!</v>
      </c>
    </row>
    <row r="817" spans="1:44" ht="21.95" customHeight="1">
      <c r="A817" s="3267">
        <v>21</v>
      </c>
      <c r="B817" s="1646"/>
      <c r="C817" s="1451"/>
      <c r="D817" s="1451"/>
      <c r="E817" s="1451"/>
      <c r="F817" s="1451"/>
      <c r="G817" s="1452"/>
      <c r="H817" s="3267"/>
      <c r="I817" s="3267"/>
      <c r="J817" s="3267"/>
      <c r="K817" s="3267"/>
      <c r="L817" s="5398"/>
      <c r="M817" s="5398"/>
      <c r="N817" s="5398"/>
      <c r="O817" s="5398"/>
      <c r="P817" s="3267"/>
      <c r="Q817" s="3267"/>
      <c r="R817" s="3267"/>
      <c r="S817" s="3267"/>
      <c r="T817" s="3267"/>
      <c r="U817" s="5398"/>
      <c r="V817" s="5398"/>
      <c r="W817" s="5398"/>
      <c r="X817" s="5398"/>
      <c r="Y817" s="3267"/>
      <c r="Z817" s="3267"/>
      <c r="AA817" s="5398"/>
      <c r="AB817" s="5398"/>
      <c r="AE817" s="2628"/>
      <c r="AF817" s="2629"/>
      <c r="AG817" s="2628"/>
      <c r="AH817" s="2629"/>
      <c r="AI817" s="2628"/>
      <c r="AJ817" s="2629"/>
      <c r="AK817" s="2671">
        <f t="shared" si="234"/>
        <v>0</v>
      </c>
      <c r="AL817" s="3464"/>
      <c r="AM817" s="3448"/>
      <c r="AN817" s="3448"/>
      <c r="AO817" s="3448"/>
      <c r="AP817" s="3448"/>
      <c r="AQ817" s="3448"/>
      <c r="AR817" s="3458" t="e">
        <f t="shared" si="233"/>
        <v>#DIV/0!</v>
      </c>
    </row>
    <row r="818" spans="1:44" ht="21.95" customHeight="1">
      <c r="A818" s="3267">
        <v>22</v>
      </c>
      <c r="B818" s="1646"/>
      <c r="C818" s="1451"/>
      <c r="D818" s="1451"/>
      <c r="E818" s="1451"/>
      <c r="F818" s="1451"/>
      <c r="G818" s="1452"/>
      <c r="H818" s="3267"/>
      <c r="I818" s="3267"/>
      <c r="J818" s="3267"/>
      <c r="K818" s="3267"/>
      <c r="L818" s="5398"/>
      <c r="M818" s="5398"/>
      <c r="N818" s="5398"/>
      <c r="O818" s="5398"/>
      <c r="P818" s="3267"/>
      <c r="Q818" s="3267"/>
      <c r="R818" s="3267"/>
      <c r="S818" s="3267"/>
      <c r="T818" s="3267"/>
      <c r="U818" s="5398"/>
      <c r="V818" s="5398"/>
      <c r="W818" s="5398"/>
      <c r="X818" s="5398"/>
      <c r="Y818" s="3267"/>
      <c r="Z818" s="3267"/>
      <c r="AA818" s="5398"/>
      <c r="AB818" s="5398"/>
      <c r="AE818" s="2628"/>
      <c r="AF818" s="2629"/>
      <c r="AG818" s="2628"/>
      <c r="AH818" s="2629"/>
      <c r="AI818" s="2628"/>
      <c r="AJ818" s="2629"/>
      <c r="AK818" s="2671">
        <f t="shared" si="234"/>
        <v>0</v>
      </c>
      <c r="AL818" s="3464"/>
      <c r="AM818" s="3448"/>
      <c r="AN818" s="3448"/>
      <c r="AO818" s="3448"/>
      <c r="AP818" s="3448"/>
      <c r="AQ818" s="3448"/>
      <c r="AR818" s="3458" t="e">
        <f t="shared" si="233"/>
        <v>#DIV/0!</v>
      </c>
    </row>
    <row r="819" spans="1:44" ht="21.95" customHeight="1">
      <c r="A819" s="3267">
        <v>23</v>
      </c>
      <c r="B819" s="1646"/>
      <c r="C819" s="1451"/>
      <c r="D819" s="1451"/>
      <c r="E819" s="1451"/>
      <c r="F819" s="1451"/>
      <c r="G819" s="1452"/>
      <c r="H819" s="3267"/>
      <c r="I819" s="3267"/>
      <c r="J819" s="3267"/>
      <c r="K819" s="3267"/>
      <c r="L819" s="5398"/>
      <c r="M819" s="5398"/>
      <c r="N819" s="5398"/>
      <c r="O819" s="5398"/>
      <c r="P819" s="3267"/>
      <c r="Q819" s="3267"/>
      <c r="R819" s="3267"/>
      <c r="S819" s="3267"/>
      <c r="T819" s="3267"/>
      <c r="U819" s="5398"/>
      <c r="V819" s="5398"/>
      <c r="W819" s="5398"/>
      <c r="X819" s="5398"/>
      <c r="Y819" s="3267"/>
      <c r="Z819" s="3267"/>
      <c r="AA819" s="5398"/>
      <c r="AB819" s="5398"/>
      <c r="AE819" s="2628"/>
      <c r="AF819" s="2629"/>
      <c r="AG819" s="2628"/>
      <c r="AH819" s="2629"/>
      <c r="AI819" s="2628"/>
      <c r="AJ819" s="2629"/>
      <c r="AK819" s="2671">
        <f t="shared" si="234"/>
        <v>0</v>
      </c>
      <c r="AL819" s="3464"/>
      <c r="AM819" s="3448"/>
      <c r="AN819" s="3448"/>
      <c r="AO819" s="3448"/>
      <c r="AP819" s="3448"/>
      <c r="AQ819" s="3448"/>
      <c r="AR819" s="3458" t="e">
        <f t="shared" si="233"/>
        <v>#DIV/0!</v>
      </c>
    </row>
    <row r="820" spans="1:44" ht="21.95" customHeight="1">
      <c r="A820" s="3267">
        <v>24</v>
      </c>
      <c r="B820" s="1646"/>
      <c r="C820" s="1451"/>
      <c r="D820" s="1451"/>
      <c r="E820" s="1451"/>
      <c r="F820" s="1451"/>
      <c r="G820" s="1452"/>
      <c r="H820" s="3267"/>
      <c r="I820" s="3267"/>
      <c r="J820" s="3267"/>
      <c r="K820" s="3267"/>
      <c r="L820" s="5398"/>
      <c r="M820" s="5398"/>
      <c r="N820" s="5398"/>
      <c r="O820" s="5398"/>
      <c r="P820" s="3267"/>
      <c r="Q820" s="3267"/>
      <c r="R820" s="3267"/>
      <c r="S820" s="3267"/>
      <c r="T820" s="3267"/>
      <c r="U820" s="5398"/>
      <c r="V820" s="5398"/>
      <c r="W820" s="5398"/>
      <c r="X820" s="5398"/>
      <c r="Y820" s="3267"/>
      <c r="Z820" s="3267"/>
      <c r="AA820" s="5398"/>
      <c r="AB820" s="5398"/>
      <c r="AE820" s="2628"/>
      <c r="AF820" s="2629"/>
      <c r="AG820" s="2628"/>
      <c r="AH820" s="2629"/>
      <c r="AI820" s="2628"/>
      <c r="AJ820" s="2629"/>
      <c r="AK820" s="2671">
        <f t="shared" si="234"/>
        <v>0</v>
      </c>
      <c r="AL820" s="3464"/>
      <c r="AM820" s="3448"/>
      <c r="AN820" s="3448"/>
      <c r="AO820" s="3448"/>
      <c r="AP820" s="3448"/>
      <c r="AQ820" s="3448"/>
      <c r="AR820" s="3458" t="e">
        <f t="shared" si="233"/>
        <v>#DIV/0!</v>
      </c>
    </row>
    <row r="821" spans="1:44" ht="21.95" customHeight="1">
      <c r="A821" s="3267">
        <v>25</v>
      </c>
      <c r="B821" s="1646"/>
      <c r="C821" s="1451"/>
      <c r="D821" s="1451"/>
      <c r="E821" s="1451"/>
      <c r="F821" s="1451"/>
      <c r="G821" s="1452"/>
      <c r="H821" s="3267"/>
      <c r="I821" s="3267"/>
      <c r="J821" s="3267"/>
      <c r="K821" s="3267"/>
      <c r="L821" s="5398"/>
      <c r="M821" s="5398"/>
      <c r="N821" s="5398"/>
      <c r="O821" s="5398"/>
      <c r="P821" s="3267"/>
      <c r="Q821" s="3267"/>
      <c r="R821" s="3267"/>
      <c r="S821" s="3267"/>
      <c r="T821" s="3267"/>
      <c r="U821" s="5398"/>
      <c r="V821" s="5398"/>
      <c r="W821" s="5398"/>
      <c r="X821" s="5398"/>
      <c r="Y821" s="3267"/>
      <c r="Z821" s="3267"/>
      <c r="AA821" s="5398"/>
      <c r="AB821" s="5398"/>
      <c r="AE821" s="2628"/>
      <c r="AF821" s="2629"/>
      <c r="AG821" s="2628"/>
      <c r="AH821" s="2629"/>
      <c r="AI821" s="2628"/>
      <c r="AJ821" s="2629"/>
      <c r="AK821" s="2671">
        <f t="shared" si="234"/>
        <v>0</v>
      </c>
      <c r="AL821" s="3464"/>
      <c r="AM821" s="3448"/>
      <c r="AN821" s="3448"/>
      <c r="AO821" s="3448"/>
      <c r="AP821" s="3448"/>
      <c r="AQ821" s="3448"/>
      <c r="AR821" s="3458" t="e">
        <f t="shared" si="233"/>
        <v>#DIV/0!</v>
      </c>
    </row>
    <row r="822" spans="1:44" ht="21.95" customHeight="1">
      <c r="A822" s="3267">
        <v>26</v>
      </c>
      <c r="B822" s="1646"/>
      <c r="C822" s="1451"/>
      <c r="D822" s="1451"/>
      <c r="E822" s="1451"/>
      <c r="F822" s="1451"/>
      <c r="G822" s="1452"/>
      <c r="H822" s="3267"/>
      <c r="I822" s="3267"/>
      <c r="J822" s="3267"/>
      <c r="K822" s="3267"/>
      <c r="L822" s="5398"/>
      <c r="M822" s="5398"/>
      <c r="N822" s="5398"/>
      <c r="O822" s="5398"/>
      <c r="P822" s="3267"/>
      <c r="Q822" s="3267"/>
      <c r="R822" s="3267"/>
      <c r="S822" s="3267"/>
      <c r="T822" s="3267"/>
      <c r="U822" s="5398"/>
      <c r="V822" s="5398"/>
      <c r="W822" s="5398"/>
      <c r="X822" s="5398"/>
      <c r="Y822" s="3267"/>
      <c r="Z822" s="3267"/>
      <c r="AA822" s="5398"/>
      <c r="AB822" s="5398"/>
      <c r="AE822" s="2628"/>
      <c r="AF822" s="2629"/>
      <c r="AG822" s="2628"/>
      <c r="AH822" s="2629"/>
      <c r="AI822" s="2628"/>
      <c r="AJ822" s="2629"/>
      <c r="AK822" s="2672">
        <f t="shared" si="234"/>
        <v>0</v>
      </c>
      <c r="AL822" s="3464"/>
      <c r="AM822" s="3448"/>
      <c r="AN822" s="3448"/>
      <c r="AO822" s="3448"/>
      <c r="AP822" s="3448"/>
      <c r="AQ822" s="3448"/>
      <c r="AR822" s="3458" t="e">
        <f t="shared" si="233"/>
        <v>#DIV/0!</v>
      </c>
    </row>
    <row r="823" spans="1:44" ht="21.95" customHeight="1">
      <c r="A823" s="3266"/>
      <c r="B823" s="1455" t="s">
        <v>437</v>
      </c>
      <c r="C823" s="1456"/>
      <c r="D823" s="1456"/>
      <c r="E823" s="1456"/>
      <c r="F823" s="1456"/>
      <c r="G823" s="1457"/>
      <c r="H823" s="1417">
        <f>'[8]VISITA DE INSP.'!$C$8</f>
        <v>0</v>
      </c>
      <c r="I823" s="1417"/>
      <c r="J823" s="1417"/>
      <c r="K823" s="1417"/>
      <c r="L823" s="1417"/>
      <c r="M823" s="1417"/>
      <c r="N823" s="1417"/>
      <c r="O823" s="1417"/>
      <c r="P823" s="1417"/>
      <c r="Q823" s="1417"/>
      <c r="R823" s="1417"/>
      <c r="S823" s="1417"/>
      <c r="T823" s="1417"/>
      <c r="U823" s="1417"/>
      <c r="V823" s="1417"/>
      <c r="W823" s="5477" t="s">
        <v>1232</v>
      </c>
      <c r="X823" s="5477"/>
      <c r="Y823" s="5477"/>
      <c r="Z823" s="3268">
        <f>COUNTA(Z797:Z822)</f>
        <v>0</v>
      </c>
      <c r="AA823" s="5477">
        <f>SUM(AA797:AB822)</f>
        <v>0</v>
      </c>
      <c r="AB823" s="5477"/>
      <c r="AC823" s="2687">
        <f t="shared" ref="AC823:AJ823" si="235">SUM(AC797:AC822)</f>
        <v>0</v>
      </c>
      <c r="AD823" s="2688">
        <f t="shared" si="235"/>
        <v>0</v>
      </c>
      <c r="AE823" s="2630">
        <f t="shared" si="235"/>
        <v>0</v>
      </c>
      <c r="AF823" s="2631">
        <f t="shared" si="235"/>
        <v>0</v>
      </c>
      <c r="AG823" s="2632">
        <f t="shared" si="235"/>
        <v>0</v>
      </c>
      <c r="AH823" s="2633">
        <f t="shared" si="235"/>
        <v>0</v>
      </c>
      <c r="AI823" s="2634">
        <f t="shared" si="235"/>
        <v>0</v>
      </c>
      <c r="AJ823" s="2635">
        <f t="shared" si="235"/>
        <v>0</v>
      </c>
      <c r="AK823" s="317">
        <f t="shared" si="234"/>
        <v>0</v>
      </c>
      <c r="AL823" s="3468" t="e">
        <f>SUM(AL797:AL822)/AL824</f>
        <v>#DIV/0!</v>
      </c>
      <c r="AM823" s="3467" t="e">
        <f t="shared" ref="AM823" si="236">SUM(AM797:AM822)/AM824</f>
        <v>#DIV/0!</v>
      </c>
      <c r="AN823" s="3466" t="e">
        <f t="shared" ref="AN823" si="237">SUM(AN797:AN822)/AN824</f>
        <v>#DIV/0!</v>
      </c>
      <c r="AO823" s="3466" t="e">
        <f t="shared" ref="AO823:AP823" si="238">SUM(AO797:AO822)/AO824</f>
        <v>#DIV/0!</v>
      </c>
      <c r="AP823" s="3466" t="e">
        <f t="shared" si="238"/>
        <v>#DIV/0!</v>
      </c>
      <c r="AQ823" s="3460" t="e">
        <f>SUM(AQ797:AQ822)/AQ824</f>
        <v>#DIV/0!</v>
      </c>
      <c r="AR823" s="3461" t="e">
        <f t="shared" si="233"/>
        <v>#DIV/0!</v>
      </c>
    </row>
    <row r="824" spans="1:44" ht="21.95" customHeight="1">
      <c r="A824" s="3266"/>
      <c r="B824" s="1445">
        <f>COUNTA(B797:G822)</f>
        <v>0</v>
      </c>
      <c r="C824" s="1445"/>
      <c r="D824" s="3266"/>
      <c r="E824" s="3266"/>
      <c r="F824" s="3266"/>
      <c r="G824" s="3266"/>
      <c r="H824" s="3266">
        <f>COUNTA(H797:H822)</f>
        <v>0</v>
      </c>
      <c r="I824" s="3266">
        <f>COUNTA(I797:I822)</f>
        <v>0</v>
      </c>
      <c r="J824" s="3266"/>
      <c r="K824" s="3266"/>
      <c r="L824" s="3266"/>
      <c r="M824" s="3266"/>
      <c r="N824" s="3266"/>
      <c r="O824" s="3266">
        <f>COUNTA(N797:O822)</f>
        <v>0</v>
      </c>
      <c r="P824" s="3266"/>
      <c r="Q824" s="3266"/>
      <c r="R824" s="3266"/>
      <c r="S824" s="3266"/>
      <c r="T824" s="3266">
        <f>COUNTA(T797:T822)</f>
        <v>0</v>
      </c>
      <c r="U824" s="3266"/>
      <c r="V824" s="3266"/>
      <c r="W824" s="3266"/>
      <c r="X824" s="3266"/>
      <c r="Y824" s="3266"/>
      <c r="Z824" s="3266"/>
      <c r="AA824" s="5475">
        <f>'[8]VISITA DE INSP.'!$X$35</f>
        <v>0</v>
      </c>
      <c r="AB824" s="5476"/>
      <c r="AC824" s="5334">
        <f>AC823+AD823</f>
        <v>0</v>
      </c>
      <c r="AD824" s="5334"/>
      <c r="AE824" s="5335">
        <f>AE823+AF823</f>
        <v>0</v>
      </c>
      <c r="AF824" s="5335"/>
      <c r="AG824" s="5335">
        <f>AG823+AH823</f>
        <v>0</v>
      </c>
      <c r="AH824" s="5335"/>
      <c r="AI824" s="2636"/>
      <c r="AJ824" s="2636"/>
      <c r="AK824" s="2636">
        <f>SUM(AC824:AD824)+AE824</f>
        <v>0</v>
      </c>
      <c r="AL824" s="3462">
        <f>COUNTA(AL797:AL822)</f>
        <v>0</v>
      </c>
      <c r="AM824" s="3462">
        <f t="shared" ref="AM824:AQ824" si="239">COUNTA(AM797:AM822)</f>
        <v>0</v>
      </c>
      <c r="AN824" s="3462">
        <f t="shared" si="239"/>
        <v>0</v>
      </c>
      <c r="AO824" s="3462">
        <f t="shared" si="239"/>
        <v>0</v>
      </c>
      <c r="AP824" s="3462">
        <f t="shared" si="239"/>
        <v>0</v>
      </c>
      <c r="AQ824" s="3462">
        <f t="shared" si="239"/>
        <v>0</v>
      </c>
      <c r="AR824" s="3462">
        <v>12</v>
      </c>
    </row>
    <row r="825" spans="1:44" ht="21.95" customHeight="1">
      <c r="A825" s="3266"/>
      <c r="B825" s="1445"/>
      <c r="C825" s="1445"/>
      <c r="D825" s="3266"/>
      <c r="E825" s="3266"/>
      <c r="F825" s="3266"/>
      <c r="G825" s="3266"/>
      <c r="H825" s="3266"/>
      <c r="I825" s="3266"/>
      <c r="J825" s="3266"/>
      <c r="K825" s="3266"/>
      <c r="L825" s="3266"/>
      <c r="M825" s="3266"/>
      <c r="N825" s="3266"/>
      <c r="O825" s="3266"/>
      <c r="P825" s="3266"/>
      <c r="Q825" s="3266"/>
      <c r="R825" s="3266"/>
      <c r="S825" s="3266"/>
      <c r="T825" s="3266"/>
      <c r="U825" s="3266"/>
      <c r="V825" s="3266"/>
      <c r="W825" s="3266"/>
      <c r="X825" s="3266"/>
      <c r="Y825" s="3266"/>
      <c r="Z825" s="3266"/>
      <c r="AA825" s="1458"/>
      <c r="AB825" s="1458"/>
      <c r="AD825" s="3238"/>
      <c r="AE825" s="2620"/>
      <c r="AF825" s="2621"/>
      <c r="AG825" s="2620"/>
      <c r="AH825" s="2619"/>
    </row>
    <row r="826" spans="1:44" ht="21.95" customHeight="1">
      <c r="A826" s="1663"/>
      <c r="B826" s="1422"/>
      <c r="C826" s="1422"/>
      <c r="D826" s="1422"/>
      <c r="E826" s="1422"/>
      <c r="F826" s="1422"/>
      <c r="G826" s="1422"/>
      <c r="H826" s="1422"/>
      <c r="I826" s="1447"/>
      <c r="J826" s="1447"/>
      <c r="K826" s="1447"/>
      <c r="L826" s="1447"/>
      <c r="M826" s="1447"/>
      <c r="N826" s="1447"/>
      <c r="O826" s="1447"/>
      <c r="P826" s="1447"/>
      <c r="Q826" s="1422"/>
      <c r="R826" s="1422"/>
      <c r="S826" s="1422"/>
      <c r="T826" s="1422"/>
      <c r="U826" s="1422"/>
      <c r="V826" s="1422"/>
      <c r="W826" s="1422"/>
      <c r="X826" s="1422"/>
      <c r="Y826" s="1422"/>
      <c r="Z826" s="1422"/>
      <c r="AA826" s="1422"/>
      <c r="AB826" s="1422"/>
      <c r="AD826" s="3238"/>
      <c r="AE826" s="2620"/>
      <c r="AF826" s="2621"/>
      <c r="AG826" s="2620"/>
      <c r="AH826" s="2619"/>
    </row>
    <row r="827" spans="1:44" ht="21.95" customHeight="1">
      <c r="B827" s="1427"/>
      <c r="D827" s="3262" t="s">
        <v>1193</v>
      </c>
      <c r="E827" s="5388">
        <f>B797</f>
        <v>0</v>
      </c>
      <c r="F827" s="5388"/>
      <c r="G827" s="5388"/>
      <c r="H827" s="5388"/>
      <c r="I827" s="5388"/>
      <c r="J827" s="5388"/>
      <c r="K827" s="1429"/>
      <c r="L827" s="1428"/>
      <c r="M827" s="3262" t="s">
        <v>1234</v>
      </c>
      <c r="N827" s="5388" t="str">
        <f>N787</f>
        <v>RICALDE CASTRO JESUS MARTIN</v>
      </c>
      <c r="O827" s="5388"/>
      <c r="P827" s="5388"/>
      <c r="Q827" s="5388"/>
      <c r="R827" s="5388"/>
      <c r="S827" s="5388"/>
      <c r="T827" s="1429"/>
      <c r="U827" s="1429"/>
      <c r="V827" s="3262" t="s">
        <v>1195</v>
      </c>
      <c r="W827" s="5388" t="str">
        <f>W787</f>
        <v xml:space="preserve">ANCONA FLORES AURA EUGENIA </v>
      </c>
      <c r="X827" s="5388"/>
      <c r="Y827" s="5388"/>
      <c r="Z827" s="5388"/>
      <c r="AA827" s="5388"/>
      <c r="AB827" s="5388"/>
      <c r="AD827" s="3238"/>
      <c r="AE827" s="2620"/>
      <c r="AF827" s="2621"/>
      <c r="AG827" s="2620"/>
      <c r="AH827" s="2619"/>
    </row>
    <row r="828" spans="1:44" ht="24.95" customHeight="1"/>
  </sheetData>
  <mergeCells count="3328">
    <mergeCell ref="AA824:AB824"/>
    <mergeCell ref="E827:J827"/>
    <mergeCell ref="N827:S827"/>
    <mergeCell ref="W827:AB827"/>
    <mergeCell ref="L822:M822"/>
    <mergeCell ref="N822:O822"/>
    <mergeCell ref="U822:V822"/>
    <mergeCell ref="W822:X822"/>
    <mergeCell ref="AA822:AB822"/>
    <mergeCell ref="W823:Y823"/>
    <mergeCell ref="AA823:AB823"/>
    <mergeCell ref="L820:M820"/>
    <mergeCell ref="N820:O820"/>
    <mergeCell ref="U820:V820"/>
    <mergeCell ref="W820:X820"/>
    <mergeCell ref="AA820:AB820"/>
    <mergeCell ref="L821:M821"/>
    <mergeCell ref="N821:O821"/>
    <mergeCell ref="U821:V821"/>
    <mergeCell ref="W821:X821"/>
    <mergeCell ref="AA821:AB821"/>
    <mergeCell ref="W818:X818"/>
    <mergeCell ref="AA818:AB818"/>
    <mergeCell ref="L819:M819"/>
    <mergeCell ref="N819:O819"/>
    <mergeCell ref="U819:V819"/>
    <mergeCell ref="W819:X819"/>
    <mergeCell ref="AA819:AB819"/>
    <mergeCell ref="L816:M816"/>
    <mergeCell ref="N816:O816"/>
    <mergeCell ref="U816:V816"/>
    <mergeCell ref="W816:X816"/>
    <mergeCell ref="AA816:AB816"/>
    <mergeCell ref="L817:M817"/>
    <mergeCell ref="N817:O817"/>
    <mergeCell ref="U817:V817"/>
    <mergeCell ref="W817:X817"/>
    <mergeCell ref="AA817:AB817"/>
    <mergeCell ref="L818:M818"/>
    <mergeCell ref="N818:O818"/>
    <mergeCell ref="U818:V818"/>
    <mergeCell ref="L814:M814"/>
    <mergeCell ref="N814:O814"/>
    <mergeCell ref="U814:V814"/>
    <mergeCell ref="W814:X814"/>
    <mergeCell ref="AA814:AB814"/>
    <mergeCell ref="L815:M815"/>
    <mergeCell ref="N815:O815"/>
    <mergeCell ref="U815:V815"/>
    <mergeCell ref="W815:X815"/>
    <mergeCell ref="AA815:AB815"/>
    <mergeCell ref="L812:M812"/>
    <mergeCell ref="N812:O812"/>
    <mergeCell ref="U812:V812"/>
    <mergeCell ref="W812:X812"/>
    <mergeCell ref="AA812:AB812"/>
    <mergeCell ref="L813:M813"/>
    <mergeCell ref="N813:O813"/>
    <mergeCell ref="U813:V813"/>
    <mergeCell ref="W813:X813"/>
    <mergeCell ref="AA813:AB813"/>
    <mergeCell ref="L810:M810"/>
    <mergeCell ref="N810:O810"/>
    <mergeCell ref="U810:V810"/>
    <mergeCell ref="W810:X810"/>
    <mergeCell ref="AA810:AB810"/>
    <mergeCell ref="L811:M811"/>
    <mergeCell ref="N811:O811"/>
    <mergeCell ref="U811:V811"/>
    <mergeCell ref="W811:X811"/>
    <mergeCell ref="AA811:AB811"/>
    <mergeCell ref="L808:M808"/>
    <mergeCell ref="N808:O808"/>
    <mergeCell ref="U808:V808"/>
    <mergeCell ref="W808:X808"/>
    <mergeCell ref="AA808:AB808"/>
    <mergeCell ref="L809:M809"/>
    <mergeCell ref="N809:O809"/>
    <mergeCell ref="U809:V809"/>
    <mergeCell ref="W809:X809"/>
    <mergeCell ref="AA809:AB809"/>
    <mergeCell ref="L806:M806"/>
    <mergeCell ref="N806:O806"/>
    <mergeCell ref="U806:V806"/>
    <mergeCell ref="W806:X806"/>
    <mergeCell ref="AA806:AB806"/>
    <mergeCell ref="L807:M807"/>
    <mergeCell ref="N807:O807"/>
    <mergeCell ref="U807:V807"/>
    <mergeCell ref="W807:X807"/>
    <mergeCell ref="AA807:AB807"/>
    <mergeCell ref="L804:M804"/>
    <mergeCell ref="N804:O804"/>
    <mergeCell ref="U804:V804"/>
    <mergeCell ref="W804:X804"/>
    <mergeCell ref="AA804:AB804"/>
    <mergeCell ref="L805:M805"/>
    <mergeCell ref="N805:O805"/>
    <mergeCell ref="U805:V805"/>
    <mergeCell ref="W805:X805"/>
    <mergeCell ref="AA805:AB805"/>
    <mergeCell ref="L802:M802"/>
    <mergeCell ref="N802:O802"/>
    <mergeCell ref="U802:V802"/>
    <mergeCell ref="W802:X802"/>
    <mergeCell ref="AA802:AB802"/>
    <mergeCell ref="L803:M803"/>
    <mergeCell ref="N803:O803"/>
    <mergeCell ref="U803:V803"/>
    <mergeCell ref="W803:X803"/>
    <mergeCell ref="AA803:AB803"/>
    <mergeCell ref="L800:M800"/>
    <mergeCell ref="N800:O800"/>
    <mergeCell ref="U800:V800"/>
    <mergeCell ref="W800:X800"/>
    <mergeCell ref="AA800:AB800"/>
    <mergeCell ref="L801:M801"/>
    <mergeCell ref="N801:O801"/>
    <mergeCell ref="U801:V801"/>
    <mergeCell ref="W801:X801"/>
    <mergeCell ref="AA801:AB801"/>
    <mergeCell ref="L798:M798"/>
    <mergeCell ref="N798:O798"/>
    <mergeCell ref="U798:V798"/>
    <mergeCell ref="W798:X798"/>
    <mergeCell ref="AA798:AB798"/>
    <mergeCell ref="L799:M799"/>
    <mergeCell ref="N799:O799"/>
    <mergeCell ref="U799:V799"/>
    <mergeCell ref="W799:X799"/>
    <mergeCell ref="AA799:AB799"/>
    <mergeCell ref="W795:X796"/>
    <mergeCell ref="Y795:Y796"/>
    <mergeCell ref="Z795:Z796"/>
    <mergeCell ref="AA795:AB796"/>
    <mergeCell ref="L797:M797"/>
    <mergeCell ref="N797:O797"/>
    <mergeCell ref="U797:V797"/>
    <mergeCell ref="W797:X797"/>
    <mergeCell ref="AA797:AB797"/>
    <mergeCell ref="L795:M796"/>
    <mergeCell ref="N795:O796"/>
    <mergeCell ref="P795:Q795"/>
    <mergeCell ref="R795:S795"/>
    <mergeCell ref="T795:T796"/>
    <mergeCell ref="U795:V796"/>
    <mergeCell ref="V792:AB792"/>
    <mergeCell ref="A793:B793"/>
    <mergeCell ref="C793:M793"/>
    <mergeCell ref="P793:T793"/>
    <mergeCell ref="X793:AB793"/>
    <mergeCell ref="A795:A796"/>
    <mergeCell ref="B795:G796"/>
    <mergeCell ref="H795:I795"/>
    <mergeCell ref="J795:J796"/>
    <mergeCell ref="K795:K796"/>
    <mergeCell ref="X789:AA789"/>
    <mergeCell ref="X790:AA790"/>
    <mergeCell ref="O791:P791"/>
    <mergeCell ref="R791:S791"/>
    <mergeCell ref="U791:X791"/>
    <mergeCell ref="A792:C792"/>
    <mergeCell ref="D792:K792"/>
    <mergeCell ref="M792:N792"/>
    <mergeCell ref="O792:P792"/>
    <mergeCell ref="Q792:S792"/>
    <mergeCell ref="W783:Y783"/>
    <mergeCell ref="AA783:AB783"/>
    <mergeCell ref="AA784:AB784"/>
    <mergeCell ref="E787:J787"/>
    <mergeCell ref="N787:S787"/>
    <mergeCell ref="W787:AB787"/>
    <mergeCell ref="B782:G782"/>
    <mergeCell ref="L782:M782"/>
    <mergeCell ref="N782:O782"/>
    <mergeCell ref="U782:V782"/>
    <mergeCell ref="W782:X782"/>
    <mergeCell ref="AA782:AB782"/>
    <mergeCell ref="B781:G781"/>
    <mergeCell ref="L781:M781"/>
    <mergeCell ref="N781:O781"/>
    <mergeCell ref="U781:V781"/>
    <mergeCell ref="W781:X781"/>
    <mergeCell ref="AA781:AB781"/>
    <mergeCell ref="B780:G780"/>
    <mergeCell ref="L780:M780"/>
    <mergeCell ref="N780:O780"/>
    <mergeCell ref="U780:V780"/>
    <mergeCell ref="W780:X780"/>
    <mergeCell ref="AA780:AB780"/>
    <mergeCell ref="B779:G779"/>
    <mergeCell ref="L779:M779"/>
    <mergeCell ref="N779:O779"/>
    <mergeCell ref="U779:V779"/>
    <mergeCell ref="W779:X779"/>
    <mergeCell ref="AA779:AB779"/>
    <mergeCell ref="B778:G778"/>
    <mergeCell ref="L778:M778"/>
    <mergeCell ref="N778:O778"/>
    <mergeCell ref="U778:V778"/>
    <mergeCell ref="W778:X778"/>
    <mergeCell ref="AA778:AB778"/>
    <mergeCell ref="B777:G777"/>
    <mergeCell ref="L777:M777"/>
    <mergeCell ref="N777:O777"/>
    <mergeCell ref="U777:V777"/>
    <mergeCell ref="W777:X777"/>
    <mergeCell ref="AA777:AB777"/>
    <mergeCell ref="B776:G776"/>
    <mergeCell ref="L776:M776"/>
    <mergeCell ref="N776:O776"/>
    <mergeCell ref="U776:V776"/>
    <mergeCell ref="W776:X776"/>
    <mergeCell ref="AA776:AB776"/>
    <mergeCell ref="B775:G775"/>
    <mergeCell ref="L775:M775"/>
    <mergeCell ref="N775:O775"/>
    <mergeCell ref="U775:V775"/>
    <mergeCell ref="W775:X775"/>
    <mergeCell ref="AA775:AB775"/>
    <mergeCell ref="B774:G774"/>
    <mergeCell ref="L774:M774"/>
    <mergeCell ref="N774:O774"/>
    <mergeCell ref="U774:V774"/>
    <mergeCell ref="W774:X774"/>
    <mergeCell ref="AA774:AB774"/>
    <mergeCell ref="B773:G773"/>
    <mergeCell ref="L773:M773"/>
    <mergeCell ref="N773:O773"/>
    <mergeCell ref="U773:V773"/>
    <mergeCell ref="W773:X773"/>
    <mergeCell ref="AA773:AB773"/>
    <mergeCell ref="B772:G772"/>
    <mergeCell ref="L772:M772"/>
    <mergeCell ref="N772:O772"/>
    <mergeCell ref="U772:V772"/>
    <mergeCell ref="W772:X772"/>
    <mergeCell ref="AA772:AB772"/>
    <mergeCell ref="B771:G771"/>
    <mergeCell ref="L771:M771"/>
    <mergeCell ref="N771:O771"/>
    <mergeCell ref="U771:V771"/>
    <mergeCell ref="W771:X771"/>
    <mergeCell ref="AA771:AB771"/>
    <mergeCell ref="B770:G770"/>
    <mergeCell ref="L770:M770"/>
    <mergeCell ref="N770:O770"/>
    <mergeCell ref="U770:V770"/>
    <mergeCell ref="W770:X770"/>
    <mergeCell ref="AA770:AB770"/>
    <mergeCell ref="B769:G769"/>
    <mergeCell ref="L769:M769"/>
    <mergeCell ref="N769:O769"/>
    <mergeCell ref="U769:V769"/>
    <mergeCell ref="W769:X769"/>
    <mergeCell ref="AA769:AB769"/>
    <mergeCell ref="B768:G768"/>
    <mergeCell ref="L768:M768"/>
    <mergeCell ref="N768:O768"/>
    <mergeCell ref="U768:V768"/>
    <mergeCell ref="W768:X768"/>
    <mergeCell ref="AA768:AB768"/>
    <mergeCell ref="B767:G767"/>
    <mergeCell ref="L767:M767"/>
    <mergeCell ref="N767:O767"/>
    <mergeCell ref="U767:V767"/>
    <mergeCell ref="W767:X767"/>
    <mergeCell ref="AA767:AB767"/>
    <mergeCell ref="B766:G766"/>
    <mergeCell ref="L766:M766"/>
    <mergeCell ref="N766:O766"/>
    <mergeCell ref="U766:V766"/>
    <mergeCell ref="W766:X766"/>
    <mergeCell ref="AA766:AB766"/>
    <mergeCell ref="B765:G765"/>
    <mergeCell ref="L765:M765"/>
    <mergeCell ref="N765:O765"/>
    <mergeCell ref="U765:V765"/>
    <mergeCell ref="W765:X765"/>
    <mergeCell ref="AA765:AB765"/>
    <mergeCell ref="B764:G764"/>
    <mergeCell ref="L764:M764"/>
    <mergeCell ref="N764:O764"/>
    <mergeCell ref="U764:V764"/>
    <mergeCell ref="W764:X764"/>
    <mergeCell ref="AA764:AB764"/>
    <mergeCell ref="B763:G763"/>
    <mergeCell ref="L763:M763"/>
    <mergeCell ref="N763:O763"/>
    <mergeCell ref="U763:V763"/>
    <mergeCell ref="W763:X763"/>
    <mergeCell ref="AA763:AB763"/>
    <mergeCell ref="B762:G762"/>
    <mergeCell ref="L762:M762"/>
    <mergeCell ref="N762:O762"/>
    <mergeCell ref="U762:V762"/>
    <mergeCell ref="W762:X762"/>
    <mergeCell ref="AA762:AB762"/>
    <mergeCell ref="B761:G761"/>
    <mergeCell ref="L761:M761"/>
    <mergeCell ref="N761:O761"/>
    <mergeCell ref="U761:V761"/>
    <mergeCell ref="W761:X761"/>
    <mergeCell ref="AA761:AB761"/>
    <mergeCell ref="B760:G760"/>
    <mergeCell ref="L760:M760"/>
    <mergeCell ref="N760:O760"/>
    <mergeCell ref="U760:V760"/>
    <mergeCell ref="W760:X760"/>
    <mergeCell ref="AA760:AB760"/>
    <mergeCell ref="B759:G759"/>
    <mergeCell ref="L759:M759"/>
    <mergeCell ref="N759:O759"/>
    <mergeCell ref="U759:V759"/>
    <mergeCell ref="W759:X759"/>
    <mergeCell ref="AA759:AB759"/>
    <mergeCell ref="B758:G758"/>
    <mergeCell ref="L758:M758"/>
    <mergeCell ref="N758:O758"/>
    <mergeCell ref="U758:V758"/>
    <mergeCell ref="W758:X758"/>
    <mergeCell ref="AA758:AB758"/>
    <mergeCell ref="W755:X756"/>
    <mergeCell ref="Y755:Y756"/>
    <mergeCell ref="Z755:Z756"/>
    <mergeCell ref="AA755:AB756"/>
    <mergeCell ref="B757:G757"/>
    <mergeCell ref="L757:M757"/>
    <mergeCell ref="N757:O757"/>
    <mergeCell ref="U757:V757"/>
    <mergeCell ref="W757:X757"/>
    <mergeCell ref="AA757:AB757"/>
    <mergeCell ref="L755:M756"/>
    <mergeCell ref="N755:O756"/>
    <mergeCell ref="P755:Q755"/>
    <mergeCell ref="R755:S755"/>
    <mergeCell ref="T755:T756"/>
    <mergeCell ref="U755:V756"/>
    <mergeCell ref="V752:AB752"/>
    <mergeCell ref="A753:B753"/>
    <mergeCell ref="C753:M753"/>
    <mergeCell ref="P753:T753"/>
    <mergeCell ref="X753:AB753"/>
    <mergeCell ref="A755:A756"/>
    <mergeCell ref="B755:G756"/>
    <mergeCell ref="H755:I755"/>
    <mergeCell ref="J755:J756"/>
    <mergeCell ref="K755:K756"/>
    <mergeCell ref="X749:AA749"/>
    <mergeCell ref="X750:AA750"/>
    <mergeCell ref="O751:P751"/>
    <mergeCell ref="R751:S751"/>
    <mergeCell ref="U751:X751"/>
    <mergeCell ref="A752:C752"/>
    <mergeCell ref="D752:K752"/>
    <mergeCell ref="M752:N752"/>
    <mergeCell ref="O752:P752"/>
    <mergeCell ref="Q752:S752"/>
    <mergeCell ref="W743:Y743"/>
    <mergeCell ref="AA743:AB743"/>
    <mergeCell ref="AA744:AB744"/>
    <mergeCell ref="E747:J747"/>
    <mergeCell ref="N747:S747"/>
    <mergeCell ref="W747:AB747"/>
    <mergeCell ref="B742:G742"/>
    <mergeCell ref="L742:M742"/>
    <mergeCell ref="N742:O742"/>
    <mergeCell ref="U742:V742"/>
    <mergeCell ref="W742:X742"/>
    <mergeCell ref="AA742:AB742"/>
    <mergeCell ref="B741:G741"/>
    <mergeCell ref="L741:M741"/>
    <mergeCell ref="N741:O741"/>
    <mergeCell ref="U741:V741"/>
    <mergeCell ref="W741:X741"/>
    <mergeCell ref="AA741:AB741"/>
    <mergeCell ref="B740:G740"/>
    <mergeCell ref="L740:M740"/>
    <mergeCell ref="N740:O740"/>
    <mergeCell ref="U740:V740"/>
    <mergeCell ref="W740:X740"/>
    <mergeCell ref="AA740:AB740"/>
    <mergeCell ref="B739:G739"/>
    <mergeCell ref="L739:M739"/>
    <mergeCell ref="N739:O739"/>
    <mergeCell ref="U739:V739"/>
    <mergeCell ref="W739:X739"/>
    <mergeCell ref="AA739:AB739"/>
    <mergeCell ref="B738:G738"/>
    <mergeCell ref="L738:M738"/>
    <mergeCell ref="N738:O738"/>
    <mergeCell ref="U738:V738"/>
    <mergeCell ref="W738:X738"/>
    <mergeCell ref="AA738:AB738"/>
    <mergeCell ref="B737:G737"/>
    <mergeCell ref="L737:M737"/>
    <mergeCell ref="N737:O737"/>
    <mergeCell ref="U737:V737"/>
    <mergeCell ref="W737:X737"/>
    <mergeCell ref="AA737:AB737"/>
    <mergeCell ref="B736:G736"/>
    <mergeCell ref="L736:M736"/>
    <mergeCell ref="N736:O736"/>
    <mergeCell ref="U736:V736"/>
    <mergeCell ref="W736:X736"/>
    <mergeCell ref="AA736:AB736"/>
    <mergeCell ref="B735:G735"/>
    <mergeCell ref="L735:M735"/>
    <mergeCell ref="N735:O735"/>
    <mergeCell ref="U735:V735"/>
    <mergeCell ref="W735:X735"/>
    <mergeCell ref="AA735:AB735"/>
    <mergeCell ref="B734:G734"/>
    <mergeCell ref="L734:M734"/>
    <mergeCell ref="N734:O734"/>
    <mergeCell ref="U734:V734"/>
    <mergeCell ref="W734:X734"/>
    <mergeCell ref="AA734:AB734"/>
    <mergeCell ref="B733:G733"/>
    <mergeCell ref="L733:M733"/>
    <mergeCell ref="N733:O733"/>
    <mergeCell ref="U733:V733"/>
    <mergeCell ref="W733:X733"/>
    <mergeCell ref="AA733:AB733"/>
    <mergeCell ref="B732:G732"/>
    <mergeCell ref="L732:M732"/>
    <mergeCell ref="N732:O732"/>
    <mergeCell ref="U732:V732"/>
    <mergeCell ref="W732:X732"/>
    <mergeCell ref="AA732:AB732"/>
    <mergeCell ref="B731:G731"/>
    <mergeCell ref="L731:M731"/>
    <mergeCell ref="N731:O731"/>
    <mergeCell ref="U731:V731"/>
    <mergeCell ref="W731:X731"/>
    <mergeCell ref="AA731:AB731"/>
    <mergeCell ref="B730:G730"/>
    <mergeCell ref="L730:M730"/>
    <mergeCell ref="N730:O730"/>
    <mergeCell ref="U730:V730"/>
    <mergeCell ref="W730:X730"/>
    <mergeCell ref="AA730:AB730"/>
    <mergeCell ref="B729:G729"/>
    <mergeCell ref="L729:M729"/>
    <mergeCell ref="N729:O729"/>
    <mergeCell ref="U729:V729"/>
    <mergeCell ref="W729:X729"/>
    <mergeCell ref="AA729:AB729"/>
    <mergeCell ref="B728:G728"/>
    <mergeCell ref="L728:M728"/>
    <mergeCell ref="N728:O728"/>
    <mergeCell ref="U728:V728"/>
    <mergeCell ref="W728:X728"/>
    <mergeCell ref="AA728:AB728"/>
    <mergeCell ref="B727:G727"/>
    <mergeCell ref="L727:M727"/>
    <mergeCell ref="N727:O727"/>
    <mergeCell ref="U727:V727"/>
    <mergeCell ref="W727:X727"/>
    <mergeCell ref="AA727:AB727"/>
    <mergeCell ref="B726:G726"/>
    <mergeCell ref="L726:M726"/>
    <mergeCell ref="N726:O726"/>
    <mergeCell ref="U726:V726"/>
    <mergeCell ref="W726:X726"/>
    <mergeCell ref="AA726:AB726"/>
    <mergeCell ref="B725:G725"/>
    <mergeCell ref="L725:M725"/>
    <mergeCell ref="N725:O725"/>
    <mergeCell ref="U725:V725"/>
    <mergeCell ref="W725:X725"/>
    <mergeCell ref="AA725:AB725"/>
    <mergeCell ref="B724:G724"/>
    <mergeCell ref="L724:M724"/>
    <mergeCell ref="N724:O724"/>
    <mergeCell ref="U724:V724"/>
    <mergeCell ref="W724:X724"/>
    <mergeCell ref="AA724:AB724"/>
    <mergeCell ref="B723:G723"/>
    <mergeCell ref="L723:M723"/>
    <mergeCell ref="N723:O723"/>
    <mergeCell ref="U723:V723"/>
    <mergeCell ref="W723:X723"/>
    <mergeCell ref="AA723:AB723"/>
    <mergeCell ref="B722:G722"/>
    <mergeCell ref="L722:M722"/>
    <mergeCell ref="N722:O722"/>
    <mergeCell ref="U722:V722"/>
    <mergeCell ref="W722:X722"/>
    <mergeCell ref="AA722:AB722"/>
    <mergeCell ref="B721:G721"/>
    <mergeCell ref="L721:M721"/>
    <mergeCell ref="N721:O721"/>
    <mergeCell ref="U721:V721"/>
    <mergeCell ref="W721:X721"/>
    <mergeCell ref="AA721:AB721"/>
    <mergeCell ref="B720:G720"/>
    <mergeCell ref="L720:M720"/>
    <mergeCell ref="N720:O720"/>
    <mergeCell ref="U720:V720"/>
    <mergeCell ref="W720:X720"/>
    <mergeCell ref="AA720:AB720"/>
    <mergeCell ref="B719:G719"/>
    <mergeCell ref="L719:M719"/>
    <mergeCell ref="N719:O719"/>
    <mergeCell ref="U719:V719"/>
    <mergeCell ref="W719:X719"/>
    <mergeCell ref="AA719:AB719"/>
    <mergeCell ref="B718:G718"/>
    <mergeCell ref="L718:M718"/>
    <mergeCell ref="N718:O718"/>
    <mergeCell ref="U718:V718"/>
    <mergeCell ref="W718:X718"/>
    <mergeCell ref="AA718:AB718"/>
    <mergeCell ref="Y715:Y716"/>
    <mergeCell ref="Z715:Z716"/>
    <mergeCell ref="AA715:AB716"/>
    <mergeCell ref="B717:G717"/>
    <mergeCell ref="L717:M717"/>
    <mergeCell ref="N717:O717"/>
    <mergeCell ref="U717:V717"/>
    <mergeCell ref="W717:X717"/>
    <mergeCell ref="AA717:AB717"/>
    <mergeCell ref="N715:O716"/>
    <mergeCell ref="P715:Q715"/>
    <mergeCell ref="R715:S715"/>
    <mergeCell ref="T715:T716"/>
    <mergeCell ref="U715:V716"/>
    <mergeCell ref="W715:X716"/>
    <mergeCell ref="A713:B713"/>
    <mergeCell ref="C713:M713"/>
    <mergeCell ref="P713:T713"/>
    <mergeCell ref="X713:AB713"/>
    <mergeCell ref="A715:A716"/>
    <mergeCell ref="B715:G716"/>
    <mergeCell ref="H715:I715"/>
    <mergeCell ref="J715:J716"/>
    <mergeCell ref="K715:K716"/>
    <mergeCell ref="L715:M716"/>
    <mergeCell ref="O711:P711"/>
    <mergeCell ref="R711:S711"/>
    <mergeCell ref="U711:X711"/>
    <mergeCell ref="A712:C712"/>
    <mergeCell ref="D712:K712"/>
    <mergeCell ref="M712:N712"/>
    <mergeCell ref="O712:P712"/>
    <mergeCell ref="Q712:S712"/>
    <mergeCell ref="V712:AB712"/>
    <mergeCell ref="AA704:AB704"/>
    <mergeCell ref="E707:J707"/>
    <mergeCell ref="N707:S707"/>
    <mergeCell ref="W707:AB707"/>
    <mergeCell ref="X709:AA709"/>
    <mergeCell ref="X710:AA710"/>
    <mergeCell ref="L702:M702"/>
    <mergeCell ref="N702:O702"/>
    <mergeCell ref="U702:V702"/>
    <mergeCell ref="W702:X702"/>
    <mergeCell ref="AA702:AB702"/>
    <mergeCell ref="W703:Y703"/>
    <mergeCell ref="AA703:AB703"/>
    <mergeCell ref="L700:M700"/>
    <mergeCell ref="N700:O700"/>
    <mergeCell ref="U700:V700"/>
    <mergeCell ref="W700:X700"/>
    <mergeCell ref="AA700:AB700"/>
    <mergeCell ref="L701:M701"/>
    <mergeCell ref="N701:O701"/>
    <mergeCell ref="U701:V701"/>
    <mergeCell ref="W701:X701"/>
    <mergeCell ref="AA701:AB701"/>
    <mergeCell ref="L698:M698"/>
    <mergeCell ref="N698:O698"/>
    <mergeCell ref="U698:V698"/>
    <mergeCell ref="W698:X698"/>
    <mergeCell ref="AA698:AB698"/>
    <mergeCell ref="L699:M699"/>
    <mergeCell ref="N699:O699"/>
    <mergeCell ref="U699:V699"/>
    <mergeCell ref="W699:X699"/>
    <mergeCell ref="AA699:AB699"/>
    <mergeCell ref="L696:M696"/>
    <mergeCell ref="N696:O696"/>
    <mergeCell ref="U696:V696"/>
    <mergeCell ref="W696:X696"/>
    <mergeCell ref="AA696:AB696"/>
    <mergeCell ref="L697:M697"/>
    <mergeCell ref="N697:O697"/>
    <mergeCell ref="U697:V697"/>
    <mergeCell ref="W697:X697"/>
    <mergeCell ref="AA697:AB697"/>
    <mergeCell ref="L694:M694"/>
    <mergeCell ref="N694:O694"/>
    <mergeCell ref="U694:V694"/>
    <mergeCell ref="W694:X694"/>
    <mergeCell ref="AA694:AB694"/>
    <mergeCell ref="L695:M695"/>
    <mergeCell ref="N695:O695"/>
    <mergeCell ref="U695:V695"/>
    <mergeCell ref="W695:X695"/>
    <mergeCell ref="AA695:AB695"/>
    <mergeCell ref="L692:M692"/>
    <mergeCell ref="N692:O692"/>
    <mergeCell ref="U692:V692"/>
    <mergeCell ref="W692:X692"/>
    <mergeCell ref="AA692:AB692"/>
    <mergeCell ref="L693:M693"/>
    <mergeCell ref="N693:O693"/>
    <mergeCell ref="U693:V693"/>
    <mergeCell ref="W693:X693"/>
    <mergeCell ref="AA693:AB693"/>
    <mergeCell ref="L690:M690"/>
    <mergeCell ref="N690:O690"/>
    <mergeCell ref="U690:V690"/>
    <mergeCell ref="W690:X690"/>
    <mergeCell ref="AA690:AB690"/>
    <mergeCell ref="L691:M691"/>
    <mergeCell ref="N691:O691"/>
    <mergeCell ref="U691:V691"/>
    <mergeCell ref="W691:X691"/>
    <mergeCell ref="AA691:AB691"/>
    <mergeCell ref="L688:M688"/>
    <mergeCell ref="N688:O688"/>
    <mergeCell ref="U688:V688"/>
    <mergeCell ref="W688:X688"/>
    <mergeCell ref="AA688:AB688"/>
    <mergeCell ref="L689:M689"/>
    <mergeCell ref="N689:O689"/>
    <mergeCell ref="U689:V689"/>
    <mergeCell ref="W689:X689"/>
    <mergeCell ref="AA689:AB689"/>
    <mergeCell ref="L686:M686"/>
    <mergeCell ref="N686:O686"/>
    <mergeCell ref="U686:V686"/>
    <mergeCell ref="W686:X686"/>
    <mergeCell ref="AA686:AB686"/>
    <mergeCell ref="L687:M687"/>
    <mergeCell ref="N687:O687"/>
    <mergeCell ref="U687:V687"/>
    <mergeCell ref="W687:X687"/>
    <mergeCell ref="AA687:AB687"/>
    <mergeCell ref="L684:M684"/>
    <mergeCell ref="N684:O684"/>
    <mergeCell ref="U684:V684"/>
    <mergeCell ref="W684:X684"/>
    <mergeCell ref="AA684:AB684"/>
    <mergeCell ref="L685:M685"/>
    <mergeCell ref="N685:O685"/>
    <mergeCell ref="U685:V685"/>
    <mergeCell ref="W685:X685"/>
    <mergeCell ref="AA685:AB685"/>
    <mergeCell ref="L682:M682"/>
    <mergeCell ref="N682:O682"/>
    <mergeCell ref="U682:V682"/>
    <mergeCell ref="W682:X682"/>
    <mergeCell ref="AA682:AB682"/>
    <mergeCell ref="L683:M683"/>
    <mergeCell ref="N683:O683"/>
    <mergeCell ref="U683:V683"/>
    <mergeCell ref="W683:X683"/>
    <mergeCell ref="AA683:AB683"/>
    <mergeCell ref="L680:M680"/>
    <mergeCell ref="N680:O680"/>
    <mergeCell ref="U680:V680"/>
    <mergeCell ref="W680:X680"/>
    <mergeCell ref="AA680:AB680"/>
    <mergeCell ref="L681:M681"/>
    <mergeCell ref="N681:O681"/>
    <mergeCell ref="U681:V681"/>
    <mergeCell ref="W681:X681"/>
    <mergeCell ref="AA681:AB681"/>
    <mergeCell ref="L678:M678"/>
    <mergeCell ref="N678:O678"/>
    <mergeCell ref="U678:V678"/>
    <mergeCell ref="W678:X678"/>
    <mergeCell ref="AA678:AB678"/>
    <mergeCell ref="L679:M679"/>
    <mergeCell ref="N679:O679"/>
    <mergeCell ref="U679:V679"/>
    <mergeCell ref="W679:X679"/>
    <mergeCell ref="AA679:AB679"/>
    <mergeCell ref="Y675:Y676"/>
    <mergeCell ref="Z675:Z676"/>
    <mergeCell ref="AA675:AB676"/>
    <mergeCell ref="L677:M677"/>
    <mergeCell ref="N677:O677"/>
    <mergeCell ref="U677:V677"/>
    <mergeCell ref="W677:X677"/>
    <mergeCell ref="AA677:AB677"/>
    <mergeCell ref="N675:O676"/>
    <mergeCell ref="P675:Q675"/>
    <mergeCell ref="R675:S675"/>
    <mergeCell ref="T675:T676"/>
    <mergeCell ref="U675:V676"/>
    <mergeCell ref="W675:X676"/>
    <mergeCell ref="A673:B673"/>
    <mergeCell ref="C673:M673"/>
    <mergeCell ref="P673:T673"/>
    <mergeCell ref="X673:AB673"/>
    <mergeCell ref="A675:A676"/>
    <mergeCell ref="B675:G676"/>
    <mergeCell ref="H675:I675"/>
    <mergeCell ref="J675:J676"/>
    <mergeCell ref="K675:K676"/>
    <mergeCell ref="L675:M676"/>
    <mergeCell ref="O671:P671"/>
    <mergeCell ref="R671:S671"/>
    <mergeCell ref="U671:X671"/>
    <mergeCell ref="A672:C672"/>
    <mergeCell ref="D672:K672"/>
    <mergeCell ref="M672:N672"/>
    <mergeCell ref="O672:P672"/>
    <mergeCell ref="Q672:S672"/>
    <mergeCell ref="V672:AB672"/>
    <mergeCell ref="AA664:AB664"/>
    <mergeCell ref="E667:J667"/>
    <mergeCell ref="N667:S667"/>
    <mergeCell ref="W667:AB667"/>
    <mergeCell ref="X669:AA669"/>
    <mergeCell ref="X670:AA670"/>
    <mergeCell ref="L662:M662"/>
    <mergeCell ref="N662:O662"/>
    <mergeCell ref="U662:V662"/>
    <mergeCell ref="W662:X662"/>
    <mergeCell ref="AA662:AB662"/>
    <mergeCell ref="W663:Y663"/>
    <mergeCell ref="AA663:AB663"/>
    <mergeCell ref="L660:M660"/>
    <mergeCell ref="N660:O660"/>
    <mergeCell ref="U660:V660"/>
    <mergeCell ref="W660:X660"/>
    <mergeCell ref="AA660:AB660"/>
    <mergeCell ref="L661:M661"/>
    <mergeCell ref="N661:O661"/>
    <mergeCell ref="U661:V661"/>
    <mergeCell ref="W661:X661"/>
    <mergeCell ref="AA661:AB661"/>
    <mergeCell ref="H664:I664"/>
    <mergeCell ref="H665:I665"/>
    <mergeCell ref="H666:I666"/>
    <mergeCell ref="L658:M658"/>
    <mergeCell ref="N658:O658"/>
    <mergeCell ref="U658:V658"/>
    <mergeCell ref="W658:X658"/>
    <mergeCell ref="AA658:AB658"/>
    <mergeCell ref="L659:M659"/>
    <mergeCell ref="N659:O659"/>
    <mergeCell ref="U659:V659"/>
    <mergeCell ref="W659:X659"/>
    <mergeCell ref="AA659:AB659"/>
    <mergeCell ref="L656:M656"/>
    <mergeCell ref="N656:O656"/>
    <mergeCell ref="U656:V656"/>
    <mergeCell ref="W656:X656"/>
    <mergeCell ref="AA656:AB656"/>
    <mergeCell ref="L657:M657"/>
    <mergeCell ref="N657:O657"/>
    <mergeCell ref="U657:V657"/>
    <mergeCell ref="W657:X657"/>
    <mergeCell ref="AA657:AB657"/>
    <mergeCell ref="L654:M654"/>
    <mergeCell ref="N654:O654"/>
    <mergeCell ref="U654:V654"/>
    <mergeCell ref="W654:X654"/>
    <mergeCell ref="AA654:AB654"/>
    <mergeCell ref="L655:M655"/>
    <mergeCell ref="N655:O655"/>
    <mergeCell ref="U655:V655"/>
    <mergeCell ref="W655:X655"/>
    <mergeCell ref="AA655:AB655"/>
    <mergeCell ref="L648:M648"/>
    <mergeCell ref="N652:O652"/>
    <mergeCell ref="U652:V652"/>
    <mergeCell ref="W652:X652"/>
    <mergeCell ref="AA652:AB652"/>
    <mergeCell ref="L653:M653"/>
    <mergeCell ref="N653:O653"/>
    <mergeCell ref="U653:V653"/>
    <mergeCell ref="W653:X653"/>
    <mergeCell ref="AA653:AB653"/>
    <mergeCell ref="L652:M652"/>
    <mergeCell ref="L650:M650"/>
    <mergeCell ref="N650:O650"/>
    <mergeCell ref="U650:V650"/>
    <mergeCell ref="W650:X650"/>
    <mergeCell ref="AA650:AB650"/>
    <mergeCell ref="L651:M651"/>
    <mergeCell ref="N651:O651"/>
    <mergeCell ref="U651:V651"/>
    <mergeCell ref="W651:X651"/>
    <mergeCell ref="AA651:AB651"/>
    <mergeCell ref="N648:O648"/>
    <mergeCell ref="U648:V648"/>
    <mergeCell ref="W648:X648"/>
    <mergeCell ref="AA648:AB648"/>
    <mergeCell ref="L649:M649"/>
    <mergeCell ref="N649:O649"/>
    <mergeCell ref="U649:V649"/>
    <mergeCell ref="W649:X649"/>
    <mergeCell ref="AA649:AB649"/>
    <mergeCell ref="L646:M646"/>
    <mergeCell ref="N646:O646"/>
    <mergeCell ref="U646:V646"/>
    <mergeCell ref="W646:X646"/>
    <mergeCell ref="AA646:AB646"/>
    <mergeCell ref="L647:M647"/>
    <mergeCell ref="N647:O647"/>
    <mergeCell ref="U647:V647"/>
    <mergeCell ref="W647:X647"/>
    <mergeCell ref="AA647:AB647"/>
    <mergeCell ref="L644:M644"/>
    <mergeCell ref="N644:O644"/>
    <mergeCell ref="U644:V644"/>
    <mergeCell ref="W644:X644"/>
    <mergeCell ref="AA644:AB644"/>
    <mergeCell ref="L645:M645"/>
    <mergeCell ref="N645:O645"/>
    <mergeCell ref="U645:V645"/>
    <mergeCell ref="W645:X645"/>
    <mergeCell ref="AA645:AB645"/>
    <mergeCell ref="L642:M642"/>
    <mergeCell ref="N642:O642"/>
    <mergeCell ref="U642:V642"/>
    <mergeCell ref="W642:X642"/>
    <mergeCell ref="AA642:AB642"/>
    <mergeCell ref="L643:M643"/>
    <mergeCell ref="N643:O643"/>
    <mergeCell ref="U643:V643"/>
    <mergeCell ref="W643:X643"/>
    <mergeCell ref="AA643:AB643"/>
    <mergeCell ref="L640:M640"/>
    <mergeCell ref="N640:O640"/>
    <mergeCell ref="U640:V640"/>
    <mergeCell ref="W640:X640"/>
    <mergeCell ref="AA640:AB640"/>
    <mergeCell ref="L641:M641"/>
    <mergeCell ref="N641:O641"/>
    <mergeCell ref="U641:V641"/>
    <mergeCell ref="W641:X641"/>
    <mergeCell ref="AA641:AB641"/>
    <mergeCell ref="L638:M638"/>
    <mergeCell ref="N638:O638"/>
    <mergeCell ref="U638:V638"/>
    <mergeCell ref="W638:X638"/>
    <mergeCell ref="AA638:AB638"/>
    <mergeCell ref="L639:M639"/>
    <mergeCell ref="N639:O639"/>
    <mergeCell ref="U639:V639"/>
    <mergeCell ref="W639:X639"/>
    <mergeCell ref="AA639:AB639"/>
    <mergeCell ref="Y635:Y636"/>
    <mergeCell ref="Z635:Z636"/>
    <mergeCell ref="AA635:AB636"/>
    <mergeCell ref="L637:M637"/>
    <mergeCell ref="N637:O637"/>
    <mergeCell ref="U637:V637"/>
    <mergeCell ref="W637:X637"/>
    <mergeCell ref="AA637:AB637"/>
    <mergeCell ref="N635:O636"/>
    <mergeCell ref="P635:Q635"/>
    <mergeCell ref="R635:S635"/>
    <mergeCell ref="T635:T636"/>
    <mergeCell ref="U635:V636"/>
    <mergeCell ref="W635:X636"/>
    <mergeCell ref="A633:B633"/>
    <mergeCell ref="C633:M633"/>
    <mergeCell ref="P633:T633"/>
    <mergeCell ref="X633:AB633"/>
    <mergeCell ref="A635:A636"/>
    <mergeCell ref="B635:G636"/>
    <mergeCell ref="H635:I635"/>
    <mergeCell ref="J635:J636"/>
    <mergeCell ref="K635:K636"/>
    <mergeCell ref="L635:M636"/>
    <mergeCell ref="X630:AA630"/>
    <mergeCell ref="O631:P631"/>
    <mergeCell ref="R631:S631"/>
    <mergeCell ref="U631:X631"/>
    <mergeCell ref="A632:C632"/>
    <mergeCell ref="D632:K632"/>
    <mergeCell ref="M632:N632"/>
    <mergeCell ref="O632:P632"/>
    <mergeCell ref="Q632:S632"/>
    <mergeCell ref="V632:AB632"/>
    <mergeCell ref="AA624:AB624"/>
    <mergeCell ref="E627:J627"/>
    <mergeCell ref="N627:S627"/>
    <mergeCell ref="W627:AB627"/>
    <mergeCell ref="X628:AA628"/>
    <mergeCell ref="X629:AA629"/>
    <mergeCell ref="N622:O622"/>
    <mergeCell ref="U622:V622"/>
    <mergeCell ref="W622:X622"/>
    <mergeCell ref="AA622:AB622"/>
    <mergeCell ref="W623:Y623"/>
    <mergeCell ref="AA623:AB623"/>
    <mergeCell ref="H624:I624"/>
    <mergeCell ref="H625:I625"/>
    <mergeCell ref="H626:I626"/>
    <mergeCell ref="N617:O617"/>
    <mergeCell ref="U617:V617"/>
    <mergeCell ref="W617:X617"/>
    <mergeCell ref="AA617:AB617"/>
    <mergeCell ref="N614:O614"/>
    <mergeCell ref="U614:V614"/>
    <mergeCell ref="W614:X614"/>
    <mergeCell ref="AA614:AB614"/>
    <mergeCell ref="N615:O615"/>
    <mergeCell ref="U615:V615"/>
    <mergeCell ref="W615:X615"/>
    <mergeCell ref="AA615:AB615"/>
    <mergeCell ref="N620:O620"/>
    <mergeCell ref="U620:V620"/>
    <mergeCell ref="W620:X620"/>
    <mergeCell ref="AA620:AB620"/>
    <mergeCell ref="N621:O621"/>
    <mergeCell ref="U621:V621"/>
    <mergeCell ref="W621:X621"/>
    <mergeCell ref="AA621:AB621"/>
    <mergeCell ref="N618:O618"/>
    <mergeCell ref="U618:V618"/>
    <mergeCell ref="W618:X618"/>
    <mergeCell ref="AA618:AB618"/>
    <mergeCell ref="N619:O619"/>
    <mergeCell ref="U619:V619"/>
    <mergeCell ref="W619:X619"/>
    <mergeCell ref="AA619:AB619"/>
    <mergeCell ref="N612:O612"/>
    <mergeCell ref="U612:V612"/>
    <mergeCell ref="W612:X612"/>
    <mergeCell ref="AA612:AB612"/>
    <mergeCell ref="N613:O613"/>
    <mergeCell ref="U613:V613"/>
    <mergeCell ref="W613:X613"/>
    <mergeCell ref="AA613:AB613"/>
    <mergeCell ref="N610:O610"/>
    <mergeCell ref="U610:V610"/>
    <mergeCell ref="W610:X610"/>
    <mergeCell ref="AA610:AB610"/>
    <mergeCell ref="N611:O611"/>
    <mergeCell ref="U611:V611"/>
    <mergeCell ref="W611:X611"/>
    <mergeCell ref="AA611:AB611"/>
    <mergeCell ref="N616:O616"/>
    <mergeCell ref="U616:V616"/>
    <mergeCell ref="W616:X616"/>
    <mergeCell ref="AA616:AB616"/>
    <mergeCell ref="N605:O605"/>
    <mergeCell ref="U605:V605"/>
    <mergeCell ref="W605:X605"/>
    <mergeCell ref="AA605:AB605"/>
    <mergeCell ref="N602:O602"/>
    <mergeCell ref="U602:V602"/>
    <mergeCell ref="W602:X602"/>
    <mergeCell ref="AA602:AB602"/>
    <mergeCell ref="N603:O603"/>
    <mergeCell ref="U603:V603"/>
    <mergeCell ref="W603:X603"/>
    <mergeCell ref="AA603:AB603"/>
    <mergeCell ref="N608:O608"/>
    <mergeCell ref="U608:V608"/>
    <mergeCell ref="W608:X608"/>
    <mergeCell ref="AA608:AB608"/>
    <mergeCell ref="N609:O609"/>
    <mergeCell ref="U609:V609"/>
    <mergeCell ref="W609:X609"/>
    <mergeCell ref="AA609:AB609"/>
    <mergeCell ref="N606:O606"/>
    <mergeCell ref="U606:V606"/>
    <mergeCell ref="W606:X606"/>
    <mergeCell ref="AA606:AB606"/>
    <mergeCell ref="N607:O607"/>
    <mergeCell ref="U607:V607"/>
    <mergeCell ref="W607:X607"/>
    <mergeCell ref="AA607:AB607"/>
    <mergeCell ref="N600:O600"/>
    <mergeCell ref="U600:V600"/>
    <mergeCell ref="W600:X600"/>
    <mergeCell ref="AA600:AB600"/>
    <mergeCell ref="N601:O601"/>
    <mergeCell ref="U601:V601"/>
    <mergeCell ref="W601:X601"/>
    <mergeCell ref="AA601:AB601"/>
    <mergeCell ref="N598:O598"/>
    <mergeCell ref="U598:V598"/>
    <mergeCell ref="W598:X598"/>
    <mergeCell ref="AA598:AB598"/>
    <mergeCell ref="N599:O599"/>
    <mergeCell ref="U599:V599"/>
    <mergeCell ref="W599:X599"/>
    <mergeCell ref="AA599:AB599"/>
    <mergeCell ref="N604:O604"/>
    <mergeCell ref="U604:V604"/>
    <mergeCell ref="W604:X604"/>
    <mergeCell ref="AA604:AB604"/>
    <mergeCell ref="Y595:Y596"/>
    <mergeCell ref="Z595:Z596"/>
    <mergeCell ref="AA595:AB596"/>
    <mergeCell ref="N597:O597"/>
    <mergeCell ref="U597:V597"/>
    <mergeCell ref="W597:X597"/>
    <mergeCell ref="AA597:AB597"/>
    <mergeCell ref="N595:O596"/>
    <mergeCell ref="P595:Q595"/>
    <mergeCell ref="R595:S595"/>
    <mergeCell ref="T595:T596"/>
    <mergeCell ref="U595:V596"/>
    <mergeCell ref="W595:X596"/>
    <mergeCell ref="A593:B593"/>
    <mergeCell ref="C593:M593"/>
    <mergeCell ref="P593:T593"/>
    <mergeCell ref="X593:AB593"/>
    <mergeCell ref="A595:A596"/>
    <mergeCell ref="B595:G596"/>
    <mergeCell ref="H595:I595"/>
    <mergeCell ref="J595:J596"/>
    <mergeCell ref="K595:K596"/>
    <mergeCell ref="L595:M596"/>
    <mergeCell ref="X590:AA590"/>
    <mergeCell ref="O591:P591"/>
    <mergeCell ref="R591:S591"/>
    <mergeCell ref="U591:X591"/>
    <mergeCell ref="A592:C592"/>
    <mergeCell ref="D592:K592"/>
    <mergeCell ref="M592:N592"/>
    <mergeCell ref="O592:P592"/>
    <mergeCell ref="Q592:S592"/>
    <mergeCell ref="V592:AB592"/>
    <mergeCell ref="AA584:AB584"/>
    <mergeCell ref="E587:J587"/>
    <mergeCell ref="N587:S587"/>
    <mergeCell ref="W587:AB587"/>
    <mergeCell ref="X588:AA588"/>
    <mergeCell ref="X589:AA589"/>
    <mergeCell ref="N582:O582"/>
    <mergeCell ref="U582:V582"/>
    <mergeCell ref="W582:X582"/>
    <mergeCell ref="AA582:AB582"/>
    <mergeCell ref="W583:Y583"/>
    <mergeCell ref="AA583:AB583"/>
    <mergeCell ref="N580:O580"/>
    <mergeCell ref="U580:V580"/>
    <mergeCell ref="W580:X580"/>
    <mergeCell ref="AA580:AB580"/>
    <mergeCell ref="N581:O581"/>
    <mergeCell ref="U581:V581"/>
    <mergeCell ref="W581:X581"/>
    <mergeCell ref="AA581:AB581"/>
    <mergeCell ref="H584:I584"/>
    <mergeCell ref="H585:I585"/>
    <mergeCell ref="H586:I586"/>
    <mergeCell ref="N578:O578"/>
    <mergeCell ref="U578:V578"/>
    <mergeCell ref="W578:X578"/>
    <mergeCell ref="AA578:AB578"/>
    <mergeCell ref="N579:O579"/>
    <mergeCell ref="U579:V579"/>
    <mergeCell ref="W579:X579"/>
    <mergeCell ref="AA579:AB579"/>
    <mergeCell ref="N573:O573"/>
    <mergeCell ref="U573:V573"/>
    <mergeCell ref="W573:X573"/>
    <mergeCell ref="AA573:AB573"/>
    <mergeCell ref="N570:O570"/>
    <mergeCell ref="U570:V570"/>
    <mergeCell ref="W570:X570"/>
    <mergeCell ref="AA570:AB570"/>
    <mergeCell ref="N571:O571"/>
    <mergeCell ref="U571:V571"/>
    <mergeCell ref="W571:X571"/>
    <mergeCell ref="AA571:AB571"/>
    <mergeCell ref="N576:O576"/>
    <mergeCell ref="U576:V576"/>
    <mergeCell ref="W576:X576"/>
    <mergeCell ref="AA576:AB576"/>
    <mergeCell ref="N577:O577"/>
    <mergeCell ref="U577:V577"/>
    <mergeCell ref="W577:X577"/>
    <mergeCell ref="AA577:AB577"/>
    <mergeCell ref="N574:O574"/>
    <mergeCell ref="U574:V574"/>
    <mergeCell ref="W574:X574"/>
    <mergeCell ref="AA574:AB574"/>
    <mergeCell ref="N575:O575"/>
    <mergeCell ref="U575:V575"/>
    <mergeCell ref="W575:X575"/>
    <mergeCell ref="AA575:AB575"/>
    <mergeCell ref="N568:O568"/>
    <mergeCell ref="U568:V568"/>
    <mergeCell ref="W568:X568"/>
    <mergeCell ref="AA568:AB568"/>
    <mergeCell ref="N569:O569"/>
    <mergeCell ref="U569:V569"/>
    <mergeCell ref="W569:X569"/>
    <mergeCell ref="AA569:AB569"/>
    <mergeCell ref="N566:O566"/>
    <mergeCell ref="U566:V566"/>
    <mergeCell ref="W566:X566"/>
    <mergeCell ref="AA566:AB566"/>
    <mergeCell ref="N567:O567"/>
    <mergeCell ref="U567:V567"/>
    <mergeCell ref="W567:X567"/>
    <mergeCell ref="AA567:AB567"/>
    <mergeCell ref="N572:O572"/>
    <mergeCell ref="U572:V572"/>
    <mergeCell ref="W572:X572"/>
    <mergeCell ref="AA572:AB572"/>
    <mergeCell ref="W564:X564"/>
    <mergeCell ref="AA564:AB564"/>
    <mergeCell ref="N565:O565"/>
    <mergeCell ref="U565:V565"/>
    <mergeCell ref="W565:X565"/>
    <mergeCell ref="AA565:AB565"/>
    <mergeCell ref="U562:V562"/>
    <mergeCell ref="W562:X562"/>
    <mergeCell ref="AA562:AB562"/>
    <mergeCell ref="W563:X563"/>
    <mergeCell ref="AA563:AB563"/>
    <mergeCell ref="U560:V560"/>
    <mergeCell ref="W560:X560"/>
    <mergeCell ref="AA560:AB560"/>
    <mergeCell ref="U561:V561"/>
    <mergeCell ref="W561:X561"/>
    <mergeCell ref="AA561:AB561"/>
    <mergeCell ref="N558:O558"/>
    <mergeCell ref="U558:V558"/>
    <mergeCell ref="W558:X558"/>
    <mergeCell ref="AA558:AB558"/>
    <mergeCell ref="N559:O559"/>
    <mergeCell ref="U559:V559"/>
    <mergeCell ref="W559:X559"/>
    <mergeCell ref="AA559:AB559"/>
    <mergeCell ref="Y555:Y556"/>
    <mergeCell ref="Z555:Z556"/>
    <mergeCell ref="AA555:AB556"/>
    <mergeCell ref="N557:O557"/>
    <mergeCell ref="U557:V557"/>
    <mergeCell ref="W557:X557"/>
    <mergeCell ref="AA557:AB557"/>
    <mergeCell ref="N555:O556"/>
    <mergeCell ref="P555:Q555"/>
    <mergeCell ref="R555:S555"/>
    <mergeCell ref="T555:T556"/>
    <mergeCell ref="U555:V556"/>
    <mergeCell ref="W555:X556"/>
    <mergeCell ref="A553:B553"/>
    <mergeCell ref="C553:M553"/>
    <mergeCell ref="P553:T553"/>
    <mergeCell ref="X553:AB553"/>
    <mergeCell ref="A555:A556"/>
    <mergeCell ref="B555:G556"/>
    <mergeCell ref="H555:I555"/>
    <mergeCell ref="J555:J556"/>
    <mergeCell ref="K555:K556"/>
    <mergeCell ref="L555:M556"/>
    <mergeCell ref="X550:AA550"/>
    <mergeCell ref="O551:P551"/>
    <mergeCell ref="R551:S551"/>
    <mergeCell ref="U551:X551"/>
    <mergeCell ref="A552:C552"/>
    <mergeCell ref="D552:K552"/>
    <mergeCell ref="M552:N552"/>
    <mergeCell ref="O552:P552"/>
    <mergeCell ref="Q552:S552"/>
    <mergeCell ref="V552:AB552"/>
    <mergeCell ref="X549:AA549"/>
    <mergeCell ref="N542:O542"/>
    <mergeCell ref="U542:V542"/>
    <mergeCell ref="W542:X542"/>
    <mergeCell ref="AA542:AB542"/>
    <mergeCell ref="W543:Y543"/>
    <mergeCell ref="AA543:AB543"/>
    <mergeCell ref="N540:O540"/>
    <mergeCell ref="U540:V540"/>
    <mergeCell ref="W540:X540"/>
    <mergeCell ref="AA540:AB540"/>
    <mergeCell ref="N541:O541"/>
    <mergeCell ref="U541:V541"/>
    <mergeCell ref="W541:X541"/>
    <mergeCell ref="AA541:AB541"/>
    <mergeCell ref="H544:I544"/>
    <mergeCell ref="H545:I545"/>
    <mergeCell ref="H546:I546"/>
    <mergeCell ref="N539:O539"/>
    <mergeCell ref="U539:V539"/>
    <mergeCell ref="W539:X539"/>
    <mergeCell ref="AA539:AB539"/>
    <mergeCell ref="N536:O536"/>
    <mergeCell ref="U536:V536"/>
    <mergeCell ref="W536:X536"/>
    <mergeCell ref="AA536:AB536"/>
    <mergeCell ref="N537:O537"/>
    <mergeCell ref="U537:V537"/>
    <mergeCell ref="W537:X537"/>
    <mergeCell ref="AA537:AB537"/>
    <mergeCell ref="AA544:AB544"/>
    <mergeCell ref="E547:J547"/>
    <mergeCell ref="N547:S547"/>
    <mergeCell ref="W547:AB547"/>
    <mergeCell ref="X548:AA548"/>
    <mergeCell ref="N534:O534"/>
    <mergeCell ref="U534:V534"/>
    <mergeCell ref="W534:X534"/>
    <mergeCell ref="AA534:AB534"/>
    <mergeCell ref="N535:O535"/>
    <mergeCell ref="U535:V535"/>
    <mergeCell ref="W535:X535"/>
    <mergeCell ref="AA535:AB535"/>
    <mergeCell ref="N532:O532"/>
    <mergeCell ref="U532:V532"/>
    <mergeCell ref="W532:X532"/>
    <mergeCell ref="AA532:AB532"/>
    <mergeCell ref="N533:O533"/>
    <mergeCell ref="U533:V533"/>
    <mergeCell ref="W533:X533"/>
    <mergeCell ref="AA533:AB533"/>
    <mergeCell ref="N538:O538"/>
    <mergeCell ref="U538:V538"/>
    <mergeCell ref="W538:X538"/>
    <mergeCell ref="AA538:AB538"/>
    <mergeCell ref="N527:O527"/>
    <mergeCell ref="U527:V527"/>
    <mergeCell ref="W527:X527"/>
    <mergeCell ref="AA527:AB527"/>
    <mergeCell ref="N524:O524"/>
    <mergeCell ref="U524:V524"/>
    <mergeCell ref="W524:X524"/>
    <mergeCell ref="AA524:AB524"/>
    <mergeCell ref="N525:O525"/>
    <mergeCell ref="U525:V525"/>
    <mergeCell ref="W525:X525"/>
    <mergeCell ref="AA525:AB525"/>
    <mergeCell ref="N530:O530"/>
    <mergeCell ref="U530:V530"/>
    <mergeCell ref="W530:X530"/>
    <mergeCell ref="AA530:AB530"/>
    <mergeCell ref="N531:O531"/>
    <mergeCell ref="U531:V531"/>
    <mergeCell ref="W531:X531"/>
    <mergeCell ref="AA531:AB531"/>
    <mergeCell ref="N528:O528"/>
    <mergeCell ref="U528:V528"/>
    <mergeCell ref="W528:X528"/>
    <mergeCell ref="AA528:AB528"/>
    <mergeCell ref="N529:O529"/>
    <mergeCell ref="U529:V529"/>
    <mergeCell ref="W529:X529"/>
    <mergeCell ref="AA529:AB529"/>
    <mergeCell ref="N522:O522"/>
    <mergeCell ref="U522:V522"/>
    <mergeCell ref="W522:X522"/>
    <mergeCell ref="AA522:AB522"/>
    <mergeCell ref="N523:O523"/>
    <mergeCell ref="U523:V523"/>
    <mergeCell ref="W523:X523"/>
    <mergeCell ref="AA523:AB523"/>
    <mergeCell ref="N520:O520"/>
    <mergeCell ref="U520:V520"/>
    <mergeCell ref="W520:X520"/>
    <mergeCell ref="AA520:AB520"/>
    <mergeCell ref="N521:O521"/>
    <mergeCell ref="U521:V521"/>
    <mergeCell ref="W521:X521"/>
    <mergeCell ref="AA521:AB521"/>
    <mergeCell ref="N526:O526"/>
    <mergeCell ref="U526:V526"/>
    <mergeCell ref="W526:X526"/>
    <mergeCell ref="AA526:AB526"/>
    <mergeCell ref="N518:O518"/>
    <mergeCell ref="U518:V518"/>
    <mergeCell ref="W518:X518"/>
    <mergeCell ref="AA518:AB518"/>
    <mergeCell ref="N519:O519"/>
    <mergeCell ref="U519:V519"/>
    <mergeCell ref="W519:X519"/>
    <mergeCell ref="AA519:AB519"/>
    <mergeCell ref="Y515:Y516"/>
    <mergeCell ref="Z515:Z516"/>
    <mergeCell ref="AA515:AB516"/>
    <mergeCell ref="N517:O517"/>
    <mergeCell ref="U517:V517"/>
    <mergeCell ref="W517:X517"/>
    <mergeCell ref="AA517:AB517"/>
    <mergeCell ref="N515:O516"/>
    <mergeCell ref="P515:Q515"/>
    <mergeCell ref="R515:S515"/>
    <mergeCell ref="T515:T516"/>
    <mergeCell ref="U515:V516"/>
    <mergeCell ref="W515:X516"/>
    <mergeCell ref="A513:B513"/>
    <mergeCell ref="C513:M513"/>
    <mergeCell ref="P513:T513"/>
    <mergeCell ref="X513:AB513"/>
    <mergeCell ref="A515:A516"/>
    <mergeCell ref="B515:G516"/>
    <mergeCell ref="H515:I515"/>
    <mergeCell ref="J515:J516"/>
    <mergeCell ref="K515:K516"/>
    <mergeCell ref="L515:M516"/>
    <mergeCell ref="X510:AA510"/>
    <mergeCell ref="O511:P511"/>
    <mergeCell ref="R511:S511"/>
    <mergeCell ref="U511:X511"/>
    <mergeCell ref="A512:C512"/>
    <mergeCell ref="D512:K512"/>
    <mergeCell ref="M512:N512"/>
    <mergeCell ref="O512:P512"/>
    <mergeCell ref="Q512:S512"/>
    <mergeCell ref="V512:AB512"/>
    <mergeCell ref="AA504:AB504"/>
    <mergeCell ref="E507:J507"/>
    <mergeCell ref="N507:S507"/>
    <mergeCell ref="W507:AB507"/>
    <mergeCell ref="X508:AA508"/>
    <mergeCell ref="X509:AA509"/>
    <mergeCell ref="N502:O502"/>
    <mergeCell ref="U502:V502"/>
    <mergeCell ref="W502:X502"/>
    <mergeCell ref="AA502:AB502"/>
    <mergeCell ref="W503:Y503"/>
    <mergeCell ref="AA503:AB503"/>
    <mergeCell ref="N500:O500"/>
    <mergeCell ref="U500:V500"/>
    <mergeCell ref="W500:X500"/>
    <mergeCell ref="AA500:AB500"/>
    <mergeCell ref="N501:O501"/>
    <mergeCell ref="U501:V501"/>
    <mergeCell ref="W501:X501"/>
    <mergeCell ref="AA501:AB501"/>
    <mergeCell ref="H504:I504"/>
    <mergeCell ref="H505:I505"/>
    <mergeCell ref="H506:I506"/>
    <mergeCell ref="N495:O495"/>
    <mergeCell ref="U495:V495"/>
    <mergeCell ref="W495:X495"/>
    <mergeCell ref="AA495:AB495"/>
    <mergeCell ref="N492:O492"/>
    <mergeCell ref="U492:V492"/>
    <mergeCell ref="W492:X492"/>
    <mergeCell ref="AA492:AB492"/>
    <mergeCell ref="N493:O493"/>
    <mergeCell ref="U493:V493"/>
    <mergeCell ref="W493:X493"/>
    <mergeCell ref="AA493:AB493"/>
    <mergeCell ref="N498:O498"/>
    <mergeCell ref="U498:V498"/>
    <mergeCell ref="W498:X498"/>
    <mergeCell ref="AA498:AB498"/>
    <mergeCell ref="N499:O499"/>
    <mergeCell ref="U499:V499"/>
    <mergeCell ref="W499:X499"/>
    <mergeCell ref="AA499:AB499"/>
    <mergeCell ref="N496:O496"/>
    <mergeCell ref="U496:V496"/>
    <mergeCell ref="W496:X496"/>
    <mergeCell ref="AA496:AB496"/>
    <mergeCell ref="N497:O497"/>
    <mergeCell ref="U497:V497"/>
    <mergeCell ref="W497:X497"/>
    <mergeCell ref="AA497:AB497"/>
    <mergeCell ref="N490:O490"/>
    <mergeCell ref="U490:V490"/>
    <mergeCell ref="W490:X490"/>
    <mergeCell ref="AA490:AB490"/>
    <mergeCell ref="N491:O491"/>
    <mergeCell ref="U491:V491"/>
    <mergeCell ref="W491:X491"/>
    <mergeCell ref="AA491:AB491"/>
    <mergeCell ref="W488:X488"/>
    <mergeCell ref="AA488:AB488"/>
    <mergeCell ref="W489:X489"/>
    <mergeCell ref="AA489:AB489"/>
    <mergeCell ref="W486:X486"/>
    <mergeCell ref="AA486:AB486"/>
    <mergeCell ref="W487:X487"/>
    <mergeCell ref="AA487:AB487"/>
    <mergeCell ref="N494:O494"/>
    <mergeCell ref="U494:V494"/>
    <mergeCell ref="W494:X494"/>
    <mergeCell ref="AA494:AB494"/>
    <mergeCell ref="W484:X484"/>
    <mergeCell ref="AA484:AB484"/>
    <mergeCell ref="W485:X485"/>
    <mergeCell ref="AA485:AB485"/>
    <mergeCell ref="N482:O482"/>
    <mergeCell ref="U482:V482"/>
    <mergeCell ref="W482:X482"/>
    <mergeCell ref="AA482:AB482"/>
    <mergeCell ref="W483:X483"/>
    <mergeCell ref="AA483:AB483"/>
    <mergeCell ref="N480:O480"/>
    <mergeCell ref="U480:V480"/>
    <mergeCell ref="W480:X480"/>
    <mergeCell ref="AA480:AB480"/>
    <mergeCell ref="N481:O481"/>
    <mergeCell ref="U481:V481"/>
    <mergeCell ref="W481:X481"/>
    <mergeCell ref="AA481:AB481"/>
    <mergeCell ref="N478:O478"/>
    <mergeCell ref="U478:V478"/>
    <mergeCell ref="W478:X478"/>
    <mergeCell ref="AA478:AB478"/>
    <mergeCell ref="N479:O479"/>
    <mergeCell ref="U479:V479"/>
    <mergeCell ref="W479:X479"/>
    <mergeCell ref="AA479:AB479"/>
    <mergeCell ref="Y475:Y476"/>
    <mergeCell ref="Z475:Z476"/>
    <mergeCell ref="AA475:AB476"/>
    <mergeCell ref="N477:O477"/>
    <mergeCell ref="U477:V477"/>
    <mergeCell ref="W477:X477"/>
    <mergeCell ref="AA477:AB477"/>
    <mergeCell ref="N475:O476"/>
    <mergeCell ref="P475:Q475"/>
    <mergeCell ref="R475:S475"/>
    <mergeCell ref="T475:T476"/>
    <mergeCell ref="U475:V476"/>
    <mergeCell ref="W475:X476"/>
    <mergeCell ref="A473:B473"/>
    <mergeCell ref="C473:M473"/>
    <mergeCell ref="P473:T473"/>
    <mergeCell ref="X473:AB473"/>
    <mergeCell ref="A475:A476"/>
    <mergeCell ref="B475:G476"/>
    <mergeCell ref="H475:I475"/>
    <mergeCell ref="J475:J476"/>
    <mergeCell ref="K475:K476"/>
    <mergeCell ref="L475:M476"/>
    <mergeCell ref="X470:AA470"/>
    <mergeCell ref="O471:P471"/>
    <mergeCell ref="R471:S471"/>
    <mergeCell ref="U471:X471"/>
    <mergeCell ref="A472:C472"/>
    <mergeCell ref="D472:K472"/>
    <mergeCell ref="M472:N472"/>
    <mergeCell ref="O472:P472"/>
    <mergeCell ref="Q472:S472"/>
    <mergeCell ref="V472:AB472"/>
    <mergeCell ref="X469:AA469"/>
    <mergeCell ref="N462:O462"/>
    <mergeCell ref="U462:V462"/>
    <mergeCell ref="W462:X462"/>
    <mergeCell ref="AA462:AB462"/>
    <mergeCell ref="W463:Y463"/>
    <mergeCell ref="AA463:AB463"/>
    <mergeCell ref="N460:O460"/>
    <mergeCell ref="U460:V460"/>
    <mergeCell ref="W460:X460"/>
    <mergeCell ref="AA460:AB460"/>
    <mergeCell ref="N461:O461"/>
    <mergeCell ref="U461:V461"/>
    <mergeCell ref="W461:X461"/>
    <mergeCell ref="AA461:AB461"/>
    <mergeCell ref="H464:I464"/>
    <mergeCell ref="H465:I465"/>
    <mergeCell ref="H466:I466"/>
    <mergeCell ref="N459:O459"/>
    <mergeCell ref="U459:V459"/>
    <mergeCell ref="W459:X459"/>
    <mergeCell ref="AA459:AB459"/>
    <mergeCell ref="N456:O456"/>
    <mergeCell ref="U456:V456"/>
    <mergeCell ref="W456:X456"/>
    <mergeCell ref="AA456:AB456"/>
    <mergeCell ref="N457:O457"/>
    <mergeCell ref="U457:V457"/>
    <mergeCell ref="W457:X457"/>
    <mergeCell ref="AA457:AB457"/>
    <mergeCell ref="AA464:AB464"/>
    <mergeCell ref="E467:J467"/>
    <mergeCell ref="N467:S467"/>
    <mergeCell ref="W467:AB467"/>
    <mergeCell ref="X468:AA468"/>
    <mergeCell ref="N454:O454"/>
    <mergeCell ref="U454:V454"/>
    <mergeCell ref="W454:X454"/>
    <mergeCell ref="AA454:AB454"/>
    <mergeCell ref="N455:O455"/>
    <mergeCell ref="U455:V455"/>
    <mergeCell ref="W455:X455"/>
    <mergeCell ref="AA455:AB455"/>
    <mergeCell ref="N452:O452"/>
    <mergeCell ref="U452:V452"/>
    <mergeCell ref="W452:X452"/>
    <mergeCell ref="AA452:AB452"/>
    <mergeCell ref="N453:O453"/>
    <mergeCell ref="U453:V453"/>
    <mergeCell ref="W453:X453"/>
    <mergeCell ref="AA453:AB453"/>
    <mergeCell ref="N458:O458"/>
    <mergeCell ref="U458:V458"/>
    <mergeCell ref="W458:X458"/>
    <mergeCell ref="AA458:AB458"/>
    <mergeCell ref="N447:O447"/>
    <mergeCell ref="U447:V447"/>
    <mergeCell ref="W447:X447"/>
    <mergeCell ref="AA447:AB447"/>
    <mergeCell ref="N444:O444"/>
    <mergeCell ref="U444:V444"/>
    <mergeCell ref="W444:X444"/>
    <mergeCell ref="AA444:AB444"/>
    <mergeCell ref="N445:O445"/>
    <mergeCell ref="U445:V445"/>
    <mergeCell ref="W445:X445"/>
    <mergeCell ref="AA445:AB445"/>
    <mergeCell ref="N450:O450"/>
    <mergeCell ref="U450:V450"/>
    <mergeCell ref="W450:X450"/>
    <mergeCell ref="AA450:AB450"/>
    <mergeCell ref="N451:O451"/>
    <mergeCell ref="U451:V451"/>
    <mergeCell ref="W451:X451"/>
    <mergeCell ref="AA451:AB451"/>
    <mergeCell ref="N448:O448"/>
    <mergeCell ref="U448:V448"/>
    <mergeCell ref="W448:X448"/>
    <mergeCell ref="AA448:AB448"/>
    <mergeCell ref="N449:O449"/>
    <mergeCell ref="U449:V449"/>
    <mergeCell ref="W449:X449"/>
    <mergeCell ref="AA449:AB449"/>
    <mergeCell ref="N442:O442"/>
    <mergeCell ref="U442:V442"/>
    <mergeCell ref="W442:X442"/>
    <mergeCell ref="AA442:AB442"/>
    <mergeCell ref="N443:O443"/>
    <mergeCell ref="U443:V443"/>
    <mergeCell ref="W443:X443"/>
    <mergeCell ref="AA443:AB443"/>
    <mergeCell ref="N440:O440"/>
    <mergeCell ref="U440:V440"/>
    <mergeCell ref="W440:X440"/>
    <mergeCell ref="AA440:AB440"/>
    <mergeCell ref="N441:O441"/>
    <mergeCell ref="U441:V441"/>
    <mergeCell ref="W441:X441"/>
    <mergeCell ref="AA441:AB441"/>
    <mergeCell ref="N446:O446"/>
    <mergeCell ref="U446:V446"/>
    <mergeCell ref="W446:X446"/>
    <mergeCell ref="AA446:AB446"/>
    <mergeCell ref="N438:O438"/>
    <mergeCell ref="U438:V438"/>
    <mergeCell ref="W438:X438"/>
    <mergeCell ref="AA438:AB438"/>
    <mergeCell ref="N439:O439"/>
    <mergeCell ref="U439:V439"/>
    <mergeCell ref="W439:X439"/>
    <mergeCell ref="AA439:AB439"/>
    <mergeCell ref="Y435:Y436"/>
    <mergeCell ref="Z435:Z436"/>
    <mergeCell ref="AA435:AB436"/>
    <mergeCell ref="N437:O437"/>
    <mergeCell ref="U437:V437"/>
    <mergeCell ref="W437:X437"/>
    <mergeCell ref="AA437:AB437"/>
    <mergeCell ref="N435:O436"/>
    <mergeCell ref="P435:Q435"/>
    <mergeCell ref="R435:S435"/>
    <mergeCell ref="T435:T436"/>
    <mergeCell ref="U435:V436"/>
    <mergeCell ref="W435:X436"/>
    <mergeCell ref="A433:B433"/>
    <mergeCell ref="C433:M433"/>
    <mergeCell ref="P433:T433"/>
    <mergeCell ref="X433:AB433"/>
    <mergeCell ref="A435:A436"/>
    <mergeCell ref="B435:G436"/>
    <mergeCell ref="H435:I435"/>
    <mergeCell ref="J435:J436"/>
    <mergeCell ref="K435:K436"/>
    <mergeCell ref="L435:M436"/>
    <mergeCell ref="X430:AA430"/>
    <mergeCell ref="O431:P431"/>
    <mergeCell ref="R431:S431"/>
    <mergeCell ref="U431:X431"/>
    <mergeCell ref="A432:C432"/>
    <mergeCell ref="D432:K432"/>
    <mergeCell ref="M432:N432"/>
    <mergeCell ref="O432:P432"/>
    <mergeCell ref="Q432:S432"/>
    <mergeCell ref="V432:AB432"/>
    <mergeCell ref="X429:AA429"/>
    <mergeCell ref="N422:O422"/>
    <mergeCell ref="U422:V422"/>
    <mergeCell ref="W422:X422"/>
    <mergeCell ref="AA422:AB422"/>
    <mergeCell ref="W423:Y423"/>
    <mergeCell ref="AA423:AB423"/>
    <mergeCell ref="N420:O420"/>
    <mergeCell ref="U420:V420"/>
    <mergeCell ref="W420:X420"/>
    <mergeCell ref="AA420:AB420"/>
    <mergeCell ref="N421:O421"/>
    <mergeCell ref="U421:V421"/>
    <mergeCell ref="W421:X421"/>
    <mergeCell ref="AA421:AB421"/>
    <mergeCell ref="H424:I424"/>
    <mergeCell ref="H425:I425"/>
    <mergeCell ref="H426:I426"/>
    <mergeCell ref="N419:O419"/>
    <mergeCell ref="U419:V419"/>
    <mergeCell ref="W419:X419"/>
    <mergeCell ref="AA419:AB419"/>
    <mergeCell ref="N416:O416"/>
    <mergeCell ref="U416:V416"/>
    <mergeCell ref="W416:X416"/>
    <mergeCell ref="AA416:AB416"/>
    <mergeCell ref="N417:O417"/>
    <mergeCell ref="U417:V417"/>
    <mergeCell ref="W417:X417"/>
    <mergeCell ref="AA417:AB417"/>
    <mergeCell ref="AA424:AB424"/>
    <mergeCell ref="E427:J427"/>
    <mergeCell ref="N427:S427"/>
    <mergeCell ref="W427:AB427"/>
    <mergeCell ref="X428:AA428"/>
    <mergeCell ref="N414:O414"/>
    <mergeCell ref="U414:V414"/>
    <mergeCell ref="W414:X414"/>
    <mergeCell ref="AA414:AB414"/>
    <mergeCell ref="N415:O415"/>
    <mergeCell ref="U415:V415"/>
    <mergeCell ref="W415:X415"/>
    <mergeCell ref="AA415:AB415"/>
    <mergeCell ref="N412:O412"/>
    <mergeCell ref="U412:V412"/>
    <mergeCell ref="W412:X412"/>
    <mergeCell ref="AA412:AB412"/>
    <mergeCell ref="N413:O413"/>
    <mergeCell ref="U413:V413"/>
    <mergeCell ref="W413:X413"/>
    <mergeCell ref="AA413:AB413"/>
    <mergeCell ref="N418:O418"/>
    <mergeCell ref="U418:V418"/>
    <mergeCell ref="W418:X418"/>
    <mergeCell ref="AA418:AB418"/>
    <mergeCell ref="N407:O407"/>
    <mergeCell ref="U407:V407"/>
    <mergeCell ref="W407:X407"/>
    <mergeCell ref="AA407:AB407"/>
    <mergeCell ref="N404:O404"/>
    <mergeCell ref="U404:V404"/>
    <mergeCell ref="W404:X404"/>
    <mergeCell ref="AA404:AB404"/>
    <mergeCell ref="N405:O405"/>
    <mergeCell ref="U405:V405"/>
    <mergeCell ref="W405:X405"/>
    <mergeCell ref="AA405:AB405"/>
    <mergeCell ref="N410:O410"/>
    <mergeCell ref="U410:V410"/>
    <mergeCell ref="W410:X410"/>
    <mergeCell ref="AA410:AB410"/>
    <mergeCell ref="N411:O411"/>
    <mergeCell ref="U411:V411"/>
    <mergeCell ref="W411:X411"/>
    <mergeCell ref="AA411:AB411"/>
    <mergeCell ref="N408:O408"/>
    <mergeCell ref="U408:V408"/>
    <mergeCell ref="W408:X408"/>
    <mergeCell ref="AA408:AB408"/>
    <mergeCell ref="N409:O409"/>
    <mergeCell ref="U409:V409"/>
    <mergeCell ref="W409:X409"/>
    <mergeCell ref="AA409:AB409"/>
    <mergeCell ref="N402:O402"/>
    <mergeCell ref="U402:V402"/>
    <mergeCell ref="W402:X402"/>
    <mergeCell ref="AA402:AB402"/>
    <mergeCell ref="N403:O403"/>
    <mergeCell ref="U403:V403"/>
    <mergeCell ref="W403:X403"/>
    <mergeCell ref="AA403:AB403"/>
    <mergeCell ref="N400:O400"/>
    <mergeCell ref="U400:V400"/>
    <mergeCell ref="W400:X400"/>
    <mergeCell ref="AA400:AB400"/>
    <mergeCell ref="N401:O401"/>
    <mergeCell ref="U401:V401"/>
    <mergeCell ref="W401:X401"/>
    <mergeCell ref="AA401:AB401"/>
    <mergeCell ref="N406:O406"/>
    <mergeCell ref="U406:V406"/>
    <mergeCell ref="W406:X406"/>
    <mergeCell ref="AA406:AB406"/>
    <mergeCell ref="N398:O398"/>
    <mergeCell ref="U398:V398"/>
    <mergeCell ref="W398:X398"/>
    <mergeCell ref="AA398:AB398"/>
    <mergeCell ref="N399:O399"/>
    <mergeCell ref="U399:V399"/>
    <mergeCell ref="W399:X399"/>
    <mergeCell ref="AA399:AB399"/>
    <mergeCell ref="Y395:Y396"/>
    <mergeCell ref="Z395:Z396"/>
    <mergeCell ref="AA395:AB396"/>
    <mergeCell ref="N397:O397"/>
    <mergeCell ref="U397:V397"/>
    <mergeCell ref="W397:X397"/>
    <mergeCell ref="AA397:AB397"/>
    <mergeCell ref="N395:O396"/>
    <mergeCell ref="P395:Q395"/>
    <mergeCell ref="R395:S395"/>
    <mergeCell ref="T395:T396"/>
    <mergeCell ref="U395:V396"/>
    <mergeCell ref="W395:X396"/>
    <mergeCell ref="A393:B393"/>
    <mergeCell ref="C393:M393"/>
    <mergeCell ref="P393:T393"/>
    <mergeCell ref="X393:AB393"/>
    <mergeCell ref="A395:A396"/>
    <mergeCell ref="B395:G396"/>
    <mergeCell ref="H395:I395"/>
    <mergeCell ref="J395:J396"/>
    <mergeCell ref="K395:K396"/>
    <mergeCell ref="L395:M396"/>
    <mergeCell ref="X390:AA390"/>
    <mergeCell ref="O391:P391"/>
    <mergeCell ref="R391:S391"/>
    <mergeCell ref="U391:X391"/>
    <mergeCell ref="A392:C392"/>
    <mergeCell ref="D392:K392"/>
    <mergeCell ref="M392:N392"/>
    <mergeCell ref="O392:P392"/>
    <mergeCell ref="Q392:S392"/>
    <mergeCell ref="V392:AB392"/>
    <mergeCell ref="X389:AA389"/>
    <mergeCell ref="N382:O382"/>
    <mergeCell ref="U382:V382"/>
    <mergeCell ref="W382:X382"/>
    <mergeCell ref="AA382:AB382"/>
    <mergeCell ref="W383:Y383"/>
    <mergeCell ref="AA383:AB383"/>
    <mergeCell ref="N380:O380"/>
    <mergeCell ref="U380:V380"/>
    <mergeCell ref="W380:X380"/>
    <mergeCell ref="AA380:AB380"/>
    <mergeCell ref="N381:O381"/>
    <mergeCell ref="U381:V381"/>
    <mergeCell ref="W381:X381"/>
    <mergeCell ref="AA381:AB381"/>
    <mergeCell ref="H384:I384"/>
    <mergeCell ref="H385:I385"/>
    <mergeCell ref="H386:I386"/>
    <mergeCell ref="N379:O379"/>
    <mergeCell ref="U379:V379"/>
    <mergeCell ref="W379:X379"/>
    <mergeCell ref="AA379:AB379"/>
    <mergeCell ref="N376:O376"/>
    <mergeCell ref="U376:V376"/>
    <mergeCell ref="W376:X376"/>
    <mergeCell ref="AA376:AB376"/>
    <mergeCell ref="N377:O377"/>
    <mergeCell ref="U377:V377"/>
    <mergeCell ref="W377:X377"/>
    <mergeCell ref="AA377:AB377"/>
    <mergeCell ref="AA384:AB384"/>
    <mergeCell ref="E387:J387"/>
    <mergeCell ref="N387:S387"/>
    <mergeCell ref="W387:AB387"/>
    <mergeCell ref="X388:AA388"/>
    <mergeCell ref="N374:O374"/>
    <mergeCell ref="U374:V374"/>
    <mergeCell ref="W374:X374"/>
    <mergeCell ref="AA374:AB374"/>
    <mergeCell ref="N375:O375"/>
    <mergeCell ref="U375:V375"/>
    <mergeCell ref="W375:X375"/>
    <mergeCell ref="AA375:AB375"/>
    <mergeCell ref="N372:O372"/>
    <mergeCell ref="U372:V372"/>
    <mergeCell ref="W372:X372"/>
    <mergeCell ref="AA372:AB372"/>
    <mergeCell ref="N373:O373"/>
    <mergeCell ref="U373:V373"/>
    <mergeCell ref="W373:X373"/>
    <mergeCell ref="AA373:AB373"/>
    <mergeCell ref="N378:O378"/>
    <mergeCell ref="U378:V378"/>
    <mergeCell ref="W378:X378"/>
    <mergeCell ref="AA378:AB378"/>
    <mergeCell ref="N367:O367"/>
    <mergeCell ref="U367:V367"/>
    <mergeCell ref="W367:X367"/>
    <mergeCell ref="AA367:AB367"/>
    <mergeCell ref="N364:O364"/>
    <mergeCell ref="U364:V364"/>
    <mergeCell ref="W364:X364"/>
    <mergeCell ref="AA364:AB364"/>
    <mergeCell ref="N365:O365"/>
    <mergeCell ref="U365:V365"/>
    <mergeCell ref="W365:X365"/>
    <mergeCell ref="AA365:AB365"/>
    <mergeCell ref="N370:O370"/>
    <mergeCell ref="U370:V370"/>
    <mergeCell ref="W370:X370"/>
    <mergeCell ref="AA370:AB370"/>
    <mergeCell ref="N371:O371"/>
    <mergeCell ref="U371:V371"/>
    <mergeCell ref="W371:X371"/>
    <mergeCell ref="AA371:AB371"/>
    <mergeCell ref="N368:O368"/>
    <mergeCell ref="U368:V368"/>
    <mergeCell ref="W368:X368"/>
    <mergeCell ref="AA368:AB368"/>
    <mergeCell ref="N369:O369"/>
    <mergeCell ref="U369:V369"/>
    <mergeCell ref="W369:X369"/>
    <mergeCell ref="AA369:AB369"/>
    <mergeCell ref="N362:O362"/>
    <mergeCell ref="U362:V362"/>
    <mergeCell ref="W362:X362"/>
    <mergeCell ref="AA362:AB362"/>
    <mergeCell ref="N363:O363"/>
    <mergeCell ref="U363:V363"/>
    <mergeCell ref="W363:X363"/>
    <mergeCell ref="AA363:AB363"/>
    <mergeCell ref="N360:O360"/>
    <mergeCell ref="U360:V360"/>
    <mergeCell ref="W360:X360"/>
    <mergeCell ref="AA360:AB360"/>
    <mergeCell ref="N361:O361"/>
    <mergeCell ref="U361:V361"/>
    <mergeCell ref="W361:X361"/>
    <mergeCell ref="AA361:AB361"/>
    <mergeCell ref="N366:O366"/>
    <mergeCell ref="U366:V366"/>
    <mergeCell ref="W366:X366"/>
    <mergeCell ref="AA366:AB366"/>
    <mergeCell ref="N358:O358"/>
    <mergeCell ref="U358:V358"/>
    <mergeCell ref="W358:X358"/>
    <mergeCell ref="AA358:AB358"/>
    <mergeCell ref="N359:O359"/>
    <mergeCell ref="U359:V359"/>
    <mergeCell ref="W359:X359"/>
    <mergeCell ref="AA359:AB359"/>
    <mergeCell ref="Y355:Y356"/>
    <mergeCell ref="Z355:Z356"/>
    <mergeCell ref="AA355:AB356"/>
    <mergeCell ref="N357:O357"/>
    <mergeCell ref="U357:V357"/>
    <mergeCell ref="W357:X357"/>
    <mergeCell ref="AA357:AB357"/>
    <mergeCell ref="N355:O356"/>
    <mergeCell ref="P355:Q355"/>
    <mergeCell ref="R355:S355"/>
    <mergeCell ref="T355:T356"/>
    <mergeCell ref="U355:V356"/>
    <mergeCell ref="W355:X356"/>
    <mergeCell ref="A353:B353"/>
    <mergeCell ref="C353:M353"/>
    <mergeCell ref="P353:T353"/>
    <mergeCell ref="X353:AB353"/>
    <mergeCell ref="A355:A356"/>
    <mergeCell ref="B355:G356"/>
    <mergeCell ref="H355:I355"/>
    <mergeCell ref="J355:J356"/>
    <mergeCell ref="K355:K356"/>
    <mergeCell ref="L355:M356"/>
    <mergeCell ref="X350:AA350"/>
    <mergeCell ref="O351:P351"/>
    <mergeCell ref="R351:S351"/>
    <mergeCell ref="U351:X351"/>
    <mergeCell ref="A352:C352"/>
    <mergeCell ref="D352:K352"/>
    <mergeCell ref="M352:N352"/>
    <mergeCell ref="O352:P352"/>
    <mergeCell ref="Q352:S352"/>
    <mergeCell ref="V352:AB352"/>
    <mergeCell ref="X349:AA349"/>
    <mergeCell ref="N342:O342"/>
    <mergeCell ref="U342:V342"/>
    <mergeCell ref="W342:X342"/>
    <mergeCell ref="AA342:AB342"/>
    <mergeCell ref="W343:Y343"/>
    <mergeCell ref="AA343:AB343"/>
    <mergeCell ref="N340:O340"/>
    <mergeCell ref="U340:V340"/>
    <mergeCell ref="W340:X340"/>
    <mergeCell ref="AA340:AB340"/>
    <mergeCell ref="N341:O341"/>
    <mergeCell ref="U341:V341"/>
    <mergeCell ref="W341:X341"/>
    <mergeCell ref="AA341:AB341"/>
    <mergeCell ref="H344:I344"/>
    <mergeCell ref="H345:I345"/>
    <mergeCell ref="H346:I346"/>
    <mergeCell ref="N339:O339"/>
    <mergeCell ref="U339:V339"/>
    <mergeCell ref="W339:X339"/>
    <mergeCell ref="AA339:AB339"/>
    <mergeCell ref="N336:O336"/>
    <mergeCell ref="U336:V336"/>
    <mergeCell ref="W336:X336"/>
    <mergeCell ref="AA336:AB336"/>
    <mergeCell ref="N337:O337"/>
    <mergeCell ref="U337:V337"/>
    <mergeCell ref="W337:X337"/>
    <mergeCell ref="AA337:AB337"/>
    <mergeCell ref="AA344:AB344"/>
    <mergeCell ref="E347:J347"/>
    <mergeCell ref="N347:S347"/>
    <mergeCell ref="W347:AB347"/>
    <mergeCell ref="X348:AA348"/>
    <mergeCell ref="N334:O334"/>
    <mergeCell ref="U334:V334"/>
    <mergeCell ref="W334:X334"/>
    <mergeCell ref="AA334:AB334"/>
    <mergeCell ref="N335:O335"/>
    <mergeCell ref="U335:V335"/>
    <mergeCell ref="W335:X335"/>
    <mergeCell ref="AA335:AB335"/>
    <mergeCell ref="N332:O332"/>
    <mergeCell ref="U332:V332"/>
    <mergeCell ref="W332:X332"/>
    <mergeCell ref="AA332:AB332"/>
    <mergeCell ref="N333:O333"/>
    <mergeCell ref="U333:V333"/>
    <mergeCell ref="W333:X333"/>
    <mergeCell ref="AA333:AB333"/>
    <mergeCell ref="N338:O338"/>
    <mergeCell ref="U338:V338"/>
    <mergeCell ref="W338:X338"/>
    <mergeCell ref="AA338:AB338"/>
    <mergeCell ref="N327:O327"/>
    <mergeCell ref="U327:V327"/>
    <mergeCell ref="W327:X327"/>
    <mergeCell ref="AA327:AB327"/>
    <mergeCell ref="N324:O324"/>
    <mergeCell ref="U324:V324"/>
    <mergeCell ref="W324:X324"/>
    <mergeCell ref="AA324:AB324"/>
    <mergeCell ref="N325:O325"/>
    <mergeCell ref="U325:V325"/>
    <mergeCell ref="W325:X325"/>
    <mergeCell ref="AA325:AB325"/>
    <mergeCell ref="N330:O330"/>
    <mergeCell ref="U330:V330"/>
    <mergeCell ref="W330:X330"/>
    <mergeCell ref="AA330:AB330"/>
    <mergeCell ref="N331:O331"/>
    <mergeCell ref="U331:V331"/>
    <mergeCell ref="W331:X331"/>
    <mergeCell ref="AA331:AB331"/>
    <mergeCell ref="N328:O328"/>
    <mergeCell ref="U328:V328"/>
    <mergeCell ref="W328:X328"/>
    <mergeCell ref="AA328:AB328"/>
    <mergeCell ref="N329:O329"/>
    <mergeCell ref="U329:V329"/>
    <mergeCell ref="W329:X329"/>
    <mergeCell ref="AA329:AB329"/>
    <mergeCell ref="N322:O322"/>
    <mergeCell ref="U322:V322"/>
    <mergeCell ref="W322:X322"/>
    <mergeCell ref="AA322:AB322"/>
    <mergeCell ref="N323:O323"/>
    <mergeCell ref="U323:V323"/>
    <mergeCell ref="W323:X323"/>
    <mergeCell ref="AA323:AB323"/>
    <mergeCell ref="N320:O320"/>
    <mergeCell ref="U320:V320"/>
    <mergeCell ref="W320:X320"/>
    <mergeCell ref="AA320:AB320"/>
    <mergeCell ref="N321:O321"/>
    <mergeCell ref="U321:V321"/>
    <mergeCell ref="W321:X321"/>
    <mergeCell ref="AA321:AB321"/>
    <mergeCell ref="N326:O326"/>
    <mergeCell ref="U326:V326"/>
    <mergeCell ref="W326:X326"/>
    <mergeCell ref="AA326:AB326"/>
    <mergeCell ref="N318:O318"/>
    <mergeCell ref="U318:V318"/>
    <mergeCell ref="W318:X318"/>
    <mergeCell ref="AA318:AB318"/>
    <mergeCell ref="N319:O319"/>
    <mergeCell ref="U319:V319"/>
    <mergeCell ref="W319:X319"/>
    <mergeCell ref="AA319:AB319"/>
    <mergeCell ref="Y315:Y316"/>
    <mergeCell ref="Z315:Z316"/>
    <mergeCell ref="AA315:AB316"/>
    <mergeCell ref="N317:O317"/>
    <mergeCell ref="U317:V317"/>
    <mergeCell ref="W317:X317"/>
    <mergeCell ref="AA317:AB317"/>
    <mergeCell ref="N315:O316"/>
    <mergeCell ref="P315:Q315"/>
    <mergeCell ref="R315:S315"/>
    <mergeCell ref="T315:T316"/>
    <mergeCell ref="U315:V316"/>
    <mergeCell ref="W315:X316"/>
    <mergeCell ref="A313:B313"/>
    <mergeCell ref="C313:M313"/>
    <mergeCell ref="P313:T313"/>
    <mergeCell ref="X313:AB313"/>
    <mergeCell ref="A315:A316"/>
    <mergeCell ref="B315:G316"/>
    <mergeCell ref="H315:I315"/>
    <mergeCell ref="J315:J316"/>
    <mergeCell ref="K315:K316"/>
    <mergeCell ref="L315:M316"/>
    <mergeCell ref="X310:AA310"/>
    <mergeCell ref="O311:P311"/>
    <mergeCell ref="R311:S311"/>
    <mergeCell ref="U311:X311"/>
    <mergeCell ref="A312:C312"/>
    <mergeCell ref="D312:K312"/>
    <mergeCell ref="M312:N312"/>
    <mergeCell ref="O312:P312"/>
    <mergeCell ref="Q312:S312"/>
    <mergeCell ref="V312:AB312"/>
    <mergeCell ref="X309:AA309"/>
    <mergeCell ref="N302:O302"/>
    <mergeCell ref="U302:V302"/>
    <mergeCell ref="W302:X302"/>
    <mergeCell ref="AA302:AB302"/>
    <mergeCell ref="W303:Y303"/>
    <mergeCell ref="AA303:AB303"/>
    <mergeCell ref="N300:O300"/>
    <mergeCell ref="U300:V300"/>
    <mergeCell ref="W300:X300"/>
    <mergeCell ref="AA300:AB300"/>
    <mergeCell ref="N301:O301"/>
    <mergeCell ref="U301:V301"/>
    <mergeCell ref="W301:X301"/>
    <mergeCell ref="AA301:AB301"/>
    <mergeCell ref="H304:I304"/>
    <mergeCell ref="H305:I305"/>
    <mergeCell ref="H306:I306"/>
    <mergeCell ref="N299:O299"/>
    <mergeCell ref="U299:V299"/>
    <mergeCell ref="W299:X299"/>
    <mergeCell ref="AA299:AB299"/>
    <mergeCell ref="N296:O296"/>
    <mergeCell ref="U296:V296"/>
    <mergeCell ref="W296:X296"/>
    <mergeCell ref="AA296:AB296"/>
    <mergeCell ref="N297:O297"/>
    <mergeCell ref="U297:V297"/>
    <mergeCell ref="W297:X297"/>
    <mergeCell ref="AA297:AB297"/>
    <mergeCell ref="AA304:AB304"/>
    <mergeCell ref="E307:J307"/>
    <mergeCell ref="N307:S307"/>
    <mergeCell ref="W307:AB307"/>
    <mergeCell ref="X308:AA308"/>
    <mergeCell ref="N294:O294"/>
    <mergeCell ref="U294:V294"/>
    <mergeCell ref="W294:X294"/>
    <mergeCell ref="AA294:AB294"/>
    <mergeCell ref="N295:O295"/>
    <mergeCell ref="U295:V295"/>
    <mergeCell ref="W295:X295"/>
    <mergeCell ref="AA295:AB295"/>
    <mergeCell ref="N292:O292"/>
    <mergeCell ref="U292:V292"/>
    <mergeCell ref="W292:X292"/>
    <mergeCell ref="AA292:AB292"/>
    <mergeCell ref="N293:O293"/>
    <mergeCell ref="U293:V293"/>
    <mergeCell ref="W293:X293"/>
    <mergeCell ref="AA293:AB293"/>
    <mergeCell ref="N298:O298"/>
    <mergeCell ref="U298:V298"/>
    <mergeCell ref="W298:X298"/>
    <mergeCell ref="AA298:AB298"/>
    <mergeCell ref="N287:O287"/>
    <mergeCell ref="U287:V287"/>
    <mergeCell ref="W287:X287"/>
    <mergeCell ref="AA287:AB287"/>
    <mergeCell ref="N284:O284"/>
    <mergeCell ref="U284:V284"/>
    <mergeCell ref="W284:X284"/>
    <mergeCell ref="AA284:AB284"/>
    <mergeCell ref="N285:O285"/>
    <mergeCell ref="U285:V285"/>
    <mergeCell ref="W285:X285"/>
    <mergeCell ref="AA285:AB285"/>
    <mergeCell ref="N290:O290"/>
    <mergeCell ref="U290:V290"/>
    <mergeCell ref="W290:X290"/>
    <mergeCell ref="AA290:AB290"/>
    <mergeCell ref="N291:O291"/>
    <mergeCell ref="U291:V291"/>
    <mergeCell ref="W291:X291"/>
    <mergeCell ref="AA291:AB291"/>
    <mergeCell ref="N288:O288"/>
    <mergeCell ref="U288:V288"/>
    <mergeCell ref="W288:X288"/>
    <mergeCell ref="AA288:AB288"/>
    <mergeCell ref="N289:O289"/>
    <mergeCell ref="U289:V289"/>
    <mergeCell ref="W289:X289"/>
    <mergeCell ref="AA289:AB289"/>
    <mergeCell ref="N282:O282"/>
    <mergeCell ref="U282:V282"/>
    <mergeCell ref="W282:X282"/>
    <mergeCell ref="AA282:AB282"/>
    <mergeCell ref="N283:O283"/>
    <mergeCell ref="U283:V283"/>
    <mergeCell ref="W283:X283"/>
    <mergeCell ref="AA283:AB283"/>
    <mergeCell ref="N280:O280"/>
    <mergeCell ref="U280:V280"/>
    <mergeCell ref="W280:X280"/>
    <mergeCell ref="AA280:AB280"/>
    <mergeCell ref="N281:O281"/>
    <mergeCell ref="U281:V281"/>
    <mergeCell ref="W281:X281"/>
    <mergeCell ref="AA281:AB281"/>
    <mergeCell ref="N286:O286"/>
    <mergeCell ref="U286:V286"/>
    <mergeCell ref="W286:X286"/>
    <mergeCell ref="AA286:AB286"/>
    <mergeCell ref="N278:O278"/>
    <mergeCell ref="U278:V278"/>
    <mergeCell ref="W278:X278"/>
    <mergeCell ref="AA278:AB278"/>
    <mergeCell ref="N279:O279"/>
    <mergeCell ref="U279:V279"/>
    <mergeCell ref="W279:X279"/>
    <mergeCell ref="AA279:AB279"/>
    <mergeCell ref="Z275:Z276"/>
    <mergeCell ref="AA275:AB276"/>
    <mergeCell ref="N277:O277"/>
    <mergeCell ref="U277:V277"/>
    <mergeCell ref="W277:X277"/>
    <mergeCell ref="AA277:AB277"/>
    <mergeCell ref="N275:O276"/>
    <mergeCell ref="P275:Q275"/>
    <mergeCell ref="R275:S275"/>
    <mergeCell ref="T275:T276"/>
    <mergeCell ref="U275:V276"/>
    <mergeCell ref="W275:X276"/>
    <mergeCell ref="A273:B273"/>
    <mergeCell ref="C273:M273"/>
    <mergeCell ref="P273:T273"/>
    <mergeCell ref="X273:AB273"/>
    <mergeCell ref="A275:A276"/>
    <mergeCell ref="B275:G276"/>
    <mergeCell ref="H275:I275"/>
    <mergeCell ref="J275:J276"/>
    <mergeCell ref="K275:K276"/>
    <mergeCell ref="L275:M276"/>
    <mergeCell ref="Y275:Y276"/>
    <mergeCell ref="O271:P271"/>
    <mergeCell ref="R271:S271"/>
    <mergeCell ref="U271:X271"/>
    <mergeCell ref="A272:C272"/>
    <mergeCell ref="D272:K272"/>
    <mergeCell ref="M272:N272"/>
    <mergeCell ref="O272:P272"/>
    <mergeCell ref="Q272:S272"/>
    <mergeCell ref="V272:AB272"/>
    <mergeCell ref="X269:AA269"/>
    <mergeCell ref="N262:O262"/>
    <mergeCell ref="U262:V262"/>
    <mergeCell ref="W262:X262"/>
    <mergeCell ref="AA262:AB262"/>
    <mergeCell ref="W263:Y263"/>
    <mergeCell ref="AA263:AB263"/>
    <mergeCell ref="X270:AA270"/>
    <mergeCell ref="N260:O260"/>
    <mergeCell ref="U260:V260"/>
    <mergeCell ref="W260:X260"/>
    <mergeCell ref="AA260:AB260"/>
    <mergeCell ref="N261:O261"/>
    <mergeCell ref="U261:V261"/>
    <mergeCell ref="W261:X261"/>
    <mergeCell ref="AA261:AB261"/>
    <mergeCell ref="H264:I264"/>
    <mergeCell ref="H265:I265"/>
    <mergeCell ref="H266:I266"/>
    <mergeCell ref="N259:O259"/>
    <mergeCell ref="U259:V259"/>
    <mergeCell ref="W259:X259"/>
    <mergeCell ref="AA259:AB259"/>
    <mergeCell ref="N256:O256"/>
    <mergeCell ref="U256:V256"/>
    <mergeCell ref="W256:X256"/>
    <mergeCell ref="AA256:AB256"/>
    <mergeCell ref="N257:O257"/>
    <mergeCell ref="U257:V257"/>
    <mergeCell ref="W257:X257"/>
    <mergeCell ref="AA257:AB257"/>
    <mergeCell ref="AA264:AB264"/>
    <mergeCell ref="E267:J267"/>
    <mergeCell ref="N267:S267"/>
    <mergeCell ref="W267:AB267"/>
    <mergeCell ref="X268:AA268"/>
    <mergeCell ref="N254:O254"/>
    <mergeCell ref="U254:V254"/>
    <mergeCell ref="W254:X254"/>
    <mergeCell ref="AA254:AB254"/>
    <mergeCell ref="N255:O255"/>
    <mergeCell ref="U255:V255"/>
    <mergeCell ref="W255:X255"/>
    <mergeCell ref="AA255:AB255"/>
    <mergeCell ref="N252:O252"/>
    <mergeCell ref="U252:V252"/>
    <mergeCell ref="W252:X252"/>
    <mergeCell ref="AA252:AB252"/>
    <mergeCell ref="N253:O253"/>
    <mergeCell ref="U253:V253"/>
    <mergeCell ref="W253:X253"/>
    <mergeCell ref="AA253:AB253"/>
    <mergeCell ref="N258:O258"/>
    <mergeCell ref="U258:V258"/>
    <mergeCell ref="W258:X258"/>
    <mergeCell ref="AA258:AB258"/>
    <mergeCell ref="N247:O247"/>
    <mergeCell ref="U247:V247"/>
    <mergeCell ref="W247:X247"/>
    <mergeCell ref="AA247:AB247"/>
    <mergeCell ref="N244:O244"/>
    <mergeCell ref="U244:V244"/>
    <mergeCell ref="W244:X244"/>
    <mergeCell ref="AA244:AB244"/>
    <mergeCell ref="N245:O245"/>
    <mergeCell ref="U245:V245"/>
    <mergeCell ref="W245:X245"/>
    <mergeCell ref="AA245:AB245"/>
    <mergeCell ref="N250:O250"/>
    <mergeCell ref="U250:V250"/>
    <mergeCell ref="W250:X250"/>
    <mergeCell ref="AA250:AB250"/>
    <mergeCell ref="N251:O251"/>
    <mergeCell ref="U251:V251"/>
    <mergeCell ref="W251:X251"/>
    <mergeCell ref="AA251:AB251"/>
    <mergeCell ref="N248:O248"/>
    <mergeCell ref="U248:V248"/>
    <mergeCell ref="W248:X248"/>
    <mergeCell ref="AA248:AB248"/>
    <mergeCell ref="N249:O249"/>
    <mergeCell ref="U249:V249"/>
    <mergeCell ref="W249:X249"/>
    <mergeCell ref="AA249:AB249"/>
    <mergeCell ref="N242:O242"/>
    <mergeCell ref="U242:V242"/>
    <mergeCell ref="W242:X242"/>
    <mergeCell ref="AA242:AB242"/>
    <mergeCell ref="N243:O243"/>
    <mergeCell ref="U243:V243"/>
    <mergeCell ref="W243:X243"/>
    <mergeCell ref="AA243:AB243"/>
    <mergeCell ref="N240:O240"/>
    <mergeCell ref="U240:V240"/>
    <mergeCell ref="W240:X240"/>
    <mergeCell ref="AA240:AB240"/>
    <mergeCell ref="N241:O241"/>
    <mergeCell ref="U241:V241"/>
    <mergeCell ref="W241:X241"/>
    <mergeCell ref="AA241:AB241"/>
    <mergeCell ref="N246:O246"/>
    <mergeCell ref="U246:V246"/>
    <mergeCell ref="W246:X246"/>
    <mergeCell ref="AA246:AB246"/>
    <mergeCell ref="N238:O238"/>
    <mergeCell ref="U238:V238"/>
    <mergeCell ref="W238:X238"/>
    <mergeCell ref="AA238:AB238"/>
    <mergeCell ref="N239:O239"/>
    <mergeCell ref="U239:V239"/>
    <mergeCell ref="W239:X239"/>
    <mergeCell ref="AA239:AB239"/>
    <mergeCell ref="N237:O237"/>
    <mergeCell ref="U237:V237"/>
    <mergeCell ref="W237:X237"/>
    <mergeCell ref="AA237:AB237"/>
    <mergeCell ref="N235:O236"/>
    <mergeCell ref="P235:Q235"/>
    <mergeCell ref="R235:S235"/>
    <mergeCell ref="T235:T236"/>
    <mergeCell ref="U235:V236"/>
    <mergeCell ref="W235:X236"/>
    <mergeCell ref="A233:B233"/>
    <mergeCell ref="C233:M233"/>
    <mergeCell ref="P233:T233"/>
    <mergeCell ref="X233:AB233"/>
    <mergeCell ref="A235:A236"/>
    <mergeCell ref="B235:G236"/>
    <mergeCell ref="H235:I235"/>
    <mergeCell ref="J235:J236"/>
    <mergeCell ref="K235:K236"/>
    <mergeCell ref="L235:M236"/>
    <mergeCell ref="Y235:Y236"/>
    <mergeCell ref="Z235:Z236"/>
    <mergeCell ref="AA235:AB236"/>
    <mergeCell ref="O231:P231"/>
    <mergeCell ref="R231:S231"/>
    <mergeCell ref="U231:X231"/>
    <mergeCell ref="A232:C232"/>
    <mergeCell ref="D232:K232"/>
    <mergeCell ref="M232:N232"/>
    <mergeCell ref="O232:P232"/>
    <mergeCell ref="Q232:S232"/>
    <mergeCell ref="V232:AB232"/>
    <mergeCell ref="X229:AA229"/>
    <mergeCell ref="N222:O222"/>
    <mergeCell ref="U222:V222"/>
    <mergeCell ref="W222:X222"/>
    <mergeCell ref="AA222:AB222"/>
    <mergeCell ref="W223:Y223"/>
    <mergeCell ref="AA223:AB223"/>
    <mergeCell ref="X230:AA230"/>
    <mergeCell ref="N220:O220"/>
    <mergeCell ref="U220:V220"/>
    <mergeCell ref="W220:X220"/>
    <mergeCell ref="AA220:AB220"/>
    <mergeCell ref="N221:O221"/>
    <mergeCell ref="U221:V221"/>
    <mergeCell ref="W221:X221"/>
    <mergeCell ref="AA221:AB221"/>
    <mergeCell ref="H224:I224"/>
    <mergeCell ref="H225:I225"/>
    <mergeCell ref="H226:I226"/>
    <mergeCell ref="N219:O219"/>
    <mergeCell ref="U219:V219"/>
    <mergeCell ref="W219:X219"/>
    <mergeCell ref="AA219:AB219"/>
    <mergeCell ref="N216:O216"/>
    <mergeCell ref="U216:V216"/>
    <mergeCell ref="W216:X216"/>
    <mergeCell ref="AA216:AB216"/>
    <mergeCell ref="N217:O217"/>
    <mergeCell ref="U217:V217"/>
    <mergeCell ref="W217:X217"/>
    <mergeCell ref="AA217:AB217"/>
    <mergeCell ref="AA224:AB224"/>
    <mergeCell ref="E227:J227"/>
    <mergeCell ref="N227:S227"/>
    <mergeCell ref="W227:AB227"/>
    <mergeCell ref="X228:AA228"/>
    <mergeCell ref="N214:O214"/>
    <mergeCell ref="U214:V214"/>
    <mergeCell ref="W214:X214"/>
    <mergeCell ref="AA214:AB214"/>
    <mergeCell ref="N215:O215"/>
    <mergeCell ref="U215:V215"/>
    <mergeCell ref="W215:X215"/>
    <mergeCell ref="AA215:AB215"/>
    <mergeCell ref="N212:O212"/>
    <mergeCell ref="U212:V212"/>
    <mergeCell ref="W212:X212"/>
    <mergeCell ref="AA212:AB212"/>
    <mergeCell ref="N213:O213"/>
    <mergeCell ref="U213:V213"/>
    <mergeCell ref="W213:X213"/>
    <mergeCell ref="AA213:AB213"/>
    <mergeCell ref="N218:O218"/>
    <mergeCell ref="U218:V218"/>
    <mergeCell ref="W218:X218"/>
    <mergeCell ref="AA218:AB218"/>
    <mergeCell ref="N207:O207"/>
    <mergeCell ref="U207:V207"/>
    <mergeCell ref="W207:X207"/>
    <mergeCell ref="AA207:AB207"/>
    <mergeCell ref="N204:O204"/>
    <mergeCell ref="U204:V204"/>
    <mergeCell ref="W204:X204"/>
    <mergeCell ref="AA204:AB204"/>
    <mergeCell ref="N205:O205"/>
    <mergeCell ref="U205:V205"/>
    <mergeCell ref="W205:X205"/>
    <mergeCell ref="AA205:AB205"/>
    <mergeCell ref="N210:O210"/>
    <mergeCell ref="U210:V210"/>
    <mergeCell ref="W210:X210"/>
    <mergeCell ref="AA210:AB210"/>
    <mergeCell ref="N211:O211"/>
    <mergeCell ref="U211:V211"/>
    <mergeCell ref="W211:X211"/>
    <mergeCell ref="AA211:AB211"/>
    <mergeCell ref="N208:O208"/>
    <mergeCell ref="U208:V208"/>
    <mergeCell ref="W208:X208"/>
    <mergeCell ref="AA208:AB208"/>
    <mergeCell ref="N209:O209"/>
    <mergeCell ref="U209:V209"/>
    <mergeCell ref="W209:X209"/>
    <mergeCell ref="AA209:AB209"/>
    <mergeCell ref="N202:O202"/>
    <mergeCell ref="U202:V202"/>
    <mergeCell ref="W202:X202"/>
    <mergeCell ref="AA202:AB202"/>
    <mergeCell ref="N203:O203"/>
    <mergeCell ref="U203:V203"/>
    <mergeCell ref="W203:X203"/>
    <mergeCell ref="AA203:AB203"/>
    <mergeCell ref="N200:O200"/>
    <mergeCell ref="U200:V200"/>
    <mergeCell ref="W200:X200"/>
    <mergeCell ref="AA200:AB200"/>
    <mergeCell ref="N201:O201"/>
    <mergeCell ref="U201:V201"/>
    <mergeCell ref="W201:X201"/>
    <mergeCell ref="AA201:AB201"/>
    <mergeCell ref="N206:O206"/>
    <mergeCell ref="U206:V206"/>
    <mergeCell ref="W206:X206"/>
    <mergeCell ref="AA206:AB206"/>
    <mergeCell ref="N198:O198"/>
    <mergeCell ref="U198:V198"/>
    <mergeCell ref="W198:X198"/>
    <mergeCell ref="AA198:AB198"/>
    <mergeCell ref="N199:O199"/>
    <mergeCell ref="U199:V199"/>
    <mergeCell ref="W199:X199"/>
    <mergeCell ref="AA199:AB199"/>
    <mergeCell ref="N197:O197"/>
    <mergeCell ref="U197:V197"/>
    <mergeCell ref="W197:X197"/>
    <mergeCell ref="AA197:AB197"/>
    <mergeCell ref="N195:O196"/>
    <mergeCell ref="P195:Q195"/>
    <mergeCell ref="R195:S195"/>
    <mergeCell ref="T195:T196"/>
    <mergeCell ref="U195:V196"/>
    <mergeCell ref="W195:X196"/>
    <mergeCell ref="A193:B193"/>
    <mergeCell ref="C193:M193"/>
    <mergeCell ref="P193:T193"/>
    <mergeCell ref="X193:AB193"/>
    <mergeCell ref="A195:A196"/>
    <mergeCell ref="B195:G196"/>
    <mergeCell ref="H195:I195"/>
    <mergeCell ref="J195:J196"/>
    <mergeCell ref="K195:K196"/>
    <mergeCell ref="L195:M196"/>
    <mergeCell ref="Y195:Y196"/>
    <mergeCell ref="Z195:Z196"/>
    <mergeCell ref="AA195:AB196"/>
    <mergeCell ref="O191:P191"/>
    <mergeCell ref="R191:S191"/>
    <mergeCell ref="U191:X191"/>
    <mergeCell ref="A192:C192"/>
    <mergeCell ref="D192:K192"/>
    <mergeCell ref="M192:N192"/>
    <mergeCell ref="O192:P192"/>
    <mergeCell ref="Q192:S192"/>
    <mergeCell ref="V192:AB192"/>
    <mergeCell ref="X189:AA189"/>
    <mergeCell ref="N182:O182"/>
    <mergeCell ref="U182:V182"/>
    <mergeCell ref="W182:X182"/>
    <mergeCell ref="AA182:AB182"/>
    <mergeCell ref="W183:Y183"/>
    <mergeCell ref="AA183:AB183"/>
    <mergeCell ref="X190:AA190"/>
    <mergeCell ref="N180:O180"/>
    <mergeCell ref="U180:V180"/>
    <mergeCell ref="W180:X180"/>
    <mergeCell ref="AA180:AB180"/>
    <mergeCell ref="N181:O181"/>
    <mergeCell ref="U181:V181"/>
    <mergeCell ref="W181:X181"/>
    <mergeCell ref="AA181:AB181"/>
    <mergeCell ref="H184:I184"/>
    <mergeCell ref="H185:I185"/>
    <mergeCell ref="H186:I186"/>
    <mergeCell ref="N179:O179"/>
    <mergeCell ref="U179:V179"/>
    <mergeCell ref="W179:X179"/>
    <mergeCell ref="AA179:AB179"/>
    <mergeCell ref="N176:O176"/>
    <mergeCell ref="U176:V176"/>
    <mergeCell ref="W176:X176"/>
    <mergeCell ref="AA176:AB176"/>
    <mergeCell ref="N177:O177"/>
    <mergeCell ref="U177:V177"/>
    <mergeCell ref="W177:X177"/>
    <mergeCell ref="AA177:AB177"/>
    <mergeCell ref="AA184:AB184"/>
    <mergeCell ref="E187:J187"/>
    <mergeCell ref="N187:S187"/>
    <mergeCell ref="W187:AB187"/>
    <mergeCell ref="X188:AA188"/>
    <mergeCell ref="N174:O174"/>
    <mergeCell ref="U174:V174"/>
    <mergeCell ref="W174:X174"/>
    <mergeCell ref="AA174:AB174"/>
    <mergeCell ref="N175:O175"/>
    <mergeCell ref="U175:V175"/>
    <mergeCell ref="W175:X175"/>
    <mergeCell ref="AA175:AB175"/>
    <mergeCell ref="N172:O172"/>
    <mergeCell ref="U172:V172"/>
    <mergeCell ref="W172:X172"/>
    <mergeCell ref="AA172:AB172"/>
    <mergeCell ref="N173:O173"/>
    <mergeCell ref="U173:V173"/>
    <mergeCell ref="W173:X173"/>
    <mergeCell ref="AA173:AB173"/>
    <mergeCell ref="N178:O178"/>
    <mergeCell ref="U178:V178"/>
    <mergeCell ref="W178:X178"/>
    <mergeCell ref="AA178:AB178"/>
    <mergeCell ref="N167:O167"/>
    <mergeCell ref="U167:V167"/>
    <mergeCell ref="W167:X167"/>
    <mergeCell ref="AA167:AB167"/>
    <mergeCell ref="N164:O164"/>
    <mergeCell ref="U164:V164"/>
    <mergeCell ref="W164:X164"/>
    <mergeCell ref="AA164:AB164"/>
    <mergeCell ref="N165:O165"/>
    <mergeCell ref="U165:V165"/>
    <mergeCell ref="W165:X165"/>
    <mergeCell ref="AA165:AB165"/>
    <mergeCell ref="N170:O170"/>
    <mergeCell ref="U170:V170"/>
    <mergeCell ref="W170:X170"/>
    <mergeCell ref="AA170:AB170"/>
    <mergeCell ref="N171:O171"/>
    <mergeCell ref="U171:V171"/>
    <mergeCell ref="W171:X171"/>
    <mergeCell ref="AA171:AB171"/>
    <mergeCell ref="N168:O168"/>
    <mergeCell ref="U168:V168"/>
    <mergeCell ref="W168:X168"/>
    <mergeCell ref="AA168:AB168"/>
    <mergeCell ref="N169:O169"/>
    <mergeCell ref="U169:V169"/>
    <mergeCell ref="W169:X169"/>
    <mergeCell ref="AA169:AB169"/>
    <mergeCell ref="N162:O162"/>
    <mergeCell ref="U162:V162"/>
    <mergeCell ref="W162:X162"/>
    <mergeCell ref="AA162:AB162"/>
    <mergeCell ref="N163:O163"/>
    <mergeCell ref="U163:V163"/>
    <mergeCell ref="W163:X163"/>
    <mergeCell ref="AA163:AB163"/>
    <mergeCell ref="N160:O160"/>
    <mergeCell ref="U160:V160"/>
    <mergeCell ref="W160:X160"/>
    <mergeCell ref="AA160:AB160"/>
    <mergeCell ref="N161:O161"/>
    <mergeCell ref="U161:V161"/>
    <mergeCell ref="W161:X161"/>
    <mergeCell ref="AA161:AB161"/>
    <mergeCell ref="N166:O166"/>
    <mergeCell ref="U166:V166"/>
    <mergeCell ref="W166:X166"/>
    <mergeCell ref="AA166:AB166"/>
    <mergeCell ref="N158:O158"/>
    <mergeCell ref="U158:V158"/>
    <mergeCell ref="W158:X158"/>
    <mergeCell ref="AA158:AB158"/>
    <mergeCell ref="N159:O159"/>
    <mergeCell ref="U159:V159"/>
    <mergeCell ref="W159:X159"/>
    <mergeCell ref="AA159:AB159"/>
    <mergeCell ref="N157:O157"/>
    <mergeCell ref="U157:V157"/>
    <mergeCell ref="W157:X157"/>
    <mergeCell ref="AA157:AB157"/>
    <mergeCell ref="N155:O156"/>
    <mergeCell ref="P155:Q155"/>
    <mergeCell ref="R155:S155"/>
    <mergeCell ref="T155:T156"/>
    <mergeCell ref="U155:V156"/>
    <mergeCell ref="W155:X156"/>
    <mergeCell ref="A153:B153"/>
    <mergeCell ref="C153:M153"/>
    <mergeCell ref="P153:T153"/>
    <mergeCell ref="X153:AB153"/>
    <mergeCell ref="A155:A156"/>
    <mergeCell ref="B155:G156"/>
    <mergeCell ref="H155:I155"/>
    <mergeCell ref="J155:J156"/>
    <mergeCell ref="K155:K156"/>
    <mergeCell ref="L155:M156"/>
    <mergeCell ref="Y155:Y156"/>
    <mergeCell ref="Z155:Z156"/>
    <mergeCell ref="AA155:AB156"/>
    <mergeCell ref="O151:P151"/>
    <mergeCell ref="R151:S151"/>
    <mergeCell ref="U151:X151"/>
    <mergeCell ref="A152:C152"/>
    <mergeCell ref="D152:K152"/>
    <mergeCell ref="M152:N152"/>
    <mergeCell ref="O152:P152"/>
    <mergeCell ref="Q152:S152"/>
    <mergeCell ref="V152:AB152"/>
    <mergeCell ref="E147:J147"/>
    <mergeCell ref="N147:S147"/>
    <mergeCell ref="W147:AB147"/>
    <mergeCell ref="X148:AA148"/>
    <mergeCell ref="X149:AA149"/>
    <mergeCell ref="N142:O142"/>
    <mergeCell ref="U142:V142"/>
    <mergeCell ref="W142:X142"/>
    <mergeCell ref="AA142:AB142"/>
    <mergeCell ref="W143:Y143"/>
    <mergeCell ref="AA143:AB143"/>
    <mergeCell ref="X150:AA150"/>
    <mergeCell ref="N140:O140"/>
    <mergeCell ref="U140:V140"/>
    <mergeCell ref="W140:X140"/>
    <mergeCell ref="AA140:AB140"/>
    <mergeCell ref="N141:O141"/>
    <mergeCell ref="U141:V141"/>
    <mergeCell ref="W141:X141"/>
    <mergeCell ref="AA141:AB141"/>
    <mergeCell ref="H144:I144"/>
    <mergeCell ref="H145:I145"/>
    <mergeCell ref="H146:I146"/>
    <mergeCell ref="N138:O138"/>
    <mergeCell ref="U138:V138"/>
    <mergeCell ref="W138:X138"/>
    <mergeCell ref="AA138:AB138"/>
    <mergeCell ref="N139:O139"/>
    <mergeCell ref="U139:V139"/>
    <mergeCell ref="W139:X139"/>
    <mergeCell ref="AA139:AB139"/>
    <mergeCell ref="N136:O136"/>
    <mergeCell ref="U136:V136"/>
    <mergeCell ref="W136:X136"/>
    <mergeCell ref="AA136:AB136"/>
    <mergeCell ref="N137:O137"/>
    <mergeCell ref="U137:V137"/>
    <mergeCell ref="W137:X137"/>
    <mergeCell ref="AA137:AB137"/>
    <mergeCell ref="AA144:AB144"/>
    <mergeCell ref="N131:O131"/>
    <mergeCell ref="U131:V131"/>
    <mergeCell ref="W131:X131"/>
    <mergeCell ref="AA131:AB131"/>
    <mergeCell ref="U128:V128"/>
    <mergeCell ref="W128:X128"/>
    <mergeCell ref="AA128:AB128"/>
    <mergeCell ref="N129:O129"/>
    <mergeCell ref="U129:V129"/>
    <mergeCell ref="W129:X129"/>
    <mergeCell ref="AA129:AB129"/>
    <mergeCell ref="N134:O134"/>
    <mergeCell ref="U134:V134"/>
    <mergeCell ref="W134:X134"/>
    <mergeCell ref="AA134:AB134"/>
    <mergeCell ref="N135:O135"/>
    <mergeCell ref="U135:V135"/>
    <mergeCell ref="W135:X135"/>
    <mergeCell ref="AA135:AB135"/>
    <mergeCell ref="N132:O132"/>
    <mergeCell ref="U132:V132"/>
    <mergeCell ref="W132:X132"/>
    <mergeCell ref="AA132:AB132"/>
    <mergeCell ref="N133:O133"/>
    <mergeCell ref="U133:V133"/>
    <mergeCell ref="W133:X133"/>
    <mergeCell ref="AA133:AB133"/>
    <mergeCell ref="N122:O122"/>
    <mergeCell ref="U122:V122"/>
    <mergeCell ref="W122:X122"/>
    <mergeCell ref="AA122:AB122"/>
    <mergeCell ref="N123:O123"/>
    <mergeCell ref="U123:V123"/>
    <mergeCell ref="W123:X123"/>
    <mergeCell ref="AA123:AB123"/>
    <mergeCell ref="N120:O120"/>
    <mergeCell ref="Y115:Y116"/>
    <mergeCell ref="Z115:Z116"/>
    <mergeCell ref="AA115:AB116"/>
    <mergeCell ref="N125:O125"/>
    <mergeCell ref="U125:V125"/>
    <mergeCell ref="W125:X125"/>
    <mergeCell ref="AA125:AB125"/>
    <mergeCell ref="N130:O130"/>
    <mergeCell ref="U130:V130"/>
    <mergeCell ref="W130:X130"/>
    <mergeCell ref="AA130:AB130"/>
    <mergeCell ref="A113:B113"/>
    <mergeCell ref="C113:M113"/>
    <mergeCell ref="P113:T113"/>
    <mergeCell ref="X113:AB113"/>
    <mergeCell ref="A115:A116"/>
    <mergeCell ref="B115:G116"/>
    <mergeCell ref="H115:I115"/>
    <mergeCell ref="J115:J116"/>
    <mergeCell ref="K115:K116"/>
    <mergeCell ref="L115:M116"/>
    <mergeCell ref="X110:AA110"/>
    <mergeCell ref="N117:O117"/>
    <mergeCell ref="U117:V117"/>
    <mergeCell ref="W117:X117"/>
    <mergeCell ref="AA117:AB117"/>
    <mergeCell ref="N115:O116"/>
    <mergeCell ref="P115:Q115"/>
    <mergeCell ref="R115:S115"/>
    <mergeCell ref="T115:T116"/>
    <mergeCell ref="U115:V116"/>
    <mergeCell ref="W115:X116"/>
    <mergeCell ref="W103:Y103"/>
    <mergeCell ref="AA103:AB103"/>
    <mergeCell ref="N100:O100"/>
    <mergeCell ref="U100:V100"/>
    <mergeCell ref="W100:X100"/>
    <mergeCell ref="AA100:AB100"/>
    <mergeCell ref="N101:O101"/>
    <mergeCell ref="U101:V101"/>
    <mergeCell ref="W101:X101"/>
    <mergeCell ref="AA101:AB101"/>
    <mergeCell ref="O111:P111"/>
    <mergeCell ref="R111:S111"/>
    <mergeCell ref="U111:X111"/>
    <mergeCell ref="A112:C112"/>
    <mergeCell ref="D112:K112"/>
    <mergeCell ref="M112:N112"/>
    <mergeCell ref="O112:P112"/>
    <mergeCell ref="Q112:S112"/>
    <mergeCell ref="V112:AB112"/>
    <mergeCell ref="AA104:AB104"/>
    <mergeCell ref="E107:J107"/>
    <mergeCell ref="N107:S107"/>
    <mergeCell ref="W107:AB107"/>
    <mergeCell ref="X108:AA108"/>
    <mergeCell ref="X109:AA109"/>
    <mergeCell ref="H104:I104"/>
    <mergeCell ref="H105:I105"/>
    <mergeCell ref="H106:I106"/>
    <mergeCell ref="N98:O98"/>
    <mergeCell ref="U98:V98"/>
    <mergeCell ref="W98:X98"/>
    <mergeCell ref="AA98:AB98"/>
    <mergeCell ref="N99:O99"/>
    <mergeCell ref="U99:V99"/>
    <mergeCell ref="W99:X99"/>
    <mergeCell ref="AA99:AB99"/>
    <mergeCell ref="N96:O96"/>
    <mergeCell ref="U96:V96"/>
    <mergeCell ref="W96:X96"/>
    <mergeCell ref="AA96:AB96"/>
    <mergeCell ref="N97:O97"/>
    <mergeCell ref="U97:V97"/>
    <mergeCell ref="W97:X97"/>
    <mergeCell ref="AA97:AB97"/>
    <mergeCell ref="N102:O102"/>
    <mergeCell ref="U102:V102"/>
    <mergeCell ref="W102:X102"/>
    <mergeCell ref="AA102:AB102"/>
    <mergeCell ref="N90:O90"/>
    <mergeCell ref="U90:V90"/>
    <mergeCell ref="W90:X90"/>
    <mergeCell ref="N91:O91"/>
    <mergeCell ref="U91:V91"/>
    <mergeCell ref="W91:X91"/>
    <mergeCell ref="N88:O88"/>
    <mergeCell ref="U88:V88"/>
    <mergeCell ref="W88:X88"/>
    <mergeCell ref="N89:O89"/>
    <mergeCell ref="U89:V89"/>
    <mergeCell ref="W89:X89"/>
    <mergeCell ref="N94:O94"/>
    <mergeCell ref="U94:V94"/>
    <mergeCell ref="W94:X94"/>
    <mergeCell ref="AA94:AB94"/>
    <mergeCell ref="N95:O95"/>
    <mergeCell ref="U95:V95"/>
    <mergeCell ref="W95:X95"/>
    <mergeCell ref="AA95:AB95"/>
    <mergeCell ref="N92:O92"/>
    <mergeCell ref="U92:V92"/>
    <mergeCell ref="W92:X92"/>
    <mergeCell ref="AA92:AB92"/>
    <mergeCell ref="N93:O93"/>
    <mergeCell ref="U93:V93"/>
    <mergeCell ref="W93:X93"/>
    <mergeCell ref="AA93:AB93"/>
    <mergeCell ref="N82:O82"/>
    <mergeCell ref="U82:V82"/>
    <mergeCell ref="W82:X82"/>
    <mergeCell ref="N83:O83"/>
    <mergeCell ref="U83:V83"/>
    <mergeCell ref="W83:X83"/>
    <mergeCell ref="N80:O80"/>
    <mergeCell ref="U80:V80"/>
    <mergeCell ref="W80:X80"/>
    <mergeCell ref="N81:O81"/>
    <mergeCell ref="U81:V81"/>
    <mergeCell ref="W81:X81"/>
    <mergeCell ref="N86:O86"/>
    <mergeCell ref="U86:V86"/>
    <mergeCell ref="W86:X86"/>
    <mergeCell ref="N87:O87"/>
    <mergeCell ref="U87:V87"/>
    <mergeCell ref="W87:X87"/>
    <mergeCell ref="N84:O84"/>
    <mergeCell ref="U84:V84"/>
    <mergeCell ref="W84:X84"/>
    <mergeCell ref="N85:O85"/>
    <mergeCell ref="U85:V85"/>
    <mergeCell ref="W85:X85"/>
    <mergeCell ref="N78:O78"/>
    <mergeCell ref="U78:V78"/>
    <mergeCell ref="W78:X78"/>
    <mergeCell ref="N79:O79"/>
    <mergeCell ref="U79:V79"/>
    <mergeCell ref="W79:X79"/>
    <mergeCell ref="Y75:Y76"/>
    <mergeCell ref="Z75:Z76"/>
    <mergeCell ref="AA75:AB76"/>
    <mergeCell ref="N77:O77"/>
    <mergeCell ref="U77:V77"/>
    <mergeCell ref="W77:X77"/>
    <mergeCell ref="AA77:AB77"/>
    <mergeCell ref="N75:O76"/>
    <mergeCell ref="P75:Q75"/>
    <mergeCell ref="R75:S75"/>
    <mergeCell ref="T75:T76"/>
    <mergeCell ref="U75:V76"/>
    <mergeCell ref="W75:X76"/>
    <mergeCell ref="A73:B73"/>
    <mergeCell ref="C73:M73"/>
    <mergeCell ref="P73:T73"/>
    <mergeCell ref="X73:AB73"/>
    <mergeCell ref="A75:A76"/>
    <mergeCell ref="B75:G76"/>
    <mergeCell ref="H75:I75"/>
    <mergeCell ref="J75:J76"/>
    <mergeCell ref="K75:K76"/>
    <mergeCell ref="L75:M76"/>
    <mergeCell ref="A72:C72"/>
    <mergeCell ref="D72:K72"/>
    <mergeCell ref="M72:N72"/>
    <mergeCell ref="O72:P72"/>
    <mergeCell ref="Q72:S72"/>
    <mergeCell ref="V72:AB72"/>
    <mergeCell ref="X68:AA68"/>
    <mergeCell ref="X69:AA69"/>
    <mergeCell ref="X70:AA70"/>
    <mergeCell ref="O71:P71"/>
    <mergeCell ref="R71:S71"/>
    <mergeCell ref="U71:X71"/>
    <mergeCell ref="W64:X64"/>
    <mergeCell ref="AA64:AB64"/>
    <mergeCell ref="E67:J67"/>
    <mergeCell ref="N67:S67"/>
    <mergeCell ref="W67:AB67"/>
    <mergeCell ref="L62:M62"/>
    <mergeCell ref="N62:O62"/>
    <mergeCell ref="U62:V62"/>
    <mergeCell ref="W62:X62"/>
    <mergeCell ref="AA62:AB62"/>
    <mergeCell ref="W63:Y63"/>
    <mergeCell ref="AA63:AB63"/>
    <mergeCell ref="L60:M60"/>
    <mergeCell ref="N60:O60"/>
    <mergeCell ref="U60:V60"/>
    <mergeCell ref="W60:X60"/>
    <mergeCell ref="AA60:AB60"/>
    <mergeCell ref="L61:M61"/>
    <mergeCell ref="N61:O61"/>
    <mergeCell ref="U61:V61"/>
    <mergeCell ref="W61:X61"/>
    <mergeCell ref="AA61:AB61"/>
    <mergeCell ref="H64:I64"/>
    <mergeCell ref="H65:I65"/>
    <mergeCell ref="H66:I66"/>
    <mergeCell ref="L58:M58"/>
    <mergeCell ref="N58:O58"/>
    <mergeCell ref="U58:V58"/>
    <mergeCell ref="W58:X58"/>
    <mergeCell ref="AA58:AB58"/>
    <mergeCell ref="L59:M59"/>
    <mergeCell ref="N59:O59"/>
    <mergeCell ref="U59:V59"/>
    <mergeCell ref="W59:X59"/>
    <mergeCell ref="AA59:AB59"/>
    <mergeCell ref="L56:M56"/>
    <mergeCell ref="N56:O56"/>
    <mergeCell ref="U56:V56"/>
    <mergeCell ref="W56:X56"/>
    <mergeCell ref="AA56:AB56"/>
    <mergeCell ref="L57:M57"/>
    <mergeCell ref="N57:O57"/>
    <mergeCell ref="U57:V57"/>
    <mergeCell ref="W57:X57"/>
    <mergeCell ref="AA57:AB57"/>
    <mergeCell ref="L54:M54"/>
    <mergeCell ref="N54:O54"/>
    <mergeCell ref="U54:V54"/>
    <mergeCell ref="W54:X54"/>
    <mergeCell ref="AA54:AB54"/>
    <mergeCell ref="L55:M55"/>
    <mergeCell ref="N55:O55"/>
    <mergeCell ref="U55:V55"/>
    <mergeCell ref="W55:X55"/>
    <mergeCell ref="AA55:AB55"/>
    <mergeCell ref="L52:M52"/>
    <mergeCell ref="N52:O52"/>
    <mergeCell ref="U52:V52"/>
    <mergeCell ref="W52:X52"/>
    <mergeCell ref="AA52:AB52"/>
    <mergeCell ref="L53:M53"/>
    <mergeCell ref="N53:O53"/>
    <mergeCell ref="U53:V53"/>
    <mergeCell ref="W53:X53"/>
    <mergeCell ref="AA53:AB53"/>
    <mergeCell ref="N47:O47"/>
    <mergeCell ref="U47:V47"/>
    <mergeCell ref="W47:X47"/>
    <mergeCell ref="AA47:AB47"/>
    <mergeCell ref="N44:O44"/>
    <mergeCell ref="U44:V44"/>
    <mergeCell ref="W44:X44"/>
    <mergeCell ref="AA44:AB44"/>
    <mergeCell ref="N45:O45"/>
    <mergeCell ref="U45:V45"/>
    <mergeCell ref="W45:X45"/>
    <mergeCell ref="AA45:AB45"/>
    <mergeCell ref="N50:O50"/>
    <mergeCell ref="U50:V50"/>
    <mergeCell ref="W50:X50"/>
    <mergeCell ref="AA50:AB50"/>
    <mergeCell ref="N51:O51"/>
    <mergeCell ref="U51:V51"/>
    <mergeCell ref="W51:X51"/>
    <mergeCell ref="AA51:AB51"/>
    <mergeCell ref="N48:O48"/>
    <mergeCell ref="U48:V48"/>
    <mergeCell ref="W48:X48"/>
    <mergeCell ref="AA48:AB48"/>
    <mergeCell ref="N49:O49"/>
    <mergeCell ref="U49:V49"/>
    <mergeCell ref="W49:X49"/>
    <mergeCell ref="AA49:AB49"/>
    <mergeCell ref="N42:O42"/>
    <mergeCell ref="U42:V42"/>
    <mergeCell ref="W42:X42"/>
    <mergeCell ref="AA42:AB42"/>
    <mergeCell ref="N43:O43"/>
    <mergeCell ref="U43:V43"/>
    <mergeCell ref="W43:X43"/>
    <mergeCell ref="AA43:AB43"/>
    <mergeCell ref="N40:O40"/>
    <mergeCell ref="U40:V40"/>
    <mergeCell ref="W40:X40"/>
    <mergeCell ref="AA40:AB40"/>
    <mergeCell ref="N41:O41"/>
    <mergeCell ref="U41:V41"/>
    <mergeCell ref="W41:X41"/>
    <mergeCell ref="AA41:AB41"/>
    <mergeCell ref="N46:O46"/>
    <mergeCell ref="U46:V46"/>
    <mergeCell ref="W46:X46"/>
    <mergeCell ref="AA46:AB46"/>
    <mergeCell ref="N38:O38"/>
    <mergeCell ref="U38:V38"/>
    <mergeCell ref="W38:X38"/>
    <mergeCell ref="AA38:AB38"/>
    <mergeCell ref="N39:O39"/>
    <mergeCell ref="U39:V39"/>
    <mergeCell ref="W39:X39"/>
    <mergeCell ref="AA39:AB39"/>
    <mergeCell ref="Y35:Y36"/>
    <mergeCell ref="Z35:Z36"/>
    <mergeCell ref="AA35:AB36"/>
    <mergeCell ref="N37:O37"/>
    <mergeCell ref="U37:V37"/>
    <mergeCell ref="W37:X37"/>
    <mergeCell ref="AA37:AB37"/>
    <mergeCell ref="N35:O36"/>
    <mergeCell ref="P35:Q35"/>
    <mergeCell ref="R35:S35"/>
    <mergeCell ref="T35:T36"/>
    <mergeCell ref="U35:V36"/>
    <mergeCell ref="W35:X36"/>
    <mergeCell ref="A33:B33"/>
    <mergeCell ref="C33:M33"/>
    <mergeCell ref="P33:T33"/>
    <mergeCell ref="X33:AB33"/>
    <mergeCell ref="A35:A36"/>
    <mergeCell ref="B35:G36"/>
    <mergeCell ref="H35:I35"/>
    <mergeCell ref="J35:J36"/>
    <mergeCell ref="K35:K36"/>
    <mergeCell ref="L35:M36"/>
    <mergeCell ref="A32:C32"/>
    <mergeCell ref="D32:K32"/>
    <mergeCell ref="M32:N32"/>
    <mergeCell ref="O32:P32"/>
    <mergeCell ref="Q32:S32"/>
    <mergeCell ref="V32:AB32"/>
    <mergeCell ref="X28:AA28"/>
    <mergeCell ref="X29:AA29"/>
    <mergeCell ref="X30:AA30"/>
    <mergeCell ref="O31:P31"/>
    <mergeCell ref="R31:S31"/>
    <mergeCell ref="U31:X31"/>
    <mergeCell ref="N15:O15"/>
    <mergeCell ref="U15:W15"/>
    <mergeCell ref="X15:AB15"/>
    <mergeCell ref="L24:M24"/>
    <mergeCell ref="N24:O24"/>
    <mergeCell ref="U24:W24"/>
    <mergeCell ref="X24:AB24"/>
    <mergeCell ref="O25:S25"/>
    <mergeCell ref="E27:J27"/>
    <mergeCell ref="N27:S27"/>
    <mergeCell ref="W27:AB27"/>
    <mergeCell ref="L22:M22"/>
    <mergeCell ref="N22:O22"/>
    <mergeCell ref="U22:W22"/>
    <mergeCell ref="X22:AB22"/>
    <mergeCell ref="L23:M23"/>
    <mergeCell ref="N23:O23"/>
    <mergeCell ref="U23:W23"/>
    <mergeCell ref="X23:AB23"/>
    <mergeCell ref="L20:M20"/>
    <mergeCell ref="N20:O20"/>
    <mergeCell ref="U20:W20"/>
    <mergeCell ref="X20:AB20"/>
    <mergeCell ref="L21:M21"/>
    <mergeCell ref="N21:O21"/>
    <mergeCell ref="U21:W21"/>
    <mergeCell ref="X21:AB21"/>
    <mergeCell ref="W1:Z1"/>
    <mergeCell ref="W2:Z2"/>
    <mergeCell ref="W3:Z3"/>
    <mergeCell ref="R4:S4"/>
    <mergeCell ref="U4:X4"/>
    <mergeCell ref="A5:C5"/>
    <mergeCell ref="D5:K5"/>
    <mergeCell ref="M5:N5"/>
    <mergeCell ref="Q5:S5"/>
    <mergeCell ref="V5:AB5"/>
    <mergeCell ref="B8:G8"/>
    <mergeCell ref="B9:G9"/>
    <mergeCell ref="L8:M8"/>
    <mergeCell ref="L9:M9"/>
    <mergeCell ref="L12:M12"/>
    <mergeCell ref="N12:O12"/>
    <mergeCell ref="U12:W12"/>
    <mergeCell ref="X12:AB12"/>
    <mergeCell ref="L10:M10"/>
    <mergeCell ref="N10:O10"/>
    <mergeCell ref="U10:W10"/>
    <mergeCell ref="X10:AB10"/>
    <mergeCell ref="L11:M11"/>
    <mergeCell ref="N11:O11"/>
    <mergeCell ref="U11:W11"/>
    <mergeCell ref="X11:AB11"/>
    <mergeCell ref="N8:O9"/>
    <mergeCell ref="P8:Q8"/>
    <mergeCell ref="R8:S8"/>
    <mergeCell ref="T8:T9"/>
    <mergeCell ref="U8:W9"/>
    <mergeCell ref="X8:AB9"/>
    <mergeCell ref="A6:B6"/>
    <mergeCell ref="C6:M6"/>
    <mergeCell ref="P6:T6"/>
    <mergeCell ref="X6:AB6"/>
    <mergeCell ref="A8:A9"/>
    <mergeCell ref="H8:I8"/>
    <mergeCell ref="J8:J9"/>
    <mergeCell ref="L13:M13"/>
    <mergeCell ref="N13:O13"/>
    <mergeCell ref="U13:W13"/>
    <mergeCell ref="X13:AB13"/>
    <mergeCell ref="L18:M18"/>
    <mergeCell ref="N18:O18"/>
    <mergeCell ref="U18:W18"/>
    <mergeCell ref="X18:AB18"/>
    <mergeCell ref="L19:M19"/>
    <mergeCell ref="N19:O19"/>
    <mergeCell ref="U19:W19"/>
    <mergeCell ref="X19:AB19"/>
    <mergeCell ref="L16:M16"/>
    <mergeCell ref="N16:O16"/>
    <mergeCell ref="U16:W16"/>
    <mergeCell ref="X16:AB16"/>
    <mergeCell ref="L17:M17"/>
    <mergeCell ref="N17:O17"/>
    <mergeCell ref="U17:W17"/>
    <mergeCell ref="X17:AB17"/>
    <mergeCell ref="L14:M14"/>
    <mergeCell ref="N14:O14"/>
    <mergeCell ref="U14:W14"/>
    <mergeCell ref="X14:AB14"/>
    <mergeCell ref="L15:M15"/>
    <mergeCell ref="AC675:AD675"/>
    <mergeCell ref="AE675:AF675"/>
    <mergeCell ref="AG675:AH675"/>
    <mergeCell ref="AC795:AD795"/>
    <mergeCell ref="AE795:AF795"/>
    <mergeCell ref="AG795:AH795"/>
    <mergeCell ref="AC755:AD755"/>
    <mergeCell ref="AE755:AF755"/>
    <mergeCell ref="AG755:AH755"/>
    <mergeCell ref="AC715:AD715"/>
    <mergeCell ref="AE715:AF715"/>
    <mergeCell ref="AG715:AH715"/>
    <mergeCell ref="AC275:AD275"/>
    <mergeCell ref="AE275:AF275"/>
    <mergeCell ref="AG275:AH275"/>
    <mergeCell ref="AC315:AD315"/>
    <mergeCell ref="AE315:AF315"/>
    <mergeCell ref="AG315:AH315"/>
    <mergeCell ref="AC355:AD355"/>
    <mergeCell ref="AE355:AF355"/>
    <mergeCell ref="AG355:AH355"/>
    <mergeCell ref="AC395:AD395"/>
    <mergeCell ref="AE395:AF395"/>
    <mergeCell ref="AG395:AH395"/>
    <mergeCell ref="AC435:AD435"/>
    <mergeCell ref="AE435:AF435"/>
    <mergeCell ref="AG435:AH435"/>
    <mergeCell ref="AC475:AD475"/>
    <mergeCell ref="AE475:AF475"/>
    <mergeCell ref="AG475:AH475"/>
    <mergeCell ref="AE464:AF464"/>
    <mergeCell ref="AG464:AH464"/>
    <mergeCell ref="AG184:AH184"/>
    <mergeCell ref="AC224:AD224"/>
    <mergeCell ref="AE224:AF224"/>
    <mergeCell ref="AE544:AF544"/>
    <mergeCell ref="N118:O118"/>
    <mergeCell ref="U118:V118"/>
    <mergeCell ref="W118:X118"/>
    <mergeCell ref="AA118:AB118"/>
    <mergeCell ref="N119:O119"/>
    <mergeCell ref="U119:V119"/>
    <mergeCell ref="W119:X119"/>
    <mergeCell ref="AA119:AB119"/>
    <mergeCell ref="N126:O126"/>
    <mergeCell ref="U126:V126"/>
    <mergeCell ref="W126:X126"/>
    <mergeCell ref="AA126:AB126"/>
    <mergeCell ref="N127:O127"/>
    <mergeCell ref="U127:V127"/>
    <mergeCell ref="W127:X127"/>
    <mergeCell ref="U120:V120"/>
    <mergeCell ref="W120:X120"/>
    <mergeCell ref="AA120:AB120"/>
    <mergeCell ref="N121:O121"/>
    <mergeCell ref="U121:V121"/>
    <mergeCell ref="W121:X121"/>
    <mergeCell ref="AA121:AB121"/>
    <mergeCell ref="N128:O128"/>
    <mergeCell ref="AA127:AB127"/>
    <mergeCell ref="N124:O124"/>
    <mergeCell ref="U124:V124"/>
    <mergeCell ref="W124:X124"/>
    <mergeCell ref="AA124:AB124"/>
    <mergeCell ref="AC344:AD344"/>
    <mergeCell ref="AE344:AF344"/>
    <mergeCell ref="AG344:AH344"/>
    <mergeCell ref="AC384:AD384"/>
    <mergeCell ref="AE384:AF384"/>
    <mergeCell ref="AG384:AH384"/>
    <mergeCell ref="AC424:AD424"/>
    <mergeCell ref="AI635:AJ635"/>
    <mergeCell ref="AC515:AD515"/>
    <mergeCell ref="AE515:AF515"/>
    <mergeCell ref="AG515:AH515"/>
    <mergeCell ref="AC555:AD555"/>
    <mergeCell ref="AE555:AF555"/>
    <mergeCell ref="AG555:AH555"/>
    <mergeCell ref="AC595:AD595"/>
    <mergeCell ref="AE595:AF595"/>
    <mergeCell ref="AG595:AH595"/>
    <mergeCell ref="AC635:AD635"/>
    <mergeCell ref="AE635:AF635"/>
    <mergeCell ref="AG635:AH635"/>
    <mergeCell ref="AI633:AK633"/>
    <mergeCell ref="AE424:AF424"/>
    <mergeCell ref="AG424:AH424"/>
    <mergeCell ref="AC464:AD464"/>
    <mergeCell ref="AC353:AH353"/>
    <mergeCell ref="AC433:AH433"/>
    <mergeCell ref="AC473:AH473"/>
    <mergeCell ref="AC513:AH513"/>
    <mergeCell ref="AC553:AH553"/>
    <mergeCell ref="AC593:AH593"/>
    <mergeCell ref="AC633:AH633"/>
    <mergeCell ref="AI515:AJ515"/>
    <mergeCell ref="AG35:AH35"/>
    <mergeCell ref="AC75:AD75"/>
    <mergeCell ref="AE75:AF75"/>
    <mergeCell ref="AG75:AH75"/>
    <mergeCell ref="AC115:AD115"/>
    <mergeCell ref="AE115:AF115"/>
    <mergeCell ref="AC64:AD64"/>
    <mergeCell ref="AE64:AF64"/>
    <mergeCell ref="AG64:AH64"/>
    <mergeCell ref="AG104:AH104"/>
    <mergeCell ref="AG224:AH224"/>
    <mergeCell ref="AC264:AD264"/>
    <mergeCell ref="AE264:AF264"/>
    <mergeCell ref="AG264:AH264"/>
    <mergeCell ref="AC304:AD304"/>
    <mergeCell ref="AE304:AF304"/>
    <mergeCell ref="AG304:AH304"/>
    <mergeCell ref="AG115:AH115"/>
    <mergeCell ref="AC155:AD155"/>
    <mergeCell ref="AE155:AF155"/>
    <mergeCell ref="AG155:AH155"/>
    <mergeCell ref="AC195:AD195"/>
    <mergeCell ref="AE195:AF195"/>
    <mergeCell ref="AG195:AH195"/>
    <mergeCell ref="AC235:AD235"/>
    <mergeCell ref="AE235:AF235"/>
    <mergeCell ref="AG235:AH235"/>
    <mergeCell ref="AC144:AD144"/>
    <mergeCell ref="AE144:AF144"/>
    <mergeCell ref="AG144:AH144"/>
    <mergeCell ref="AC184:AD184"/>
    <mergeCell ref="AE184:AF184"/>
    <mergeCell ref="AI555:AJ555"/>
    <mergeCell ref="AI595:AJ595"/>
    <mergeCell ref="AC504:AD504"/>
    <mergeCell ref="AE504:AF504"/>
    <mergeCell ref="AG504:AH504"/>
    <mergeCell ref="AC544:AD544"/>
    <mergeCell ref="AG544:AH544"/>
    <mergeCell ref="AC584:AD584"/>
    <mergeCell ref="AE584:AF584"/>
    <mergeCell ref="AG584:AH584"/>
    <mergeCell ref="AI433:AK433"/>
    <mergeCell ref="AI473:AK473"/>
    <mergeCell ref="AI513:AK513"/>
    <mergeCell ref="AI553:AK553"/>
    <mergeCell ref="AI593:AK593"/>
    <mergeCell ref="AC624:AD624"/>
    <mergeCell ref="AE624:AF624"/>
    <mergeCell ref="AG624:AH624"/>
    <mergeCell ref="AI33:AK33"/>
    <mergeCell ref="AC33:AH33"/>
    <mergeCell ref="AC73:AH73"/>
    <mergeCell ref="AI73:AK73"/>
    <mergeCell ref="AC113:AH113"/>
    <mergeCell ref="AI113:AK113"/>
    <mergeCell ref="AC153:AH153"/>
    <mergeCell ref="AI153:AK153"/>
    <mergeCell ref="AC193:AH193"/>
    <mergeCell ref="AI193:AK193"/>
    <mergeCell ref="AC233:AH233"/>
    <mergeCell ref="AI233:AK233"/>
    <mergeCell ref="AC273:AH273"/>
    <mergeCell ref="AI273:AK273"/>
    <mergeCell ref="AC313:AH313"/>
    <mergeCell ref="AI313:AK313"/>
    <mergeCell ref="AL35:AR35"/>
    <mergeCell ref="AL75:AR75"/>
    <mergeCell ref="AL115:AR115"/>
    <mergeCell ref="AL155:AR155"/>
    <mergeCell ref="AL195:AR195"/>
    <mergeCell ref="AL235:AR235"/>
    <mergeCell ref="AL275:AR275"/>
    <mergeCell ref="AI35:AJ35"/>
    <mergeCell ref="AI75:AJ75"/>
    <mergeCell ref="AI115:AJ115"/>
    <mergeCell ref="AI155:AJ155"/>
    <mergeCell ref="AI195:AJ195"/>
    <mergeCell ref="AI235:AJ235"/>
    <mergeCell ref="AI275:AJ275"/>
    <mergeCell ref="AC35:AD35"/>
    <mergeCell ref="AE35:AF35"/>
    <mergeCell ref="AA81:AB81"/>
    <mergeCell ref="AA80:AB80"/>
    <mergeCell ref="AA79:AB79"/>
    <mergeCell ref="AA78:AB78"/>
    <mergeCell ref="AA88:AB88"/>
    <mergeCell ref="AI353:AK353"/>
    <mergeCell ref="AC393:AH393"/>
    <mergeCell ref="AI393:AK393"/>
    <mergeCell ref="AL315:AR315"/>
    <mergeCell ref="AL355:AR355"/>
    <mergeCell ref="AL395:AR395"/>
    <mergeCell ref="AL435:AR435"/>
    <mergeCell ref="AL475:AR475"/>
    <mergeCell ref="AL515:AR515"/>
    <mergeCell ref="AL555:AR555"/>
    <mergeCell ref="AL595:AR595"/>
    <mergeCell ref="AA91:AB91"/>
    <mergeCell ref="AA90:AB90"/>
    <mergeCell ref="AA89:AB89"/>
    <mergeCell ref="AA87:AB87"/>
    <mergeCell ref="AA86:AB86"/>
    <mergeCell ref="AA85:AB85"/>
    <mergeCell ref="AA84:AB84"/>
    <mergeCell ref="AA83:AB83"/>
    <mergeCell ref="AA82:AB82"/>
    <mergeCell ref="AI315:AJ315"/>
    <mergeCell ref="AI355:AJ355"/>
    <mergeCell ref="AI395:AJ395"/>
    <mergeCell ref="AI435:AJ435"/>
    <mergeCell ref="AI475:AJ475"/>
    <mergeCell ref="AC104:AD104"/>
    <mergeCell ref="AE104:AF104"/>
    <mergeCell ref="AL635:AR635"/>
    <mergeCell ref="AC673:AH673"/>
    <mergeCell ref="AI673:AK673"/>
    <mergeCell ref="AI675:AJ675"/>
    <mergeCell ref="AL675:AR675"/>
    <mergeCell ref="AC704:AD704"/>
    <mergeCell ref="AE704:AF704"/>
    <mergeCell ref="AG704:AH704"/>
    <mergeCell ref="AC793:AH793"/>
    <mergeCell ref="AI793:AK793"/>
    <mergeCell ref="AI795:AJ795"/>
    <mergeCell ref="AL795:AR795"/>
    <mergeCell ref="AC824:AD824"/>
    <mergeCell ref="AE824:AF824"/>
    <mergeCell ref="AG824:AH824"/>
    <mergeCell ref="AC753:AH753"/>
    <mergeCell ref="AI753:AK753"/>
    <mergeCell ref="AI755:AJ755"/>
    <mergeCell ref="AL755:AR755"/>
    <mergeCell ref="AC784:AD784"/>
    <mergeCell ref="AE784:AF784"/>
    <mergeCell ref="AG784:AH784"/>
    <mergeCell ref="AC713:AH713"/>
    <mergeCell ref="AI713:AK713"/>
    <mergeCell ref="AI715:AJ715"/>
    <mergeCell ref="AL715:AR715"/>
    <mergeCell ref="AC744:AD744"/>
    <mergeCell ref="AE744:AF744"/>
    <mergeCell ref="AG744:AH744"/>
    <mergeCell ref="AC664:AD664"/>
    <mergeCell ref="AE664:AF664"/>
    <mergeCell ref="AG664:AH664"/>
  </mergeCells>
  <conditionalFormatting sqref="A663 A623 A583 A543 A503 A463 A423 A383 A343 A303 A263 A223 A183 A143 A103 AA158:AB182 H784:S784 H744:S744 U704:Z704 U664:Z664 U744:Z744 U784:Z784 B784 B704 B744 J464:K464 J144:K144 J184:K184 J304:K304 J384:K384 J424:K424 J504:K504 J544:K544 J584:K584 J624:K624 J664:N664 P664:S664 H704:S704 Y252 Y237 AB290:AB291 H824:S824 U824:Z824 B824 H27:J27 F67:J67 Y292:AB292 B300:R301 F187:J187 F227:J227 F267:J267 F307:J307 F347:J347 F387:J387 F427:J427 F467:J467 F507:J507 F547:J547 F587:J587 F627:J627 F667:J667 F707:J707 F747:J747 F787:J787 F827:J827 U144:Z144 U184:Z184 U304:Z304 U384:Z384 U424:Z424 U464:Z464 U504:Z504 U544:Z544 U584:Z584 U624:Z624 N492:R492 C493:H493 J104:K104 T103 J224:K224 U224:Z224 T223 J264:K264 U264:Z264 T263 J344:K344 U344:Z344 T343 C54:V54 B157:R157 W217:X222 W299:X302 Y279:Y280 W333:X340 W324:X325 W329:X329 W357:X357 W397:X400 W453:X455 W494:X502 W532:X532 W526:X527 W529:X529 W572:X582 W569:X569 W614:X622 N27 E27 E107:J107 E147:J147 B182:R182 B450:B453 W197:X197 W382:X382 Y157:AB167 Z237:AB252 Z280:AA280 Y288:AA291 W64:X64 T63:V63 Y134:Z134 AA38:AA62 Y37:AA51 AB37 AA238:AB262 AA278:AA302 AA398:AB422 W373:X373 U104:Z104 B237:X262 W207 B172 Y168 X286:AB287 Y397:AB410 B398:K400 N398:R400 T166:X167 W169:X169 W657:X657 W637:X640 J64:K64 B39:R39 B46:R46 P49:P52 B49:B52 J49:K52 C49:I51 L49:O51 Q49:R51 T49:V51 W164:X166 B286:R288 Y281:AB281 Y283:AB285 D299:R299 B289:C299 W327:X327 W318:X318 W321 W410:X419 B409:K416 N409:R416 B405:K407 N405:R407 W536:X542 W566:X566 W659:X662 W642:X646 W342:X342 B408:C409 T46:V46 T39:V39 T182:X182 T157:X157 T286:W288 T299:V301 T405:X407 T409:X409 T410:V416 T398:V400 T492:Z492 W462:X462 W458:X460 H63:I63 AA477:AB502 Y493:Z493 W158:X161 W173:X181 B166:R167 W564 Y282:AA282 B277:R278 T277:AA278">
    <cfRule type="cellIs" dxfId="621" priority="768" stopIfTrue="1" operator="equal">
      <formula>0</formula>
    </cfRule>
  </conditionalFormatting>
  <conditionalFormatting sqref="T827:U827 Y787:AB787 Y827:AB827 T787:U787">
    <cfRule type="expression" dxfId="620" priority="767" stopIfTrue="1">
      <formula>$AA$783=0</formula>
    </cfRule>
  </conditionalFormatting>
  <conditionalFormatting sqref="Y747:AB747 T747:U747">
    <cfRule type="expression" dxfId="619" priority="766" stopIfTrue="1">
      <formula>$AA$743=0</formula>
    </cfRule>
  </conditionalFormatting>
  <conditionalFormatting sqref="Y707:AB707 T707:U707">
    <cfRule type="expression" dxfId="618" priority="765" stopIfTrue="1">
      <formula>$AA$703=0</formula>
    </cfRule>
  </conditionalFormatting>
  <conditionalFormatting sqref="Y667:AB667 T667:U667">
    <cfRule type="expression" dxfId="617" priority="764" stopIfTrue="1">
      <formula>$AA$663=0</formula>
    </cfRule>
  </conditionalFormatting>
  <conditionalFormatting sqref="Y627:AB627 T627:U627">
    <cfRule type="expression" dxfId="616" priority="763" stopIfTrue="1">
      <formula>$AA$623=0</formula>
    </cfRule>
  </conditionalFormatting>
  <conditionalFormatting sqref="Y587:AB587">
    <cfRule type="expression" dxfId="615" priority="762" stopIfTrue="1">
      <formula>$AA$583=0</formula>
    </cfRule>
  </conditionalFormatting>
  <conditionalFormatting sqref="Y547:AB547 T547:U547">
    <cfRule type="expression" dxfId="614" priority="761" stopIfTrue="1">
      <formula>$AA$543=0</formula>
    </cfRule>
  </conditionalFormatting>
  <conditionalFormatting sqref="Y507:AB507 Y547:AB547 Y587:AB587 Y627:AB627 Y667:AB667 Y707:AB707 Y747:AB747 Y787:AB787">
    <cfRule type="expression" dxfId="613" priority="760" stopIfTrue="1">
      <formula>$AA$503=0</formula>
    </cfRule>
  </conditionalFormatting>
  <conditionalFormatting sqref="Y467:AB467 T467:U467">
    <cfRule type="expression" dxfId="612" priority="759" stopIfTrue="1">
      <formula>$AA$463=0</formula>
    </cfRule>
  </conditionalFormatting>
  <conditionalFormatting sqref="N587:V587">
    <cfRule type="expression" dxfId="611" priority="758" stopIfTrue="1">
      <formula>$Z$583=0</formula>
    </cfRule>
  </conditionalFormatting>
  <conditionalFormatting sqref="N507:V507 T627:U627 N587:V587 T667:U667 T707:U707 T747:U747 T787:U787 T547:U547">
    <cfRule type="expression" dxfId="610" priority="757" stopIfTrue="1">
      <formula>$Z$503=0</formula>
    </cfRule>
  </conditionalFormatting>
  <conditionalFormatting sqref="Y427:AB427 T427:U427">
    <cfRule type="expression" dxfId="609" priority="756" stopIfTrue="1">
      <formula>$AA$423=0</formula>
    </cfRule>
  </conditionalFormatting>
  <conditionalFormatting sqref="Y387:AB387 T387:U387">
    <cfRule type="expression" dxfId="608" priority="755" stopIfTrue="1">
      <formula>$AA$383=0</formula>
    </cfRule>
  </conditionalFormatting>
  <conditionalFormatting sqref="Y347:AB347 T347:U347">
    <cfRule type="expression" dxfId="607" priority="754" stopIfTrue="1">
      <formula>$AA$343=0</formula>
    </cfRule>
  </conditionalFormatting>
  <conditionalFormatting sqref="Y307:AB307 T307:U307">
    <cfRule type="expression" dxfId="606" priority="753" stopIfTrue="1">
      <formula>$AA$303=0</formula>
    </cfRule>
  </conditionalFormatting>
  <conditionalFormatting sqref="Y267:AB267 T267:U267">
    <cfRule type="expression" dxfId="605" priority="752" stopIfTrue="1">
      <formula>$AA$263=0</formula>
    </cfRule>
  </conditionalFormatting>
  <conditionalFormatting sqref="Y227:AB227 T227:U227">
    <cfRule type="expression" dxfId="604" priority="751" stopIfTrue="1">
      <formula>$AA$223=0</formula>
    </cfRule>
  </conditionalFormatting>
  <conditionalFormatting sqref="Y187:AB187 T187:U187">
    <cfRule type="expression" dxfId="603" priority="750" stopIfTrue="1">
      <formula>$AA$183=0</formula>
    </cfRule>
  </conditionalFormatting>
  <conditionalFormatting sqref="Y147:AB147 T147:U147">
    <cfRule type="expression" dxfId="602" priority="749" stopIfTrue="1">
      <formula>$AA$143=0</formula>
    </cfRule>
  </conditionalFormatting>
  <conditionalFormatting sqref="Y107:AB107 T107:U107">
    <cfRule type="expression" dxfId="601" priority="748" stopIfTrue="1">
      <formula>$AA$103=0</formula>
    </cfRule>
  </conditionalFormatting>
  <conditionalFormatting sqref="A238 A240 A242 A244 A246 A248 A250 A252 A254 A256">
    <cfRule type="cellIs" dxfId="600" priority="747" stopIfTrue="1" operator="greaterThanOrEqual">
      <formula>$B$10</formula>
    </cfRule>
  </conditionalFormatting>
  <conditionalFormatting sqref="T704">
    <cfRule type="cellIs" dxfId="599" priority="725" stopIfTrue="1" operator="equal">
      <formula>0</formula>
    </cfRule>
    <cfRule type="cellIs" dxfId="598" priority="726" stopIfTrue="1" operator="notEqual">
      <formula>$T$705</formula>
    </cfRule>
  </conditionalFormatting>
  <conditionalFormatting sqref="T744">
    <cfRule type="cellIs" dxfId="597" priority="723" stopIfTrue="1" operator="equal">
      <formula>0</formula>
    </cfRule>
    <cfRule type="cellIs" dxfId="596" priority="724" stopIfTrue="1" operator="notEqual">
      <formula>$T$745</formula>
    </cfRule>
  </conditionalFormatting>
  <conditionalFormatting sqref="T784 T824">
    <cfRule type="cellIs" dxfId="595" priority="721" stopIfTrue="1" operator="equal">
      <formula>0</formula>
    </cfRule>
    <cfRule type="cellIs" dxfId="594" priority="722" stopIfTrue="1" operator="notEqual">
      <formula>$T$785</formula>
    </cfRule>
  </conditionalFormatting>
  <conditionalFormatting sqref="AA624:AB624">
    <cfRule type="cellIs" dxfId="593" priority="717" stopIfTrue="1" operator="equal">
      <formula>0</formula>
    </cfRule>
    <cfRule type="cellIs" dxfId="592" priority="718" stopIfTrue="1" operator="notEqual">
      <formula>$AA$623</formula>
    </cfRule>
  </conditionalFormatting>
  <conditionalFormatting sqref="AA623:AB623 AA63:AB63 AA103:AB103 AA143:AB143 AA183:AB183 AA223:AB223 AA263:AB263 AA303:AB303 AA343:AB343 AA383:AB383 AA423:AB423 AA463:AB463 AA503:AB503 AA543:AB543 AA583:AB583 AA663:AB663 AA703:AB703 AA743:AB743">
    <cfRule type="cellIs" dxfId="591" priority="716" stopIfTrue="1" operator="equal">
      <formula>0</formula>
    </cfRule>
  </conditionalFormatting>
  <conditionalFormatting sqref="AA64:AB64">
    <cfRule type="cellIs" dxfId="590" priority="714" stopIfTrue="1" operator="equal">
      <formula>0</formula>
    </cfRule>
    <cfRule type="cellIs" dxfId="589" priority="715" stopIfTrue="1" operator="notEqual">
      <formula>$AA$63</formula>
    </cfRule>
  </conditionalFormatting>
  <conditionalFormatting sqref="AA104:AB104">
    <cfRule type="cellIs" dxfId="588" priority="712" stopIfTrue="1" operator="equal">
      <formula>0</formula>
    </cfRule>
    <cfRule type="cellIs" dxfId="587" priority="713" stopIfTrue="1" operator="notEqual">
      <formula>$AA$103</formula>
    </cfRule>
  </conditionalFormatting>
  <conditionalFormatting sqref="AA144:AB144">
    <cfRule type="cellIs" dxfId="586" priority="710" stopIfTrue="1" operator="equal">
      <formula>0</formula>
    </cfRule>
    <cfRule type="cellIs" dxfId="585" priority="711" stopIfTrue="1" operator="notEqual">
      <formula>$AA$143</formula>
    </cfRule>
  </conditionalFormatting>
  <conditionalFormatting sqref="AA224:AB224">
    <cfRule type="cellIs" dxfId="584" priority="708" stopIfTrue="1" operator="equal">
      <formula>0</formula>
    </cfRule>
    <cfRule type="cellIs" dxfId="583" priority="709" stopIfTrue="1" operator="notEqual">
      <formula>$AA$223</formula>
    </cfRule>
  </conditionalFormatting>
  <conditionalFormatting sqref="AA264:AB264">
    <cfRule type="cellIs" dxfId="582" priority="706" stopIfTrue="1" operator="equal">
      <formula>0</formula>
    </cfRule>
    <cfRule type="cellIs" dxfId="581" priority="707" stopIfTrue="1" operator="notEqual">
      <formula>$AA$263</formula>
    </cfRule>
  </conditionalFormatting>
  <conditionalFormatting sqref="AA304:AB304">
    <cfRule type="cellIs" dxfId="580" priority="704" stopIfTrue="1" operator="equal">
      <formula>0</formula>
    </cfRule>
    <cfRule type="cellIs" dxfId="579" priority="705" stopIfTrue="1" operator="notEqual">
      <formula>$AA$303</formula>
    </cfRule>
  </conditionalFormatting>
  <conditionalFormatting sqref="AA344:AB344">
    <cfRule type="cellIs" dxfId="578" priority="702" stopIfTrue="1" operator="equal">
      <formula>0</formula>
    </cfRule>
    <cfRule type="cellIs" dxfId="577" priority="703" stopIfTrue="1" operator="notEqual">
      <formula>$AA$343</formula>
    </cfRule>
  </conditionalFormatting>
  <conditionalFormatting sqref="AA384:AB384">
    <cfRule type="cellIs" dxfId="576" priority="700" stopIfTrue="1" operator="equal">
      <formula>0</formula>
    </cfRule>
    <cfRule type="cellIs" dxfId="575" priority="701" stopIfTrue="1" operator="notEqual">
      <formula>$AA$383</formula>
    </cfRule>
  </conditionalFormatting>
  <conditionalFormatting sqref="AA424:AB424">
    <cfRule type="cellIs" dxfId="574" priority="698" stopIfTrue="1" operator="equal">
      <formula>0</formula>
    </cfRule>
    <cfRule type="cellIs" dxfId="573" priority="699" stopIfTrue="1" operator="notEqual">
      <formula>$AA$423</formula>
    </cfRule>
  </conditionalFormatting>
  <conditionalFormatting sqref="AA464:AB464">
    <cfRule type="cellIs" dxfId="572" priority="696" stopIfTrue="1" operator="equal">
      <formula>0</formula>
    </cfRule>
    <cfRule type="cellIs" dxfId="571" priority="697" stopIfTrue="1" operator="notEqual">
      <formula>$AA$463</formula>
    </cfRule>
  </conditionalFormatting>
  <conditionalFormatting sqref="AA504:AB504">
    <cfRule type="cellIs" dxfId="570" priority="694" stopIfTrue="1" operator="equal">
      <formula>0</formula>
    </cfRule>
    <cfRule type="cellIs" dxfId="569" priority="695" stopIfTrue="1" operator="notEqual">
      <formula>$AA$503</formula>
    </cfRule>
  </conditionalFormatting>
  <conditionalFormatting sqref="AA544:AB544">
    <cfRule type="cellIs" dxfId="568" priority="692" stopIfTrue="1" operator="equal">
      <formula>0</formula>
    </cfRule>
    <cfRule type="cellIs" dxfId="567" priority="693" stopIfTrue="1" operator="notEqual">
      <formula>$AA$543</formula>
    </cfRule>
  </conditionalFormatting>
  <conditionalFormatting sqref="AA584:AB584">
    <cfRule type="cellIs" dxfId="566" priority="690" stopIfTrue="1" operator="equal">
      <formula>0</formula>
    </cfRule>
    <cfRule type="cellIs" dxfId="565" priority="691" stopIfTrue="1" operator="notEqual">
      <formula>$AA$583</formula>
    </cfRule>
  </conditionalFormatting>
  <conditionalFormatting sqref="AA664:AB664">
    <cfRule type="cellIs" dxfId="564" priority="688" stopIfTrue="1" operator="equal">
      <formula>0</formula>
    </cfRule>
    <cfRule type="cellIs" dxfId="563" priority="689" stopIfTrue="1" operator="notEqual">
      <formula>$AA$663</formula>
    </cfRule>
  </conditionalFormatting>
  <conditionalFormatting sqref="AA704:AB704">
    <cfRule type="cellIs" dxfId="562" priority="686" stopIfTrue="1" operator="equal">
      <formula>0</formula>
    </cfRule>
    <cfRule type="cellIs" dxfId="561" priority="687" stopIfTrue="1" operator="notEqual">
      <formula>$AA$703</formula>
    </cfRule>
  </conditionalFormatting>
  <conditionalFormatting sqref="AA744:AB744">
    <cfRule type="cellIs" dxfId="560" priority="684" stopIfTrue="1" operator="equal">
      <formula>0</formula>
    </cfRule>
    <cfRule type="cellIs" dxfId="559" priority="685" stopIfTrue="1" operator="notEqual">
      <formula>$AA$743</formula>
    </cfRule>
  </conditionalFormatting>
  <conditionalFormatting sqref="AA784:AB784 AA824:AB824 AA704:AB704 AA744:AB744">
    <cfRule type="cellIs" dxfId="558" priority="682" stopIfTrue="1" operator="equal">
      <formula>0</formula>
    </cfRule>
    <cfRule type="cellIs" dxfId="557" priority="683" stopIfTrue="1" operator="notEqual">
      <formula>$AA$783</formula>
    </cfRule>
  </conditionalFormatting>
  <conditionalFormatting sqref="AA783:AB783 AA823:AB823">
    <cfRule type="cellIs" dxfId="556" priority="681" stopIfTrue="1" operator="equal">
      <formula>0</formula>
    </cfRule>
  </conditionalFormatting>
  <conditionalFormatting sqref="Y144 Y224 Y264 Y304 Y344 Y424 Y464 Y504 Y544 Y584 Y624 Y64:Z64">
    <cfRule type="cellIs" dxfId="555" priority="678" stopIfTrue="1" operator="equal">
      <formula>$AB$65</formula>
    </cfRule>
    <cfRule type="cellIs" dxfId="554" priority="679" stopIfTrue="1" operator="equal">
      <formula>0</formula>
    </cfRule>
    <cfRule type="cellIs" dxfId="553" priority="680" stopIfTrue="1" operator="notEqual">
      <formula>$Y$65+$AB$65</formula>
    </cfRule>
  </conditionalFormatting>
  <conditionalFormatting sqref="Z64">
    <cfRule type="cellIs" dxfId="552" priority="676" stopIfTrue="1" operator="equal">
      <formula>0</formula>
    </cfRule>
    <cfRule type="cellIs" dxfId="551" priority="677" stopIfTrue="1" operator="notEqual">
      <formula>$Z$63</formula>
    </cfRule>
  </conditionalFormatting>
  <conditionalFormatting sqref="AA184:AB184">
    <cfRule type="cellIs" dxfId="550" priority="674" stopIfTrue="1" operator="equal">
      <formula>0</formula>
    </cfRule>
    <cfRule type="cellIs" dxfId="549" priority="675" stopIfTrue="1" operator="notEqual">
      <formula>$AA$183</formula>
    </cfRule>
  </conditionalFormatting>
  <conditionalFormatting sqref="Z823 Z783 Z743 Z703 Z663 Z623 Z583 Z543 Z503 Z463 Z423 Z383 Z343 Z303 Z263 Z223 Z183 Z143 Z103 Z63 AA37:AB61 AA77:AB77 AA157:AB182 AA197:AB222 AA237:AB262 AA277:AB303 AA317:AB342 AA357:AB382 AA397:AB422 AA437:AB462 AA517:AB542 AA557:AB582 AA597:AB622 AA637:AB662 A63:C63 AA117:AB142 S63:V63 AA92:AB103 AA78:AA91 M63 E63:K63 AA477:AB502">
    <cfRule type="cellIs" dxfId="548" priority="673" stopIfTrue="1" operator="equal">
      <formula>0</formula>
    </cfRule>
  </conditionalFormatting>
  <conditionalFormatting sqref="Y144 Y224 Y184 Y384 Y104:Z104">
    <cfRule type="cellIs" dxfId="547" priority="671" stopIfTrue="1" operator="equal">
      <formula>$AB$65</formula>
    </cfRule>
    <cfRule type="cellIs" dxfId="546" priority="672" stopIfTrue="1" operator="equal">
      <formula>0</formula>
    </cfRule>
  </conditionalFormatting>
  <conditionalFormatting sqref="T63">
    <cfRule type="cellIs" dxfId="545" priority="668" stopIfTrue="1" operator="notEqual">
      <formula>$T$64</formula>
    </cfRule>
  </conditionalFormatting>
  <conditionalFormatting sqref="T103">
    <cfRule type="cellIs" dxfId="544" priority="667" operator="notEqual">
      <formula>$T$104</formula>
    </cfRule>
  </conditionalFormatting>
  <conditionalFormatting sqref="T25">
    <cfRule type="cellIs" dxfId="543" priority="660" operator="notEqual">
      <formula>$T$26</formula>
    </cfRule>
  </conditionalFormatting>
  <conditionalFormatting sqref="AD63:AH63 AI35:AJ63 AI75:AJ103 AI115:AJ143 AI155:AJ183 AI195:AJ223 AI235:AJ263 AI275:AJ303 AI315:AJ343 AI355:AJ383 AI395:AJ423 AI435:AJ463 AI515:AJ543 AI555:AJ583 AI595:AJ623 AD36:AD63 AC634:AE1048576 AF634:AH827 AD34 AK38:AK72 AE34:AH72 AD65:AD72 AC34:AC72 AK597:AK632 AK77:AK112 AK117:AK152 AK157:AK192 AC234:AH272 AK197:AK232 AK237:AK272 AC274:AH312 AK277:AK312 AC314:AH352 AC354:AH392 AK317:AK352 AK357:AK392 AK397:AK432 AK437:AK472 AC514:AH552 AK517:AK552 AC594:AH632 AK557:AK592 AK74 AK114 AK154 AK194 AK234 AK274 AK314 AK354 AK394 AK434 AK474 AK514 AK554 AK594 AC82:AJ83 AC203:AJ203 AC282:AJ282 AC114:AH152 AC154:AH192 AC394:AH432 AC74:AH112 AE76:AJ76 AC115:AJ116 AC155:AJ156 AC195:AJ196 AC235:AJ236 AC275:AJ276 AC315:AJ316 AC355:AJ356 AC395:AJ396 AC435:AJ436 AC555:AJ556 AC194:AH232 AC434:AH472 AC515:AJ523 AC554:AH592 AC595:AJ603 AC1:AH27 AC29:AH31 AD28:AK28 AC474:AH476 AC475:AJ476 AI475:AJ503 AC478:AJ483 AC485:AH512 AE484:AH484 AC477:AD477 AK477:AK512 AI635:AJ663 AK637:AK664 AC634:AH664 AK634 AC635:AJ643 AI675:AJ703 AK677:AK704 AC674:AH704 AK674 AC675:AJ683 AI795:AJ823 AK797:AK824 AC794:AH824 AK794 AC795:AJ803 AI755:AJ783 AK757:AK784 AC754:AH784 AK754 AC755:AJ763 AI715:AJ743 AK717:AK744 AC714:AH744 AK714 AC715:AJ723">
    <cfRule type="cellIs" dxfId="542" priority="659" operator="equal">
      <formula>0</formula>
    </cfRule>
  </conditionalFormatting>
  <conditionalFormatting sqref="T143">
    <cfRule type="cellIs" dxfId="541" priority="1020" stopIfTrue="1" operator="equal">
      <formula>0</formula>
    </cfRule>
    <cfRule type="cellIs" dxfId="540" priority="1021" stopIfTrue="1" operator="notEqual">
      <formula>$T$144</formula>
    </cfRule>
  </conditionalFormatting>
  <conditionalFormatting sqref="T183">
    <cfRule type="cellIs" dxfId="539" priority="1273" stopIfTrue="1" operator="equal">
      <formula>0</formula>
    </cfRule>
    <cfRule type="cellIs" dxfId="538" priority="1274" stopIfTrue="1" operator="notEqual">
      <formula>$T$184</formula>
    </cfRule>
  </conditionalFormatting>
  <conditionalFormatting sqref="T223">
    <cfRule type="cellIs" dxfId="537" priority="1708" operator="notEqual">
      <formula>$T$224</formula>
    </cfRule>
  </conditionalFormatting>
  <conditionalFormatting sqref="T263">
    <cfRule type="cellIs" dxfId="536" priority="2147" operator="notEqual">
      <formula>$T$264</formula>
    </cfRule>
  </conditionalFormatting>
  <conditionalFormatting sqref="T303">
    <cfRule type="cellIs" dxfId="535" priority="2412" stopIfTrue="1" operator="equal">
      <formula>0</formula>
    </cfRule>
    <cfRule type="cellIs" dxfId="534" priority="2413" stopIfTrue="1" operator="notEqual">
      <formula>$T$304</formula>
    </cfRule>
  </conditionalFormatting>
  <conditionalFormatting sqref="T343">
    <cfRule type="cellIs" dxfId="533" priority="2858" operator="notEqual">
      <formula>$T$344</formula>
    </cfRule>
  </conditionalFormatting>
  <conditionalFormatting sqref="T383">
    <cfRule type="cellIs" dxfId="532" priority="3131" stopIfTrue="1" operator="equal">
      <formula>0</formula>
    </cfRule>
    <cfRule type="cellIs" dxfId="531" priority="3132" stopIfTrue="1" operator="notEqual">
      <formula>$T$384</formula>
    </cfRule>
  </conditionalFormatting>
  <conditionalFormatting sqref="T423">
    <cfRule type="cellIs" dxfId="530" priority="3411" stopIfTrue="1" operator="equal">
      <formula>0</formula>
    </cfRule>
    <cfRule type="cellIs" dxfId="529" priority="3412" stopIfTrue="1" operator="notEqual">
      <formula>$T$424</formula>
    </cfRule>
  </conditionalFormatting>
  <conditionalFormatting sqref="T463">
    <cfRule type="cellIs" dxfId="528" priority="3707" stopIfTrue="1" operator="equal">
      <formula>0</formula>
    </cfRule>
    <cfRule type="cellIs" dxfId="527" priority="3708" stopIfTrue="1" operator="notEqual">
      <formula>$T$464</formula>
    </cfRule>
  </conditionalFormatting>
  <conditionalFormatting sqref="T503">
    <cfRule type="cellIs" dxfId="526" priority="4159" operator="equal">
      <formula>$T$504</formula>
    </cfRule>
    <cfRule type="cellIs" dxfId="525" priority="4160" operator="notEqual">
      <formula>$T$504</formula>
    </cfRule>
  </conditionalFormatting>
  <conditionalFormatting sqref="T543">
    <cfRule type="cellIs" dxfId="524" priority="4445" stopIfTrue="1" operator="notEqual">
      <formula>$T$544</formula>
    </cfRule>
    <cfRule type="cellIs" dxfId="523" priority="4446" stopIfTrue="1" operator="equal">
      <formula>0</formula>
    </cfRule>
  </conditionalFormatting>
  <conditionalFormatting sqref="T583">
    <cfRule type="cellIs" dxfId="522" priority="4737" stopIfTrue="1" operator="equal">
      <formula>0</formula>
    </cfRule>
    <cfRule type="cellIs" dxfId="521" priority="4738" stopIfTrue="1" operator="notEqual">
      <formula>$T$584</formula>
    </cfRule>
  </conditionalFormatting>
  <conditionalFormatting sqref="T623">
    <cfRule type="cellIs" dxfId="520" priority="5029" stopIfTrue="1" operator="equal">
      <formula>0</formula>
    </cfRule>
    <cfRule type="cellIs" dxfId="519" priority="5030" stopIfTrue="1" operator="notEqual">
      <formula>$T$624</formula>
    </cfRule>
  </conditionalFormatting>
  <conditionalFormatting sqref="T663">
    <cfRule type="cellIs" dxfId="518" priority="5327" stopIfTrue="1" operator="equal">
      <formula>0</formula>
    </cfRule>
    <cfRule type="cellIs" dxfId="517" priority="5328" stopIfTrue="1" operator="notEqual">
      <formula>$T$664</formula>
    </cfRule>
  </conditionalFormatting>
  <conditionalFormatting sqref="B637:B640 B642 B644:B646">
    <cfRule type="cellIs" dxfId="516" priority="636" stopIfTrue="1" operator="equal">
      <formula>0</formula>
    </cfRule>
  </conditionalFormatting>
  <conditionalFormatting sqref="AC1:AK27 AD28:AK28 AC29:AK31 AC33:AK476 AI477:AK477 AC478:AK483 AC477:AD477 AE484:AK484 AJ185:AM186 AC485:AK1048576">
    <cfRule type="cellIs" dxfId="515" priority="635" operator="equal">
      <formula>0</formula>
    </cfRule>
  </conditionalFormatting>
  <conditionalFormatting sqref="W647:X647">
    <cfRule type="cellIs" dxfId="514" priority="632" stopIfTrue="1" operator="equal">
      <formula>0</formula>
    </cfRule>
  </conditionalFormatting>
  <conditionalFormatting sqref="B647">
    <cfRule type="cellIs" dxfId="513" priority="631" stopIfTrue="1" operator="equal">
      <formula>0</formula>
    </cfRule>
  </conditionalFormatting>
  <conditionalFormatting sqref="W648:X648">
    <cfRule type="cellIs" dxfId="512" priority="630" stopIfTrue="1" operator="equal">
      <formula>0</formula>
    </cfRule>
  </conditionalFormatting>
  <conditionalFormatting sqref="B648">
    <cfRule type="cellIs" dxfId="511" priority="629" stopIfTrue="1" operator="equal">
      <formula>0</formula>
    </cfRule>
  </conditionalFormatting>
  <conditionalFormatting sqref="B653">
    <cfRule type="cellIs" dxfId="510" priority="627" stopIfTrue="1" operator="equal">
      <formula>0</formula>
    </cfRule>
  </conditionalFormatting>
  <conditionalFormatting sqref="W649:X650">
    <cfRule type="cellIs" dxfId="509" priority="626" stopIfTrue="1" operator="equal">
      <formula>0</formula>
    </cfRule>
  </conditionalFormatting>
  <conditionalFormatting sqref="B649:B650">
    <cfRule type="cellIs" dxfId="508" priority="625" stopIfTrue="1" operator="equal">
      <formula>0</formula>
    </cfRule>
  </conditionalFormatting>
  <conditionalFormatting sqref="W652:X653">
    <cfRule type="cellIs" dxfId="507" priority="624" stopIfTrue="1" operator="equal">
      <formula>0</formula>
    </cfRule>
  </conditionalFormatting>
  <conditionalFormatting sqref="B652">
    <cfRule type="cellIs" dxfId="506" priority="623" stopIfTrue="1" operator="equal">
      <formula>0</formula>
    </cfRule>
  </conditionalFormatting>
  <conditionalFormatting sqref="W651:X651">
    <cfRule type="cellIs" dxfId="505" priority="622" stopIfTrue="1" operator="equal">
      <formula>0</formula>
    </cfRule>
  </conditionalFormatting>
  <conditionalFormatting sqref="B651">
    <cfRule type="cellIs" dxfId="504" priority="621" stopIfTrue="1" operator="equal">
      <formula>0</formula>
    </cfRule>
  </conditionalFormatting>
  <conditionalFormatting sqref="U103:V103">
    <cfRule type="cellIs" dxfId="503" priority="593" stopIfTrue="1" operator="equal">
      <formula>0</formula>
    </cfRule>
  </conditionalFormatting>
  <conditionalFormatting sqref="U103:V103">
    <cfRule type="cellIs" dxfId="502" priority="592" stopIfTrue="1" operator="equal">
      <formula>0</formula>
    </cfRule>
  </conditionalFormatting>
  <conditionalFormatting sqref="U143:V143">
    <cfRule type="cellIs" dxfId="501" priority="591" stopIfTrue="1" operator="equal">
      <formula>0</formula>
    </cfRule>
  </conditionalFormatting>
  <conditionalFormatting sqref="U143:V143">
    <cfRule type="cellIs" dxfId="500" priority="590" stopIfTrue="1" operator="equal">
      <formula>0</formula>
    </cfRule>
  </conditionalFormatting>
  <conditionalFormatting sqref="U183:V183">
    <cfRule type="cellIs" dxfId="499" priority="589" stopIfTrue="1" operator="equal">
      <formula>0</formula>
    </cfRule>
  </conditionalFormatting>
  <conditionalFormatting sqref="U183:V183">
    <cfRule type="cellIs" dxfId="498" priority="588" stopIfTrue="1" operator="equal">
      <formula>0</formula>
    </cfRule>
  </conditionalFormatting>
  <conditionalFormatting sqref="U223:V223">
    <cfRule type="cellIs" dxfId="497" priority="587" stopIfTrue="1" operator="equal">
      <formula>0</formula>
    </cfRule>
  </conditionalFormatting>
  <conditionalFormatting sqref="U223:V223">
    <cfRule type="cellIs" dxfId="496" priority="586" stopIfTrue="1" operator="equal">
      <formula>0</formula>
    </cfRule>
  </conditionalFormatting>
  <conditionalFormatting sqref="U263:V263">
    <cfRule type="cellIs" dxfId="495" priority="585" stopIfTrue="1" operator="equal">
      <formula>0</formula>
    </cfRule>
  </conditionalFormatting>
  <conditionalFormatting sqref="U263:V263">
    <cfRule type="cellIs" dxfId="494" priority="584" stopIfTrue="1" operator="equal">
      <formula>0</formula>
    </cfRule>
  </conditionalFormatting>
  <conditionalFormatting sqref="U303:V303">
    <cfRule type="cellIs" dxfId="493" priority="583" stopIfTrue="1" operator="equal">
      <formula>0</formula>
    </cfRule>
  </conditionalFormatting>
  <conditionalFormatting sqref="U303:V303">
    <cfRule type="cellIs" dxfId="492" priority="582" stopIfTrue="1" operator="equal">
      <formula>0</formula>
    </cfRule>
  </conditionalFormatting>
  <conditionalFormatting sqref="U343:V343">
    <cfRule type="cellIs" dxfId="491" priority="581" stopIfTrue="1" operator="equal">
      <formula>0</formula>
    </cfRule>
  </conditionalFormatting>
  <conditionalFormatting sqref="U343:V343">
    <cfRule type="cellIs" dxfId="490" priority="580" stopIfTrue="1" operator="equal">
      <formula>0</formula>
    </cfRule>
  </conditionalFormatting>
  <conditionalFormatting sqref="U383:V383">
    <cfRule type="cellIs" dxfId="489" priority="579" stopIfTrue="1" operator="equal">
      <formula>0</formula>
    </cfRule>
  </conditionalFormatting>
  <conditionalFormatting sqref="U383:V383">
    <cfRule type="cellIs" dxfId="488" priority="578" stopIfTrue="1" operator="equal">
      <formula>0</formula>
    </cfRule>
  </conditionalFormatting>
  <conditionalFormatting sqref="U423:V423">
    <cfRule type="cellIs" dxfId="487" priority="577" stopIfTrue="1" operator="equal">
      <formula>0</formula>
    </cfRule>
  </conditionalFormatting>
  <conditionalFormatting sqref="U423:V423">
    <cfRule type="cellIs" dxfId="486" priority="576" stopIfTrue="1" operator="equal">
      <formula>0</formula>
    </cfRule>
  </conditionalFormatting>
  <conditionalFormatting sqref="U463:V463">
    <cfRule type="cellIs" dxfId="485" priority="575" stopIfTrue="1" operator="equal">
      <formula>0</formula>
    </cfRule>
  </conditionalFormatting>
  <conditionalFormatting sqref="U463:V463">
    <cfRule type="cellIs" dxfId="484" priority="574" stopIfTrue="1" operator="equal">
      <formula>0</formula>
    </cfRule>
  </conditionalFormatting>
  <conditionalFormatting sqref="U503:V503">
    <cfRule type="cellIs" dxfId="483" priority="573" stopIfTrue="1" operator="equal">
      <formula>0</formula>
    </cfRule>
  </conditionalFormatting>
  <conditionalFormatting sqref="U503:V503">
    <cfRule type="cellIs" dxfId="482" priority="572" stopIfTrue="1" operator="equal">
      <formula>0</formula>
    </cfRule>
  </conditionalFormatting>
  <conditionalFormatting sqref="U543:V543">
    <cfRule type="cellIs" dxfId="481" priority="571" stopIfTrue="1" operator="equal">
      <formula>0</formula>
    </cfRule>
  </conditionalFormatting>
  <conditionalFormatting sqref="U543:V543">
    <cfRule type="cellIs" dxfId="480" priority="570" stopIfTrue="1" operator="equal">
      <formula>0</formula>
    </cfRule>
  </conditionalFormatting>
  <conditionalFormatting sqref="U583:V583">
    <cfRule type="cellIs" dxfId="479" priority="569" stopIfTrue="1" operator="equal">
      <formula>0</formula>
    </cfRule>
  </conditionalFormatting>
  <conditionalFormatting sqref="U583:V583">
    <cfRule type="cellIs" dxfId="478" priority="568" stopIfTrue="1" operator="equal">
      <formula>0</formula>
    </cfRule>
  </conditionalFormatting>
  <conditionalFormatting sqref="U623:V623">
    <cfRule type="cellIs" dxfId="477" priority="567" stopIfTrue="1" operator="equal">
      <formula>0</formula>
    </cfRule>
  </conditionalFormatting>
  <conditionalFormatting sqref="U623:V623">
    <cfRule type="cellIs" dxfId="476" priority="566" stopIfTrue="1" operator="equal">
      <formula>0</formula>
    </cfRule>
  </conditionalFormatting>
  <conditionalFormatting sqref="U663:V663">
    <cfRule type="cellIs" dxfId="475" priority="565" stopIfTrue="1" operator="equal">
      <formula>0</formula>
    </cfRule>
  </conditionalFormatting>
  <conditionalFormatting sqref="U663:V663">
    <cfRule type="cellIs" dxfId="474" priority="564" stopIfTrue="1" operator="equal">
      <formula>0</formula>
    </cfRule>
  </conditionalFormatting>
  <conditionalFormatting sqref="A63:V63">
    <cfRule type="cellIs" dxfId="473" priority="533" operator="equal">
      <formula>0</formula>
    </cfRule>
  </conditionalFormatting>
  <conditionalFormatting sqref="H103:I103">
    <cfRule type="cellIs" dxfId="472" priority="532" stopIfTrue="1" operator="equal">
      <formula>0</formula>
    </cfRule>
  </conditionalFormatting>
  <conditionalFormatting sqref="S103 M103 H103:K103">
    <cfRule type="cellIs" dxfId="471" priority="531" stopIfTrue="1" operator="equal">
      <formula>0</formula>
    </cfRule>
  </conditionalFormatting>
  <conditionalFormatting sqref="H103:S103">
    <cfRule type="cellIs" dxfId="470" priority="530" operator="equal">
      <formula>0</formula>
    </cfRule>
  </conditionalFormatting>
  <conditionalFormatting sqref="H143:I143">
    <cfRule type="cellIs" dxfId="469" priority="529" stopIfTrue="1" operator="equal">
      <formula>0</formula>
    </cfRule>
  </conditionalFormatting>
  <conditionalFormatting sqref="S143 M143 H143:K143">
    <cfRule type="cellIs" dxfId="468" priority="528" stopIfTrue="1" operator="equal">
      <formula>0</formula>
    </cfRule>
  </conditionalFormatting>
  <conditionalFormatting sqref="H143:S143">
    <cfRule type="cellIs" dxfId="467" priority="527" operator="equal">
      <formula>0</formula>
    </cfRule>
  </conditionalFormatting>
  <conditionalFormatting sqref="H183:I183">
    <cfRule type="cellIs" dxfId="466" priority="526" stopIfTrue="1" operator="equal">
      <formula>0</formula>
    </cfRule>
  </conditionalFormatting>
  <conditionalFormatting sqref="S183 M183 H183:K183">
    <cfRule type="cellIs" dxfId="465" priority="525" stopIfTrue="1" operator="equal">
      <formula>0</formula>
    </cfRule>
  </conditionalFormatting>
  <conditionalFormatting sqref="H183:S183">
    <cfRule type="cellIs" dxfId="464" priority="524" operator="equal">
      <formula>0</formula>
    </cfRule>
  </conditionalFormatting>
  <conditionalFormatting sqref="H223:I223">
    <cfRule type="cellIs" dxfId="463" priority="523" stopIfTrue="1" operator="equal">
      <formula>0</formula>
    </cfRule>
  </conditionalFormatting>
  <conditionalFormatting sqref="S223 M223 H223:K223">
    <cfRule type="cellIs" dxfId="462" priority="522" stopIfTrue="1" operator="equal">
      <formula>0</formula>
    </cfRule>
  </conditionalFormatting>
  <conditionalFormatting sqref="H223:S223">
    <cfRule type="cellIs" dxfId="461" priority="521" operator="equal">
      <formula>0</formula>
    </cfRule>
  </conditionalFormatting>
  <conditionalFormatting sqref="H263:I263">
    <cfRule type="cellIs" dxfId="460" priority="520" stopIfTrue="1" operator="equal">
      <formula>0</formula>
    </cfRule>
  </conditionalFormatting>
  <conditionalFormatting sqref="S263 M263 H263:K263">
    <cfRule type="cellIs" dxfId="459" priority="519" stopIfTrue="1" operator="equal">
      <formula>0</formula>
    </cfRule>
  </conditionalFormatting>
  <conditionalFormatting sqref="H263:S263">
    <cfRule type="cellIs" dxfId="458" priority="518" operator="equal">
      <formula>0</formula>
    </cfRule>
  </conditionalFormatting>
  <conditionalFormatting sqref="H303:I303">
    <cfRule type="cellIs" dxfId="457" priority="517" stopIfTrue="1" operator="equal">
      <formula>0</formula>
    </cfRule>
  </conditionalFormatting>
  <conditionalFormatting sqref="S303 M303 H303:K303">
    <cfRule type="cellIs" dxfId="456" priority="516" stopIfTrue="1" operator="equal">
      <formula>0</formula>
    </cfRule>
  </conditionalFormatting>
  <conditionalFormatting sqref="H303:S303">
    <cfRule type="cellIs" dxfId="455" priority="515" operator="equal">
      <formula>0</formula>
    </cfRule>
  </conditionalFormatting>
  <conditionalFormatting sqref="H343:I343">
    <cfRule type="cellIs" dxfId="454" priority="514" stopIfTrue="1" operator="equal">
      <formula>0</formula>
    </cfRule>
  </conditionalFormatting>
  <conditionalFormatting sqref="S343 M343 H343:K343">
    <cfRule type="cellIs" dxfId="453" priority="513" stopIfTrue="1" operator="equal">
      <formula>0</formula>
    </cfRule>
  </conditionalFormatting>
  <conditionalFormatting sqref="H343:S343">
    <cfRule type="cellIs" dxfId="452" priority="512" operator="equal">
      <formula>0</formula>
    </cfRule>
  </conditionalFormatting>
  <conditionalFormatting sqref="H383:I383">
    <cfRule type="cellIs" dxfId="451" priority="511" stopIfTrue="1" operator="equal">
      <formula>0</formula>
    </cfRule>
  </conditionalFormatting>
  <conditionalFormatting sqref="S383 M383 H383:K383">
    <cfRule type="cellIs" dxfId="450" priority="510" stopIfTrue="1" operator="equal">
      <formula>0</formula>
    </cfRule>
  </conditionalFormatting>
  <conditionalFormatting sqref="H383:S383">
    <cfRule type="cellIs" dxfId="449" priority="509" operator="equal">
      <formula>0</formula>
    </cfRule>
  </conditionalFormatting>
  <conditionalFormatting sqref="H423:I423">
    <cfRule type="cellIs" dxfId="448" priority="508" stopIfTrue="1" operator="equal">
      <formula>0</formula>
    </cfRule>
  </conditionalFormatting>
  <conditionalFormatting sqref="S423 M423 H423:K423">
    <cfRule type="cellIs" dxfId="447" priority="507" stopIfTrue="1" operator="equal">
      <formula>0</formula>
    </cfRule>
  </conditionalFormatting>
  <conditionalFormatting sqref="H423:S423">
    <cfRule type="cellIs" dxfId="446" priority="506" operator="equal">
      <formula>0</formula>
    </cfRule>
  </conditionalFormatting>
  <conditionalFormatting sqref="H463:I463">
    <cfRule type="cellIs" dxfId="445" priority="505" stopIfTrue="1" operator="equal">
      <formula>0</formula>
    </cfRule>
  </conditionalFormatting>
  <conditionalFormatting sqref="S463 M463 H463:K463">
    <cfRule type="cellIs" dxfId="444" priority="504" stopIfTrue="1" operator="equal">
      <formula>0</formula>
    </cfRule>
  </conditionalFormatting>
  <conditionalFormatting sqref="H463:S463">
    <cfRule type="cellIs" dxfId="443" priority="503" operator="equal">
      <formula>0</formula>
    </cfRule>
  </conditionalFormatting>
  <conditionalFormatting sqref="H503:I503">
    <cfRule type="cellIs" dxfId="442" priority="502" stopIfTrue="1" operator="equal">
      <formula>0</formula>
    </cfRule>
  </conditionalFormatting>
  <conditionalFormatting sqref="S503 M503 H503:K503">
    <cfRule type="cellIs" dxfId="441" priority="501" stopIfTrue="1" operator="equal">
      <formula>0</formula>
    </cfRule>
  </conditionalFormatting>
  <conditionalFormatting sqref="H503:S503">
    <cfRule type="cellIs" dxfId="440" priority="500" operator="equal">
      <formula>0</formula>
    </cfRule>
  </conditionalFormatting>
  <conditionalFormatting sqref="H543:I543">
    <cfRule type="cellIs" dxfId="439" priority="499" stopIfTrue="1" operator="equal">
      <formula>0</formula>
    </cfRule>
  </conditionalFormatting>
  <conditionalFormatting sqref="S543 M543 H543:K543">
    <cfRule type="cellIs" dxfId="438" priority="498" stopIfTrue="1" operator="equal">
      <formula>0</formula>
    </cfRule>
  </conditionalFormatting>
  <conditionalFormatting sqref="H543:S543">
    <cfRule type="cellIs" dxfId="437" priority="497" operator="equal">
      <formula>0</formula>
    </cfRule>
  </conditionalFormatting>
  <conditionalFormatting sqref="H583:I583">
    <cfRule type="cellIs" dxfId="436" priority="496" stopIfTrue="1" operator="equal">
      <formula>0</formula>
    </cfRule>
  </conditionalFormatting>
  <conditionalFormatting sqref="S583 M583 H583:K583">
    <cfRule type="cellIs" dxfId="435" priority="495" stopIfTrue="1" operator="equal">
      <formula>0</formula>
    </cfRule>
  </conditionalFormatting>
  <conditionalFormatting sqref="H583:S583">
    <cfRule type="cellIs" dxfId="434" priority="494" operator="equal">
      <formula>0</formula>
    </cfRule>
  </conditionalFormatting>
  <conditionalFormatting sqref="H623:I623">
    <cfRule type="cellIs" dxfId="433" priority="493" stopIfTrue="1" operator="equal">
      <formula>0</formula>
    </cfRule>
  </conditionalFormatting>
  <conditionalFormatting sqref="S623 M623 H623:K623">
    <cfRule type="cellIs" dxfId="432" priority="492" stopIfTrue="1" operator="equal">
      <formula>0</formula>
    </cfRule>
  </conditionalFormatting>
  <conditionalFormatting sqref="H623:S623">
    <cfRule type="cellIs" dxfId="431" priority="491" operator="equal">
      <formula>0</formula>
    </cfRule>
  </conditionalFormatting>
  <conditionalFormatting sqref="H663:I663">
    <cfRule type="cellIs" dxfId="430" priority="490" stopIfTrue="1" operator="equal">
      <formula>0</formula>
    </cfRule>
  </conditionalFormatting>
  <conditionalFormatting sqref="S663 M663 H663:K663">
    <cfRule type="cellIs" dxfId="429" priority="489" stopIfTrue="1" operator="equal">
      <formula>0</formula>
    </cfRule>
  </conditionalFormatting>
  <conditionalFormatting sqref="H663:S663">
    <cfRule type="cellIs" dxfId="428" priority="488" operator="equal">
      <formula>0</formula>
    </cfRule>
  </conditionalFormatting>
  <conditionalFormatting sqref="B38:R38 T38:V38">
    <cfRule type="cellIs" dxfId="427" priority="486" stopIfTrue="1" operator="equal">
      <formula>0</formula>
    </cfRule>
  </conditionalFormatting>
  <conditionalFormatting sqref="B40:R40 T40:V40">
    <cfRule type="cellIs" dxfId="426" priority="485" stopIfTrue="1" operator="equal">
      <formula>0</formula>
    </cfRule>
  </conditionalFormatting>
  <conditionalFormatting sqref="B41:R41 T41:V41">
    <cfRule type="cellIs" dxfId="425" priority="483" stopIfTrue="1" operator="equal">
      <formula>0</formula>
    </cfRule>
  </conditionalFormatting>
  <conditionalFormatting sqref="B56:V56">
    <cfRule type="cellIs" dxfId="424" priority="482" stopIfTrue="1" operator="equal">
      <formula>0</formula>
    </cfRule>
  </conditionalFormatting>
  <conditionalFormatting sqref="B42:R42 T42:V42">
    <cfRule type="cellIs" dxfId="423" priority="481" stopIfTrue="1" operator="equal">
      <formula>0</formula>
    </cfRule>
  </conditionalFormatting>
  <conditionalFormatting sqref="B45:R45 T45:V45">
    <cfRule type="cellIs" dxfId="422" priority="480" stopIfTrue="1" operator="equal">
      <formula>0</formula>
    </cfRule>
  </conditionalFormatting>
  <conditionalFormatting sqref="B43:R43 T43:V43">
    <cfRule type="cellIs" dxfId="421" priority="479" stopIfTrue="1" operator="equal">
      <formula>0</formula>
    </cfRule>
  </conditionalFormatting>
  <conditionalFormatting sqref="B44:R44 T44:V44">
    <cfRule type="cellIs" dxfId="420" priority="478" stopIfTrue="1" operator="equal">
      <formula>0</formula>
    </cfRule>
  </conditionalFormatting>
  <conditionalFormatting sqref="B55:V55">
    <cfRule type="cellIs" dxfId="419" priority="477" stopIfTrue="1" operator="equal">
      <formula>0</formula>
    </cfRule>
  </conditionalFormatting>
  <conditionalFormatting sqref="B47:R47 T47:V47">
    <cfRule type="cellIs" dxfId="418" priority="476" stopIfTrue="1" operator="equal">
      <formula>0</formula>
    </cfRule>
  </conditionalFormatting>
  <conditionalFormatting sqref="B48:R48 T48:V48">
    <cfRule type="cellIs" dxfId="417" priority="475" stopIfTrue="1" operator="equal">
      <formula>0</formula>
    </cfRule>
  </conditionalFormatting>
  <conditionalFormatting sqref="T174:V181 B174:R181">
    <cfRule type="cellIs" dxfId="416" priority="473" stopIfTrue="1" operator="equal">
      <formula>0</formula>
    </cfRule>
  </conditionalFormatting>
  <conditionalFormatting sqref="B165:R165 T165:V165">
    <cfRule type="cellIs" dxfId="415" priority="466" stopIfTrue="1" operator="equal">
      <formula>0</formula>
    </cfRule>
  </conditionalFormatting>
  <conditionalFormatting sqref="B164:R164 T164:V164">
    <cfRule type="cellIs" dxfId="414" priority="465" stopIfTrue="1" operator="equal">
      <formula>0</formula>
    </cfRule>
  </conditionalFormatting>
  <conditionalFormatting sqref="B158:R158 T158:V158">
    <cfRule type="cellIs" dxfId="413" priority="464" stopIfTrue="1" operator="equal">
      <formula>0</formula>
    </cfRule>
  </conditionalFormatting>
  <conditionalFormatting sqref="B159:R159 T159:V159 L158:M158">
    <cfRule type="cellIs" dxfId="412" priority="463" stopIfTrue="1" operator="equal">
      <formula>0</formula>
    </cfRule>
  </conditionalFormatting>
  <conditionalFormatting sqref="B160:R160 T160:V160">
    <cfRule type="cellIs" dxfId="411" priority="462" stopIfTrue="1" operator="equal">
      <formula>0</formula>
    </cfRule>
  </conditionalFormatting>
  <conditionalFormatting sqref="B161:R161 T161:V161">
    <cfRule type="cellIs" dxfId="410" priority="461" stopIfTrue="1" operator="equal">
      <formula>0</formula>
    </cfRule>
  </conditionalFormatting>
  <conditionalFormatting sqref="B162:R162 T162:V162">
    <cfRule type="cellIs" dxfId="409" priority="460" stopIfTrue="1" operator="equal">
      <formula>0</formula>
    </cfRule>
  </conditionalFormatting>
  <conditionalFormatting sqref="B163:R163 T163:V163">
    <cfRule type="cellIs" dxfId="408" priority="459" stopIfTrue="1" operator="equal">
      <formula>0</formula>
    </cfRule>
  </conditionalFormatting>
  <conditionalFormatting sqref="C166:K166 N166:R166 T166:V166">
    <cfRule type="cellIs" dxfId="407" priority="458" stopIfTrue="1" operator="equal">
      <formula>0</formula>
    </cfRule>
  </conditionalFormatting>
  <conditionalFormatting sqref="B173:R173 T173:V173">
    <cfRule type="cellIs" dxfId="406" priority="457" stopIfTrue="1" operator="equal">
      <formula>0</formula>
    </cfRule>
  </conditionalFormatting>
  <conditionalFormatting sqref="B168:R168 T168:V168">
    <cfRule type="cellIs" dxfId="405" priority="456" stopIfTrue="1" operator="equal">
      <formula>0</formula>
    </cfRule>
  </conditionalFormatting>
  <conditionalFormatting sqref="B169:R169 T169:V169">
    <cfRule type="cellIs" dxfId="404" priority="455" stopIfTrue="1" operator="equal">
      <formula>0</formula>
    </cfRule>
  </conditionalFormatting>
  <conditionalFormatting sqref="H213:I213 L213:O213 Q213:R213 W209:X209 W211:X216 T213:V213">
    <cfRule type="cellIs" dxfId="403" priority="454" stopIfTrue="1" operator="equal">
      <formula>0</formula>
    </cfRule>
  </conditionalFormatting>
  <conditionalFormatting sqref="W198:X198">
    <cfRule type="cellIs" dxfId="402" priority="453" stopIfTrue="1" operator="equal">
      <formula>0</formula>
    </cfRule>
  </conditionalFormatting>
  <conditionalFormatting sqref="W199:X199">
    <cfRule type="cellIs" dxfId="401" priority="452" stopIfTrue="1" operator="equal">
      <formula>0</formula>
    </cfRule>
  </conditionalFormatting>
  <conditionalFormatting sqref="C202:I202 L202:O202 Q202:R202 T202:X202">
    <cfRule type="cellIs" dxfId="400" priority="450" stopIfTrue="1" operator="equal">
      <formula>0</formula>
    </cfRule>
  </conditionalFormatting>
  <conditionalFormatting sqref="W203:X203">
    <cfRule type="cellIs" dxfId="399" priority="449" stopIfTrue="1" operator="equal">
      <formula>0</formula>
    </cfRule>
  </conditionalFormatting>
  <conditionalFormatting sqref="W204:X204">
    <cfRule type="cellIs" dxfId="398" priority="448" stopIfTrue="1" operator="equal">
      <formula>0</formula>
    </cfRule>
  </conditionalFormatting>
  <conditionalFormatting sqref="W205 W207">
    <cfRule type="cellIs" dxfId="397" priority="447" stopIfTrue="1" operator="equal">
      <formula>0</formula>
    </cfRule>
  </conditionalFormatting>
  <conditionalFormatting sqref="W289:X292 W293:W298 X294:X298 D289:R298 T289:V298">
    <cfRule type="cellIs" dxfId="396" priority="446" stopIfTrue="1" operator="equal">
      <formula>0</formula>
    </cfRule>
  </conditionalFormatting>
  <conditionalFormatting sqref="W361:X361">
    <cfRule type="cellIs" dxfId="395" priority="440" stopIfTrue="1" operator="equal">
      <formula>0</formula>
    </cfRule>
  </conditionalFormatting>
  <conditionalFormatting sqref="W362:X362">
    <cfRule type="cellIs" dxfId="394" priority="439" stopIfTrue="1" operator="equal">
      <formula>0</formula>
    </cfRule>
  </conditionalFormatting>
  <conditionalFormatting sqref="W363:X363">
    <cfRule type="cellIs" dxfId="393" priority="438" stopIfTrue="1" operator="equal">
      <formula>0</formula>
    </cfRule>
  </conditionalFormatting>
  <conditionalFormatting sqref="W365:X365">
    <cfRule type="cellIs" dxfId="392" priority="437" stopIfTrue="1" operator="equal">
      <formula>0</formula>
    </cfRule>
  </conditionalFormatting>
  <conditionalFormatting sqref="W379:X379">
    <cfRule type="cellIs" dxfId="391" priority="436" stopIfTrue="1" operator="equal">
      <formula>0</formula>
    </cfRule>
  </conditionalFormatting>
  <conditionalFormatting sqref="W380:X380">
    <cfRule type="cellIs" dxfId="390" priority="435" stopIfTrue="1" operator="equal">
      <formula>0</formula>
    </cfRule>
  </conditionalFormatting>
  <conditionalFormatting sqref="W378:X378 W375:X376">
    <cfRule type="cellIs" dxfId="389" priority="434" stopIfTrue="1" operator="equal">
      <formula>0</formula>
    </cfRule>
  </conditionalFormatting>
  <conditionalFormatting sqref="W366:X366">
    <cfRule type="cellIs" dxfId="388" priority="433" stopIfTrue="1" operator="equal">
      <formula>0</formula>
    </cfRule>
  </conditionalFormatting>
  <conditionalFormatting sqref="W367:X367">
    <cfRule type="cellIs" dxfId="387" priority="432" stopIfTrue="1" operator="equal">
      <formula>0</formula>
    </cfRule>
  </conditionalFormatting>
  <conditionalFormatting sqref="W368:X368">
    <cfRule type="cellIs" dxfId="386" priority="431" stopIfTrue="1" operator="equal">
      <formula>0</formula>
    </cfRule>
  </conditionalFormatting>
  <conditionalFormatting sqref="B279:R279 T279:X279">
    <cfRule type="cellIs" dxfId="385" priority="430" stopIfTrue="1" operator="equal">
      <formula>0</formula>
    </cfRule>
  </conditionalFormatting>
  <conditionalFormatting sqref="D280:R280 T280:X280">
    <cfRule type="cellIs" dxfId="384" priority="429" stopIfTrue="1" operator="equal">
      <formula>0</formula>
    </cfRule>
  </conditionalFormatting>
  <conditionalFormatting sqref="B281:R281 T281:X281">
    <cfRule type="cellIs" dxfId="383" priority="428" stopIfTrue="1" operator="equal">
      <formula>0</formula>
    </cfRule>
  </conditionalFormatting>
  <conditionalFormatting sqref="B282:R282 T282:W282">
    <cfRule type="cellIs" dxfId="382" priority="427" stopIfTrue="1" operator="equal">
      <formula>0</formula>
    </cfRule>
  </conditionalFormatting>
  <conditionalFormatting sqref="B283:R283 T283:X283">
    <cfRule type="cellIs" dxfId="381" priority="426" stopIfTrue="1" operator="equal">
      <formula>0</formula>
    </cfRule>
  </conditionalFormatting>
  <conditionalFormatting sqref="B284:R284 T284:X284">
    <cfRule type="cellIs" dxfId="380" priority="425" stopIfTrue="1" operator="equal">
      <formula>0</formula>
    </cfRule>
  </conditionalFormatting>
  <conditionalFormatting sqref="B285:R285 T285:X285">
    <cfRule type="cellIs" dxfId="379" priority="424" stopIfTrue="1" operator="equal">
      <formula>0</formula>
    </cfRule>
  </conditionalFormatting>
  <conditionalFormatting sqref="W319:X319">
    <cfRule type="cellIs" dxfId="378" priority="422" stopIfTrue="1" operator="equal">
      <formula>0</formula>
    </cfRule>
  </conditionalFormatting>
  <conditionalFormatting sqref="W326:X326">
    <cfRule type="cellIs" dxfId="377" priority="421" stopIfTrue="1" operator="equal">
      <formula>0</formula>
    </cfRule>
  </conditionalFormatting>
  <conditionalFormatting sqref="D408:K408 N408:R408 T408:X408">
    <cfRule type="cellIs" dxfId="376" priority="416" stopIfTrue="1" operator="equal">
      <formula>0</formula>
    </cfRule>
  </conditionalFormatting>
  <conditionalFormatting sqref="B401:K401 N401:R401 T401:X401">
    <cfRule type="cellIs" dxfId="375" priority="415" stopIfTrue="1" operator="equal">
      <formula>0</formula>
    </cfRule>
  </conditionalFormatting>
  <conditionalFormatting sqref="N409:R409 D409:K409 T409:X409">
    <cfRule type="cellIs" dxfId="374" priority="414" stopIfTrue="1" operator="equal">
      <formula>0</formula>
    </cfRule>
  </conditionalFormatting>
  <conditionalFormatting sqref="B404:K404 N404:R404 T404:X404">
    <cfRule type="cellIs" dxfId="373" priority="413" stopIfTrue="1" operator="equal">
      <formula>0</formula>
    </cfRule>
  </conditionalFormatting>
  <conditionalFormatting sqref="W359:X359 B359">
    <cfRule type="cellIs" dxfId="372" priority="404" stopIfTrue="1" operator="equal">
      <formula>0</formula>
    </cfRule>
  </conditionalFormatting>
  <conditionalFormatting sqref="W535:X535">
    <cfRule type="cellIs" dxfId="371" priority="393" stopIfTrue="1" operator="equal">
      <formula>0</formula>
    </cfRule>
  </conditionalFormatting>
  <conditionalFormatting sqref="W565:X565">
    <cfRule type="cellIs" dxfId="370" priority="387" stopIfTrue="1" operator="equal">
      <formula>0</formula>
    </cfRule>
  </conditionalFormatting>
  <conditionalFormatting sqref="W654:X654">
    <cfRule type="cellIs" dxfId="369" priority="386" stopIfTrue="1" operator="equal">
      <formula>0</formula>
    </cfRule>
  </conditionalFormatting>
  <conditionalFormatting sqref="B654">
    <cfRule type="cellIs" dxfId="368" priority="385" stopIfTrue="1" operator="equal">
      <formula>0</formula>
    </cfRule>
  </conditionalFormatting>
  <conditionalFormatting sqref="W655:X655">
    <cfRule type="cellIs" dxfId="367" priority="384" stopIfTrue="1" operator="equal">
      <formula>0</formula>
    </cfRule>
  </conditionalFormatting>
  <conditionalFormatting sqref="B655">
    <cfRule type="cellIs" dxfId="366" priority="383" stopIfTrue="1" operator="equal">
      <formula>0</formula>
    </cfRule>
  </conditionalFormatting>
  <conditionalFormatting sqref="W656:X656">
    <cfRule type="cellIs" dxfId="365" priority="382" stopIfTrue="1" operator="equal">
      <formula>0</formula>
    </cfRule>
  </conditionalFormatting>
  <conditionalFormatting sqref="B656">
    <cfRule type="cellIs" dxfId="364" priority="381" stopIfTrue="1" operator="equal">
      <formula>0</formula>
    </cfRule>
  </conditionalFormatting>
  <conditionalFormatting sqref="W641:X641">
    <cfRule type="cellIs" dxfId="363" priority="380" stopIfTrue="1" operator="equal">
      <formula>0</formula>
    </cfRule>
  </conditionalFormatting>
  <conditionalFormatting sqref="B641">
    <cfRule type="cellIs" dxfId="362" priority="379" stopIfTrue="1" operator="equal">
      <formula>0</formula>
    </cfRule>
  </conditionalFormatting>
  <conditionalFormatting sqref="W658:X658">
    <cfRule type="cellIs" dxfId="361" priority="378" stopIfTrue="1" operator="equal">
      <formula>0</formula>
    </cfRule>
  </conditionalFormatting>
  <conditionalFormatting sqref="B658">
    <cfRule type="cellIs" dxfId="360" priority="377" stopIfTrue="1" operator="equal">
      <formula>0</formula>
    </cfRule>
  </conditionalFormatting>
  <conditionalFormatting sqref="B643">
    <cfRule type="cellIs" dxfId="359" priority="376" stopIfTrue="1" operator="equal">
      <formula>0</formula>
    </cfRule>
  </conditionalFormatting>
  <conditionalFormatting sqref="W341:X341">
    <cfRule type="cellIs" dxfId="358" priority="375" stopIfTrue="1" operator="equal">
      <formula>0</formula>
    </cfRule>
  </conditionalFormatting>
  <conditionalFormatting sqref="N421:R421 D421:K421 T421:X421">
    <cfRule type="cellIs" dxfId="357" priority="374" stopIfTrue="1" operator="equal">
      <formula>0</formula>
    </cfRule>
  </conditionalFormatting>
  <conditionalFormatting sqref="S39 S46 S49:S52">
    <cfRule type="cellIs" dxfId="356" priority="373" stopIfTrue="1" operator="equal">
      <formula>0</formula>
    </cfRule>
  </conditionalFormatting>
  <conditionalFormatting sqref="S38">
    <cfRule type="cellIs" dxfId="355" priority="372" stopIfTrue="1" operator="equal">
      <formula>0</formula>
    </cfRule>
  </conditionalFormatting>
  <conditionalFormatting sqref="S40">
    <cfRule type="cellIs" dxfId="354" priority="371" stopIfTrue="1" operator="equal">
      <formula>0</formula>
    </cfRule>
  </conditionalFormatting>
  <conditionalFormatting sqref="S41">
    <cfRule type="cellIs" dxfId="353" priority="370" stopIfTrue="1" operator="equal">
      <formula>0</formula>
    </cfRule>
  </conditionalFormatting>
  <conditionalFormatting sqref="S42">
    <cfRule type="cellIs" dxfId="352" priority="369" stopIfTrue="1" operator="equal">
      <formula>0</formula>
    </cfRule>
  </conditionalFormatting>
  <conditionalFormatting sqref="S45">
    <cfRule type="cellIs" dxfId="351" priority="368" stopIfTrue="1" operator="equal">
      <formula>0</formula>
    </cfRule>
  </conditionalFormatting>
  <conditionalFormatting sqref="S43">
    <cfRule type="cellIs" dxfId="350" priority="367" stopIfTrue="1" operator="equal">
      <formula>0</formula>
    </cfRule>
  </conditionalFormatting>
  <conditionalFormatting sqref="S44">
    <cfRule type="cellIs" dxfId="349" priority="366" stopIfTrue="1" operator="equal">
      <formula>0</formula>
    </cfRule>
  </conditionalFormatting>
  <conditionalFormatting sqref="S47">
    <cfRule type="cellIs" dxfId="348" priority="365" stopIfTrue="1" operator="equal">
      <formula>0</formula>
    </cfRule>
  </conditionalFormatting>
  <conditionalFormatting sqref="S48">
    <cfRule type="cellIs" dxfId="347" priority="364" stopIfTrue="1" operator="equal">
      <formula>0</formula>
    </cfRule>
  </conditionalFormatting>
  <conditionalFormatting sqref="S157 S182 S167">
    <cfRule type="cellIs" dxfId="346" priority="363" stopIfTrue="1" operator="equal">
      <formula>0</formula>
    </cfRule>
  </conditionalFormatting>
  <conditionalFormatting sqref="S174:S181">
    <cfRule type="cellIs" dxfId="345" priority="362" stopIfTrue="1" operator="equal">
      <formula>0</formula>
    </cfRule>
  </conditionalFormatting>
  <conditionalFormatting sqref="S165">
    <cfRule type="cellIs" dxfId="344" priority="361" stopIfTrue="1" operator="equal">
      <formula>0</formula>
    </cfRule>
  </conditionalFormatting>
  <conditionalFormatting sqref="S164">
    <cfRule type="cellIs" dxfId="343" priority="360" stopIfTrue="1" operator="equal">
      <formula>0</formula>
    </cfRule>
  </conditionalFormatting>
  <conditionalFormatting sqref="S158">
    <cfRule type="cellIs" dxfId="342" priority="359" stopIfTrue="1" operator="equal">
      <formula>0</formula>
    </cfRule>
  </conditionalFormatting>
  <conditionalFormatting sqref="S159">
    <cfRule type="cellIs" dxfId="341" priority="358" stopIfTrue="1" operator="equal">
      <formula>0</formula>
    </cfRule>
  </conditionalFormatting>
  <conditionalFormatting sqref="S160">
    <cfRule type="cellIs" dxfId="340" priority="357" stopIfTrue="1" operator="equal">
      <formula>0</formula>
    </cfRule>
  </conditionalFormatting>
  <conditionalFormatting sqref="S161">
    <cfRule type="cellIs" dxfId="339" priority="356" stopIfTrue="1" operator="equal">
      <formula>0</formula>
    </cfRule>
  </conditionalFormatting>
  <conditionalFormatting sqref="S162">
    <cfRule type="cellIs" dxfId="338" priority="355" stopIfTrue="1" operator="equal">
      <formula>0</formula>
    </cfRule>
  </conditionalFormatting>
  <conditionalFormatting sqref="S163">
    <cfRule type="cellIs" dxfId="337" priority="354" stopIfTrue="1" operator="equal">
      <formula>0</formula>
    </cfRule>
  </conditionalFormatting>
  <conditionalFormatting sqref="S166">
    <cfRule type="cellIs" dxfId="336" priority="353" stopIfTrue="1" operator="equal">
      <formula>0</formula>
    </cfRule>
  </conditionalFormatting>
  <conditionalFormatting sqref="S173">
    <cfRule type="cellIs" dxfId="335" priority="352" stopIfTrue="1" operator="equal">
      <formula>0</formula>
    </cfRule>
  </conditionalFormatting>
  <conditionalFormatting sqref="S168">
    <cfRule type="cellIs" dxfId="334" priority="351" stopIfTrue="1" operator="equal">
      <formula>0</formula>
    </cfRule>
  </conditionalFormatting>
  <conditionalFormatting sqref="S169">
    <cfRule type="cellIs" dxfId="333" priority="350" stopIfTrue="1" operator="equal">
      <formula>0</formula>
    </cfRule>
  </conditionalFormatting>
  <conditionalFormatting sqref="S286:S288 S299:S301 S277:S278">
    <cfRule type="cellIs" dxfId="332" priority="349" stopIfTrue="1" operator="equal">
      <formula>0</formula>
    </cfRule>
  </conditionalFormatting>
  <conditionalFormatting sqref="S289:S298">
    <cfRule type="cellIs" dxfId="331" priority="348" stopIfTrue="1" operator="equal">
      <formula>0</formula>
    </cfRule>
  </conditionalFormatting>
  <conditionalFormatting sqref="S279">
    <cfRule type="cellIs" dxfId="330" priority="347" stopIfTrue="1" operator="equal">
      <formula>0</formula>
    </cfRule>
  </conditionalFormatting>
  <conditionalFormatting sqref="S280">
    <cfRule type="cellIs" dxfId="329" priority="346" stopIfTrue="1" operator="equal">
      <formula>0</formula>
    </cfRule>
  </conditionalFormatting>
  <conditionalFormatting sqref="S281">
    <cfRule type="cellIs" dxfId="328" priority="345" stopIfTrue="1" operator="equal">
      <formula>0</formula>
    </cfRule>
  </conditionalFormatting>
  <conditionalFormatting sqref="S282">
    <cfRule type="cellIs" dxfId="327" priority="344" stopIfTrue="1" operator="equal">
      <formula>0</formula>
    </cfRule>
  </conditionalFormatting>
  <conditionalFormatting sqref="S283">
    <cfRule type="cellIs" dxfId="326" priority="343" stopIfTrue="1" operator="equal">
      <formula>0</formula>
    </cfRule>
  </conditionalFormatting>
  <conditionalFormatting sqref="S284">
    <cfRule type="cellIs" dxfId="325" priority="342" stopIfTrue="1" operator="equal">
      <formula>0</formula>
    </cfRule>
  </conditionalFormatting>
  <conditionalFormatting sqref="S285">
    <cfRule type="cellIs" dxfId="324" priority="341" stopIfTrue="1" operator="equal">
      <formula>0</formula>
    </cfRule>
  </conditionalFormatting>
  <conditionalFormatting sqref="S398:S400 S410:S416 S405:S407">
    <cfRule type="cellIs" dxfId="323" priority="340" stopIfTrue="1" operator="equal">
      <formula>0</formula>
    </cfRule>
  </conditionalFormatting>
  <conditionalFormatting sqref="S408">
    <cfRule type="cellIs" dxfId="322" priority="339" stopIfTrue="1" operator="equal">
      <formula>0</formula>
    </cfRule>
  </conditionalFormatting>
  <conditionalFormatting sqref="S401">
    <cfRule type="cellIs" dxfId="321" priority="338" stopIfTrue="1" operator="equal">
      <formula>0</formula>
    </cfRule>
  </conditionalFormatting>
  <conditionalFormatting sqref="S409">
    <cfRule type="cellIs" dxfId="320" priority="337" stopIfTrue="1" operator="equal">
      <formula>0</formula>
    </cfRule>
  </conditionalFormatting>
  <conditionalFormatting sqref="S404">
    <cfRule type="cellIs" dxfId="319" priority="336" stopIfTrue="1" operator="equal">
      <formula>0</formula>
    </cfRule>
  </conditionalFormatting>
  <conditionalFormatting sqref="S421">
    <cfRule type="cellIs" dxfId="318" priority="335" stopIfTrue="1" operator="equal">
      <formula>0</formula>
    </cfRule>
  </conditionalFormatting>
  <conditionalFormatting sqref="B62:R62 T62:V62">
    <cfRule type="cellIs" dxfId="317" priority="333" stopIfTrue="1" operator="equal">
      <formula>0</formula>
    </cfRule>
  </conditionalFormatting>
  <conditionalFormatting sqref="S62">
    <cfRule type="cellIs" dxfId="316" priority="332" stopIfTrue="1" operator="equal">
      <formula>0</formula>
    </cfRule>
  </conditionalFormatting>
  <conditionalFormatting sqref="W461:X461">
    <cfRule type="cellIs" dxfId="315" priority="331" stopIfTrue="1" operator="equal">
      <formula>0</formula>
    </cfRule>
  </conditionalFormatting>
  <conditionalFormatting sqref="W37:X37">
    <cfRule type="cellIs" dxfId="314" priority="330" stopIfTrue="1" operator="equal">
      <formula>0</formula>
    </cfRule>
  </conditionalFormatting>
  <conditionalFormatting sqref="N422:R422 D422:K422 T422:X422">
    <cfRule type="cellIs" dxfId="313" priority="329" stopIfTrue="1" operator="equal">
      <formula>0</formula>
    </cfRule>
  </conditionalFormatting>
  <conditionalFormatting sqref="S422">
    <cfRule type="cellIs" dxfId="312" priority="328" stopIfTrue="1" operator="equal">
      <formula>0</formula>
    </cfRule>
  </conditionalFormatting>
  <conditionalFormatting sqref="W204:X204">
    <cfRule type="cellIs" dxfId="311" priority="327" stopIfTrue="1" operator="equal">
      <formula>0</formula>
    </cfRule>
  </conditionalFormatting>
  <conditionalFormatting sqref="W205">
    <cfRule type="cellIs" dxfId="310" priority="326" stopIfTrue="1" operator="equal">
      <formula>0</formula>
    </cfRule>
  </conditionalFormatting>
  <conditionalFormatting sqref="W206">
    <cfRule type="cellIs" dxfId="309" priority="325" stopIfTrue="1" operator="equal">
      <formula>0</formula>
    </cfRule>
  </conditionalFormatting>
  <conditionalFormatting sqref="W206">
    <cfRule type="cellIs" dxfId="308" priority="324" stopIfTrue="1" operator="equal">
      <formula>0</formula>
    </cfRule>
  </conditionalFormatting>
  <conditionalFormatting sqref="W208">
    <cfRule type="cellIs" dxfId="307" priority="323" stopIfTrue="1" operator="equal">
      <formula>0</formula>
    </cfRule>
  </conditionalFormatting>
  <conditionalFormatting sqref="W208">
    <cfRule type="cellIs" dxfId="306" priority="322" stopIfTrue="1" operator="equal">
      <formula>0</formula>
    </cfRule>
  </conditionalFormatting>
  <conditionalFormatting sqref="W437:X442">
    <cfRule type="cellIs" dxfId="305" priority="318" stopIfTrue="1" operator="equal">
      <formula>0</formula>
    </cfRule>
  </conditionalFormatting>
  <conditionalFormatting sqref="W443:X443">
    <cfRule type="cellIs" dxfId="304" priority="317" stopIfTrue="1" operator="equal">
      <formula>0</formula>
    </cfRule>
  </conditionalFormatting>
  <conditionalFormatting sqref="W444:X444">
    <cfRule type="cellIs" dxfId="303" priority="316" stopIfTrue="1" operator="equal">
      <formula>0</formula>
    </cfRule>
  </conditionalFormatting>
  <conditionalFormatting sqref="W445:X445">
    <cfRule type="cellIs" dxfId="302" priority="315" stopIfTrue="1" operator="equal">
      <formula>0</formula>
    </cfRule>
  </conditionalFormatting>
  <conditionalFormatting sqref="W446:X446">
    <cfRule type="cellIs" dxfId="301" priority="314" stopIfTrue="1" operator="equal">
      <formula>0</formula>
    </cfRule>
  </conditionalFormatting>
  <conditionalFormatting sqref="W447:X447">
    <cfRule type="cellIs" dxfId="300" priority="313" stopIfTrue="1" operator="equal">
      <formula>0</formula>
    </cfRule>
  </conditionalFormatting>
  <conditionalFormatting sqref="W448:X448">
    <cfRule type="cellIs" dxfId="299" priority="312" stopIfTrue="1" operator="equal">
      <formula>0</formula>
    </cfRule>
  </conditionalFormatting>
  <conditionalFormatting sqref="W449:X449">
    <cfRule type="cellIs" dxfId="298" priority="311" stopIfTrue="1" operator="equal">
      <formula>0</formula>
    </cfRule>
  </conditionalFormatting>
  <conditionalFormatting sqref="W477:X477 W479:X479 W483:X489">
    <cfRule type="cellIs" dxfId="297" priority="310" stopIfTrue="1" operator="equal">
      <formula>0</formula>
    </cfRule>
  </conditionalFormatting>
  <conditionalFormatting sqref="W478:X478">
    <cfRule type="cellIs" dxfId="296" priority="309" stopIfTrue="1" operator="equal">
      <formula>0</formula>
    </cfRule>
  </conditionalFormatting>
  <conditionalFormatting sqref="W481:X481">
    <cfRule type="cellIs" dxfId="295" priority="308" stopIfTrue="1" operator="equal">
      <formula>0</formula>
    </cfRule>
  </conditionalFormatting>
  <conditionalFormatting sqref="W482:X482">
    <cfRule type="cellIs" dxfId="294" priority="307" stopIfTrue="1" operator="equal">
      <formula>0</formula>
    </cfRule>
  </conditionalFormatting>
  <conditionalFormatting sqref="W517:X517 W524:X524 W519:X520">
    <cfRule type="cellIs" dxfId="293" priority="306" stopIfTrue="1" operator="equal">
      <formula>0</formula>
    </cfRule>
  </conditionalFormatting>
  <conditionalFormatting sqref="W518:X518">
    <cfRule type="cellIs" dxfId="292" priority="305" stopIfTrue="1" operator="equal">
      <formula>0</formula>
    </cfRule>
  </conditionalFormatting>
  <conditionalFormatting sqref="W525:X525">
    <cfRule type="cellIs" dxfId="291" priority="303" stopIfTrue="1" operator="equal">
      <formula>0</formula>
    </cfRule>
  </conditionalFormatting>
  <conditionalFormatting sqref="W559:X559 W560:W564">
    <cfRule type="cellIs" dxfId="290" priority="302" stopIfTrue="1" operator="equal">
      <formula>0</formula>
    </cfRule>
  </conditionalFormatting>
  <conditionalFormatting sqref="W598:X600 W602:X606">
    <cfRule type="cellIs" dxfId="289" priority="300" stopIfTrue="1" operator="equal">
      <formula>0</formula>
    </cfRule>
  </conditionalFormatting>
  <conditionalFormatting sqref="B598:B600 B602 B604:B606">
    <cfRule type="cellIs" dxfId="288" priority="299" stopIfTrue="1" operator="equal">
      <formula>0</formula>
    </cfRule>
  </conditionalFormatting>
  <conditionalFormatting sqref="W607:X607">
    <cfRule type="cellIs" dxfId="287" priority="298" stopIfTrue="1" operator="equal">
      <formula>0</formula>
    </cfRule>
  </conditionalFormatting>
  <conditionalFormatting sqref="B607">
    <cfRule type="cellIs" dxfId="286" priority="297" stopIfTrue="1" operator="equal">
      <formula>0</formula>
    </cfRule>
  </conditionalFormatting>
  <conditionalFormatting sqref="W608:X608">
    <cfRule type="cellIs" dxfId="285" priority="296" stopIfTrue="1" operator="equal">
      <formula>0</formula>
    </cfRule>
  </conditionalFormatting>
  <conditionalFormatting sqref="B608">
    <cfRule type="cellIs" dxfId="284" priority="295" stopIfTrue="1" operator="equal">
      <formula>0</formula>
    </cfRule>
  </conditionalFormatting>
  <conditionalFormatting sqref="B613">
    <cfRule type="cellIs" dxfId="283" priority="294" stopIfTrue="1" operator="equal">
      <formula>0</formula>
    </cfRule>
  </conditionalFormatting>
  <conditionalFormatting sqref="W609:X610">
    <cfRule type="cellIs" dxfId="282" priority="293" stopIfTrue="1" operator="equal">
      <formula>0</formula>
    </cfRule>
  </conditionalFormatting>
  <conditionalFormatting sqref="B609:B610">
    <cfRule type="cellIs" dxfId="281" priority="292" stopIfTrue="1" operator="equal">
      <formula>0</formula>
    </cfRule>
  </conditionalFormatting>
  <conditionalFormatting sqref="W612:X613">
    <cfRule type="cellIs" dxfId="280" priority="291" stopIfTrue="1" operator="equal">
      <formula>0</formula>
    </cfRule>
  </conditionalFormatting>
  <conditionalFormatting sqref="B612">
    <cfRule type="cellIs" dxfId="279" priority="290" stopIfTrue="1" operator="equal">
      <formula>0</formula>
    </cfRule>
  </conditionalFormatting>
  <conditionalFormatting sqref="W611:X611">
    <cfRule type="cellIs" dxfId="278" priority="289" stopIfTrue="1" operator="equal">
      <formula>0</formula>
    </cfRule>
  </conditionalFormatting>
  <conditionalFormatting sqref="B611">
    <cfRule type="cellIs" dxfId="277" priority="288" stopIfTrue="1" operator="equal">
      <formula>0</formula>
    </cfRule>
  </conditionalFormatting>
  <conditionalFormatting sqref="W601:X601">
    <cfRule type="cellIs" dxfId="276" priority="287" stopIfTrue="1" operator="equal">
      <formula>0</formula>
    </cfRule>
  </conditionalFormatting>
  <conditionalFormatting sqref="B601">
    <cfRule type="cellIs" dxfId="275" priority="286" stopIfTrue="1" operator="equal">
      <formula>0</formula>
    </cfRule>
  </conditionalFormatting>
  <conditionalFormatting sqref="B603">
    <cfRule type="cellIs" dxfId="274" priority="285" stopIfTrue="1" operator="equal">
      <formula>0</formula>
    </cfRule>
  </conditionalFormatting>
  <conditionalFormatting sqref="D420:K420 N420:R420 T420:X420">
    <cfRule type="cellIs" dxfId="273" priority="284" stopIfTrue="1" operator="equal">
      <formula>0</formula>
    </cfRule>
  </conditionalFormatting>
  <conditionalFormatting sqref="S420">
    <cfRule type="cellIs" dxfId="272" priority="283" stopIfTrue="1" operator="equal">
      <formula>0</formula>
    </cfRule>
  </conditionalFormatting>
  <conditionalFormatting sqref="M105:R106 L104:R104">
    <cfRule type="cellIs" dxfId="271" priority="282" stopIfTrue="1" operator="equal">
      <formula>0</formula>
    </cfRule>
  </conditionalFormatting>
  <conditionalFormatting sqref="S104:S106">
    <cfRule type="cellIs" dxfId="270" priority="281" stopIfTrue="1" operator="equal">
      <formula>0</formula>
    </cfRule>
  </conditionalFormatting>
  <conditionalFormatting sqref="L224:R224 M225:R226">
    <cfRule type="cellIs" dxfId="269" priority="276" stopIfTrue="1" operator="equal">
      <formula>0</formula>
    </cfRule>
  </conditionalFormatting>
  <conditionalFormatting sqref="S224:S226">
    <cfRule type="cellIs" dxfId="268" priority="275" stopIfTrue="1" operator="equal">
      <formula>0</formula>
    </cfRule>
  </conditionalFormatting>
  <conditionalFormatting sqref="L304:R304 M305:R306">
    <cfRule type="cellIs" dxfId="267" priority="272" stopIfTrue="1" operator="equal">
      <formula>0</formula>
    </cfRule>
  </conditionalFormatting>
  <conditionalFormatting sqref="S304:S306">
    <cfRule type="cellIs" dxfId="266" priority="271" stopIfTrue="1" operator="equal">
      <formula>0</formula>
    </cfRule>
  </conditionalFormatting>
  <conditionalFormatting sqref="L424:R424 M425:R426">
    <cfRule type="cellIs" dxfId="265" priority="266" stopIfTrue="1" operator="equal">
      <formula>0</formula>
    </cfRule>
  </conditionalFormatting>
  <conditionalFormatting sqref="S424:S426">
    <cfRule type="cellIs" dxfId="264" priority="265" stopIfTrue="1" operator="equal">
      <formula>0</formula>
    </cfRule>
  </conditionalFormatting>
  <conditionalFormatting sqref="L544:R544 M545:R546">
    <cfRule type="cellIs" dxfId="263" priority="260" stopIfTrue="1" operator="equal">
      <formula>0</formula>
    </cfRule>
  </conditionalFormatting>
  <conditionalFormatting sqref="S544:S546">
    <cfRule type="cellIs" dxfId="262" priority="259" stopIfTrue="1" operator="equal">
      <formula>0</formula>
    </cfRule>
  </conditionalFormatting>
  <conditionalFormatting sqref="L584:R584 M585:R586">
    <cfRule type="cellIs" dxfId="261" priority="258" stopIfTrue="1" operator="equal">
      <formula>0</formula>
    </cfRule>
  </conditionalFormatting>
  <conditionalFormatting sqref="S584:S586">
    <cfRule type="cellIs" dxfId="260" priority="257" stopIfTrue="1" operator="equal">
      <formula>0</formula>
    </cfRule>
  </conditionalFormatting>
  <conditionalFormatting sqref="L624:R624 M625:R626">
    <cfRule type="cellIs" dxfId="259" priority="256" stopIfTrue="1" operator="equal">
      <formula>0</formula>
    </cfRule>
  </conditionalFormatting>
  <conditionalFormatting sqref="S624:S626">
    <cfRule type="cellIs" dxfId="258" priority="255" stopIfTrue="1" operator="equal">
      <formula>0</formula>
    </cfRule>
  </conditionalFormatting>
  <conditionalFormatting sqref="M65:R66 L64:R64">
    <cfRule type="cellIs" dxfId="257" priority="254" stopIfTrue="1" operator="equal">
      <formula>0</formula>
    </cfRule>
  </conditionalFormatting>
  <conditionalFormatting sqref="S64:S66">
    <cfRule type="cellIs" dxfId="256" priority="253" stopIfTrue="1" operator="equal">
      <formula>0</formula>
    </cfRule>
  </conditionalFormatting>
  <conditionalFormatting sqref="M185:R186 L184:R184">
    <cfRule type="cellIs" dxfId="255" priority="252" stopIfTrue="1" operator="equal">
      <formula>0</formula>
    </cfRule>
  </conditionalFormatting>
  <conditionalFormatting sqref="S184:S186">
    <cfRule type="cellIs" dxfId="254" priority="251" stopIfTrue="1" operator="equal">
      <formula>0</formula>
    </cfRule>
  </conditionalFormatting>
  <conditionalFormatting sqref="M265:R266 L264:R264">
    <cfRule type="cellIs" dxfId="253" priority="250" stopIfTrue="1" operator="equal">
      <formula>0</formula>
    </cfRule>
  </conditionalFormatting>
  <conditionalFormatting sqref="S264:S266">
    <cfRule type="cellIs" dxfId="252" priority="249" stopIfTrue="1" operator="equal">
      <formula>0</formula>
    </cfRule>
  </conditionalFormatting>
  <conditionalFormatting sqref="P344:R346 M345:O346 L344:O344">
    <cfRule type="cellIs" dxfId="251" priority="248" stopIfTrue="1" operator="equal">
      <formula>0</formula>
    </cfRule>
  </conditionalFormatting>
  <conditionalFormatting sqref="S344:S346">
    <cfRule type="cellIs" dxfId="250" priority="247" stopIfTrue="1" operator="equal">
      <formula>0</formula>
    </cfRule>
  </conditionalFormatting>
  <conditionalFormatting sqref="M385:R386 L384:R384">
    <cfRule type="cellIs" dxfId="249" priority="246" stopIfTrue="1" operator="equal">
      <formula>0</formula>
    </cfRule>
  </conditionalFormatting>
  <conditionalFormatting sqref="S384:S386">
    <cfRule type="cellIs" dxfId="248" priority="245" stopIfTrue="1" operator="equal">
      <formula>0</formula>
    </cfRule>
  </conditionalFormatting>
  <conditionalFormatting sqref="M465:R466 L464:R464">
    <cfRule type="cellIs" dxfId="247" priority="244" stopIfTrue="1" operator="equal">
      <formula>0</formula>
    </cfRule>
  </conditionalFormatting>
  <conditionalFormatting sqref="S464:S466">
    <cfRule type="cellIs" dxfId="246" priority="243" stopIfTrue="1" operator="equal">
      <formula>0</formula>
    </cfRule>
  </conditionalFormatting>
  <conditionalFormatting sqref="M145:R146 L144:R144">
    <cfRule type="cellIs" dxfId="245" priority="242" stopIfTrue="1" operator="equal">
      <formula>0</formula>
    </cfRule>
  </conditionalFormatting>
  <conditionalFormatting sqref="S144:S146">
    <cfRule type="cellIs" dxfId="244" priority="241" stopIfTrue="1" operator="equal">
      <formula>0</formula>
    </cfRule>
  </conditionalFormatting>
  <conditionalFormatting sqref="M505:R506 L504:R504">
    <cfRule type="cellIs" dxfId="243" priority="240" stopIfTrue="1" operator="equal">
      <formula>0</formula>
    </cfRule>
  </conditionalFormatting>
  <conditionalFormatting sqref="S504:S506">
    <cfRule type="cellIs" dxfId="242" priority="239" stopIfTrue="1" operator="equal">
      <formula>0</formula>
    </cfRule>
  </conditionalFormatting>
  <conditionalFormatting sqref="B280:C280">
    <cfRule type="cellIs" dxfId="241" priority="238" stopIfTrue="1" operator="equal">
      <formula>0</formula>
    </cfRule>
  </conditionalFormatting>
  <conditionalFormatting sqref="AE477:AH477">
    <cfRule type="cellIs" dxfId="240" priority="237" operator="equal">
      <formula>0</formula>
    </cfRule>
  </conditionalFormatting>
  <conditionalFormatting sqref="AE477:AH477">
    <cfRule type="cellIs" dxfId="239" priority="236" operator="equal">
      <formula>0</formula>
    </cfRule>
  </conditionalFormatting>
  <conditionalFormatting sqref="W559:X559">
    <cfRule type="cellIs" dxfId="238" priority="235" stopIfTrue="1" operator="equal">
      <formula>0</formula>
    </cfRule>
  </conditionalFormatting>
  <conditionalFormatting sqref="B60:R60 T60:V60">
    <cfRule type="cellIs" dxfId="237" priority="234" stopIfTrue="1" operator="equal">
      <formula>0</formula>
    </cfRule>
  </conditionalFormatting>
  <conditionalFormatting sqref="S60">
    <cfRule type="cellIs" dxfId="236" priority="233" stopIfTrue="1" operator="equal">
      <formula>0</formula>
    </cfRule>
  </conditionalFormatting>
  <conditionalFormatting sqref="P61 B61 J61:K61">
    <cfRule type="cellIs" dxfId="235" priority="232" stopIfTrue="1" operator="equal">
      <formula>0</formula>
    </cfRule>
  </conditionalFormatting>
  <conditionalFormatting sqref="S61">
    <cfRule type="cellIs" dxfId="234" priority="231" stopIfTrue="1" operator="equal">
      <formula>0</formula>
    </cfRule>
  </conditionalFormatting>
  <conditionalFormatting sqref="B54">
    <cfRule type="cellIs" dxfId="233" priority="230" stopIfTrue="1" operator="equal">
      <formula>0</formula>
    </cfRule>
  </conditionalFormatting>
  <conditionalFormatting sqref="AL37:AR63">
    <cfRule type="cellIs" dxfId="232" priority="228" operator="lessThan">
      <formula>6</formula>
    </cfRule>
    <cfRule type="cellIs" dxfId="231" priority="229" operator="greaterThan">
      <formula>5</formula>
    </cfRule>
  </conditionalFormatting>
  <conditionalFormatting sqref="AL77:AR103">
    <cfRule type="cellIs" dxfId="230" priority="198" operator="lessThan">
      <formula>6</formula>
    </cfRule>
    <cfRule type="cellIs" dxfId="229" priority="199" operator="greaterThan">
      <formula>5</formula>
    </cfRule>
  </conditionalFormatting>
  <conditionalFormatting sqref="AL117:AR143">
    <cfRule type="cellIs" dxfId="228" priority="196" operator="lessThan">
      <formula>6</formula>
    </cfRule>
    <cfRule type="cellIs" dxfId="227" priority="197" operator="greaterThan">
      <formula>5</formula>
    </cfRule>
  </conditionalFormatting>
  <conditionalFormatting sqref="AL157:AR183">
    <cfRule type="cellIs" dxfId="226" priority="194" operator="lessThan">
      <formula>6</formula>
    </cfRule>
    <cfRule type="cellIs" dxfId="225" priority="195" operator="greaterThan">
      <formula>5</formula>
    </cfRule>
  </conditionalFormatting>
  <conditionalFormatting sqref="AL197:AR223">
    <cfRule type="cellIs" dxfId="224" priority="192" operator="lessThan">
      <formula>6</formula>
    </cfRule>
    <cfRule type="cellIs" dxfId="223" priority="193" operator="greaterThan">
      <formula>5</formula>
    </cfRule>
  </conditionalFormatting>
  <conditionalFormatting sqref="AL237:AR263">
    <cfRule type="cellIs" dxfId="222" priority="190" operator="lessThan">
      <formula>6</formula>
    </cfRule>
    <cfRule type="cellIs" dxfId="221" priority="191" operator="greaterThan">
      <formula>5</formula>
    </cfRule>
  </conditionalFormatting>
  <conditionalFormatting sqref="AL277:AR303">
    <cfRule type="cellIs" dxfId="220" priority="188" operator="lessThan">
      <formula>6</formula>
    </cfRule>
    <cfRule type="cellIs" dxfId="219" priority="189" operator="greaterThan">
      <formula>5</formula>
    </cfRule>
  </conditionalFormatting>
  <conditionalFormatting sqref="AL317:AR343">
    <cfRule type="cellIs" dxfId="218" priority="186" operator="lessThan">
      <formula>6</formula>
    </cfRule>
    <cfRule type="cellIs" dxfId="217" priority="187" operator="greaterThan">
      <formula>5</formula>
    </cfRule>
  </conditionalFormatting>
  <conditionalFormatting sqref="AL357:AR383">
    <cfRule type="cellIs" dxfId="216" priority="184" operator="lessThan">
      <formula>6</formula>
    </cfRule>
    <cfRule type="cellIs" dxfId="215" priority="185" operator="greaterThan">
      <formula>5</formula>
    </cfRule>
  </conditionalFormatting>
  <conditionalFormatting sqref="AL397:AR423">
    <cfRule type="cellIs" dxfId="214" priority="182" operator="lessThan">
      <formula>6</formula>
    </cfRule>
    <cfRule type="cellIs" dxfId="213" priority="183" operator="greaterThan">
      <formula>5</formula>
    </cfRule>
  </conditionalFormatting>
  <conditionalFormatting sqref="AL437:AR463">
    <cfRule type="cellIs" dxfId="212" priority="180" operator="lessThan">
      <formula>6</formula>
    </cfRule>
    <cfRule type="cellIs" dxfId="211" priority="181" operator="greaterThan">
      <formula>5</formula>
    </cfRule>
  </conditionalFormatting>
  <conditionalFormatting sqref="AL477:AR503">
    <cfRule type="cellIs" dxfId="210" priority="178" operator="lessThan">
      <formula>6</formula>
    </cfRule>
    <cfRule type="cellIs" dxfId="209" priority="179" operator="greaterThan">
      <formula>5</formula>
    </cfRule>
  </conditionalFormatting>
  <conditionalFormatting sqref="AL517:AR543">
    <cfRule type="cellIs" dxfId="208" priority="176" operator="lessThan">
      <formula>6</formula>
    </cfRule>
    <cfRule type="cellIs" dxfId="207" priority="177" operator="greaterThan">
      <formula>5</formula>
    </cfRule>
  </conditionalFormatting>
  <conditionalFormatting sqref="AL557:AR583">
    <cfRule type="cellIs" dxfId="206" priority="174" operator="lessThan">
      <formula>6</formula>
    </cfRule>
    <cfRule type="cellIs" dxfId="205" priority="175" operator="greaterThan">
      <formula>5</formula>
    </cfRule>
  </conditionalFormatting>
  <conditionalFormatting sqref="AL597:AR623">
    <cfRule type="cellIs" dxfId="204" priority="170" operator="lessThan">
      <formula>6</formula>
    </cfRule>
    <cfRule type="cellIs" dxfId="203" priority="171" operator="greaterThan">
      <formula>5</formula>
    </cfRule>
  </conditionalFormatting>
  <conditionalFormatting sqref="W567:X567">
    <cfRule type="cellIs" dxfId="202" priority="169" stopIfTrue="1" operator="equal">
      <formula>0</formula>
    </cfRule>
  </conditionalFormatting>
  <conditionalFormatting sqref="B567">
    <cfRule type="cellIs" dxfId="201" priority="168" stopIfTrue="1" operator="equal">
      <formula>0</formula>
    </cfRule>
  </conditionalFormatting>
  <conditionalFormatting sqref="W597:X597">
    <cfRule type="cellIs" dxfId="200" priority="167" stopIfTrue="1" operator="equal">
      <formula>0</formula>
    </cfRule>
  </conditionalFormatting>
  <conditionalFormatting sqref="B597">
    <cfRule type="cellIs" dxfId="199" priority="166" stopIfTrue="1" operator="equal">
      <formula>0</formula>
    </cfRule>
  </conditionalFormatting>
  <conditionalFormatting sqref="W558:X558">
    <cfRule type="cellIs" dxfId="198" priority="165" stopIfTrue="1" operator="equal">
      <formula>0</formula>
    </cfRule>
  </conditionalFormatting>
  <conditionalFormatting sqref="W557:X557">
    <cfRule type="cellIs" dxfId="197" priority="164" stopIfTrue="1" operator="equal">
      <formula>0</formula>
    </cfRule>
  </conditionalFormatting>
  <conditionalFormatting sqref="B557">
    <cfRule type="cellIs" dxfId="196" priority="163" stopIfTrue="1" operator="equal">
      <formula>0</formula>
    </cfRule>
  </conditionalFormatting>
  <conditionalFormatting sqref="W493:X493">
    <cfRule type="cellIs" dxfId="195" priority="162" stopIfTrue="1" operator="equal">
      <formula>0</formula>
    </cfRule>
  </conditionalFormatting>
  <conditionalFormatting sqref="AL637:AR663">
    <cfRule type="cellIs" dxfId="194" priority="160" operator="lessThan">
      <formula>6</formula>
    </cfRule>
    <cfRule type="cellIs" dxfId="193" priority="161" operator="greaterThan">
      <formula>5</formula>
    </cfRule>
  </conditionalFormatting>
  <conditionalFormatting sqref="AL677:AR703">
    <cfRule type="cellIs" dxfId="192" priority="158" operator="lessThan">
      <formula>6</formula>
    </cfRule>
    <cfRule type="cellIs" dxfId="191" priority="159" operator="greaterThan">
      <formula>5</formula>
    </cfRule>
  </conditionalFormatting>
  <conditionalFormatting sqref="AL797:AR823">
    <cfRule type="cellIs" dxfId="190" priority="156" operator="lessThan">
      <formula>6</formula>
    </cfRule>
    <cfRule type="cellIs" dxfId="189" priority="157" operator="greaterThan">
      <formula>5</formula>
    </cfRule>
  </conditionalFormatting>
  <conditionalFormatting sqref="AL757:AR783">
    <cfRule type="cellIs" dxfId="188" priority="154" operator="lessThan">
      <formula>6</formula>
    </cfRule>
    <cfRule type="cellIs" dxfId="187" priority="155" operator="greaterThan">
      <formula>5</formula>
    </cfRule>
  </conditionalFormatting>
  <conditionalFormatting sqref="AL717:AR743">
    <cfRule type="cellIs" dxfId="186" priority="152" operator="lessThan">
      <formula>6</formula>
    </cfRule>
    <cfRule type="cellIs" dxfId="185" priority="153" operator="greaterThan">
      <formula>5</formula>
    </cfRule>
  </conditionalFormatting>
  <conditionalFormatting sqref="B173:R173 T173:V173">
    <cfRule type="cellIs" dxfId="184" priority="151" stopIfTrue="1" operator="equal">
      <formula>0</formula>
    </cfRule>
  </conditionalFormatting>
  <conditionalFormatting sqref="S173">
    <cfRule type="cellIs" dxfId="183" priority="150" stopIfTrue="1" operator="equal">
      <formula>0</formula>
    </cfRule>
  </conditionalFormatting>
  <conditionalFormatting sqref="B174:R174 T174:V174">
    <cfRule type="cellIs" dxfId="182" priority="149" stopIfTrue="1" operator="equal">
      <formula>0</formula>
    </cfRule>
  </conditionalFormatting>
  <conditionalFormatting sqref="S174">
    <cfRule type="cellIs" dxfId="181" priority="148" stopIfTrue="1" operator="equal">
      <formula>0</formula>
    </cfRule>
  </conditionalFormatting>
  <conditionalFormatting sqref="B160:R160 T160:V160">
    <cfRule type="cellIs" dxfId="180" priority="147" stopIfTrue="1" operator="equal">
      <formula>0</formula>
    </cfRule>
  </conditionalFormatting>
  <conditionalFormatting sqref="S160">
    <cfRule type="cellIs" dxfId="179" priority="146" stopIfTrue="1" operator="equal">
      <formula>0</formula>
    </cfRule>
  </conditionalFormatting>
  <conditionalFormatting sqref="B160:R160 T160:V160">
    <cfRule type="cellIs" dxfId="178" priority="145" stopIfTrue="1" operator="equal">
      <formula>0</formula>
    </cfRule>
  </conditionalFormatting>
  <conditionalFormatting sqref="S160">
    <cfRule type="cellIs" dxfId="177" priority="144" stopIfTrue="1" operator="equal">
      <formula>0</formula>
    </cfRule>
  </conditionalFormatting>
  <conditionalFormatting sqref="B173:R173 T173:V173">
    <cfRule type="cellIs" dxfId="176" priority="143" stopIfTrue="1" operator="equal">
      <formula>0</formula>
    </cfRule>
  </conditionalFormatting>
  <conditionalFormatting sqref="S173">
    <cfRule type="cellIs" dxfId="175" priority="142" stopIfTrue="1" operator="equal">
      <formula>0</formula>
    </cfRule>
  </conditionalFormatting>
  <conditionalFormatting sqref="B161:R161 T161:V161">
    <cfRule type="cellIs" dxfId="174" priority="141" stopIfTrue="1" operator="equal">
      <formula>0</formula>
    </cfRule>
  </conditionalFormatting>
  <conditionalFormatting sqref="S161">
    <cfRule type="cellIs" dxfId="173" priority="140" stopIfTrue="1" operator="equal">
      <formula>0</formula>
    </cfRule>
  </conditionalFormatting>
  <conditionalFormatting sqref="B161:R161 T161:V161">
    <cfRule type="cellIs" dxfId="172" priority="139" stopIfTrue="1" operator="equal">
      <formula>0</formula>
    </cfRule>
  </conditionalFormatting>
  <conditionalFormatting sqref="S161">
    <cfRule type="cellIs" dxfId="171" priority="138" stopIfTrue="1" operator="equal">
      <formula>0</formula>
    </cfRule>
  </conditionalFormatting>
  <conditionalFormatting sqref="B174:R174 T174:V174">
    <cfRule type="cellIs" dxfId="170" priority="137" stopIfTrue="1" operator="equal">
      <formula>0</formula>
    </cfRule>
  </conditionalFormatting>
  <conditionalFormatting sqref="S174">
    <cfRule type="cellIs" dxfId="169" priority="136" stopIfTrue="1" operator="equal">
      <formula>0</formula>
    </cfRule>
  </conditionalFormatting>
  <conditionalFormatting sqref="B175:R175 T175:V175">
    <cfRule type="cellIs" dxfId="168" priority="135" stopIfTrue="1" operator="equal">
      <formula>0</formula>
    </cfRule>
  </conditionalFormatting>
  <conditionalFormatting sqref="S175">
    <cfRule type="cellIs" dxfId="167" priority="134" stopIfTrue="1" operator="equal">
      <formula>0</formula>
    </cfRule>
  </conditionalFormatting>
  <conditionalFormatting sqref="B164:R164 T164:V164">
    <cfRule type="cellIs" dxfId="166" priority="133" stopIfTrue="1" operator="equal">
      <formula>0</formula>
    </cfRule>
  </conditionalFormatting>
  <conditionalFormatting sqref="S164">
    <cfRule type="cellIs" dxfId="165" priority="132" stopIfTrue="1" operator="equal">
      <formula>0</formula>
    </cfRule>
  </conditionalFormatting>
  <conditionalFormatting sqref="B164:R164 T164:V164">
    <cfRule type="cellIs" dxfId="164" priority="131" stopIfTrue="1" operator="equal">
      <formula>0</formula>
    </cfRule>
  </conditionalFormatting>
  <conditionalFormatting sqref="S164">
    <cfRule type="cellIs" dxfId="163" priority="130" stopIfTrue="1" operator="equal">
      <formula>0</formula>
    </cfRule>
  </conditionalFormatting>
  <conditionalFormatting sqref="B164:R164 T164:V164">
    <cfRule type="cellIs" dxfId="162" priority="129" stopIfTrue="1" operator="equal">
      <formula>0</formula>
    </cfRule>
  </conditionalFormatting>
  <conditionalFormatting sqref="S164">
    <cfRule type="cellIs" dxfId="161" priority="128" stopIfTrue="1" operator="equal">
      <formula>0</formula>
    </cfRule>
  </conditionalFormatting>
  <conditionalFormatting sqref="C176:K176 N176:R176 T176:V176">
    <cfRule type="cellIs" dxfId="160" priority="127" stopIfTrue="1" operator="equal">
      <formula>0</formula>
    </cfRule>
  </conditionalFormatting>
  <conditionalFormatting sqref="S176">
    <cfRule type="cellIs" dxfId="159" priority="126" stopIfTrue="1" operator="equal">
      <formula>0</formula>
    </cfRule>
  </conditionalFormatting>
  <conditionalFormatting sqref="S166">
    <cfRule type="cellIs" dxfId="158" priority="125" stopIfTrue="1" operator="equal">
      <formula>0</formula>
    </cfRule>
  </conditionalFormatting>
  <conditionalFormatting sqref="T167:V167 B167:R167">
    <cfRule type="cellIs" dxfId="157" priority="124" stopIfTrue="1" operator="equal">
      <formula>0</formula>
    </cfRule>
  </conditionalFormatting>
  <conditionalFormatting sqref="S167">
    <cfRule type="cellIs" dxfId="156" priority="123" stopIfTrue="1" operator="equal">
      <formula>0</formula>
    </cfRule>
  </conditionalFormatting>
  <conditionalFormatting sqref="C167:K167 N167:R167 T167:V167">
    <cfRule type="cellIs" dxfId="155" priority="122" stopIfTrue="1" operator="equal">
      <formula>0</formula>
    </cfRule>
  </conditionalFormatting>
  <conditionalFormatting sqref="S167">
    <cfRule type="cellIs" dxfId="154" priority="121" stopIfTrue="1" operator="equal">
      <formula>0</formula>
    </cfRule>
  </conditionalFormatting>
  <conditionalFormatting sqref="B176:R176 T176:V176">
    <cfRule type="cellIs" dxfId="153" priority="120" stopIfTrue="1" operator="equal">
      <formula>0</formula>
    </cfRule>
  </conditionalFormatting>
  <conditionalFormatting sqref="S176">
    <cfRule type="cellIs" dxfId="152" priority="119" stopIfTrue="1" operator="equal">
      <formula>0</formula>
    </cfRule>
  </conditionalFormatting>
  <conditionalFormatting sqref="W168:X168">
    <cfRule type="cellIs" dxfId="151" priority="118" stopIfTrue="1" operator="equal">
      <formula>0</formula>
    </cfRule>
  </conditionalFormatting>
  <conditionalFormatting sqref="B168:R168 T168:V168">
    <cfRule type="cellIs" dxfId="150" priority="117" stopIfTrue="1" operator="equal">
      <formula>0</formula>
    </cfRule>
  </conditionalFormatting>
  <conditionalFormatting sqref="S168">
    <cfRule type="cellIs" dxfId="149" priority="116" stopIfTrue="1" operator="equal">
      <formula>0</formula>
    </cfRule>
  </conditionalFormatting>
  <conditionalFormatting sqref="T169:V169 B169:R169">
    <cfRule type="cellIs" dxfId="148" priority="115" stopIfTrue="1" operator="equal">
      <formula>0</formula>
    </cfRule>
  </conditionalFormatting>
  <conditionalFormatting sqref="S169">
    <cfRule type="cellIs" dxfId="147" priority="114" stopIfTrue="1" operator="equal">
      <formula>0</formula>
    </cfRule>
  </conditionalFormatting>
  <conditionalFormatting sqref="C169:K169 N169:R169 T169:V169">
    <cfRule type="cellIs" dxfId="146" priority="113" stopIfTrue="1" operator="equal">
      <formula>0</formula>
    </cfRule>
  </conditionalFormatting>
  <conditionalFormatting sqref="S169">
    <cfRule type="cellIs" dxfId="145" priority="112" stopIfTrue="1" operator="equal">
      <formula>0</formula>
    </cfRule>
  </conditionalFormatting>
  <conditionalFormatting sqref="B169:R169 T169:V169">
    <cfRule type="cellIs" dxfId="144" priority="111" stopIfTrue="1" operator="equal">
      <formula>0</formula>
    </cfRule>
  </conditionalFormatting>
  <conditionalFormatting sqref="S169">
    <cfRule type="cellIs" dxfId="143" priority="110" stopIfTrue="1" operator="equal">
      <formula>0</formula>
    </cfRule>
  </conditionalFormatting>
  <conditionalFormatting sqref="B53:R53 T53:V53">
    <cfRule type="cellIs" dxfId="142" priority="109" stopIfTrue="1" operator="equal">
      <formula>0</formula>
    </cfRule>
  </conditionalFormatting>
  <conditionalFormatting sqref="S53">
    <cfRule type="cellIs" dxfId="141" priority="108" stopIfTrue="1" operator="equal">
      <formula>0</formula>
    </cfRule>
  </conditionalFormatting>
  <conditionalFormatting sqref="B38:R38 T38:V38">
    <cfRule type="cellIs" dxfId="140" priority="107" stopIfTrue="1" operator="equal">
      <formula>0</formula>
    </cfRule>
  </conditionalFormatting>
  <conditionalFormatting sqref="S38">
    <cfRule type="cellIs" dxfId="139" priority="106" stopIfTrue="1" operator="equal">
      <formula>0</formula>
    </cfRule>
  </conditionalFormatting>
  <conditionalFormatting sqref="B44:R44 T44:V44">
    <cfRule type="cellIs" dxfId="138" priority="105" stopIfTrue="1" operator="equal">
      <formula>0</formula>
    </cfRule>
  </conditionalFormatting>
  <conditionalFormatting sqref="S44">
    <cfRule type="cellIs" dxfId="137" priority="104" stopIfTrue="1" operator="equal">
      <formula>0</formula>
    </cfRule>
  </conditionalFormatting>
  <conditionalFormatting sqref="B42:R42 T42:V42">
    <cfRule type="cellIs" dxfId="136" priority="103" stopIfTrue="1" operator="equal">
      <formula>0</formula>
    </cfRule>
  </conditionalFormatting>
  <conditionalFormatting sqref="S42">
    <cfRule type="cellIs" dxfId="135" priority="102" stopIfTrue="1" operator="equal">
      <formula>0</formula>
    </cfRule>
  </conditionalFormatting>
  <conditionalFormatting sqref="B47:R47 T47:V47">
    <cfRule type="cellIs" dxfId="134" priority="101" stopIfTrue="1" operator="equal">
      <formula>0</formula>
    </cfRule>
  </conditionalFormatting>
  <conditionalFormatting sqref="S47">
    <cfRule type="cellIs" dxfId="133" priority="100" stopIfTrue="1" operator="equal">
      <formula>0</formula>
    </cfRule>
  </conditionalFormatting>
  <conditionalFormatting sqref="B39:R39 T39:V39">
    <cfRule type="cellIs" dxfId="132" priority="99" stopIfTrue="1" operator="equal">
      <formula>0</formula>
    </cfRule>
  </conditionalFormatting>
  <conditionalFormatting sqref="S39">
    <cfRule type="cellIs" dxfId="131" priority="98" stopIfTrue="1" operator="equal">
      <formula>0</formula>
    </cfRule>
  </conditionalFormatting>
  <conditionalFormatting sqref="B41:R41 T41:V41">
    <cfRule type="cellIs" dxfId="130" priority="97" stopIfTrue="1" operator="equal">
      <formula>0</formula>
    </cfRule>
  </conditionalFormatting>
  <conditionalFormatting sqref="S41">
    <cfRule type="cellIs" dxfId="129" priority="96" stopIfTrue="1" operator="equal">
      <formula>0</formula>
    </cfRule>
  </conditionalFormatting>
  <conditionalFormatting sqref="B45:R45 T45:V45">
    <cfRule type="cellIs" dxfId="128" priority="95" stopIfTrue="1" operator="equal">
      <formula>0</formula>
    </cfRule>
  </conditionalFormatting>
  <conditionalFormatting sqref="S45">
    <cfRule type="cellIs" dxfId="127" priority="94" stopIfTrue="1" operator="equal">
      <formula>0</formula>
    </cfRule>
  </conditionalFormatting>
  <conditionalFormatting sqref="B48:R48 T48:V48">
    <cfRule type="cellIs" dxfId="126" priority="93" stopIfTrue="1" operator="equal">
      <formula>0</formula>
    </cfRule>
  </conditionalFormatting>
  <conditionalFormatting sqref="S48">
    <cfRule type="cellIs" dxfId="125" priority="92" stopIfTrue="1" operator="equal">
      <formula>0</formula>
    </cfRule>
  </conditionalFormatting>
  <conditionalFormatting sqref="B40:R40 T40:V40">
    <cfRule type="cellIs" dxfId="124" priority="91" stopIfTrue="1" operator="equal">
      <formula>0</formula>
    </cfRule>
  </conditionalFormatting>
  <conditionalFormatting sqref="S40">
    <cfRule type="cellIs" dxfId="123" priority="90" stopIfTrue="1" operator="equal">
      <formula>0</formula>
    </cfRule>
  </conditionalFormatting>
  <conditionalFormatting sqref="B87:K87 N87:R87 T87:X87">
    <cfRule type="cellIs" dxfId="122" priority="89" stopIfTrue="1" operator="equal">
      <formula>0</formula>
    </cfRule>
  </conditionalFormatting>
  <conditionalFormatting sqref="S87">
    <cfRule type="cellIs" dxfId="121" priority="88" stopIfTrue="1" operator="equal">
      <formula>0</formula>
    </cfRule>
  </conditionalFormatting>
  <conditionalFormatting sqref="N89:R89 B89:K89 T89:X89">
    <cfRule type="cellIs" dxfId="120" priority="87" stopIfTrue="1" operator="equal">
      <formula>0</formula>
    </cfRule>
  </conditionalFormatting>
  <conditionalFormatting sqref="S89">
    <cfRule type="cellIs" dxfId="119" priority="86" stopIfTrue="1" operator="equal">
      <formula>0</formula>
    </cfRule>
  </conditionalFormatting>
  <conditionalFormatting sqref="W119:X119">
    <cfRule type="cellIs" dxfId="118" priority="84" stopIfTrue="1" operator="equal">
      <formula>0</formula>
    </cfRule>
  </conditionalFormatting>
  <conditionalFormatting sqref="W211:X211">
    <cfRule type="cellIs" dxfId="117" priority="83" stopIfTrue="1" operator="equal">
      <formula>0</formula>
    </cfRule>
  </conditionalFormatting>
  <conditionalFormatting sqref="W198:X198">
    <cfRule type="cellIs" dxfId="116" priority="82" stopIfTrue="1" operator="equal">
      <formula>0</formula>
    </cfRule>
  </conditionalFormatting>
  <conditionalFormatting sqref="W201">
    <cfRule type="cellIs" dxfId="115" priority="81" stopIfTrue="1" operator="equal">
      <formula>0</formula>
    </cfRule>
  </conditionalFormatting>
  <conditionalFormatting sqref="W201">
    <cfRule type="cellIs" dxfId="114" priority="80" stopIfTrue="1" operator="equal">
      <formula>0</formula>
    </cfRule>
  </conditionalFormatting>
  <conditionalFormatting sqref="J201">
    <cfRule type="cellIs" dxfId="113" priority="79" stopIfTrue="1" operator="equal">
      <formula>0</formula>
    </cfRule>
  </conditionalFormatting>
  <conditionalFormatting sqref="W199:X199">
    <cfRule type="cellIs" dxfId="112" priority="78" stopIfTrue="1" operator="equal">
      <formula>0</formula>
    </cfRule>
  </conditionalFormatting>
  <conditionalFormatting sqref="W199:X199">
    <cfRule type="cellIs" dxfId="111" priority="77" stopIfTrue="1" operator="equal">
      <formula>0</formula>
    </cfRule>
  </conditionalFormatting>
  <conditionalFormatting sqref="C211:I211 L211:O211 Q211:R211 T211:X211">
    <cfRule type="cellIs" dxfId="110" priority="76" stopIfTrue="1" operator="equal">
      <formula>0</formula>
    </cfRule>
  </conditionalFormatting>
  <conditionalFormatting sqref="W202">
    <cfRule type="cellIs" dxfId="109" priority="75" stopIfTrue="1" operator="equal">
      <formula>0</formula>
    </cfRule>
  </conditionalFormatting>
  <conditionalFormatting sqref="W202">
    <cfRule type="cellIs" dxfId="108" priority="74" stopIfTrue="1" operator="equal">
      <formula>0</formula>
    </cfRule>
  </conditionalFormatting>
  <conditionalFormatting sqref="W204:X204">
    <cfRule type="cellIs" dxfId="107" priority="73" stopIfTrue="1" operator="equal">
      <formula>0</formula>
    </cfRule>
  </conditionalFormatting>
  <conditionalFormatting sqref="W203:X203">
    <cfRule type="cellIs" dxfId="106" priority="72" stopIfTrue="1" operator="equal">
      <formula>0</formula>
    </cfRule>
  </conditionalFormatting>
  <conditionalFormatting sqref="W203:X203">
    <cfRule type="cellIs" dxfId="105" priority="71" stopIfTrue="1" operator="equal">
      <formula>0</formula>
    </cfRule>
  </conditionalFormatting>
  <conditionalFormatting sqref="C203:I203 L203:O203 Q203:R203 T203:X203">
    <cfRule type="cellIs" dxfId="104" priority="70" stopIfTrue="1" operator="equal">
      <formula>0</formula>
    </cfRule>
  </conditionalFormatting>
  <conditionalFormatting sqref="B277:R277 T277:W277">
    <cfRule type="cellIs" dxfId="103" priority="69" stopIfTrue="1" operator="equal">
      <formula>0</formula>
    </cfRule>
  </conditionalFormatting>
  <conditionalFormatting sqref="S277">
    <cfRule type="cellIs" dxfId="102" priority="68" stopIfTrue="1" operator="equal">
      <formula>0</formula>
    </cfRule>
  </conditionalFormatting>
  <conditionalFormatting sqref="D290:R290 T290:X290">
    <cfRule type="cellIs" dxfId="101" priority="67" stopIfTrue="1" operator="equal">
      <formula>0</formula>
    </cfRule>
  </conditionalFormatting>
  <conditionalFormatting sqref="S290">
    <cfRule type="cellIs" dxfId="100" priority="66" stopIfTrue="1" operator="equal">
      <formula>0</formula>
    </cfRule>
  </conditionalFormatting>
  <conditionalFormatting sqref="B290:C290">
    <cfRule type="cellIs" dxfId="99" priority="65" stopIfTrue="1" operator="equal">
      <formula>0</formula>
    </cfRule>
  </conditionalFormatting>
  <conditionalFormatting sqref="B280:J280">
    <cfRule type="cellIs" dxfId="98" priority="64" stopIfTrue="1" operator="equal">
      <formula>0</formula>
    </cfRule>
  </conditionalFormatting>
  <conditionalFormatting sqref="B282:R282 T282:X282">
    <cfRule type="cellIs" dxfId="97" priority="63" stopIfTrue="1" operator="equal">
      <formula>0</formula>
    </cfRule>
  </conditionalFormatting>
  <conditionalFormatting sqref="S282">
    <cfRule type="cellIs" dxfId="96" priority="62" stopIfTrue="1" operator="equal">
      <formula>0</formula>
    </cfRule>
  </conditionalFormatting>
  <conditionalFormatting sqref="B283:R283 T283:X283">
    <cfRule type="cellIs" dxfId="95" priority="61" stopIfTrue="1" operator="equal">
      <formula>0</formula>
    </cfRule>
  </conditionalFormatting>
  <conditionalFormatting sqref="S283">
    <cfRule type="cellIs" dxfId="94" priority="60" stopIfTrue="1" operator="equal">
      <formula>0</formula>
    </cfRule>
  </conditionalFormatting>
  <conditionalFormatting sqref="W319">
    <cfRule type="cellIs" dxfId="93" priority="59" stopIfTrue="1" operator="equal">
      <formula>0</formula>
    </cfRule>
  </conditionalFormatting>
  <conditionalFormatting sqref="W358:X358">
    <cfRule type="cellIs" dxfId="92" priority="58" stopIfTrue="1" operator="equal">
      <formula>0</formula>
    </cfRule>
  </conditionalFormatting>
  <conditionalFormatting sqref="W365:X365">
    <cfRule type="cellIs" dxfId="91" priority="57" stopIfTrue="1" operator="equal">
      <formula>0</formula>
    </cfRule>
  </conditionalFormatting>
  <conditionalFormatting sqref="W374:X374">
    <cfRule type="cellIs" dxfId="90" priority="56" stopIfTrue="1" operator="equal">
      <formula>0</formula>
    </cfRule>
  </conditionalFormatting>
  <conditionalFormatting sqref="W361:X361 B361">
    <cfRule type="cellIs" dxfId="89" priority="55" stopIfTrue="1" operator="equal">
      <formula>0</formula>
    </cfRule>
  </conditionalFormatting>
  <conditionalFormatting sqref="W359:X359">
    <cfRule type="cellIs" dxfId="88" priority="54" stopIfTrue="1" operator="equal">
      <formula>0</formula>
    </cfRule>
  </conditionalFormatting>
  <conditionalFormatting sqref="W374:X374">
    <cfRule type="cellIs" dxfId="87" priority="53" stopIfTrue="1" operator="equal">
      <formula>0</formula>
    </cfRule>
  </conditionalFormatting>
  <conditionalFormatting sqref="W362:X362">
    <cfRule type="cellIs" dxfId="86" priority="52" stopIfTrue="1" operator="equal">
      <formula>0</formula>
    </cfRule>
  </conditionalFormatting>
  <conditionalFormatting sqref="W363:X363">
    <cfRule type="cellIs" dxfId="85" priority="51" stopIfTrue="1" operator="equal">
      <formula>0</formula>
    </cfRule>
  </conditionalFormatting>
  <conditionalFormatting sqref="W369:X369">
    <cfRule type="cellIs" dxfId="84" priority="50" stopIfTrue="1" operator="equal">
      <formula>0</formula>
    </cfRule>
  </conditionalFormatting>
  <conditionalFormatting sqref="W367:X367">
    <cfRule type="cellIs" dxfId="83" priority="49" stopIfTrue="1" operator="equal">
      <formula>0</formula>
    </cfRule>
  </conditionalFormatting>
  <conditionalFormatting sqref="W367:X367">
    <cfRule type="cellIs" dxfId="82" priority="48" stopIfTrue="1" operator="equal">
      <formula>0</formula>
    </cfRule>
  </conditionalFormatting>
  <conditionalFormatting sqref="W374:X374">
    <cfRule type="cellIs" dxfId="81" priority="47" stopIfTrue="1" operator="equal">
      <formula>0</formula>
    </cfRule>
  </conditionalFormatting>
  <conditionalFormatting sqref="W368:X368">
    <cfRule type="cellIs" dxfId="80" priority="46" stopIfTrue="1" operator="equal">
      <formula>0</formula>
    </cfRule>
  </conditionalFormatting>
  <conditionalFormatting sqref="W366:X366">
    <cfRule type="cellIs" dxfId="79" priority="45" stopIfTrue="1" operator="equal">
      <formula>0</formula>
    </cfRule>
  </conditionalFormatting>
  <conditionalFormatting sqref="W366:X366">
    <cfRule type="cellIs" dxfId="78" priority="44" stopIfTrue="1" operator="equal">
      <formula>0</formula>
    </cfRule>
  </conditionalFormatting>
  <conditionalFormatting sqref="W366:X366">
    <cfRule type="cellIs" dxfId="77" priority="43" stopIfTrue="1" operator="equal">
      <formula>0</formula>
    </cfRule>
  </conditionalFormatting>
  <conditionalFormatting sqref="S409">
    <cfRule type="cellIs" dxfId="76" priority="42" stopIfTrue="1" operator="equal">
      <formula>0</formula>
    </cfRule>
  </conditionalFormatting>
  <conditionalFormatting sqref="W495:X495">
    <cfRule type="cellIs" dxfId="75" priority="41" stopIfTrue="1" operator="equal">
      <formula>0</formula>
    </cfRule>
  </conditionalFormatting>
  <conditionalFormatting sqref="W496:X496">
    <cfRule type="cellIs" dxfId="74" priority="40" stopIfTrue="1" operator="equal">
      <formula>0</formula>
    </cfRule>
  </conditionalFormatting>
  <conditionalFormatting sqref="W497:X497">
    <cfRule type="cellIs" dxfId="73" priority="39" stopIfTrue="1" operator="equal">
      <formula>0</formula>
    </cfRule>
  </conditionalFormatting>
  <conditionalFormatting sqref="W498:X498">
    <cfRule type="cellIs" dxfId="72" priority="38" stopIfTrue="1" operator="equal">
      <formula>0</formula>
    </cfRule>
  </conditionalFormatting>
  <conditionalFormatting sqref="W482:X482">
    <cfRule type="cellIs" dxfId="71" priority="37" stopIfTrue="1" operator="equal">
      <formula>0</formula>
    </cfRule>
  </conditionalFormatting>
  <conditionalFormatting sqref="W482:X482">
    <cfRule type="cellIs" dxfId="70" priority="36" stopIfTrue="1" operator="equal">
      <formula>0</formula>
    </cfRule>
  </conditionalFormatting>
  <conditionalFormatting sqref="W615:X615">
    <cfRule type="cellIs" dxfId="69" priority="35" stopIfTrue="1" operator="equal">
      <formula>0</formula>
    </cfRule>
  </conditionalFormatting>
  <conditionalFormatting sqref="B615">
    <cfRule type="cellIs" dxfId="68" priority="34" stopIfTrue="1" operator="equal">
      <formula>0</formula>
    </cfRule>
  </conditionalFormatting>
  <conditionalFormatting sqref="W603:X603">
    <cfRule type="cellIs" dxfId="67" priority="33" stopIfTrue="1" operator="equal">
      <formula>0</formula>
    </cfRule>
  </conditionalFormatting>
  <conditionalFormatting sqref="W603:X603">
    <cfRule type="cellIs" dxfId="66" priority="32" stopIfTrue="1" operator="equal">
      <formula>0</formula>
    </cfRule>
  </conditionalFormatting>
  <conditionalFormatting sqref="B603">
    <cfRule type="cellIs" dxfId="65" priority="31" stopIfTrue="1" operator="equal">
      <formula>0</formula>
    </cfRule>
  </conditionalFormatting>
  <conditionalFormatting sqref="B177:R177 T177:V177">
    <cfRule type="cellIs" dxfId="64" priority="30" stopIfTrue="1" operator="equal">
      <formula>0</formula>
    </cfRule>
  </conditionalFormatting>
  <conditionalFormatting sqref="S177">
    <cfRule type="cellIs" dxfId="63" priority="29" stopIfTrue="1" operator="equal">
      <formula>0</formula>
    </cfRule>
  </conditionalFormatting>
  <conditionalFormatting sqref="T287:V287 B287:R287">
    <cfRule type="cellIs" dxfId="62" priority="28" stopIfTrue="1" operator="equal">
      <formula>0</formula>
    </cfRule>
  </conditionalFormatting>
  <conditionalFormatting sqref="S287">
    <cfRule type="cellIs" dxfId="61" priority="27" stopIfTrue="1" operator="equal">
      <formula>0</formula>
    </cfRule>
  </conditionalFormatting>
  <conditionalFormatting sqref="B287:R287 T287:V287">
    <cfRule type="cellIs" dxfId="60" priority="26" stopIfTrue="1" operator="equal">
      <formula>0</formula>
    </cfRule>
  </conditionalFormatting>
  <conditionalFormatting sqref="S287">
    <cfRule type="cellIs" dxfId="59" priority="25" stopIfTrue="1" operator="equal">
      <formula>0</formula>
    </cfRule>
  </conditionalFormatting>
  <conditionalFormatting sqref="B284:R284 T284:V284">
    <cfRule type="cellIs" dxfId="58" priority="24" stopIfTrue="1" operator="equal">
      <formula>0</formula>
    </cfRule>
  </conditionalFormatting>
  <conditionalFormatting sqref="S284">
    <cfRule type="cellIs" dxfId="57" priority="23" stopIfTrue="1" operator="equal">
      <formula>0</formula>
    </cfRule>
  </conditionalFormatting>
  <conditionalFormatting sqref="B284:R284 T284:V284">
    <cfRule type="cellIs" dxfId="56" priority="22" stopIfTrue="1" operator="equal">
      <formula>0</formula>
    </cfRule>
  </conditionalFormatting>
  <conditionalFormatting sqref="S284">
    <cfRule type="cellIs" dxfId="55" priority="21" stopIfTrue="1" operator="equal">
      <formula>0</formula>
    </cfRule>
  </conditionalFormatting>
  <conditionalFormatting sqref="B283:R283 T283:W283">
    <cfRule type="cellIs" dxfId="54" priority="20" stopIfTrue="1" operator="equal">
      <formula>0</formula>
    </cfRule>
  </conditionalFormatting>
  <conditionalFormatting sqref="S283">
    <cfRule type="cellIs" dxfId="53" priority="19" stopIfTrue="1" operator="equal">
      <formula>0</formula>
    </cfRule>
  </conditionalFormatting>
  <conditionalFormatting sqref="B283:R283 T283:X283">
    <cfRule type="cellIs" dxfId="52" priority="18" stopIfTrue="1" operator="equal">
      <formula>0</formula>
    </cfRule>
  </conditionalFormatting>
  <conditionalFormatting sqref="S283">
    <cfRule type="cellIs" dxfId="51" priority="17" stopIfTrue="1" operator="equal">
      <formula>0</formula>
    </cfRule>
  </conditionalFormatting>
  <conditionalFormatting sqref="B282:R282 T282:X282">
    <cfRule type="cellIs" dxfId="50" priority="16" stopIfTrue="1" operator="equal">
      <formula>0</formula>
    </cfRule>
  </conditionalFormatting>
  <conditionalFormatting sqref="S282">
    <cfRule type="cellIs" dxfId="49" priority="15" stopIfTrue="1" operator="equal">
      <formula>0</formula>
    </cfRule>
  </conditionalFormatting>
  <conditionalFormatting sqref="D281:R281 T281:X281">
    <cfRule type="cellIs" dxfId="48" priority="14" stopIfTrue="1" operator="equal">
      <formula>0</formula>
    </cfRule>
  </conditionalFormatting>
  <conditionalFormatting sqref="S281">
    <cfRule type="cellIs" dxfId="47" priority="13" stopIfTrue="1" operator="equal">
      <formula>0</formula>
    </cfRule>
  </conditionalFormatting>
  <conditionalFormatting sqref="B281:C281">
    <cfRule type="cellIs" dxfId="46" priority="12" stopIfTrue="1" operator="equal">
      <formula>0</formula>
    </cfRule>
  </conditionalFormatting>
  <conditionalFormatting sqref="B281:J281">
    <cfRule type="cellIs" dxfId="45" priority="11" stopIfTrue="1" operator="equal">
      <formula>0</formula>
    </cfRule>
  </conditionalFormatting>
  <conditionalFormatting sqref="B280:R280 T280:X280">
    <cfRule type="cellIs" dxfId="44" priority="10" stopIfTrue="1" operator="equal">
      <formula>0</formula>
    </cfRule>
  </conditionalFormatting>
  <conditionalFormatting sqref="S280">
    <cfRule type="cellIs" dxfId="43" priority="9" stopIfTrue="1" operator="equal">
      <formula>0</formula>
    </cfRule>
  </conditionalFormatting>
  <conditionalFormatting sqref="B279:R279 T279:X279">
    <cfRule type="cellIs" dxfId="42" priority="8" stopIfTrue="1" operator="equal">
      <formula>0</formula>
    </cfRule>
  </conditionalFormatting>
  <conditionalFormatting sqref="S279">
    <cfRule type="cellIs" dxfId="41" priority="7" stopIfTrue="1" operator="equal">
      <formula>0</formula>
    </cfRule>
  </conditionalFormatting>
  <conditionalFormatting sqref="B279:R279 T279:W279">
    <cfRule type="cellIs" dxfId="40" priority="6" stopIfTrue="1" operator="equal">
      <formula>0</formula>
    </cfRule>
  </conditionalFormatting>
  <conditionalFormatting sqref="S279">
    <cfRule type="cellIs" dxfId="39" priority="5" stopIfTrue="1" operator="equal">
      <formula>0</formula>
    </cfRule>
  </conditionalFormatting>
  <conditionalFormatting sqref="T277:V277 B277:R277">
    <cfRule type="cellIs" dxfId="38" priority="4" stopIfTrue="1" operator="equal">
      <formula>0</formula>
    </cfRule>
  </conditionalFormatting>
  <conditionalFormatting sqref="S277">
    <cfRule type="cellIs" dxfId="37" priority="3" stopIfTrue="1" operator="equal">
      <formula>0</formula>
    </cfRule>
  </conditionalFormatting>
  <conditionalFormatting sqref="B277:R277 T277:V277">
    <cfRule type="cellIs" dxfId="36" priority="2" stopIfTrue="1" operator="equal">
      <formula>0</formula>
    </cfRule>
  </conditionalFormatting>
  <conditionalFormatting sqref="S277">
    <cfRule type="cellIs" dxfId="35" priority="1" stopIfTrue="1" operator="equal">
      <formula>0</formula>
    </cfRule>
  </conditionalFormatting>
  <printOptions horizontalCentered="1"/>
  <pageMargins left="0.19685039370078741" right="0" top="0.59055118110236227" bottom="3.937007874015748E-2" header="0" footer="0"/>
  <pageSetup scale="49" orientation="landscape" r:id="rId1"/>
  <rowBreaks count="20" manualBreakCount="20">
    <brk id="27" max="27" man="1"/>
    <brk id="67" max="27" man="1"/>
    <brk id="107" max="27" man="1"/>
    <brk id="147" max="27" man="1"/>
    <brk id="187" max="27" man="1"/>
    <brk id="227" max="27" man="1"/>
    <brk id="267" max="27" man="1"/>
    <brk id="307" max="27" man="1"/>
    <brk id="347" max="27" man="1"/>
    <brk id="387" max="27" man="1"/>
    <brk id="427" max="27" man="1"/>
    <brk id="467" max="27" man="1"/>
    <brk id="507" max="27" man="1"/>
    <brk id="547" max="27" man="1"/>
    <brk id="587" max="27" man="1"/>
    <brk id="627" max="27" man="1"/>
    <brk id="667" max="27" man="1"/>
    <brk id="707" max="27" man="1"/>
    <brk id="747" max="27" man="1"/>
    <brk id="787" max="27" man="1"/>
  </rowBreaks>
  <ignoredErrors>
    <ignoredError sqref="AB37 AL623:AS623 AL624:AQ624" unlockedFormula="1"/>
    <ignoredError sqref="AK1:AK27 AK119 AK154 AK194 AK234 AK274 AK314 AK354 AK394 AK434 AK474 AK514 AK554 AK594 AK77 AK117 AK157:AK183 AK197:AK223 AK237:AK263 AK277:AK303 AK317:AK343 AK357:AK383 AK397:AK409 AK437:AK463 AK477:AK482 AK517:AK543 AK557:AK583 AK597:AK623 AK121:AK152 AK40:AK64 AK39 AK187:AK192 AK225:AK232 AK265:AK272 AK305:AK312 AK345:AK352 AK385:AK392 AK425:AK432 AK465:AK472 AK505:AK512 AK545:AK552 AK585:AK592 AK625:AK632 AK79:AK104 AK33:AK36 O145:O146 AK485:AK503 AK411:AK423" formulaRange="1"/>
    <ignoredError sqref="AS58:AS63" evalError="1"/>
    <ignoredError sqref="AR58:AR62" evalError="1" formulaRange="1"/>
    <ignoredError sqref="AR597:AS597 AR620:AS622 AR610:AS619 AS50:AS57 AS37 AR50" evalError="1" unlockedFormula="1"/>
    <ignoredError sqref="AR598:AS609 AR51:AR57 AS38 AS39:AS49 AR39:AR49" evalError="1" formulaRange="1" unlockedFormula="1"/>
  </ignoredErrors>
  <drawing r:id="rId2"/>
  <legacy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tabColor rgb="FF0000CC"/>
  </sheetPr>
  <dimension ref="A1:AJ60"/>
  <sheetViews>
    <sheetView view="pageBreakPreview" topLeftCell="B14" zoomScale="85" zoomScaleSheetLayoutView="85" workbookViewId="0">
      <selection activeCell="J56" sqref="J56"/>
    </sheetView>
  </sheetViews>
  <sheetFormatPr baseColWidth="10" defaultRowHeight="12.75"/>
  <cols>
    <col min="1" max="1" width="0.5703125" style="17" hidden="1" customWidth="1"/>
    <col min="2" max="2" width="5.140625" style="17" customWidth="1"/>
    <col min="3" max="3" width="2" style="17" customWidth="1"/>
    <col min="4" max="4" width="4.42578125" style="17" customWidth="1"/>
    <col min="5" max="5" width="7.42578125" style="17" customWidth="1"/>
    <col min="6" max="6" width="4" style="17" customWidth="1"/>
    <col min="7" max="7" width="8" style="17" customWidth="1"/>
    <col min="8" max="9" width="6" style="17" customWidth="1"/>
    <col min="10" max="10" width="18.7109375" style="17" customWidth="1"/>
    <col min="11" max="11" width="8" style="17" customWidth="1"/>
    <col min="12" max="13" width="8" style="17" hidden="1" customWidth="1"/>
    <col min="14" max="25" width="5" style="17" customWidth="1"/>
    <col min="26" max="26" width="8.5703125" style="17" customWidth="1"/>
    <col min="27" max="27" width="8" style="17" customWidth="1"/>
    <col min="28" max="28" width="5.28515625" style="17" customWidth="1"/>
    <col min="29" max="29" width="12.7109375" style="17" hidden="1" customWidth="1"/>
    <col min="30" max="30" width="5.85546875" style="17" hidden="1" customWidth="1"/>
    <col min="31" max="31" width="0.5703125" style="109" customWidth="1"/>
    <col min="32" max="32" width="5.7109375" style="109" hidden="1" customWidth="1"/>
    <col min="33" max="34" width="3.5703125" style="109" hidden="1" customWidth="1"/>
    <col min="35" max="35" width="3.5703125" style="17" hidden="1" customWidth="1"/>
    <col min="36" max="36" width="4" style="17" hidden="1" customWidth="1"/>
    <col min="37" max="16384" width="11.42578125" style="17"/>
  </cols>
  <sheetData>
    <row r="1" spans="1:34" ht="3.75" hidden="1" customHeight="1">
      <c r="A1" s="37"/>
      <c r="B1" s="38"/>
      <c r="C1" s="38"/>
      <c r="D1" s="38"/>
      <c r="E1" s="38"/>
      <c r="F1" s="39"/>
      <c r="G1" s="39"/>
      <c r="H1" s="39"/>
      <c r="I1" s="39"/>
      <c r="J1" s="40"/>
      <c r="K1" s="912"/>
      <c r="L1" s="912"/>
      <c r="M1" s="39"/>
      <c r="N1" s="38"/>
      <c r="O1" s="38"/>
      <c r="P1" s="38"/>
      <c r="Q1" s="38"/>
      <c r="R1" s="38"/>
      <c r="S1" s="38"/>
      <c r="T1" s="38"/>
      <c r="U1" s="38"/>
      <c r="V1" s="38"/>
      <c r="W1" s="38"/>
      <c r="X1" s="38"/>
      <c r="Y1" s="38"/>
      <c r="Z1" s="38"/>
      <c r="AA1" s="38"/>
      <c r="AB1" s="38"/>
      <c r="AC1" s="923"/>
      <c r="AD1" s="41"/>
    </row>
    <row r="2" spans="1:34" ht="3.75" hidden="1" customHeight="1">
      <c r="A2" s="42"/>
      <c r="B2" s="43"/>
      <c r="C2" s="44"/>
      <c r="D2" s="45"/>
      <c r="E2" s="45"/>
      <c r="F2" s="46"/>
      <c r="G2" s="46"/>
      <c r="H2" s="47"/>
      <c r="I2" s="48"/>
      <c r="J2" s="40"/>
      <c r="K2" s="40"/>
      <c r="L2" s="40"/>
      <c r="M2" s="40" t="s">
        <v>30</v>
      </c>
      <c r="N2" s="49"/>
      <c r="O2" s="49"/>
      <c r="P2" s="49"/>
      <c r="Q2" s="49"/>
      <c r="R2" s="49"/>
      <c r="S2" s="49"/>
      <c r="T2" s="49"/>
      <c r="U2" s="49"/>
      <c r="V2" s="49"/>
      <c r="W2" s="49"/>
      <c r="X2" s="49"/>
      <c r="Y2" s="50"/>
      <c r="Z2" s="51"/>
      <c r="AA2" s="44"/>
      <c r="AB2" s="45"/>
      <c r="AC2" s="45"/>
      <c r="AD2" s="52"/>
    </row>
    <row r="3" spans="1:34" ht="13.5" customHeight="1">
      <c r="A3" s="42"/>
      <c r="B3" s="43"/>
      <c r="C3" s="44"/>
      <c r="D3" s="45"/>
      <c r="E3" s="45"/>
      <c r="F3" s="53">
        <v>10</v>
      </c>
      <c r="G3" s="53"/>
      <c r="H3" s="796"/>
      <c r="I3" s="925"/>
      <c r="J3" s="796"/>
      <c r="K3" s="796"/>
      <c r="L3" s="796"/>
      <c r="M3" s="796"/>
      <c r="N3" s="904"/>
      <c r="O3" s="989" t="s">
        <v>869</v>
      </c>
      <c r="P3" s="989"/>
      <c r="Q3" s="904"/>
      <c r="R3" s="904"/>
      <c r="S3" s="904"/>
      <c r="T3" s="904"/>
      <c r="U3" s="904"/>
      <c r="V3" s="904"/>
      <c r="W3" s="904"/>
      <c r="X3" s="904"/>
      <c r="Y3" s="926"/>
      <c r="Z3" s="846"/>
      <c r="AA3" s="927"/>
      <c r="AB3" s="928"/>
      <c r="AC3" s="928"/>
      <c r="AD3" s="45"/>
      <c r="AE3" s="986"/>
      <c r="AF3" s="111">
        <v>0</v>
      </c>
      <c r="AG3" s="86">
        <v>0</v>
      </c>
    </row>
    <row r="4" spans="1:34" ht="13.5" customHeight="1">
      <c r="A4" s="42"/>
      <c r="B4" s="4013"/>
      <c r="C4" s="4014"/>
      <c r="D4" s="4014"/>
      <c r="E4" s="4015"/>
      <c r="F4" s="53">
        <v>20</v>
      </c>
      <c r="G4" s="53"/>
      <c r="H4" s="796"/>
      <c r="I4" s="925"/>
      <c r="J4" s="796"/>
      <c r="K4" s="796"/>
      <c r="L4" s="796"/>
      <c r="M4" s="796"/>
      <c r="N4" s="904"/>
      <c r="O4" s="940" t="s">
        <v>870</v>
      </c>
      <c r="P4" s="940"/>
      <c r="Q4" s="904"/>
      <c r="R4" s="904"/>
      <c r="S4" s="904"/>
      <c r="T4" s="904"/>
      <c r="U4" s="904"/>
      <c r="V4" s="1892" t="str">
        <f>'VISITA DE INSP.'!Z9</f>
        <v>9981 49 34 04</v>
      </c>
      <c r="W4" s="904"/>
      <c r="X4" s="904"/>
      <c r="Y4" s="904"/>
      <c r="Z4" s="929"/>
      <c r="AA4" s="794"/>
      <c r="AB4" s="2573" t="s">
        <v>1779</v>
      </c>
      <c r="AC4" s="930">
        <f>'VISITA DE INSP.'!T6</f>
        <v>1</v>
      </c>
      <c r="AD4" s="45"/>
      <c r="AE4" s="986"/>
      <c r="AF4" s="87">
        <v>3</v>
      </c>
      <c r="AG4" s="87" t="s">
        <v>61</v>
      </c>
    </row>
    <row r="5" spans="1:34" ht="13.5" customHeight="1">
      <c r="A5" s="42"/>
      <c r="B5" s="43"/>
      <c r="C5" s="44"/>
      <c r="D5" s="45"/>
      <c r="E5" s="45"/>
      <c r="F5" s="53">
        <v>95</v>
      </c>
      <c r="G5" s="53"/>
      <c r="H5" s="796"/>
      <c r="I5" s="925"/>
      <c r="J5" s="796"/>
      <c r="K5" s="796"/>
      <c r="L5" s="796"/>
      <c r="M5" s="796"/>
      <c r="N5" s="905"/>
      <c r="O5" s="941" t="s">
        <v>871</v>
      </c>
      <c r="P5" s="941"/>
      <c r="Q5" s="4042">
        <v>2011</v>
      </c>
      <c r="R5" s="4043"/>
      <c r="S5" s="4040">
        <f>Q5+1</f>
        <v>2012</v>
      </c>
      <c r="T5" s="4041"/>
      <c r="U5" s="931">
        <f>T5+1</f>
        <v>1</v>
      </c>
      <c r="V5" s="905"/>
      <c r="W5" s="905"/>
      <c r="X5" s="905"/>
      <c r="Y5" s="905"/>
      <c r="Z5" s="905"/>
      <c r="AA5" s="809"/>
      <c r="AB5" s="796"/>
      <c r="AC5" s="796"/>
      <c r="AD5" s="45"/>
      <c r="AE5" s="986"/>
      <c r="AF5" s="87">
        <v>9</v>
      </c>
      <c r="AG5" s="82" t="s">
        <v>56</v>
      </c>
    </row>
    <row r="6" spans="1:34" ht="10.5" customHeight="1">
      <c r="A6" s="42"/>
      <c r="B6" s="818"/>
      <c r="C6" s="794"/>
      <c r="D6" s="796"/>
      <c r="E6" s="796"/>
      <c r="F6" s="944">
        <v>100</v>
      </c>
      <c r="G6" s="944"/>
      <c r="H6" s="944" t="s">
        <v>35</v>
      </c>
      <c r="I6" s="925"/>
      <c r="J6" s="907"/>
      <c r="K6" s="907"/>
      <c r="L6" s="907"/>
      <c r="M6" s="907"/>
      <c r="N6" s="908"/>
      <c r="O6" s="908"/>
      <c r="P6" s="908"/>
      <c r="Q6" s="908"/>
      <c r="R6" s="908"/>
      <c r="S6" s="908"/>
      <c r="T6" s="908"/>
      <c r="U6" s="908"/>
      <c r="V6" s="908"/>
      <c r="W6" s="908"/>
      <c r="X6" s="908"/>
      <c r="Y6" s="908"/>
      <c r="Z6" s="796"/>
      <c r="AA6" s="796"/>
      <c r="AB6" s="796"/>
      <c r="AC6" s="938"/>
      <c r="AD6" s="45"/>
      <c r="AE6" s="986"/>
      <c r="AF6" s="87">
        <v>10</v>
      </c>
      <c r="AG6" s="82" t="s">
        <v>31</v>
      </c>
    </row>
    <row r="7" spans="1:34" ht="10.5" customHeight="1">
      <c r="A7" s="42"/>
      <c r="B7" s="945"/>
      <c r="C7" s="794"/>
      <c r="D7" s="794"/>
      <c r="E7" s="821"/>
      <c r="F7" s="946" t="s">
        <v>36</v>
      </c>
      <c r="G7" s="944"/>
      <c r="H7" s="944" t="s">
        <v>37</v>
      </c>
      <c r="I7" s="925"/>
      <c r="J7" s="911"/>
      <c r="K7" s="911"/>
      <c r="L7" s="911"/>
      <c r="M7" s="934"/>
      <c r="N7" s="794"/>
      <c r="O7" s="794"/>
      <c r="P7" s="794"/>
      <c r="Q7" s="794"/>
      <c r="R7" s="794"/>
      <c r="S7" s="794"/>
      <c r="T7" s="794"/>
      <c r="U7" s="938" t="s">
        <v>873</v>
      </c>
      <c r="V7" s="794"/>
      <c r="X7" s="821"/>
      <c r="Y7" s="794"/>
      <c r="Z7" s="794"/>
      <c r="AA7" s="796"/>
      <c r="AB7" s="796"/>
      <c r="AD7" s="1888"/>
      <c r="AE7" s="986"/>
      <c r="AF7" s="87">
        <v>20</v>
      </c>
      <c r="AG7" s="82" t="s">
        <v>33</v>
      </c>
    </row>
    <row r="8" spans="1:34" ht="18.75" customHeight="1">
      <c r="A8" s="42"/>
      <c r="B8" s="1897" t="s">
        <v>1671</v>
      </c>
      <c r="C8" s="1898"/>
      <c r="D8" s="910"/>
      <c r="E8" s="796"/>
      <c r="F8" s="1896" t="str">
        <f>'VISITA DE INSP.'!E7</f>
        <v>KABAH</v>
      </c>
      <c r="G8" s="796"/>
      <c r="H8" s="796"/>
      <c r="I8" s="796"/>
      <c r="J8" s="909"/>
      <c r="K8" s="1893" t="s">
        <v>1672</v>
      </c>
      <c r="L8" s="1870"/>
      <c r="M8" s="796"/>
      <c r="N8" s="1894" t="str">
        <f>'VISITA DE INSP.'!V7</f>
        <v>23DPR0055K</v>
      </c>
      <c r="O8" s="796"/>
      <c r="P8" s="796"/>
      <c r="Q8" s="796"/>
      <c r="R8" s="796"/>
      <c r="S8" s="796"/>
      <c r="T8" s="796"/>
      <c r="U8" s="939" t="str">
        <f>'VISITA DE INSP.'!AE7</f>
        <v>MATUTINO</v>
      </c>
      <c r="V8" s="794"/>
      <c r="W8" s="1900" t="str">
        <f>AF17</f>
        <v>X</v>
      </c>
      <c r="X8" s="796"/>
      <c r="Y8" s="796"/>
      <c r="Z8" s="938" t="s">
        <v>834</v>
      </c>
      <c r="AA8" s="796"/>
      <c r="AB8" s="1890" t="s">
        <v>78</v>
      </c>
      <c r="AE8" s="986"/>
      <c r="AF8" s="87">
        <v>95</v>
      </c>
      <c r="AG8" s="82" t="s">
        <v>62</v>
      </c>
    </row>
    <row r="9" spans="1:34" ht="18.75" customHeight="1">
      <c r="A9" s="42"/>
      <c r="B9" s="1899" t="s">
        <v>855</v>
      </c>
      <c r="C9" s="1891"/>
      <c r="D9" s="796"/>
      <c r="E9" s="1896" t="str">
        <f>'VISITA DE INSP.'!M9</f>
        <v>SM-48 C-OCOSINGO CON OCOTEPEC</v>
      </c>
      <c r="F9" s="943"/>
      <c r="G9" s="796"/>
      <c r="H9" s="796"/>
      <c r="I9" s="796"/>
      <c r="J9" s="909"/>
      <c r="K9" s="1893" t="s">
        <v>1673</v>
      </c>
      <c r="L9" s="830"/>
      <c r="M9" s="796"/>
      <c r="N9" s="1895">
        <f>'VISITA DE INSP.'!B9</f>
        <v>2</v>
      </c>
      <c r="O9" s="796"/>
      <c r="P9" s="796"/>
      <c r="Q9" s="796"/>
      <c r="R9" s="796"/>
      <c r="S9" s="796"/>
      <c r="T9" s="796"/>
      <c r="U9" s="939" t="s">
        <v>41</v>
      </c>
      <c r="V9" s="992"/>
      <c r="W9" s="1900">
        <f>AF18</f>
        <v>0</v>
      </c>
      <c r="X9" s="796"/>
      <c r="Y9" s="796"/>
      <c r="Z9" s="939" t="s">
        <v>859</v>
      </c>
      <c r="AA9" s="796"/>
      <c r="AB9" s="1890"/>
      <c r="AE9" s="986"/>
      <c r="AF9" s="87">
        <v>96</v>
      </c>
      <c r="AG9" s="82" t="s">
        <v>63</v>
      </c>
    </row>
    <row r="10" spans="1:34" ht="18.75" customHeight="1">
      <c r="A10" s="42"/>
      <c r="B10" s="4016" t="s">
        <v>856</v>
      </c>
      <c r="C10" s="4017"/>
      <c r="D10" s="796"/>
      <c r="E10" s="1896" t="str">
        <f>'VISITA DE INSP.'!E9</f>
        <v>BENITO JUAREZ</v>
      </c>
      <c r="F10" s="942"/>
      <c r="G10" s="796"/>
      <c r="H10" s="796"/>
      <c r="I10" s="796"/>
      <c r="J10" s="909"/>
      <c r="K10" s="1893" t="s">
        <v>1674</v>
      </c>
      <c r="L10" s="937"/>
      <c r="M10" s="796"/>
      <c r="N10" s="1894" t="str">
        <f>'VISITA DE INSP.'!K9</f>
        <v>042</v>
      </c>
      <c r="O10" s="796"/>
      <c r="P10" s="796"/>
      <c r="Q10" s="796"/>
      <c r="R10" s="796"/>
      <c r="S10" s="796"/>
      <c r="T10" s="796"/>
      <c r="U10" s="794"/>
      <c r="V10" s="944"/>
      <c r="W10" s="991" t="str">
        <f>'VISITA DE INSP.'!AE7</f>
        <v>MATUTINO</v>
      </c>
      <c r="X10" s="937"/>
      <c r="Y10" s="818"/>
      <c r="Z10" s="939" t="s">
        <v>860</v>
      </c>
      <c r="AA10" s="796"/>
      <c r="AB10" s="1890"/>
      <c r="AE10" s="986"/>
      <c r="AF10" s="87">
        <v>97</v>
      </c>
      <c r="AG10" s="82">
        <v>99999</v>
      </c>
    </row>
    <row r="11" spans="1:34" ht="5.25" customHeight="1" thickBot="1">
      <c r="A11" s="42"/>
      <c r="B11" s="848"/>
      <c r="C11" s="58"/>
      <c r="D11" s="764"/>
      <c r="E11" s="764"/>
      <c r="F11" s="764"/>
      <c r="G11" s="764"/>
      <c r="H11" s="764"/>
      <c r="I11" s="764"/>
      <c r="J11" s="764"/>
      <c r="K11" s="764"/>
      <c r="L11" s="764"/>
      <c r="M11" s="764"/>
      <c r="N11" s="58"/>
      <c r="O11" s="58"/>
      <c r="P11" s="764"/>
      <c r="Q11" s="764"/>
      <c r="R11" s="764"/>
      <c r="S11" s="764"/>
      <c r="T11" s="764"/>
      <c r="U11" s="58"/>
      <c r="V11" s="58"/>
      <c r="W11" s="58"/>
      <c r="X11" s="764"/>
      <c r="Y11" s="58"/>
      <c r="Z11" s="939"/>
      <c r="AA11" s="58"/>
      <c r="AB11" s="57"/>
      <c r="AC11" s="57"/>
      <c r="AD11" s="1889"/>
      <c r="AE11" s="986"/>
      <c r="AF11" s="87">
        <v>98</v>
      </c>
      <c r="AG11" s="82">
        <v>99999</v>
      </c>
    </row>
    <row r="12" spans="1:34" ht="17.25" customHeight="1" thickBot="1">
      <c r="A12" s="59"/>
      <c r="B12" s="4018" t="s">
        <v>43</v>
      </c>
      <c r="C12" s="4021" t="s">
        <v>44</v>
      </c>
      <c r="D12" s="4022"/>
      <c r="E12" s="4022"/>
      <c r="F12" s="4022"/>
      <c r="G12" s="4022"/>
      <c r="H12" s="4022"/>
      <c r="I12" s="4023"/>
      <c r="J12" s="4033" t="s">
        <v>1670</v>
      </c>
      <c r="K12" s="4050"/>
      <c r="L12" s="4050"/>
      <c r="M12" s="4051"/>
      <c r="N12" s="4030" t="s">
        <v>60</v>
      </c>
      <c r="O12" s="4031"/>
      <c r="P12" s="4031"/>
      <c r="Q12" s="4031"/>
      <c r="R12" s="4031"/>
      <c r="S12" s="4031"/>
      <c r="T12" s="4031"/>
      <c r="U12" s="4031"/>
      <c r="V12" s="4031"/>
      <c r="W12" s="4031"/>
      <c r="X12" s="4031"/>
      <c r="Y12" s="4032"/>
      <c r="Z12" s="4033" t="s">
        <v>47</v>
      </c>
      <c r="AA12" s="4034"/>
      <c r="AB12" s="4035"/>
      <c r="AC12" s="4005" t="s">
        <v>270</v>
      </c>
      <c r="AD12" s="4006"/>
      <c r="AE12" s="986"/>
      <c r="AF12" s="87">
        <v>99</v>
      </c>
      <c r="AG12" s="82">
        <v>99999</v>
      </c>
    </row>
    <row r="13" spans="1:34" ht="17.25" customHeight="1">
      <c r="A13" s="59"/>
      <c r="B13" s="4019"/>
      <c r="C13" s="4024"/>
      <c r="D13" s="4025"/>
      <c r="E13" s="4025"/>
      <c r="F13" s="4025"/>
      <c r="G13" s="4025"/>
      <c r="H13" s="4025"/>
      <c r="I13" s="4026"/>
      <c r="J13" s="4018" t="s">
        <v>374</v>
      </c>
      <c r="K13" s="4018" t="s">
        <v>31</v>
      </c>
      <c r="L13" s="4018" t="s">
        <v>858</v>
      </c>
      <c r="M13" s="4033" t="s">
        <v>447</v>
      </c>
      <c r="N13" s="4084" t="s">
        <v>48</v>
      </c>
      <c r="O13" s="4048"/>
      <c r="P13" s="4047" t="s">
        <v>49</v>
      </c>
      <c r="Q13" s="4085"/>
      <c r="R13" s="4084" t="s">
        <v>50</v>
      </c>
      <c r="S13" s="4048"/>
      <c r="T13" s="4047" t="s">
        <v>51</v>
      </c>
      <c r="U13" s="4085"/>
      <c r="V13" s="4084" t="s">
        <v>52</v>
      </c>
      <c r="W13" s="4048"/>
      <c r="X13" s="4047" t="s">
        <v>53</v>
      </c>
      <c r="Y13" s="4048"/>
      <c r="Z13" s="4036"/>
      <c r="AA13" s="4036"/>
      <c r="AB13" s="4037"/>
      <c r="AC13" s="4007"/>
      <c r="AD13" s="4008"/>
      <c r="AE13" s="986"/>
      <c r="AF13" s="87"/>
      <c r="AG13" s="82"/>
    </row>
    <row r="14" spans="1:34" ht="17.25" customHeight="1" thickBot="1">
      <c r="A14" s="59"/>
      <c r="B14" s="4020"/>
      <c r="C14" s="4027"/>
      <c r="D14" s="4028"/>
      <c r="E14" s="4028"/>
      <c r="F14" s="4028"/>
      <c r="G14" s="4028"/>
      <c r="H14" s="4028"/>
      <c r="I14" s="4029"/>
      <c r="J14" s="4020"/>
      <c r="K14" s="4020"/>
      <c r="L14" s="4020"/>
      <c r="M14" s="4049"/>
      <c r="N14" s="1886" t="s">
        <v>1471</v>
      </c>
      <c r="O14" s="1887" t="s">
        <v>1488</v>
      </c>
      <c r="P14" s="1886" t="s">
        <v>1471</v>
      </c>
      <c r="Q14" s="1887" t="s">
        <v>1488</v>
      </c>
      <c r="R14" s="1886" t="s">
        <v>1471</v>
      </c>
      <c r="S14" s="1887" t="s">
        <v>1488</v>
      </c>
      <c r="T14" s="1886" t="s">
        <v>1471</v>
      </c>
      <c r="U14" s="1887" t="s">
        <v>1488</v>
      </c>
      <c r="V14" s="1886" t="s">
        <v>1471</v>
      </c>
      <c r="W14" s="1887" t="s">
        <v>1488</v>
      </c>
      <c r="X14" s="1886" t="s">
        <v>1471</v>
      </c>
      <c r="Y14" s="1887" t="s">
        <v>1488</v>
      </c>
      <c r="Z14" s="4038"/>
      <c r="AA14" s="4038"/>
      <c r="AB14" s="4039"/>
      <c r="AC14" s="4009"/>
      <c r="AD14" s="4010"/>
      <c r="AE14" s="986"/>
      <c r="AF14" s="87">
        <v>100</v>
      </c>
      <c r="AG14" s="82" t="s">
        <v>64</v>
      </c>
    </row>
    <row r="15" spans="1:34" ht="18.75" customHeight="1">
      <c r="A15" s="59"/>
      <c r="B15" s="2569">
        <v>1</v>
      </c>
      <c r="C15" s="1854" t="str">
        <f>'VISITA DE INSP.'!D17</f>
        <v>CERVANTES BENITEZ * ANTONIA</v>
      </c>
      <c r="D15" s="65"/>
      <c r="E15" s="65"/>
      <c r="F15" s="65"/>
      <c r="G15" s="65"/>
      <c r="H15" s="65"/>
      <c r="I15" s="1855"/>
      <c r="J15" s="1852" t="str">
        <f>'VISITA DE INSP.'!DM23</f>
        <v>078312 E022100.0231688</v>
      </c>
      <c r="K15" s="1863" t="str">
        <f>VLOOKUP(AE15,AF3:AG15,2,2)</f>
        <v>BASE</v>
      </c>
      <c r="L15" s="1867" t="str">
        <f>VLOOKUP(AE15,AF3:AG15,2,2)</f>
        <v>BASE</v>
      </c>
      <c r="M15" s="1865" t="str">
        <f>VLOOKUP(AE15,AF3:AG15,2,2)</f>
        <v>BASE</v>
      </c>
      <c r="N15" s="2131">
        <f>'VISITA DE INSP.'!AH17</f>
        <v>0</v>
      </c>
      <c r="O15" s="2132">
        <f>'VISITA DE INSP.'!C17</f>
        <v>0</v>
      </c>
      <c r="P15" s="2131">
        <f>'VISITA DE INSP.'!AH17</f>
        <v>0</v>
      </c>
      <c r="Q15" s="2132">
        <f>'VISITA DE INSP.'!C17</f>
        <v>0</v>
      </c>
      <c r="R15" s="2131">
        <f>'VISITA DE INSP.'!AH17</f>
        <v>0</v>
      </c>
      <c r="S15" s="2132">
        <f>'VISITA DE INSP.'!C17</f>
        <v>0</v>
      </c>
      <c r="T15" s="2131">
        <f>'VISITA DE INSP.'!AH17</f>
        <v>0</v>
      </c>
      <c r="U15" s="2132">
        <f>'VISITA DE INSP.'!C17</f>
        <v>0</v>
      </c>
      <c r="V15" s="2131">
        <f>'VISITA DE INSP.'!AH17</f>
        <v>0</v>
      </c>
      <c r="W15" s="2132">
        <f>'VISITA DE INSP.'!C17</f>
        <v>0</v>
      </c>
      <c r="X15" s="2131">
        <f>'VISITA DE INSP.'!AH17</f>
        <v>0</v>
      </c>
      <c r="Y15" s="2132">
        <f>'VISITA DE INSP.'!C17</f>
        <v>0</v>
      </c>
      <c r="Z15" s="4044" t="str">
        <f>'VISITA DE INSP.'!DN23</f>
        <v>DIRECTOR</v>
      </c>
      <c r="AA15" s="4045"/>
      <c r="AB15" s="4046"/>
      <c r="AC15" s="4011"/>
      <c r="AD15" s="4012"/>
      <c r="AE15" s="986">
        <f>'VISITA DE INSP.'!DP23</f>
        <v>10</v>
      </c>
      <c r="AF15" s="87">
        <v>102</v>
      </c>
      <c r="AG15" s="82" t="s">
        <v>65</v>
      </c>
    </row>
    <row r="16" spans="1:34" ht="18.75" customHeight="1">
      <c r="A16" s="59"/>
      <c r="B16" s="61">
        <v>2</v>
      </c>
      <c r="C16" s="1856" t="str">
        <f>'VISITA DE INSP.'!D18</f>
        <v>ARANDA ESCALANTE * ARELI GUADALUPE</v>
      </c>
      <c r="D16" s="63"/>
      <c r="E16" s="63"/>
      <c r="F16" s="63"/>
      <c r="G16" s="63"/>
      <c r="H16" s="63"/>
      <c r="I16" s="1857"/>
      <c r="J16" s="1861" t="str">
        <f>'VISITA DE INSP.'!DM24</f>
        <v>078312 E028100.0230501</v>
      </c>
      <c r="K16" s="1864" t="str">
        <f>VLOOKUP(AE16,AF3:AG15,2,2)</f>
        <v>BASE</v>
      </c>
      <c r="L16" s="1868" t="str">
        <f>VLOOKUP(AE16,AF3:AG15,2,2)</f>
        <v>BASE</v>
      </c>
      <c r="M16" s="1866" t="str">
        <f>VLOOKUP(AE16,AF3:AG15,2,2)</f>
        <v>BASE</v>
      </c>
      <c r="N16" s="2108">
        <f>'VISITA DE INSP.'!AH18</f>
        <v>29</v>
      </c>
      <c r="O16" s="2109" t="str">
        <f>'VISITA DE INSP.'!C18</f>
        <v>A</v>
      </c>
      <c r="P16" s="2110">
        <f>'VISITA DE INSP.'!AH18</f>
        <v>29</v>
      </c>
      <c r="Q16" s="2111" t="str">
        <f>'VISITA DE INSP.'!C18</f>
        <v>A</v>
      </c>
      <c r="R16" s="2110">
        <f>'VISITA DE INSP.'!AH18</f>
        <v>29</v>
      </c>
      <c r="S16" s="2111" t="str">
        <f>'VISITA DE INSP.'!C18</f>
        <v>A</v>
      </c>
      <c r="T16" s="2110">
        <f>'VISITA DE INSP.'!AH18</f>
        <v>29</v>
      </c>
      <c r="U16" s="2111" t="str">
        <f>'VISITA DE INSP.'!C18</f>
        <v>A</v>
      </c>
      <c r="V16" s="2110">
        <f>'VISITA DE INSP.'!AH18</f>
        <v>29</v>
      </c>
      <c r="W16" s="2111" t="str">
        <f>'VISITA DE INSP.'!C18</f>
        <v>A</v>
      </c>
      <c r="X16" s="2110">
        <f>'VISITA DE INSP.'!AH18</f>
        <v>29</v>
      </c>
      <c r="Y16" s="2111" t="str">
        <f>'VISITA DE INSP.'!C18</f>
        <v>A</v>
      </c>
      <c r="Z16" s="4052" t="str">
        <f>'VISITA DE INSP.'!DN24</f>
        <v>DOCENTE</v>
      </c>
      <c r="AA16" s="4053"/>
      <c r="AB16" s="4054"/>
      <c r="AC16" s="4001"/>
      <c r="AD16" s="4002"/>
      <c r="AE16" s="986">
        <f>'VISITA DE INSP.'!DP24</f>
        <v>10</v>
      </c>
      <c r="AF16" s="112"/>
      <c r="AG16" s="113" t="s">
        <v>69</v>
      </c>
      <c r="AH16" s="114" t="s">
        <v>78</v>
      </c>
    </row>
    <row r="17" spans="1:34" ht="18.75" customHeight="1">
      <c r="A17" s="59"/>
      <c r="B17" s="61">
        <v>3</v>
      </c>
      <c r="C17" s="1856" t="str">
        <f>'VISITA DE INSP.'!D19</f>
        <v>AKE QUEB * MARIANA DEL CONSUELO</v>
      </c>
      <c r="D17" s="63"/>
      <c r="E17" s="63"/>
      <c r="F17" s="63"/>
      <c r="G17" s="63"/>
      <c r="H17" s="63"/>
      <c r="I17" s="1857"/>
      <c r="J17" s="1861" t="str">
        <f>'VISITA DE INSP.'!DM25</f>
        <v>078312 E028100.0233023</v>
      </c>
      <c r="K17" s="1864" t="str">
        <f>VLOOKUP(AE17,AF3:AG15,2,2)</f>
        <v>BASE</v>
      </c>
      <c r="L17" s="1868" t="str">
        <f>VLOOKUP(AE17,AF3:AG15,2,2)</f>
        <v>BASE</v>
      </c>
      <c r="M17" s="1866" t="str">
        <f>VLOOKUP(AE17,AF3:AG15,2,2)</f>
        <v>BASE</v>
      </c>
      <c r="N17" s="2108">
        <f>'VISITA DE INSP.'!AH19</f>
        <v>27</v>
      </c>
      <c r="O17" s="2109" t="str">
        <f>'VISITA DE INSP.'!C19</f>
        <v>B</v>
      </c>
      <c r="P17" s="2110">
        <f>'VISITA DE INSP.'!AH19</f>
        <v>27</v>
      </c>
      <c r="Q17" s="2111" t="str">
        <f>'VISITA DE INSP.'!C19</f>
        <v>B</v>
      </c>
      <c r="R17" s="2110">
        <f>'VISITA DE INSP.'!AH19</f>
        <v>27</v>
      </c>
      <c r="S17" s="2111" t="str">
        <f>'VISITA DE INSP.'!C19</f>
        <v>B</v>
      </c>
      <c r="T17" s="2110">
        <f>'VISITA DE INSP.'!AH19</f>
        <v>27</v>
      </c>
      <c r="U17" s="2111" t="str">
        <f>'VISITA DE INSP.'!C19</f>
        <v>B</v>
      </c>
      <c r="V17" s="2110">
        <f>'VISITA DE INSP.'!AH19</f>
        <v>27</v>
      </c>
      <c r="W17" s="2111" t="str">
        <f>'VISITA DE INSP.'!C19</f>
        <v>B</v>
      </c>
      <c r="X17" s="2110">
        <f>'VISITA DE INSP.'!AH19</f>
        <v>27</v>
      </c>
      <c r="Y17" s="2111" t="str">
        <f>'VISITA DE INSP.'!C19</f>
        <v>B</v>
      </c>
      <c r="Z17" s="4052" t="str">
        <f>'VISITA DE INSP.'!DN25</f>
        <v>DOCENTE</v>
      </c>
      <c r="AA17" s="4053"/>
      <c r="AB17" s="4054"/>
      <c r="AC17" s="4001"/>
      <c r="AD17" s="4002"/>
      <c r="AE17" s="986">
        <f>'VISITA DE INSP.'!DP25</f>
        <v>10</v>
      </c>
      <c r="AF17" s="112" t="str">
        <f>VLOOKUP(W10,AG16:AH17,2,0)</f>
        <v>X</v>
      </c>
      <c r="AG17" s="113" t="s">
        <v>77</v>
      </c>
      <c r="AH17" s="114">
        <v>0</v>
      </c>
    </row>
    <row r="18" spans="1:34" ht="18.75" customHeight="1">
      <c r="A18" s="59"/>
      <c r="B18" s="61">
        <v>4</v>
      </c>
      <c r="C18" s="1856" t="str">
        <f>'VISITA DE INSP.'!D20</f>
        <v>MORENO CARDENAS * IGNACIA</v>
      </c>
      <c r="D18" s="63"/>
      <c r="E18" s="63"/>
      <c r="F18" s="63"/>
      <c r="G18" s="63"/>
      <c r="H18" s="63"/>
      <c r="I18" s="1857"/>
      <c r="J18" s="1861" t="str">
        <f>'VISITA DE INSP.'!DM26</f>
        <v>078312 E028100.0232722</v>
      </c>
      <c r="K18" s="1864" t="str">
        <f>VLOOKUP(AE18,AF3:AG15,2,2)</f>
        <v>BASE</v>
      </c>
      <c r="L18" s="1868" t="str">
        <f>VLOOKUP(AE18,AF3:AG15,2,2)</f>
        <v>BASE</v>
      </c>
      <c r="M18" s="1866" t="str">
        <f>VLOOKUP(AE18,AF3:AG15,2,2)</f>
        <v>BASE</v>
      </c>
      <c r="N18" s="2110">
        <f>'VISITA DE INSP.'!AH20</f>
        <v>31</v>
      </c>
      <c r="O18" s="2111" t="str">
        <f>'VISITA DE INSP.'!C20</f>
        <v>A</v>
      </c>
      <c r="P18" s="2108">
        <f>'VISITA DE INSP.'!AH20</f>
        <v>31</v>
      </c>
      <c r="Q18" s="2109" t="str">
        <f>'VISITA DE INSP.'!C20</f>
        <v>A</v>
      </c>
      <c r="R18" s="2110">
        <f>'VISITA DE INSP.'!AH20</f>
        <v>31</v>
      </c>
      <c r="S18" s="2111" t="str">
        <f>'VISITA DE INSP.'!C20</f>
        <v>A</v>
      </c>
      <c r="T18" s="2110">
        <f>'VISITA DE INSP.'!AH20</f>
        <v>31</v>
      </c>
      <c r="U18" s="2111" t="str">
        <f>'VISITA DE INSP.'!C20</f>
        <v>A</v>
      </c>
      <c r="V18" s="2110">
        <f>'VISITA DE INSP.'!AH20</f>
        <v>31</v>
      </c>
      <c r="W18" s="2111" t="str">
        <f>'VISITA DE INSP.'!C20</f>
        <v>A</v>
      </c>
      <c r="X18" s="2110">
        <f>'VISITA DE INSP.'!AH20</f>
        <v>31</v>
      </c>
      <c r="Y18" s="2111" t="str">
        <f>'VISITA DE INSP.'!C20</f>
        <v>A</v>
      </c>
      <c r="Z18" s="4052" t="str">
        <f>'VISITA DE INSP.'!DN26</f>
        <v>DOCENTE</v>
      </c>
      <c r="AA18" s="4053"/>
      <c r="AB18" s="4054"/>
      <c r="AC18" s="4001"/>
      <c r="AD18" s="4002"/>
      <c r="AE18" s="986">
        <f>'VISITA DE INSP.'!DP26</f>
        <v>10</v>
      </c>
      <c r="AF18" s="112">
        <f>VLOOKUP(W10,AG18:AH19,2,0)</f>
        <v>0</v>
      </c>
      <c r="AG18" s="113" t="s">
        <v>69</v>
      </c>
      <c r="AH18" s="114">
        <v>0</v>
      </c>
    </row>
    <row r="19" spans="1:34" ht="18.75" customHeight="1">
      <c r="A19" s="59"/>
      <c r="B19" s="61">
        <v>5</v>
      </c>
      <c r="C19" s="1856" t="str">
        <f>'VISITA DE INSP.'!D21</f>
        <v>GONGORA SANTOS * GRACIELA</v>
      </c>
      <c r="D19" s="63"/>
      <c r="E19" s="63"/>
      <c r="F19" s="63"/>
      <c r="G19" s="63"/>
      <c r="H19" s="63"/>
      <c r="I19" s="1857"/>
      <c r="J19" s="1861" t="str">
        <f>'VISITA DE INSP.'!DM27</f>
        <v>078312 E028100.0233382</v>
      </c>
      <c r="K19" s="1864" t="str">
        <f>VLOOKUP(AE19,AF3:AG15,2,2)</f>
        <v>BASE</v>
      </c>
      <c r="L19" s="1868" t="str">
        <f>VLOOKUP(AE19,AF3:AG15,2,2)</f>
        <v>BASE</v>
      </c>
      <c r="M19" s="1866" t="str">
        <f>VLOOKUP(AE19,AF3:AG15,2,2)</f>
        <v>BASE</v>
      </c>
      <c r="N19" s="2110">
        <f>'VISITA DE INSP.'!AH21</f>
        <v>33</v>
      </c>
      <c r="O19" s="2111" t="str">
        <f>'VISITA DE INSP.'!C21</f>
        <v>B</v>
      </c>
      <c r="P19" s="2108">
        <f>'VISITA DE INSP.'!AH21</f>
        <v>33</v>
      </c>
      <c r="Q19" s="2109" t="str">
        <f>'VISITA DE INSP.'!C21</f>
        <v>B</v>
      </c>
      <c r="R19" s="2110">
        <f>'VISITA DE INSP.'!AH21</f>
        <v>33</v>
      </c>
      <c r="S19" s="2111" t="str">
        <f>'VISITA DE INSP.'!C21</f>
        <v>B</v>
      </c>
      <c r="T19" s="2110">
        <f>'VISITA DE INSP.'!AH21</f>
        <v>33</v>
      </c>
      <c r="U19" s="2111" t="str">
        <f>'VISITA DE INSP.'!C21</f>
        <v>B</v>
      </c>
      <c r="V19" s="2110">
        <f>'VISITA DE INSP.'!AH21</f>
        <v>33</v>
      </c>
      <c r="W19" s="2111" t="str">
        <f>'VISITA DE INSP.'!C21</f>
        <v>B</v>
      </c>
      <c r="X19" s="2110">
        <f>'VISITA DE INSP.'!AH21</f>
        <v>33</v>
      </c>
      <c r="Y19" s="2111" t="str">
        <f>'VISITA DE INSP.'!C21</f>
        <v>B</v>
      </c>
      <c r="Z19" s="4052" t="str">
        <f>'VISITA DE INSP.'!DN27</f>
        <v>DOCENTE</v>
      </c>
      <c r="AA19" s="4053"/>
      <c r="AB19" s="4054"/>
      <c r="AC19" s="4001"/>
      <c r="AD19" s="4002"/>
      <c r="AE19" s="986">
        <f>'VISITA DE INSP.'!DP27</f>
        <v>10</v>
      </c>
      <c r="AG19" s="113" t="s">
        <v>77</v>
      </c>
      <c r="AH19" s="114" t="s">
        <v>78</v>
      </c>
    </row>
    <row r="20" spans="1:34" ht="18.75" customHeight="1">
      <c r="A20" s="59"/>
      <c r="B20" s="61">
        <v>6</v>
      </c>
      <c r="C20" s="1856" t="str">
        <f>'VISITA DE INSP.'!D22</f>
        <v>VARGAS GARCIA * DEBRA DORIS DEL SAGRARIO</v>
      </c>
      <c r="D20" s="63"/>
      <c r="E20" s="63"/>
      <c r="F20" s="63"/>
      <c r="G20" s="63"/>
      <c r="H20" s="63"/>
      <c r="I20" s="1857"/>
      <c r="J20" s="1861" t="str">
        <f>'VISITA DE INSP.'!DM28</f>
        <v>078312 E028100.0232821</v>
      </c>
      <c r="K20" s="1864" t="str">
        <f>VLOOKUP(AE20,AF3:AG15,2,2)</f>
        <v>BASE</v>
      </c>
      <c r="L20" s="1868" t="str">
        <f>VLOOKUP(AE20,AF3:AG15,2,2)</f>
        <v>BASE</v>
      </c>
      <c r="M20" s="1866" t="str">
        <f>VLOOKUP(AE20,AF3:AG15,2,2)</f>
        <v>BASE</v>
      </c>
      <c r="N20" s="2110">
        <f>'VISITA DE INSP.'!AH22</f>
        <v>24</v>
      </c>
      <c r="O20" s="2111" t="str">
        <f>'VISITA DE INSP.'!C22</f>
        <v>A</v>
      </c>
      <c r="P20" s="2110">
        <f>'VISITA DE INSP.'!AH22</f>
        <v>24</v>
      </c>
      <c r="Q20" s="2111" t="str">
        <f>'VISITA DE INSP.'!C22</f>
        <v>A</v>
      </c>
      <c r="R20" s="2108">
        <f>'VISITA DE INSP.'!AH22</f>
        <v>24</v>
      </c>
      <c r="S20" s="2109" t="str">
        <f>'VISITA DE INSP.'!C22</f>
        <v>A</v>
      </c>
      <c r="T20" s="2110">
        <f>'VISITA DE INSP.'!AH22</f>
        <v>24</v>
      </c>
      <c r="U20" s="2111" t="str">
        <f>'VISITA DE INSP.'!C22</f>
        <v>A</v>
      </c>
      <c r="V20" s="2110">
        <f>'VISITA DE INSP.'!AH22</f>
        <v>24</v>
      </c>
      <c r="W20" s="2111" t="str">
        <f>'VISITA DE INSP.'!C22</f>
        <v>A</v>
      </c>
      <c r="X20" s="2110">
        <f>'VISITA DE INSP.'!AH22</f>
        <v>24</v>
      </c>
      <c r="Y20" s="2111" t="str">
        <f>'VISITA DE INSP.'!C22</f>
        <v>A</v>
      </c>
      <c r="Z20" s="4052" t="str">
        <f>'VISITA DE INSP.'!DN28</f>
        <v>DOCENTE</v>
      </c>
      <c r="AA20" s="4053"/>
      <c r="AB20" s="4054"/>
      <c r="AC20" s="4001"/>
      <c r="AD20" s="4002"/>
      <c r="AE20" s="986">
        <f>'VISITA DE INSP.'!DP28</f>
        <v>10</v>
      </c>
    </row>
    <row r="21" spans="1:34" ht="18.75" customHeight="1">
      <c r="A21" s="59"/>
      <c r="B21" s="61">
        <v>7</v>
      </c>
      <c r="C21" s="1856" t="str">
        <f>'VISITA DE INSP.'!D23</f>
        <v>CASTRO LOPEZ * SOSIMA PETRA</v>
      </c>
      <c r="D21" s="63"/>
      <c r="E21" s="63"/>
      <c r="F21" s="63"/>
      <c r="G21" s="63"/>
      <c r="H21" s="63"/>
      <c r="I21" s="1857"/>
      <c r="J21" s="1861" t="str">
        <f>'VISITA DE INSP.'!DM29</f>
        <v>078312 E028100.0232759</v>
      </c>
      <c r="K21" s="1864" t="str">
        <f>VLOOKUP(AE21,AF3:AG15,2,2)</f>
        <v>BASE</v>
      </c>
      <c r="L21" s="1868" t="str">
        <f>VLOOKUP(AE21,AF3:AG15,2,2)</f>
        <v>BASE</v>
      </c>
      <c r="M21" s="1866" t="str">
        <f>VLOOKUP(AE21,AF3:AG15,2,2)</f>
        <v>BASE</v>
      </c>
      <c r="N21" s="2110">
        <f>'VISITA DE INSP.'!AH23</f>
        <v>33</v>
      </c>
      <c r="O21" s="2111" t="str">
        <f>'VISITA DE INSP.'!C23</f>
        <v>B</v>
      </c>
      <c r="P21" s="2110">
        <f>'VISITA DE INSP.'!AH23</f>
        <v>33</v>
      </c>
      <c r="Q21" s="2111" t="str">
        <f>'VISITA DE INSP.'!C23</f>
        <v>B</v>
      </c>
      <c r="R21" s="2108">
        <f>'VISITA DE INSP.'!AH23</f>
        <v>33</v>
      </c>
      <c r="S21" s="2109" t="str">
        <f>'VISITA DE INSP.'!C23</f>
        <v>B</v>
      </c>
      <c r="T21" s="2110">
        <f>'VISITA DE INSP.'!AH23</f>
        <v>33</v>
      </c>
      <c r="U21" s="2111" t="str">
        <f>'VISITA DE INSP.'!C23</f>
        <v>B</v>
      </c>
      <c r="V21" s="2110">
        <f>'VISITA DE INSP.'!AH23</f>
        <v>33</v>
      </c>
      <c r="W21" s="2111" t="str">
        <f>'VISITA DE INSP.'!C23</f>
        <v>B</v>
      </c>
      <c r="X21" s="2110">
        <f>'VISITA DE INSP.'!AH23</f>
        <v>33</v>
      </c>
      <c r="Y21" s="2111" t="str">
        <f>'VISITA DE INSP.'!C23</f>
        <v>B</v>
      </c>
      <c r="Z21" s="4052" t="str">
        <f>'VISITA DE INSP.'!DN29</f>
        <v>DOCENTE</v>
      </c>
      <c r="AA21" s="4053"/>
      <c r="AB21" s="4054"/>
      <c r="AC21" s="4001"/>
      <c r="AD21" s="4002"/>
      <c r="AE21" s="986">
        <f>'VISITA DE INSP.'!DP29</f>
        <v>10</v>
      </c>
    </row>
    <row r="22" spans="1:34" ht="18.75" customHeight="1">
      <c r="A22" s="59"/>
      <c r="B22" s="61">
        <v>8</v>
      </c>
      <c r="C22" s="1856" t="str">
        <f>'VISITA DE INSP.'!D24</f>
        <v>SANCHEZ BUSTAMANTE * CONCEPCION</v>
      </c>
      <c r="D22" s="63"/>
      <c r="E22" s="63"/>
      <c r="F22" s="63"/>
      <c r="G22" s="63"/>
      <c r="H22" s="63"/>
      <c r="I22" s="1857"/>
      <c r="J22" s="1861" t="str">
        <f>'VISITA DE INSP.'!DM30</f>
        <v>078312 E028100.0233935</v>
      </c>
      <c r="K22" s="1864" t="str">
        <f>VLOOKUP(AE22,AF3:AG15,2,2)</f>
        <v>BASE</v>
      </c>
      <c r="L22" s="1868" t="str">
        <f>VLOOKUP(AE22,AF3:AG15,2,2)</f>
        <v>BASE</v>
      </c>
      <c r="M22" s="1866" t="str">
        <f>VLOOKUP(AE22,AF3:AG15,2,2)</f>
        <v>BASE</v>
      </c>
      <c r="N22" s="2110">
        <f>'VISITA DE INSP.'!AH24</f>
        <v>31</v>
      </c>
      <c r="O22" s="2111" t="str">
        <f>'VISITA DE INSP.'!C24</f>
        <v>A</v>
      </c>
      <c r="P22" s="2110">
        <f>'VISITA DE INSP.'!AH24</f>
        <v>31</v>
      </c>
      <c r="Q22" s="2111" t="str">
        <f>'VISITA DE INSP.'!C24</f>
        <v>A</v>
      </c>
      <c r="R22" s="2110">
        <f>'VISITA DE INSP.'!AH24</f>
        <v>31</v>
      </c>
      <c r="S22" s="2111" t="str">
        <f>'VISITA DE INSP.'!C24</f>
        <v>A</v>
      </c>
      <c r="T22" s="2108">
        <f>'VISITA DE INSP.'!AH24</f>
        <v>31</v>
      </c>
      <c r="U22" s="2109" t="str">
        <f>'VISITA DE INSP.'!C24</f>
        <v>A</v>
      </c>
      <c r="V22" s="2110">
        <f>'VISITA DE INSP.'!AH24</f>
        <v>31</v>
      </c>
      <c r="W22" s="2111" t="str">
        <f>'VISITA DE INSP.'!C24</f>
        <v>A</v>
      </c>
      <c r="X22" s="2110">
        <f>'VISITA DE INSP.'!AH24</f>
        <v>31</v>
      </c>
      <c r="Y22" s="2111" t="str">
        <f>'VISITA DE INSP.'!C24</f>
        <v>A</v>
      </c>
      <c r="Z22" s="4052" t="str">
        <f>'VISITA DE INSP.'!DN30</f>
        <v>DOCENTE</v>
      </c>
      <c r="AA22" s="4053"/>
      <c r="AB22" s="4054"/>
      <c r="AC22" s="4001"/>
      <c r="AD22" s="4002"/>
      <c r="AE22" s="986">
        <f>'VISITA DE INSP.'!DP30</f>
        <v>10</v>
      </c>
    </row>
    <row r="23" spans="1:34" ht="18.75" customHeight="1">
      <c r="A23" s="59"/>
      <c r="B23" s="61">
        <v>9</v>
      </c>
      <c r="C23" s="1856" t="str">
        <f>'VISITA DE INSP.'!D25</f>
        <v>VIVEROS SALAZAR *NORA</v>
      </c>
      <c r="D23" s="63"/>
      <c r="E23" s="63"/>
      <c r="F23" s="63"/>
      <c r="G23" s="63"/>
      <c r="H23" s="63"/>
      <c r="I23" s="1857"/>
      <c r="J23" s="1861" t="str">
        <f>'VISITA DE INSP.'!DM31</f>
        <v>078312 E028100.0232459</v>
      </c>
      <c r="K23" s="1864" t="str">
        <f>VLOOKUP(AE23,AF3:AG15,2,2)</f>
        <v>BASE</v>
      </c>
      <c r="L23" s="1868" t="str">
        <f>VLOOKUP(AE23,AF3:AG15,2,2)</f>
        <v>BASE</v>
      </c>
      <c r="M23" s="1866" t="str">
        <f>VLOOKUP(AE23,AF3:AG15,2,2)</f>
        <v>BASE</v>
      </c>
      <c r="N23" s="2110">
        <f>'VISITA DE INSP.'!AH25</f>
        <v>29</v>
      </c>
      <c r="O23" s="2111" t="str">
        <f>'VISITA DE INSP.'!C25</f>
        <v>B</v>
      </c>
      <c r="P23" s="2110">
        <f>'VISITA DE INSP.'!AH25</f>
        <v>29</v>
      </c>
      <c r="Q23" s="2111" t="str">
        <f>'VISITA DE INSP.'!C25</f>
        <v>B</v>
      </c>
      <c r="R23" s="2110">
        <f>'VISITA DE INSP.'!AH25</f>
        <v>29</v>
      </c>
      <c r="S23" s="2111" t="str">
        <f>'VISITA DE INSP.'!C25</f>
        <v>B</v>
      </c>
      <c r="T23" s="2108">
        <f>'VISITA DE INSP.'!AH25</f>
        <v>29</v>
      </c>
      <c r="U23" s="2109" t="str">
        <f>'VISITA DE INSP.'!C25</f>
        <v>B</v>
      </c>
      <c r="V23" s="2110">
        <f>'VISITA DE INSP.'!AH25</f>
        <v>29</v>
      </c>
      <c r="W23" s="2111" t="str">
        <f>'VISITA DE INSP.'!C25</f>
        <v>B</v>
      </c>
      <c r="X23" s="2110">
        <f>'VISITA DE INSP.'!AH25</f>
        <v>29</v>
      </c>
      <c r="Y23" s="2111" t="str">
        <f>'VISITA DE INSP.'!C25</f>
        <v>B</v>
      </c>
      <c r="Z23" s="4052" t="str">
        <f>'VISITA DE INSP.'!DN31</f>
        <v>DOCENTE</v>
      </c>
      <c r="AA23" s="4053"/>
      <c r="AB23" s="4054"/>
      <c r="AC23" s="4001"/>
      <c r="AD23" s="4002"/>
      <c r="AE23" s="986">
        <f>'VISITA DE INSP.'!DP31</f>
        <v>10</v>
      </c>
    </row>
    <row r="24" spans="1:34" ht="18.75" customHeight="1">
      <c r="A24" s="59"/>
      <c r="B24" s="61">
        <v>10</v>
      </c>
      <c r="C24" s="1856" t="str">
        <f>'VISITA DE INSP.'!D26</f>
        <v>XIU VELAZQUEZ * JOSE MANUEL</v>
      </c>
      <c r="D24" s="63"/>
      <c r="E24" s="63"/>
      <c r="F24" s="63"/>
      <c r="G24" s="63"/>
      <c r="H24" s="63"/>
      <c r="I24" s="1857"/>
      <c r="J24" s="1861" t="str">
        <f>'VISITA DE INSP.'!DM32</f>
        <v>078312 E028100.0040223</v>
      </c>
      <c r="K24" s="1864" t="str">
        <f>VLOOKUP(AE24,AF3:AG15,2,2)</f>
        <v>BASE</v>
      </c>
      <c r="L24" s="1868" t="str">
        <f>VLOOKUP(AE24,AF3:AG15,2,2)</f>
        <v>BASE</v>
      </c>
      <c r="M24" s="1866" t="str">
        <f>VLOOKUP(AE24,AF3:AG15,2,2)</f>
        <v>BASE</v>
      </c>
      <c r="N24" s="2110">
        <f>'VISITA DE INSP.'!AH26</f>
        <v>27</v>
      </c>
      <c r="O24" s="2111" t="str">
        <f>'VISITA DE INSP.'!C26</f>
        <v>A</v>
      </c>
      <c r="P24" s="2110">
        <f>'VISITA DE INSP.'!AH26</f>
        <v>27</v>
      </c>
      <c r="Q24" s="2111" t="str">
        <f>'VISITA DE INSP.'!C26</f>
        <v>A</v>
      </c>
      <c r="R24" s="2110">
        <f>'VISITA DE INSP.'!AH26</f>
        <v>27</v>
      </c>
      <c r="S24" s="2111" t="str">
        <f>'VISITA DE INSP.'!C26</f>
        <v>A</v>
      </c>
      <c r="T24" s="2110">
        <f>'VISITA DE INSP.'!AH26</f>
        <v>27</v>
      </c>
      <c r="U24" s="2111" t="str">
        <f>'VISITA DE INSP.'!C26</f>
        <v>A</v>
      </c>
      <c r="V24" s="2108">
        <f>'VISITA DE INSP.'!AH26</f>
        <v>27</v>
      </c>
      <c r="W24" s="2109" t="str">
        <f>'VISITA DE INSP.'!C26</f>
        <v>A</v>
      </c>
      <c r="X24" s="2110">
        <f>'VISITA DE INSP.'!AH26</f>
        <v>27</v>
      </c>
      <c r="Y24" s="2111" t="str">
        <f>'VISITA DE INSP.'!C26</f>
        <v>A</v>
      </c>
      <c r="Z24" s="4052" t="str">
        <f>'VISITA DE INSP.'!DN32</f>
        <v>DOCENTE</v>
      </c>
      <c r="AA24" s="4053"/>
      <c r="AB24" s="4054"/>
      <c r="AC24" s="4001"/>
      <c r="AD24" s="4002"/>
      <c r="AE24" s="986">
        <f>'VISITA DE INSP.'!DP32</f>
        <v>10</v>
      </c>
    </row>
    <row r="25" spans="1:34" ht="18.75" customHeight="1">
      <c r="A25" s="59"/>
      <c r="B25" s="61">
        <v>11</v>
      </c>
      <c r="C25" s="1856" t="str">
        <f>'VISITA DE INSP.'!D27</f>
        <v>MARTIN QUINTAL * SIHARELI CONCEPCION</v>
      </c>
      <c r="D25" s="63"/>
      <c r="E25" s="63"/>
      <c r="F25" s="63"/>
      <c r="G25" s="63"/>
      <c r="H25" s="63"/>
      <c r="I25" s="1857"/>
      <c r="J25" s="1861" t="str">
        <f>'VISITA DE INSP.'!DM33</f>
        <v>078312E028100.0234567</v>
      </c>
      <c r="K25" s="1864" t="str">
        <f>VLOOKUP(AE25,AF3:AG15,2,2)</f>
        <v>BASE</v>
      </c>
      <c r="L25" s="1868" t="str">
        <f>VLOOKUP(AE25,AF3:AG15,2,2)</f>
        <v>BASE</v>
      </c>
      <c r="M25" s="1866" t="str">
        <f>VLOOKUP(AE25,AF3:AG15,2,2)</f>
        <v>BASE</v>
      </c>
      <c r="N25" s="2110">
        <f>'VISITA DE INSP.'!AH27</f>
        <v>26</v>
      </c>
      <c r="O25" s="2111" t="str">
        <f>'VISITA DE INSP.'!C27</f>
        <v>B</v>
      </c>
      <c r="P25" s="2110">
        <f>'VISITA DE INSP.'!AH27</f>
        <v>26</v>
      </c>
      <c r="Q25" s="2111" t="str">
        <f>'VISITA DE INSP.'!C27</f>
        <v>B</v>
      </c>
      <c r="R25" s="2110">
        <f>'VISITA DE INSP.'!AH27</f>
        <v>26</v>
      </c>
      <c r="S25" s="2111" t="str">
        <f>'VISITA DE INSP.'!C27</f>
        <v>B</v>
      </c>
      <c r="T25" s="2110">
        <f>'VISITA DE INSP.'!AH27</f>
        <v>26</v>
      </c>
      <c r="U25" s="2111" t="str">
        <f>'VISITA DE INSP.'!C27</f>
        <v>B</v>
      </c>
      <c r="V25" s="2108">
        <f>'VISITA DE INSP.'!AH27</f>
        <v>26</v>
      </c>
      <c r="W25" s="2109" t="str">
        <f>'VISITA DE INSP.'!C27</f>
        <v>B</v>
      </c>
      <c r="X25" s="2110">
        <f>'VISITA DE INSP.'!AH27</f>
        <v>26</v>
      </c>
      <c r="Y25" s="2111" t="str">
        <f>'VISITA DE INSP.'!C27</f>
        <v>B</v>
      </c>
      <c r="Z25" s="4052" t="str">
        <f>'VISITA DE INSP.'!DN33</f>
        <v>DOCENTE</v>
      </c>
      <c r="AA25" s="4053"/>
      <c r="AB25" s="4054"/>
      <c r="AC25" s="4001"/>
      <c r="AD25" s="4002"/>
      <c r="AE25" s="986">
        <f>'VISITA DE INSP.'!DP33</f>
        <v>10</v>
      </c>
    </row>
    <row r="26" spans="1:34" ht="18.75" customHeight="1">
      <c r="A26" s="59"/>
      <c r="B26" s="61">
        <v>12</v>
      </c>
      <c r="C26" s="1856" t="str">
        <f>'VISITA DE INSP.'!D28</f>
        <v>ALEMAN SANTOS * MIRIAM</v>
      </c>
      <c r="D26" s="63"/>
      <c r="E26" s="63"/>
      <c r="F26" s="63"/>
      <c r="G26" s="63"/>
      <c r="H26" s="63"/>
      <c r="I26" s="1857"/>
      <c r="J26" s="1861" t="str">
        <f>'VISITA DE INSP.'!DM34</f>
        <v>078312 E028100.0233330</v>
      </c>
      <c r="K26" s="1864" t="str">
        <f>VLOOKUP(AE26,AF3:AG15,2,2)</f>
        <v>HONORARIO</v>
      </c>
      <c r="L26" s="1868" t="str">
        <f>VLOOKUP(AE26,AF3:AG15,2,2)</f>
        <v>HONORARIO</v>
      </c>
      <c r="M26" s="1866" t="str">
        <f>VLOOKUP(AE26,AF3:AG15,2,2)</f>
        <v>HONORARIO</v>
      </c>
      <c r="N26" s="2110">
        <f>'VISITA DE INSP.'!AH28</f>
        <v>30</v>
      </c>
      <c r="O26" s="2111" t="str">
        <f>'VISITA DE INSP.'!C28</f>
        <v>A</v>
      </c>
      <c r="P26" s="2110">
        <f>'VISITA DE INSP.'!AH28</f>
        <v>30</v>
      </c>
      <c r="Q26" s="2111" t="str">
        <f>'VISITA DE INSP.'!C28</f>
        <v>A</v>
      </c>
      <c r="R26" s="2110">
        <f>'VISITA DE INSP.'!AH28</f>
        <v>30</v>
      </c>
      <c r="S26" s="2111" t="str">
        <f>'VISITA DE INSP.'!C28</f>
        <v>A</v>
      </c>
      <c r="T26" s="2110">
        <f>'VISITA DE INSP.'!AH28</f>
        <v>30</v>
      </c>
      <c r="U26" s="2111" t="str">
        <f>'VISITA DE INSP.'!C28</f>
        <v>A</v>
      </c>
      <c r="V26" s="2110">
        <f>'VISITA DE INSP.'!AH28</f>
        <v>30</v>
      </c>
      <c r="W26" s="2111" t="str">
        <f>'VISITA DE INSP.'!C28</f>
        <v>A</v>
      </c>
      <c r="X26" s="2108">
        <f>'VISITA DE INSP.'!AH28</f>
        <v>30</v>
      </c>
      <c r="Y26" s="2109" t="str">
        <f>'VISITA DE INSP.'!C28</f>
        <v>A</v>
      </c>
      <c r="Z26" s="4052" t="str">
        <f>'VISITA DE INSP.'!DN34</f>
        <v>DOCENTE</v>
      </c>
      <c r="AA26" s="4053"/>
      <c r="AB26" s="4054"/>
      <c r="AC26" s="4001"/>
      <c r="AD26" s="4002"/>
      <c r="AE26" s="986">
        <f>'VISITA DE INSP.'!DP34</f>
        <v>20</v>
      </c>
    </row>
    <row r="27" spans="1:34" ht="18.75" customHeight="1">
      <c r="A27" s="59"/>
      <c r="B27" s="61">
        <v>13</v>
      </c>
      <c r="C27" s="1856" t="str">
        <f>'VISITA DE INSP.'!D29</f>
        <v>CRUZ PEREZ * FRANCISCO</v>
      </c>
      <c r="D27" s="63"/>
      <c r="E27" s="63"/>
      <c r="F27" s="63"/>
      <c r="G27" s="63"/>
      <c r="H27" s="63"/>
      <c r="I27" s="1857"/>
      <c r="J27" s="1861" t="str">
        <f>'VISITA DE INSP.'!DM35</f>
        <v>078312 E028100.0233698</v>
      </c>
      <c r="K27" s="1864" t="str">
        <f>VLOOKUP(AE27,AF3:AG15,2,2)</f>
        <v>BASE</v>
      </c>
      <c r="L27" s="1868" t="str">
        <f>VLOOKUP(AE27,AF3:AG15,2,2)</f>
        <v>BASE</v>
      </c>
      <c r="M27" s="1866" t="str">
        <f>VLOOKUP(AE27,AF3:AG15,2,2)</f>
        <v>BASE</v>
      </c>
      <c r="N27" s="2110">
        <f>'VISITA DE INSP.'!AH29</f>
        <v>30</v>
      </c>
      <c r="O27" s="2111" t="str">
        <f>'VISITA DE INSP.'!C29</f>
        <v>B</v>
      </c>
      <c r="P27" s="2110">
        <f>'VISITA DE INSP.'!AH29</f>
        <v>30</v>
      </c>
      <c r="Q27" s="2111" t="str">
        <f>'VISITA DE INSP.'!C29</f>
        <v>B</v>
      </c>
      <c r="R27" s="2110">
        <f>'VISITA DE INSP.'!AH29</f>
        <v>30</v>
      </c>
      <c r="S27" s="2111" t="str">
        <f>'VISITA DE INSP.'!C29</f>
        <v>B</v>
      </c>
      <c r="T27" s="2110">
        <f>'VISITA DE INSP.'!AH29</f>
        <v>30</v>
      </c>
      <c r="U27" s="2111" t="str">
        <f>'VISITA DE INSP.'!C29</f>
        <v>B</v>
      </c>
      <c r="V27" s="2110">
        <f>'VISITA DE INSP.'!AH29</f>
        <v>30</v>
      </c>
      <c r="W27" s="2111" t="str">
        <f>'VISITA DE INSP.'!C29</f>
        <v>B</v>
      </c>
      <c r="X27" s="2108">
        <f>'VISITA DE INSP.'!AH29</f>
        <v>30</v>
      </c>
      <c r="Y27" s="2109" t="str">
        <f>'VISITA DE INSP.'!C29</f>
        <v>B</v>
      </c>
      <c r="Z27" s="4052" t="str">
        <f>'VISITA DE INSP.'!DN35</f>
        <v>DOCENTE</v>
      </c>
      <c r="AA27" s="4053"/>
      <c r="AB27" s="4054"/>
      <c r="AC27" s="4001"/>
      <c r="AD27" s="4002"/>
      <c r="AE27" s="986">
        <f>'VISITA DE INSP.'!DP35</f>
        <v>10</v>
      </c>
    </row>
    <row r="28" spans="1:34" ht="18.75" customHeight="1">
      <c r="A28" s="59"/>
      <c r="B28" s="61">
        <v>14</v>
      </c>
      <c r="C28" s="1856" t="str">
        <f>'VISITA DE INSP.'!D30</f>
        <v>GONGORA * TERESITA DEL CARMEN</v>
      </c>
      <c r="D28" s="63"/>
      <c r="E28" s="63"/>
      <c r="F28" s="63"/>
      <c r="G28" s="63"/>
      <c r="H28" s="63"/>
      <c r="I28" s="1857"/>
      <c r="J28" s="1861" t="str">
        <f>'VISITA DE INSP.'!DM36</f>
        <v>072303 S0180700.0300489</v>
      </c>
      <c r="K28" s="1864" t="str">
        <f>VLOOKUP(AE28,AF3:AG15,2,2)</f>
        <v>BASE</v>
      </c>
      <c r="L28" s="1868" t="str">
        <f>VLOOKUP(AE28,AF3:AG15,2,2)</f>
        <v>BASE</v>
      </c>
      <c r="M28" s="1866" t="str">
        <f>VLOOKUP(AE28,AF3:AG15,2,2)</f>
        <v>BASE</v>
      </c>
      <c r="N28" s="2110">
        <f>'VISITA DE INSP.'!AH30</f>
        <v>0</v>
      </c>
      <c r="O28" s="2111">
        <f>'VISITA DE INSP.'!C30</f>
        <v>0</v>
      </c>
      <c r="P28" s="2110">
        <f>'VISITA DE INSP.'!AH30</f>
        <v>0</v>
      </c>
      <c r="Q28" s="2111">
        <f>'VISITA DE INSP.'!C30</f>
        <v>0</v>
      </c>
      <c r="R28" s="2110">
        <f>'VISITA DE INSP.'!AH30</f>
        <v>0</v>
      </c>
      <c r="S28" s="2111">
        <f>'VISITA DE INSP.'!C30</f>
        <v>0</v>
      </c>
      <c r="T28" s="2110">
        <f>'VISITA DE INSP.'!AH30</f>
        <v>0</v>
      </c>
      <c r="U28" s="2111">
        <f>'VISITA DE INSP.'!C30</f>
        <v>0</v>
      </c>
      <c r="V28" s="2110">
        <f>'VISITA DE INSP.'!AH30</f>
        <v>0</v>
      </c>
      <c r="W28" s="2111">
        <f>'VISITA DE INSP.'!C30</f>
        <v>0</v>
      </c>
      <c r="X28" s="2110">
        <f>'VISITA DE INSP.'!AH30</f>
        <v>0</v>
      </c>
      <c r="Y28" s="2111">
        <f>'VISITA DE INSP.'!C30</f>
        <v>0</v>
      </c>
      <c r="Z28" s="4052" t="str">
        <f>'VISITA DE INSP.'!DN36</f>
        <v>INTENDENTE</v>
      </c>
      <c r="AA28" s="4053"/>
      <c r="AB28" s="4054"/>
      <c r="AC28" s="4001"/>
      <c r="AD28" s="4002"/>
      <c r="AE28" s="986">
        <f>'VISITA DE INSP.'!DP36</f>
        <v>10</v>
      </c>
    </row>
    <row r="29" spans="1:34" ht="18.75" customHeight="1">
      <c r="A29" s="2112"/>
      <c r="B29" s="2113">
        <v>15</v>
      </c>
      <c r="C29" s="2114" t="str">
        <f>'VISITA DE INSP.'!D31</f>
        <v>ARGUELLES GARCIA * MAYRA LUCELY</v>
      </c>
      <c r="D29" s="2115"/>
      <c r="E29" s="2115"/>
      <c r="F29" s="2115"/>
      <c r="G29" s="2115"/>
      <c r="H29" s="2115"/>
      <c r="I29" s="2116"/>
      <c r="J29" s="858" t="str">
        <f>'VISITA DE INSP.'!DM37</f>
        <v>074823 E076302.0230140</v>
      </c>
      <c r="K29" s="2117" t="str">
        <f>VLOOKUP(AE29,AF3:AG15,2,2)</f>
        <v>BASE</v>
      </c>
      <c r="L29" s="2118" t="str">
        <f>VLOOKUP(AE29,AF3:AG15,2,2)</f>
        <v>BASE</v>
      </c>
      <c r="M29" s="2119" t="str">
        <f>VLOOKUP(AE29,AF3:AG15,2,2)</f>
        <v>BASE</v>
      </c>
      <c r="N29" s="2120">
        <f>'VISITA DE INSP.'!AH31</f>
        <v>0</v>
      </c>
      <c r="O29" s="2121">
        <f>'VISITA DE INSP.'!C31</f>
        <v>0</v>
      </c>
      <c r="P29" s="2120">
        <f>'VISITA DE INSP.'!AH31</f>
        <v>0</v>
      </c>
      <c r="Q29" s="2121">
        <f>'VISITA DE INSP.'!C31</f>
        <v>0</v>
      </c>
      <c r="R29" s="2120">
        <f>'VISITA DE INSP.'!AH31</f>
        <v>0</v>
      </c>
      <c r="S29" s="2121">
        <f>'VISITA DE INSP.'!C31</f>
        <v>0</v>
      </c>
      <c r="T29" s="2120">
        <f>'VISITA DE INSP.'!AH31</f>
        <v>0</v>
      </c>
      <c r="U29" s="2121">
        <f>'VISITA DE INSP.'!C31</f>
        <v>0</v>
      </c>
      <c r="V29" s="2120">
        <f>'VISITA DE INSP.'!AH31</f>
        <v>0</v>
      </c>
      <c r="W29" s="2121">
        <f>'VISITA DE INSP.'!C31</f>
        <v>0</v>
      </c>
      <c r="X29" s="2120">
        <f>'VISITA DE INSP.'!AH31</f>
        <v>0</v>
      </c>
      <c r="Y29" s="2121">
        <f>'VISITA DE INSP.'!C31</f>
        <v>0</v>
      </c>
      <c r="Z29" s="4055" t="str">
        <f>'VISITA DE INSP.'!DN37</f>
        <v>E. FISICA</v>
      </c>
      <c r="AA29" s="4056"/>
      <c r="AB29" s="4057"/>
      <c r="AC29" s="4001"/>
      <c r="AD29" s="4002"/>
      <c r="AE29" s="986">
        <f>'VISITA DE INSP.'!DP37</f>
        <v>10</v>
      </c>
    </row>
    <row r="30" spans="1:34" ht="18.75" customHeight="1">
      <c r="A30" s="2125"/>
      <c r="B30" s="61">
        <v>16</v>
      </c>
      <c r="C30" s="1856">
        <f>'VISITA DE INSP.'!D32</f>
        <v>0</v>
      </c>
      <c r="D30" s="63"/>
      <c r="E30" s="63"/>
      <c r="F30" s="63"/>
      <c r="G30" s="63"/>
      <c r="H30" s="63"/>
      <c r="I30" s="1857"/>
      <c r="J30" s="1861">
        <f>'VISITA DE INSP.'!DM38</f>
        <v>0</v>
      </c>
      <c r="K30" s="1864">
        <f>VLOOKUP(AE30,AF3:AG15,2,2)</f>
        <v>0</v>
      </c>
      <c r="L30" s="1868">
        <f>VLOOKUP(AE30,AF3:AG15,2,2)</f>
        <v>0</v>
      </c>
      <c r="M30" s="1866">
        <f>VLOOKUP(AE30,AF3:AG15,2,2)</f>
        <v>0</v>
      </c>
      <c r="N30" s="2126">
        <f>'VISITA DE INSP.'!AH32</f>
        <v>0</v>
      </c>
      <c r="O30" s="2127">
        <f>'VISITA DE INSP.'!C32</f>
        <v>0</v>
      </c>
      <c r="P30" s="2126">
        <f>'VISITA DE INSP.'!AH32</f>
        <v>0</v>
      </c>
      <c r="Q30" s="2127">
        <f>'VISITA DE INSP.'!C32</f>
        <v>0</v>
      </c>
      <c r="R30" s="2126">
        <f>'VISITA DE INSP.'!AH32</f>
        <v>0</v>
      </c>
      <c r="S30" s="2127">
        <f>'VISITA DE INSP.'!C32</f>
        <v>0</v>
      </c>
      <c r="T30" s="2126">
        <f>'VISITA DE INSP.'!AH32</f>
        <v>0</v>
      </c>
      <c r="U30" s="2127">
        <f>'VISITA DE INSP.'!C32</f>
        <v>0</v>
      </c>
      <c r="V30" s="2126">
        <f>'VISITA DE INSP.'!AH32</f>
        <v>0</v>
      </c>
      <c r="W30" s="2127">
        <f>'VISITA DE INSP.'!C32</f>
        <v>0</v>
      </c>
      <c r="X30" s="2126">
        <f>'VISITA DE INSP.'!AH32</f>
        <v>0</v>
      </c>
      <c r="Y30" s="2127">
        <f>'VISITA DE INSP.'!C32</f>
        <v>0</v>
      </c>
      <c r="Z30" s="4052">
        <f>'VISITA DE INSP.'!DN38</f>
        <v>0</v>
      </c>
      <c r="AA30" s="4053"/>
      <c r="AB30" s="4054"/>
      <c r="AC30" s="4001"/>
      <c r="AD30" s="4002"/>
      <c r="AE30" s="986">
        <f>'VISITA DE INSP.'!DP38</f>
        <v>0</v>
      </c>
    </row>
    <row r="31" spans="1:34" ht="18.75" customHeight="1">
      <c r="A31" s="59"/>
      <c r="B31" s="61">
        <v>17</v>
      </c>
      <c r="C31" s="1856">
        <f>'VISITA DE INSP.'!D33</f>
        <v>0</v>
      </c>
      <c r="D31" s="63"/>
      <c r="E31" s="63"/>
      <c r="F31" s="63"/>
      <c r="G31" s="63"/>
      <c r="H31" s="63"/>
      <c r="I31" s="1857"/>
      <c r="J31" s="1861">
        <f>'VISITA DE INSP.'!DM39</f>
        <v>0</v>
      </c>
      <c r="K31" s="1864">
        <f>VLOOKUP(AE31,AF3:AG15,2,2)</f>
        <v>0</v>
      </c>
      <c r="L31" s="1868">
        <f>VLOOKUP(AE31,AF3:AG15,2,2)</f>
        <v>0</v>
      </c>
      <c r="M31" s="1866">
        <f>VLOOKUP(AE31,AF3:AG15,2,2)</f>
        <v>0</v>
      </c>
      <c r="N31" s="2110">
        <f>'VISITA DE INSP.'!AH33</f>
        <v>0</v>
      </c>
      <c r="O31" s="2111">
        <f>'VISITA DE INSP.'!C33</f>
        <v>0</v>
      </c>
      <c r="P31" s="2110">
        <f>'VISITA DE INSP.'!AH33</f>
        <v>0</v>
      </c>
      <c r="Q31" s="2111">
        <f>'VISITA DE INSP.'!C33</f>
        <v>0</v>
      </c>
      <c r="R31" s="2110">
        <f>'VISITA DE INSP.'!AH33</f>
        <v>0</v>
      </c>
      <c r="S31" s="2111">
        <f>'VISITA DE INSP.'!C33</f>
        <v>0</v>
      </c>
      <c r="T31" s="2110">
        <f>'VISITA DE INSP.'!AH33</f>
        <v>0</v>
      </c>
      <c r="U31" s="2111">
        <f>'VISITA DE INSP.'!C33</f>
        <v>0</v>
      </c>
      <c r="V31" s="2110">
        <f>'VISITA DE INSP.'!AH33</f>
        <v>0</v>
      </c>
      <c r="W31" s="2111">
        <f>'VISITA DE INSP.'!C33</f>
        <v>0</v>
      </c>
      <c r="X31" s="2110">
        <f>'VISITA DE INSP.'!AH33</f>
        <v>0</v>
      </c>
      <c r="Y31" s="2111">
        <f>'VISITA DE INSP.'!C33</f>
        <v>0</v>
      </c>
      <c r="Z31" s="4052">
        <f>'VISITA DE INSP.'!DN39</f>
        <v>0</v>
      </c>
      <c r="AA31" s="4053"/>
      <c r="AB31" s="4054"/>
      <c r="AC31" s="4001"/>
      <c r="AD31" s="4002"/>
      <c r="AE31" s="986">
        <f>'VISITA DE INSP.'!DP39</f>
        <v>0</v>
      </c>
    </row>
    <row r="32" spans="1:34" ht="18.75" customHeight="1" thickBot="1">
      <c r="A32" s="2128"/>
      <c r="B32" s="1853">
        <v>18</v>
      </c>
      <c r="C32" s="1858" t="str">
        <f>'VISITA DE INSP.'!D34</f>
        <v>GARDUÑO CASTILLO * MERLI ROCIO</v>
      </c>
      <c r="D32" s="1859"/>
      <c r="E32" s="1859"/>
      <c r="F32" s="1859"/>
      <c r="G32" s="1859"/>
      <c r="H32" s="1859"/>
      <c r="I32" s="1860"/>
      <c r="J32" s="1862">
        <f>'VISITA DE INSP.'!DM40</f>
        <v>0</v>
      </c>
      <c r="K32" s="2129">
        <f>VLOOKUP(AE32,AF3:AG15,2,2)</f>
        <v>0</v>
      </c>
      <c r="L32" s="1869">
        <f>VLOOKUP(AE32,AF3:AG15,2,2)</f>
        <v>0</v>
      </c>
      <c r="M32" s="2130">
        <f>VLOOKUP(AE32,AF3:AG15,2,2)</f>
        <v>0</v>
      </c>
      <c r="N32" s="2133">
        <f>'VISITA DE INSP.'!AH34</f>
        <v>0</v>
      </c>
      <c r="O32" s="2134">
        <f>'VISITA DE INSP.'!C34</f>
        <v>0</v>
      </c>
      <c r="P32" s="2133">
        <f>'VISITA DE INSP.'!AH34</f>
        <v>0</v>
      </c>
      <c r="Q32" s="2134">
        <f>'VISITA DE INSP.'!C34</f>
        <v>0</v>
      </c>
      <c r="R32" s="2133">
        <f>'VISITA DE INSP.'!AH34</f>
        <v>0</v>
      </c>
      <c r="S32" s="2134">
        <f>'VISITA DE INSP.'!C34</f>
        <v>0</v>
      </c>
      <c r="T32" s="2133">
        <f>'VISITA DE INSP.'!AH34</f>
        <v>0</v>
      </c>
      <c r="U32" s="2134">
        <f>'VISITA DE INSP.'!C34</f>
        <v>0</v>
      </c>
      <c r="V32" s="2133">
        <f>'VISITA DE INSP.'!AH34</f>
        <v>0</v>
      </c>
      <c r="W32" s="2134">
        <f>'VISITA DE INSP.'!C34</f>
        <v>0</v>
      </c>
      <c r="X32" s="2133">
        <f>'VISITA DE INSP.'!AH34</f>
        <v>0</v>
      </c>
      <c r="Y32" s="2134">
        <f>'VISITA DE INSP.'!C34</f>
        <v>0</v>
      </c>
      <c r="Z32" s="4058">
        <f>'VISITA DE INSP.'!DN40</f>
        <v>0</v>
      </c>
      <c r="AA32" s="4059"/>
      <c r="AB32" s="4060"/>
      <c r="AC32" s="4001"/>
      <c r="AD32" s="4002"/>
      <c r="AE32" s="986">
        <f>'VISITA DE INSP.'!DP40</f>
        <v>0</v>
      </c>
    </row>
    <row r="33" spans="1:31" ht="17.25" hidden="1" customHeight="1">
      <c r="A33" s="2122"/>
      <c r="B33" s="64">
        <v>19</v>
      </c>
      <c r="C33" s="1854" t="str">
        <f>'VISITA DE INSP.'!D35</f>
        <v>POOT QUEB *LUIS ARMANDO</v>
      </c>
      <c r="D33" s="65"/>
      <c r="E33" s="65"/>
      <c r="F33" s="65"/>
      <c r="G33" s="65"/>
      <c r="H33" s="65"/>
      <c r="I33" s="1855"/>
      <c r="J33" s="1852">
        <f>'VISITA DE INSP.'!DM41</f>
        <v>0</v>
      </c>
      <c r="K33" s="1863">
        <f>VLOOKUP(AE33,AF3:AG15,2,2)</f>
        <v>0</v>
      </c>
      <c r="L33" s="1867">
        <f>VLOOKUP(AE33,AF3:AG15,2,2)</f>
        <v>0</v>
      </c>
      <c r="M33" s="1865">
        <f>VLOOKUP(AE33,AF3:AG15,2,2)</f>
        <v>0</v>
      </c>
      <c r="N33" s="2123">
        <f>'VISITA DE INSP.'!AH35</f>
        <v>0</v>
      </c>
      <c r="O33" s="2124">
        <f>'VISITA DE INSP.'!C35</f>
        <v>0</v>
      </c>
      <c r="P33" s="2123">
        <f>'VISITA DE INSP.'!AH35</f>
        <v>0</v>
      </c>
      <c r="Q33" s="2124">
        <f>'VISITA DE INSP.'!C35</f>
        <v>0</v>
      </c>
      <c r="R33" s="2123">
        <f>'VISITA DE INSP.'!AH35</f>
        <v>0</v>
      </c>
      <c r="S33" s="2124">
        <f>'VISITA DE INSP.'!C35</f>
        <v>0</v>
      </c>
      <c r="T33" s="2123">
        <f>'VISITA DE INSP.'!AH35</f>
        <v>0</v>
      </c>
      <c r="U33" s="2124">
        <f>'VISITA DE INSP.'!C35</f>
        <v>0</v>
      </c>
      <c r="V33" s="2123">
        <f>'VISITA DE INSP.'!AH35</f>
        <v>0</v>
      </c>
      <c r="W33" s="2124">
        <f>'VISITA DE INSP.'!C35</f>
        <v>0</v>
      </c>
      <c r="X33" s="2123">
        <f>'VISITA DE INSP.'!AH35</f>
        <v>0</v>
      </c>
      <c r="Y33" s="2124">
        <f>'VISITA DE INSP.'!C35</f>
        <v>0</v>
      </c>
      <c r="Z33" s="4061">
        <f>'VISITA DE INSP.'!DN41</f>
        <v>0</v>
      </c>
      <c r="AA33" s="4062"/>
      <c r="AB33" s="4063"/>
      <c r="AC33" s="4001"/>
      <c r="AD33" s="4002"/>
      <c r="AE33" s="986">
        <f>'VISITA DE INSP.'!DP41</f>
        <v>0</v>
      </c>
    </row>
    <row r="34" spans="1:31" ht="17.25" hidden="1" customHeight="1" thickBot="1">
      <c r="A34" s="59"/>
      <c r="B34" s="1853">
        <v>20</v>
      </c>
      <c r="C34" s="1858">
        <f>'VISITA DE INSP.'!D36</f>
        <v>0</v>
      </c>
      <c r="D34" s="1859"/>
      <c r="E34" s="1859"/>
      <c r="F34" s="1859"/>
      <c r="G34" s="1859"/>
      <c r="H34" s="1859"/>
      <c r="I34" s="1860"/>
      <c r="J34" s="1862">
        <f>'VISITA DE INSP.'!DM42</f>
        <v>0</v>
      </c>
      <c r="K34" s="1864">
        <f>VLOOKUP(AE34,AF3:AG15,2,2)</f>
        <v>0</v>
      </c>
      <c r="L34" s="1869">
        <f>VLOOKUP(AE34,AF3:AG15,2,2)</f>
        <v>0</v>
      </c>
      <c r="M34" s="1866">
        <f>VLOOKUP(AE34,AF3:AG15,2,2)</f>
        <v>0</v>
      </c>
      <c r="N34" s="2093">
        <f>'VISITA DE INSP.'!AH36</f>
        <v>0</v>
      </c>
      <c r="O34" s="2094">
        <f>'VISITA DE INSP.'!C36</f>
        <v>0</v>
      </c>
      <c r="P34" s="2095">
        <f>'VISITA DE INSP.'!AH36</f>
        <v>0</v>
      </c>
      <c r="Q34" s="2096">
        <f>'VISITA DE INSP.'!C36</f>
        <v>0</v>
      </c>
      <c r="R34" s="2093">
        <f>'VISITA DE INSP.'!AH36</f>
        <v>0</v>
      </c>
      <c r="S34" s="2094">
        <f>'VISITA DE INSP.'!C36</f>
        <v>0</v>
      </c>
      <c r="T34" s="2095">
        <f>'VISITA DE INSP.'!AH36</f>
        <v>0</v>
      </c>
      <c r="U34" s="2096">
        <f>'VISITA DE INSP.'!C36</f>
        <v>0</v>
      </c>
      <c r="V34" s="2093">
        <f>'VISITA DE INSP.'!AH36</f>
        <v>0</v>
      </c>
      <c r="W34" s="2094">
        <f>'VISITA DE INSP.'!C36</f>
        <v>0</v>
      </c>
      <c r="X34" s="2095">
        <f>'VISITA DE INSP.'!AH36</f>
        <v>0</v>
      </c>
      <c r="Y34" s="2096">
        <f>'VISITA DE INSP.'!C36</f>
        <v>0</v>
      </c>
      <c r="Z34" s="4058">
        <f>'VISITA DE INSP.'!DN42</f>
        <v>0</v>
      </c>
      <c r="AA34" s="4059"/>
      <c r="AB34" s="4060"/>
      <c r="AC34" s="4003"/>
      <c r="AD34" s="4004"/>
      <c r="AE34" s="986">
        <f>'VISITA DE INSP.'!DP42</f>
        <v>0</v>
      </c>
    </row>
    <row r="35" spans="1:31" ht="12" hidden="1" customHeight="1">
      <c r="A35" s="59"/>
      <c r="B35" s="915"/>
      <c r="C35" s="973"/>
      <c r="D35" s="65"/>
      <c r="E35" s="65"/>
      <c r="F35" s="65"/>
      <c r="G35" s="65"/>
      <c r="H35" s="65"/>
      <c r="I35" s="849"/>
      <c r="J35" s="914"/>
      <c r="K35" s="976"/>
      <c r="L35" s="914"/>
      <c r="M35" s="915"/>
      <c r="N35" s="916"/>
      <c r="O35" s="916"/>
      <c r="P35" s="916"/>
      <c r="Q35" s="916"/>
      <c r="R35" s="916"/>
      <c r="S35" s="916"/>
      <c r="T35" s="915">
        <f>'VISITA DE INSP.'!AH37</f>
        <v>350</v>
      </c>
      <c r="U35" s="916"/>
      <c r="V35" s="916"/>
      <c r="W35" s="916"/>
      <c r="X35" s="916"/>
      <c r="Y35" s="916"/>
      <c r="Z35" s="4064"/>
      <c r="AA35" s="4065"/>
      <c r="AB35" s="4066"/>
      <c r="AC35" s="847"/>
      <c r="AD35" s="913"/>
      <c r="AE35" s="986"/>
    </row>
    <row r="36" spans="1:31" ht="12" hidden="1" customHeight="1">
      <c r="A36" s="59"/>
      <c r="B36" s="853"/>
      <c r="C36" s="974"/>
      <c r="D36" s="63"/>
      <c r="E36" s="63"/>
      <c r="F36" s="63"/>
      <c r="G36" s="63"/>
      <c r="H36" s="63"/>
      <c r="I36" s="850"/>
      <c r="J36" s="852"/>
      <c r="K36" s="977"/>
      <c r="L36" s="852"/>
      <c r="M36" s="853"/>
      <c r="N36" s="854"/>
      <c r="O36" s="854"/>
      <c r="P36" s="854"/>
      <c r="Q36" s="854"/>
      <c r="R36" s="854"/>
      <c r="S36" s="854"/>
      <c r="T36" s="853" t="str">
        <f>'VISITA DE INSP.'!AD38</f>
        <v>2º</v>
      </c>
      <c r="U36" s="854"/>
      <c r="V36" s="854"/>
      <c r="W36" s="854"/>
      <c r="X36" s="854"/>
      <c r="Y36" s="854"/>
      <c r="Z36" s="4067"/>
      <c r="AA36" s="4068"/>
      <c r="AB36" s="4069"/>
      <c r="AC36" s="847"/>
      <c r="AD36" s="60"/>
      <c r="AE36" s="986"/>
    </row>
    <row r="37" spans="1:31" ht="12" hidden="1" customHeight="1">
      <c r="A37" s="59"/>
      <c r="B37" s="853"/>
      <c r="C37" s="974"/>
      <c r="D37" s="63"/>
      <c r="E37" s="63"/>
      <c r="F37" s="63"/>
      <c r="G37" s="63"/>
      <c r="H37" s="63"/>
      <c r="I37" s="850"/>
      <c r="J37" s="852"/>
      <c r="K37" s="852"/>
      <c r="L37" s="852"/>
      <c r="M37" s="853"/>
      <c r="N37" s="854"/>
      <c r="O37" s="854"/>
      <c r="P37" s="854"/>
      <c r="Q37" s="854"/>
      <c r="R37" s="854"/>
      <c r="S37" s="854"/>
      <c r="T37" s="853">
        <f>'VISITA DE INSP.'!AD39</f>
        <v>2</v>
      </c>
      <c r="U37" s="854"/>
      <c r="V37" s="854"/>
      <c r="W37" s="854"/>
      <c r="X37" s="853"/>
      <c r="Y37" s="853"/>
      <c r="Z37" s="4067"/>
      <c r="AA37" s="4068"/>
      <c r="AB37" s="4069"/>
      <c r="AC37" s="847"/>
      <c r="AD37" s="60"/>
      <c r="AE37" s="986">
        <v>17</v>
      </c>
    </row>
    <row r="38" spans="1:31" ht="12" hidden="1" customHeight="1">
      <c r="A38" s="59"/>
      <c r="B38" s="853"/>
      <c r="C38" s="974"/>
      <c r="D38" s="63"/>
      <c r="E38" s="63"/>
      <c r="F38" s="63"/>
      <c r="G38" s="63"/>
      <c r="H38" s="63"/>
      <c r="I38" s="850"/>
      <c r="J38" s="852"/>
      <c r="K38" s="852"/>
      <c r="L38" s="852"/>
      <c r="M38" s="853"/>
      <c r="N38" s="854"/>
      <c r="O38" s="854"/>
      <c r="P38" s="854"/>
      <c r="Q38" s="854"/>
      <c r="R38" s="854"/>
      <c r="S38" s="854"/>
      <c r="T38" s="853">
        <f>'VISITA DE INSP.'!AD40</f>
        <v>0</v>
      </c>
      <c r="U38" s="854"/>
      <c r="V38" s="854"/>
      <c r="W38" s="854"/>
      <c r="X38" s="853"/>
      <c r="Y38" s="853"/>
      <c r="Z38" s="4067"/>
      <c r="AA38" s="4068"/>
      <c r="AB38" s="4069"/>
      <c r="AC38" s="847"/>
      <c r="AD38" s="60"/>
      <c r="AE38" s="986"/>
    </row>
    <row r="39" spans="1:31" ht="12" hidden="1" customHeight="1">
      <c r="A39" s="59"/>
      <c r="B39" s="853"/>
      <c r="C39" s="974"/>
      <c r="D39" s="63"/>
      <c r="E39" s="63"/>
      <c r="F39" s="63"/>
      <c r="G39" s="63"/>
      <c r="H39" s="63"/>
      <c r="I39" s="850"/>
      <c r="J39" s="852"/>
      <c r="K39" s="852"/>
      <c r="L39" s="852"/>
      <c r="M39" s="855"/>
      <c r="N39" s="854"/>
      <c r="O39" s="854"/>
      <c r="P39" s="854"/>
      <c r="Q39" s="854"/>
      <c r="R39" s="854"/>
      <c r="S39" s="854"/>
      <c r="T39" s="853">
        <f>'VISITA DE INSP.'!AD41</f>
        <v>0</v>
      </c>
      <c r="U39" s="854"/>
      <c r="V39" s="854"/>
      <c r="W39" s="854"/>
      <c r="X39" s="854"/>
      <c r="Y39" s="854"/>
      <c r="Z39" s="4067"/>
      <c r="AA39" s="4068"/>
      <c r="AB39" s="4069"/>
      <c r="AC39" s="847"/>
      <c r="AD39" s="60"/>
      <c r="AE39" s="986"/>
    </row>
    <row r="40" spans="1:31" ht="12" hidden="1" customHeight="1">
      <c r="A40" s="59"/>
      <c r="B40" s="853"/>
      <c r="C40" s="974"/>
      <c r="D40" s="63"/>
      <c r="E40" s="63"/>
      <c r="F40" s="63"/>
      <c r="G40" s="63"/>
      <c r="H40" s="63"/>
      <c r="I40" s="850"/>
      <c r="J40" s="852"/>
      <c r="K40" s="852"/>
      <c r="L40" s="852"/>
      <c r="M40" s="855"/>
      <c r="N40" s="854"/>
      <c r="O40" s="854"/>
      <c r="P40" s="854"/>
      <c r="Q40" s="854"/>
      <c r="R40" s="854"/>
      <c r="S40" s="854"/>
      <c r="T40" s="853">
        <f>'VISITA DE INSP.'!AD42</f>
        <v>0</v>
      </c>
      <c r="U40" s="854"/>
      <c r="V40" s="854"/>
      <c r="W40" s="854"/>
      <c r="X40" s="854"/>
      <c r="Y40" s="854"/>
      <c r="Z40" s="4067"/>
      <c r="AA40" s="4068"/>
      <c r="AB40" s="4069"/>
      <c r="AC40" s="847"/>
      <c r="AD40" s="60"/>
      <c r="AE40" s="986"/>
    </row>
    <row r="41" spans="1:31" ht="12" hidden="1" customHeight="1">
      <c r="A41" s="59"/>
      <c r="B41" s="915"/>
      <c r="C41" s="974"/>
      <c r="D41" s="63"/>
      <c r="E41" s="63"/>
      <c r="F41" s="63"/>
      <c r="G41" s="63"/>
      <c r="H41" s="63"/>
      <c r="I41" s="850"/>
      <c r="J41" s="852"/>
      <c r="K41" s="852"/>
      <c r="L41" s="852"/>
      <c r="M41" s="853"/>
      <c r="N41" s="854"/>
      <c r="O41" s="854"/>
      <c r="P41" s="854"/>
      <c r="Q41" s="854"/>
      <c r="R41" s="854"/>
      <c r="S41" s="854"/>
      <c r="T41" s="853">
        <f>'VISITA DE INSP.'!AD43</f>
        <v>21</v>
      </c>
      <c r="U41" s="854"/>
      <c r="V41" s="854"/>
      <c r="W41" s="854"/>
      <c r="X41" s="854"/>
      <c r="Y41" s="854"/>
      <c r="Z41" s="4064"/>
      <c r="AA41" s="4065"/>
      <c r="AB41" s="4066"/>
      <c r="AC41" s="847"/>
      <c r="AD41" s="60"/>
      <c r="AE41" s="986"/>
    </row>
    <row r="42" spans="1:31" ht="12" hidden="1" customHeight="1">
      <c r="A42" s="59"/>
      <c r="B42" s="915"/>
      <c r="C42" s="974"/>
      <c r="D42" s="63"/>
      <c r="E42" s="63"/>
      <c r="F42" s="63"/>
      <c r="G42" s="63"/>
      <c r="H42" s="63"/>
      <c r="I42" s="850"/>
      <c r="J42" s="852"/>
      <c r="K42" s="852"/>
      <c r="L42" s="852"/>
      <c r="M42" s="853"/>
      <c r="N42" s="854"/>
      <c r="O42" s="854"/>
      <c r="P42" s="854"/>
      <c r="Q42" s="854"/>
      <c r="R42" s="854"/>
      <c r="S42" s="854"/>
      <c r="T42" s="853" t="str">
        <f>'VISITA DE INSP.'!AD45</f>
        <v>EVA-COMP-LECT</v>
      </c>
      <c r="U42" s="854"/>
      <c r="V42" s="854"/>
      <c r="W42" s="854"/>
      <c r="X42" s="854"/>
      <c r="Y42" s="854"/>
      <c r="Z42" s="4064"/>
      <c r="AA42" s="4065"/>
      <c r="AB42" s="4066"/>
      <c r="AC42" s="847"/>
      <c r="AD42" s="60"/>
      <c r="AE42" s="986"/>
    </row>
    <row r="43" spans="1:31" ht="12" hidden="1" customHeight="1">
      <c r="A43" s="59"/>
      <c r="B43" s="915"/>
      <c r="C43" s="974"/>
      <c r="D43" s="63"/>
      <c r="E43" s="63"/>
      <c r="F43" s="63"/>
      <c r="G43" s="63"/>
      <c r="H43" s="63"/>
      <c r="I43" s="850"/>
      <c r="J43" s="852"/>
      <c r="K43" s="852"/>
      <c r="L43" s="852"/>
      <c r="M43" s="853"/>
      <c r="N43" s="853"/>
      <c r="O43" s="853"/>
      <c r="P43" s="853"/>
      <c r="Q43" s="853"/>
      <c r="R43" s="853"/>
      <c r="S43" s="853"/>
      <c r="T43" s="853" t="e">
        <f>'VISITA DE INSP.'!#REF!</f>
        <v>#REF!</v>
      </c>
      <c r="U43" s="853"/>
      <c r="V43" s="853"/>
      <c r="W43" s="853"/>
      <c r="X43" s="853"/>
      <c r="Y43" s="853"/>
      <c r="Z43" s="4064"/>
      <c r="AA43" s="4065"/>
      <c r="AB43" s="4066"/>
      <c r="AC43" s="847"/>
      <c r="AD43" s="60"/>
      <c r="AE43" s="986"/>
    </row>
    <row r="44" spans="1:31" ht="12" hidden="1" customHeight="1">
      <c r="A44" s="59"/>
      <c r="B44" s="915"/>
      <c r="C44" s="974"/>
      <c r="D44" s="63"/>
      <c r="E44" s="63"/>
      <c r="F44" s="63"/>
      <c r="G44" s="63"/>
      <c r="H44" s="63"/>
      <c r="I44" s="850"/>
      <c r="J44" s="852"/>
      <c r="K44" s="852"/>
      <c r="L44" s="852"/>
      <c r="M44" s="853"/>
      <c r="N44" s="853"/>
      <c r="O44" s="853"/>
      <c r="P44" s="853"/>
      <c r="Q44" s="853"/>
      <c r="R44" s="853"/>
      <c r="S44" s="853"/>
      <c r="T44" s="853">
        <f>'VISITA DE INSP.'!AD46</f>
        <v>0</v>
      </c>
      <c r="U44" s="853"/>
      <c r="V44" s="853"/>
      <c r="W44" s="853"/>
      <c r="X44" s="853"/>
      <c r="Y44" s="853"/>
      <c r="Z44" s="4064"/>
      <c r="AA44" s="4065"/>
      <c r="AB44" s="4066"/>
      <c r="AC44" s="847"/>
      <c r="AD44" s="60"/>
      <c r="AE44" s="986"/>
    </row>
    <row r="45" spans="1:31" ht="12" hidden="1" customHeight="1">
      <c r="A45" s="59"/>
      <c r="B45" s="915"/>
      <c r="C45" s="974"/>
      <c r="D45" s="63"/>
      <c r="E45" s="63"/>
      <c r="F45" s="63"/>
      <c r="G45" s="63"/>
      <c r="H45" s="63"/>
      <c r="I45" s="850"/>
      <c r="J45" s="852"/>
      <c r="K45" s="852"/>
      <c r="L45" s="852"/>
      <c r="M45" s="853"/>
      <c r="N45" s="853"/>
      <c r="O45" s="853"/>
      <c r="P45" s="853"/>
      <c r="Q45" s="853"/>
      <c r="R45" s="853"/>
      <c r="S45" s="853"/>
      <c r="T45" s="853">
        <f>'VISITA DE INSP.'!AD47</f>
        <v>0</v>
      </c>
      <c r="U45" s="853"/>
      <c r="V45" s="853"/>
      <c r="W45" s="853"/>
      <c r="X45" s="853"/>
      <c r="Y45" s="853"/>
      <c r="Z45" s="4064"/>
      <c r="AA45" s="4065"/>
      <c r="AB45" s="4066"/>
      <c r="AC45" s="847"/>
      <c r="AD45" s="60"/>
      <c r="AE45" s="986"/>
    </row>
    <row r="46" spans="1:31" ht="12" hidden="1" customHeight="1">
      <c r="A46" s="59"/>
      <c r="B46" s="915"/>
      <c r="C46" s="974"/>
      <c r="D46" s="63"/>
      <c r="E46" s="63"/>
      <c r="F46" s="63"/>
      <c r="G46" s="63"/>
      <c r="H46" s="63"/>
      <c r="I46" s="850"/>
      <c r="J46" s="853"/>
      <c r="K46" s="853"/>
      <c r="L46" s="853"/>
      <c r="M46" s="853"/>
      <c r="N46" s="853"/>
      <c r="O46" s="853"/>
      <c r="P46" s="853"/>
      <c r="Q46" s="853"/>
      <c r="R46" s="853"/>
      <c r="S46" s="853"/>
      <c r="T46" s="853">
        <f>'VISITA DE INSP.'!AD48</f>
        <v>0</v>
      </c>
      <c r="U46" s="853"/>
      <c r="V46" s="853"/>
      <c r="W46" s="853"/>
      <c r="X46" s="853"/>
      <c r="Y46" s="853"/>
      <c r="Z46" s="4064"/>
      <c r="AA46" s="4065"/>
      <c r="AB46" s="4066"/>
      <c r="AC46" s="847"/>
      <c r="AD46" s="60"/>
      <c r="AE46" s="986"/>
    </row>
    <row r="47" spans="1:31" ht="12" hidden="1" customHeight="1">
      <c r="A47" s="59"/>
      <c r="B47" s="915"/>
      <c r="C47" s="974"/>
      <c r="D47" s="63"/>
      <c r="E47" s="63"/>
      <c r="F47" s="63"/>
      <c r="G47" s="63"/>
      <c r="H47" s="63"/>
      <c r="I47" s="850"/>
      <c r="J47" s="853"/>
      <c r="K47" s="853"/>
      <c r="L47" s="853"/>
      <c r="M47" s="853"/>
      <c r="N47" s="853"/>
      <c r="O47" s="853"/>
      <c r="P47" s="853"/>
      <c r="Q47" s="853"/>
      <c r="R47" s="853"/>
      <c r="S47" s="853"/>
      <c r="T47" s="853">
        <f>'VISITA DE INSP.'!AD49</f>
        <v>0</v>
      </c>
      <c r="U47" s="853"/>
      <c r="V47" s="853"/>
      <c r="W47" s="853"/>
      <c r="X47" s="853"/>
      <c r="Y47" s="853"/>
      <c r="Z47" s="4064"/>
      <c r="AA47" s="4065"/>
      <c r="AB47" s="4066"/>
      <c r="AC47" s="847"/>
      <c r="AD47" s="60"/>
      <c r="AE47" s="986"/>
    </row>
    <row r="48" spans="1:31" ht="12" hidden="1" customHeight="1">
      <c r="A48" s="59"/>
      <c r="B48" s="915"/>
      <c r="C48" s="974"/>
      <c r="D48" s="65"/>
      <c r="E48" s="65"/>
      <c r="F48" s="65"/>
      <c r="G48" s="65"/>
      <c r="H48" s="65"/>
      <c r="I48" s="849"/>
      <c r="J48" s="853"/>
      <c r="K48" s="853"/>
      <c r="L48" s="853"/>
      <c r="M48" s="853"/>
      <c r="N48" s="853"/>
      <c r="O48" s="853"/>
      <c r="P48" s="853"/>
      <c r="Q48" s="853"/>
      <c r="R48" s="853"/>
      <c r="S48" s="853"/>
      <c r="T48" s="853">
        <f>'VISITA DE INSP.'!AD50</f>
        <v>0</v>
      </c>
      <c r="U48" s="853"/>
      <c r="V48" s="853"/>
      <c r="W48" s="853"/>
      <c r="X48" s="853"/>
      <c r="Y48" s="853"/>
      <c r="Z48" s="4064"/>
      <c r="AA48" s="4065"/>
      <c r="AB48" s="4066"/>
      <c r="AC48" s="847"/>
      <c r="AD48" s="60"/>
      <c r="AE48" s="986"/>
    </row>
    <row r="49" spans="1:36" ht="12" hidden="1" customHeight="1">
      <c r="A49" s="59"/>
      <c r="B49" s="915"/>
      <c r="C49" s="974"/>
      <c r="D49" s="65"/>
      <c r="E49" s="65"/>
      <c r="F49" s="65"/>
      <c r="G49" s="65"/>
      <c r="H49" s="65"/>
      <c r="I49" s="849"/>
      <c r="J49" s="853"/>
      <c r="K49" s="853"/>
      <c r="L49" s="853"/>
      <c r="M49" s="853"/>
      <c r="N49" s="853"/>
      <c r="O49" s="853"/>
      <c r="P49" s="853"/>
      <c r="Q49" s="853"/>
      <c r="R49" s="853"/>
      <c r="S49" s="853"/>
      <c r="T49" s="853">
        <f>'VISITA DE INSP.'!AD51</f>
        <v>0</v>
      </c>
      <c r="U49" s="853"/>
      <c r="V49" s="853"/>
      <c r="W49" s="853"/>
      <c r="X49" s="853"/>
      <c r="Y49" s="853"/>
      <c r="Z49" s="4064"/>
      <c r="AA49" s="4065"/>
      <c r="AB49" s="4066"/>
      <c r="AC49" s="847"/>
      <c r="AD49" s="60"/>
      <c r="AE49" s="986"/>
    </row>
    <row r="50" spans="1:36" ht="12" hidden="1" customHeight="1">
      <c r="A50" s="59"/>
      <c r="B50" s="915"/>
      <c r="C50" s="975"/>
      <c r="D50" s="67"/>
      <c r="E50" s="67"/>
      <c r="F50" s="67"/>
      <c r="G50" s="67"/>
      <c r="H50" s="67"/>
      <c r="I50" s="851"/>
      <c r="J50" s="853"/>
      <c r="K50" s="853"/>
      <c r="L50" s="853"/>
      <c r="M50" s="853"/>
      <c r="N50" s="853"/>
      <c r="O50" s="853"/>
      <c r="P50" s="853"/>
      <c r="Q50" s="853"/>
      <c r="R50" s="853"/>
      <c r="S50" s="853"/>
      <c r="T50" s="853">
        <f>'VISITA DE INSP.'!AD52</f>
        <v>0</v>
      </c>
      <c r="U50" s="853"/>
      <c r="V50" s="853"/>
      <c r="W50" s="853"/>
      <c r="X50" s="853"/>
      <c r="Y50" s="853"/>
      <c r="Z50" s="4064"/>
      <c r="AA50" s="4065"/>
      <c r="AB50" s="4066"/>
      <c r="AC50" s="847"/>
      <c r="AD50" s="60"/>
      <c r="AE50" s="986"/>
    </row>
    <row r="51" spans="1:36" ht="12" hidden="1" customHeight="1">
      <c r="A51" s="59"/>
      <c r="B51" s="852"/>
      <c r="C51" s="4070"/>
      <c r="D51" s="4071"/>
      <c r="E51" s="4071"/>
      <c r="F51" s="4071"/>
      <c r="G51" s="4071"/>
      <c r="H51" s="4071"/>
      <c r="I51" s="4072"/>
      <c r="J51" s="1879"/>
      <c r="K51" s="1879"/>
      <c r="L51" s="1879"/>
      <c r="M51" s="1880"/>
      <c r="N51" s="1881"/>
      <c r="O51" s="1881"/>
      <c r="P51" s="1881"/>
      <c r="Q51" s="1881"/>
      <c r="R51" s="1881"/>
      <c r="S51" s="1881"/>
      <c r="T51" s="1882">
        <f>'VISITA DE INSP.'!AD53</f>
        <v>0</v>
      </c>
      <c r="U51" s="1881"/>
      <c r="V51" s="1881"/>
      <c r="W51" s="1881"/>
      <c r="X51" s="1881"/>
      <c r="Y51" s="1881"/>
      <c r="Z51" s="4068"/>
      <c r="AA51" s="4068"/>
      <c r="AB51" s="4069"/>
      <c r="AC51" s="847"/>
      <c r="AD51" s="60"/>
      <c r="AE51" s="986"/>
    </row>
    <row r="52" spans="1:36" ht="13.5" customHeight="1" thickBot="1">
      <c r="A52" s="59"/>
      <c r="B52" s="206"/>
      <c r="C52" s="860" t="s">
        <v>31</v>
      </c>
      <c r="D52" s="860" t="s">
        <v>54</v>
      </c>
      <c r="E52" s="860" t="s">
        <v>33</v>
      </c>
      <c r="F52" s="860" t="s">
        <v>55</v>
      </c>
      <c r="G52" s="860"/>
      <c r="H52" s="860" t="s">
        <v>56</v>
      </c>
      <c r="I52" s="861" t="s">
        <v>57</v>
      </c>
      <c r="J52" s="4073" t="s">
        <v>872</v>
      </c>
      <c r="K52" s="4074"/>
      <c r="L52" s="4074"/>
      <c r="M52" s="4075"/>
      <c r="N52" s="1883">
        <f>'VISITA DE INSP.'!J40</f>
        <v>56</v>
      </c>
      <c r="O52" s="1884">
        <f>'VISITA DE INSP.'!J39</f>
        <v>2</v>
      </c>
      <c r="P52" s="1883">
        <f>'VISITA DE INSP.'!K40</f>
        <v>64</v>
      </c>
      <c r="Q52" s="1884">
        <f>'VISITA DE INSP.'!K39</f>
        <v>2</v>
      </c>
      <c r="R52" s="1883">
        <f>'VISITA DE INSP.'!L40</f>
        <v>57</v>
      </c>
      <c r="S52" s="1884">
        <f>'VISITA DE INSP.'!L39</f>
        <v>2</v>
      </c>
      <c r="T52" s="1883">
        <f>'VISITA DE INSP.'!M40</f>
        <v>60</v>
      </c>
      <c r="U52" s="1884">
        <f>'VISITA DE INSP.'!M39</f>
        <v>2</v>
      </c>
      <c r="V52" s="1883">
        <f>'VISITA DE INSP.'!N40</f>
        <v>53</v>
      </c>
      <c r="W52" s="1884">
        <f>'VISITA DE INSP.'!N39</f>
        <v>2</v>
      </c>
      <c r="X52" s="1883">
        <f>'VISITA DE INSP.'!O40</f>
        <v>60</v>
      </c>
      <c r="Y52" s="1885">
        <f>'VISITA DE INSP.'!O39</f>
        <v>2</v>
      </c>
      <c r="Z52" s="4076">
        <f>SUM(N52,P52,R52,T52,V52,X52)</f>
        <v>350</v>
      </c>
      <c r="AA52" s="4077"/>
      <c r="AB52" s="990">
        <f>SUM(O52,Q52,S52,U52,W52,Y52)</f>
        <v>12</v>
      </c>
      <c r="AC52" s="978"/>
      <c r="AD52" s="979"/>
      <c r="AE52" s="987"/>
    </row>
    <row r="53" spans="1:36" ht="6.75" customHeight="1">
      <c r="A53" s="42"/>
      <c r="B53" s="68"/>
      <c r="C53" s="69">
        <v>10</v>
      </c>
      <c r="D53" s="69">
        <v>95</v>
      </c>
      <c r="E53" s="69">
        <v>20</v>
      </c>
      <c r="F53" s="69"/>
      <c r="G53" s="69"/>
      <c r="H53" s="69"/>
      <c r="I53" s="69"/>
      <c r="J53" s="70"/>
      <c r="K53" s="70"/>
      <c r="L53" s="70"/>
      <c r="M53" s="71"/>
      <c r="N53" s="71"/>
      <c r="O53" s="71"/>
      <c r="P53" s="71"/>
      <c r="Q53" s="71"/>
      <c r="R53" s="71"/>
      <c r="S53" s="71"/>
      <c r="T53" s="71"/>
      <c r="U53" s="71"/>
      <c r="V53" s="71"/>
      <c r="W53" s="71"/>
      <c r="X53" s="71"/>
      <c r="Y53" s="71"/>
      <c r="Z53" s="71"/>
      <c r="AA53" s="71"/>
      <c r="AB53" s="72"/>
      <c r="AC53" s="72"/>
      <c r="AD53" s="354"/>
      <c r="AE53" s="987"/>
    </row>
    <row r="54" spans="1:36" s="74" customFormat="1" ht="13.5" customHeight="1">
      <c r="A54" s="73"/>
      <c r="B54" s="2066" t="s">
        <v>1676</v>
      </c>
      <c r="C54" s="981"/>
      <c r="D54" s="981"/>
      <c r="E54" s="981"/>
      <c r="F54" s="981"/>
      <c r="G54" s="981"/>
      <c r="H54" s="981"/>
      <c r="I54" s="981"/>
      <c r="J54" s="981"/>
      <c r="K54" s="981"/>
      <c r="L54" s="981"/>
      <c r="M54" s="981"/>
      <c r="N54" s="981"/>
      <c r="O54" s="981"/>
      <c r="P54" s="981"/>
      <c r="Q54" s="981"/>
      <c r="R54" s="981"/>
      <c r="S54" s="982"/>
      <c r="T54" s="952"/>
      <c r="U54" s="980"/>
      <c r="V54" s="981"/>
      <c r="W54" s="981"/>
      <c r="X54" s="981"/>
      <c r="Y54" s="981"/>
      <c r="Z54" s="981"/>
      <c r="AA54" s="981"/>
      <c r="AB54" s="982"/>
      <c r="AC54" s="981"/>
      <c r="AD54" s="982"/>
      <c r="AE54" s="987"/>
      <c r="AF54" s="109"/>
      <c r="AG54" s="109"/>
      <c r="AH54" s="109"/>
      <c r="AJ54" s="17"/>
    </row>
    <row r="55" spans="1:36">
      <c r="A55" s="59"/>
      <c r="B55" s="983"/>
      <c r="C55" s="952"/>
      <c r="D55" s="952"/>
      <c r="E55" s="952"/>
      <c r="F55" s="952"/>
      <c r="G55" s="952"/>
      <c r="H55" s="952"/>
      <c r="I55" s="952"/>
      <c r="J55" s="952"/>
      <c r="K55" s="952"/>
      <c r="L55" s="952"/>
      <c r="M55" s="952"/>
      <c r="N55" s="952"/>
      <c r="O55" s="952"/>
      <c r="P55" s="952"/>
      <c r="Q55" s="952"/>
      <c r="R55" s="952"/>
      <c r="S55" s="984"/>
      <c r="T55" s="952"/>
      <c r="U55" s="983"/>
      <c r="V55" s="952"/>
      <c r="W55" s="952"/>
      <c r="X55" s="952"/>
      <c r="Y55" s="952"/>
      <c r="Z55" s="952"/>
      <c r="AA55" s="952"/>
      <c r="AB55" s="984"/>
      <c r="AC55" s="952"/>
      <c r="AD55" s="984"/>
      <c r="AE55" s="987"/>
    </row>
    <row r="56" spans="1:36">
      <c r="A56" s="59"/>
      <c r="B56" s="983"/>
      <c r="C56" s="952"/>
      <c r="D56" s="952"/>
      <c r="E56" s="952"/>
      <c r="F56" s="952"/>
      <c r="G56" s="952"/>
      <c r="H56" s="952"/>
      <c r="I56" s="952"/>
      <c r="J56" s="952"/>
      <c r="K56" s="952"/>
      <c r="L56" s="952"/>
      <c r="M56" s="952"/>
      <c r="N56" s="952"/>
      <c r="O56" s="952"/>
      <c r="P56" s="952"/>
      <c r="Q56" s="952"/>
      <c r="R56" s="952"/>
      <c r="S56" s="984"/>
      <c r="T56" s="952"/>
      <c r="U56" s="983"/>
      <c r="V56" s="952"/>
      <c r="W56" s="952"/>
      <c r="X56" s="952"/>
      <c r="Y56" s="952"/>
      <c r="Z56" s="952"/>
      <c r="AA56" s="952"/>
      <c r="AB56" s="984"/>
      <c r="AC56" s="952"/>
      <c r="AD56" s="984"/>
      <c r="AE56" s="987"/>
    </row>
    <row r="57" spans="1:36" s="777" customFormat="1" ht="11.25" customHeight="1">
      <c r="A57" s="985"/>
      <c r="B57" s="2062" t="s">
        <v>26</v>
      </c>
      <c r="C57" s="2063"/>
      <c r="D57" s="2063"/>
      <c r="E57" s="2063"/>
      <c r="F57" s="2063"/>
      <c r="G57" s="2063"/>
      <c r="H57" s="2063"/>
      <c r="I57" s="909"/>
      <c r="J57" s="909"/>
      <c r="K57" s="909"/>
      <c r="L57" s="909"/>
      <c r="M57" s="909"/>
      <c r="N57" s="909"/>
      <c r="O57" s="909"/>
      <c r="P57" s="909"/>
      <c r="Q57" s="909"/>
      <c r="R57" s="909"/>
      <c r="S57" s="2059"/>
      <c r="T57" s="909"/>
      <c r="U57" s="4081" t="str">
        <f>'VISITA DE INSP.'!G8</f>
        <v>CERVANTES BENITEZ * ANTONIA</v>
      </c>
      <c r="V57" s="4082"/>
      <c r="W57" s="4082"/>
      <c r="X57" s="4082"/>
      <c r="Y57" s="4082"/>
      <c r="Z57" s="4082"/>
      <c r="AA57" s="4082"/>
      <c r="AB57" s="4083"/>
      <c r="AC57" s="909"/>
      <c r="AD57" s="2059"/>
      <c r="AE57" s="988"/>
      <c r="AF57" s="618"/>
      <c r="AG57" s="618"/>
      <c r="AH57" s="618"/>
      <c r="AJ57" s="17"/>
    </row>
    <row r="58" spans="1:36" s="777" customFormat="1" ht="11.25" customHeight="1">
      <c r="A58" s="985"/>
      <c r="B58" s="2064" t="s">
        <v>866</v>
      </c>
      <c r="C58" s="2065"/>
      <c r="D58" s="2065"/>
      <c r="E58" s="2065"/>
      <c r="F58" s="2065"/>
      <c r="G58" s="2065"/>
      <c r="H58" s="2065"/>
      <c r="I58" s="2060"/>
      <c r="J58" s="2060"/>
      <c r="K58" s="2060"/>
      <c r="L58" s="2060"/>
      <c r="M58" s="2060"/>
      <c r="N58" s="2060"/>
      <c r="O58" s="2060"/>
      <c r="P58" s="2060"/>
      <c r="Q58" s="2060"/>
      <c r="R58" s="2060"/>
      <c r="S58" s="2061"/>
      <c r="T58" s="2067"/>
      <c r="U58" s="4078" t="s">
        <v>1675</v>
      </c>
      <c r="V58" s="4079"/>
      <c r="W58" s="4079"/>
      <c r="X58" s="4079"/>
      <c r="Y58" s="4079"/>
      <c r="Z58" s="4079"/>
      <c r="AA58" s="4079"/>
      <c r="AB58" s="4080"/>
      <c r="AC58" s="2060"/>
      <c r="AD58" s="2061"/>
      <c r="AE58" s="988"/>
      <c r="AF58" s="618"/>
      <c r="AG58" s="618"/>
      <c r="AH58" s="618"/>
      <c r="AJ58" s="17"/>
    </row>
    <row r="59" spans="1:36" ht="3.75" customHeight="1" thickBot="1">
      <c r="A59" s="75"/>
      <c r="B59" s="76"/>
      <c r="C59" s="77"/>
      <c r="D59" s="77"/>
      <c r="E59" s="77"/>
      <c r="F59" s="77"/>
      <c r="G59" s="77"/>
      <c r="H59" s="77"/>
      <c r="I59" s="77"/>
      <c r="J59" s="77"/>
      <c r="K59" s="77"/>
      <c r="L59" s="77"/>
      <c r="M59" s="77"/>
      <c r="N59" s="77"/>
      <c r="O59" s="77"/>
      <c r="P59" s="77"/>
      <c r="Q59" s="77"/>
      <c r="R59" s="77"/>
      <c r="S59" s="77"/>
      <c r="T59" s="77"/>
      <c r="U59" s="77"/>
      <c r="V59" s="77"/>
      <c r="W59" s="77"/>
      <c r="X59" s="78"/>
      <c r="Y59" s="78"/>
      <c r="Z59" s="78"/>
      <c r="AA59" s="78"/>
      <c r="AB59" s="79"/>
      <c r="AC59" s="79"/>
      <c r="AD59" s="951"/>
    </row>
    <row r="60" spans="1:36" ht="13.5" thickTop="1">
      <c r="X60" s="16"/>
      <c r="Y60" s="16"/>
      <c r="Z60" s="16"/>
      <c r="AA60" s="16"/>
      <c r="AB60" s="16"/>
      <c r="AC60" s="16"/>
    </row>
  </sheetData>
  <sheetProtection selectLockedCells="1"/>
  <mergeCells count="82">
    <mergeCell ref="V13:W13"/>
    <mergeCell ref="J13:J14"/>
    <mergeCell ref="N13:O13"/>
    <mergeCell ref="P13:Q13"/>
    <mergeCell ref="R13:S13"/>
    <mergeCell ref="T13:U13"/>
    <mergeCell ref="C51:I51"/>
    <mergeCell ref="Z51:AB51"/>
    <mergeCell ref="J52:M52"/>
    <mergeCell ref="Z52:AA52"/>
    <mergeCell ref="U58:AB58"/>
    <mergeCell ref="U57:AB57"/>
    <mergeCell ref="Z46:AB46"/>
    <mergeCell ref="Z47:AB47"/>
    <mergeCell ref="Z48:AB48"/>
    <mergeCell ref="Z49:AB49"/>
    <mergeCell ref="Z50:AB50"/>
    <mergeCell ref="Z41:AB41"/>
    <mergeCell ref="Z42:AB42"/>
    <mergeCell ref="Z43:AB43"/>
    <mergeCell ref="Z44:AB44"/>
    <mergeCell ref="Z45:AB45"/>
    <mergeCell ref="Z36:AB36"/>
    <mergeCell ref="Z37:AB37"/>
    <mergeCell ref="Z38:AB38"/>
    <mergeCell ref="Z39:AB39"/>
    <mergeCell ref="Z40:AB40"/>
    <mergeCell ref="Z31:AB31"/>
    <mergeCell ref="Z32:AB32"/>
    <mergeCell ref="Z33:AB33"/>
    <mergeCell ref="Z34:AB34"/>
    <mergeCell ref="Z35:AB35"/>
    <mergeCell ref="Z26:AB26"/>
    <mergeCell ref="Z27:AB27"/>
    <mergeCell ref="Z28:AB28"/>
    <mergeCell ref="Z29:AB29"/>
    <mergeCell ref="Z30:AB30"/>
    <mergeCell ref="Z21:AB21"/>
    <mergeCell ref="Z22:AB22"/>
    <mergeCell ref="Z23:AB23"/>
    <mergeCell ref="Z24:AB24"/>
    <mergeCell ref="Z25:AB25"/>
    <mergeCell ref="Z16:AB16"/>
    <mergeCell ref="Z17:AB17"/>
    <mergeCell ref="Z18:AB18"/>
    <mergeCell ref="Z19:AB19"/>
    <mergeCell ref="Z20:AB20"/>
    <mergeCell ref="AC12:AD14"/>
    <mergeCell ref="AC15:AD15"/>
    <mergeCell ref="B4:E4"/>
    <mergeCell ref="B10:C10"/>
    <mergeCell ref="B12:B14"/>
    <mergeCell ref="C12:I14"/>
    <mergeCell ref="N12:Y12"/>
    <mergeCell ref="Z12:AB14"/>
    <mergeCell ref="S5:T5"/>
    <mergeCell ref="Q5:R5"/>
    <mergeCell ref="Z15:AB15"/>
    <mergeCell ref="X13:Y13"/>
    <mergeCell ref="M13:M14"/>
    <mergeCell ref="L13:L14"/>
    <mergeCell ref="K13:K14"/>
    <mergeCell ref="J12:M12"/>
    <mergeCell ref="AC34:AD34"/>
    <mergeCell ref="AC28:AD28"/>
    <mergeCell ref="AC29:AD29"/>
    <mergeCell ref="AC30:AD30"/>
    <mergeCell ref="AC31:AD31"/>
    <mergeCell ref="AC32:AD32"/>
    <mergeCell ref="AC33:AD33"/>
    <mergeCell ref="AC27:AD27"/>
    <mergeCell ref="AC16:AD16"/>
    <mergeCell ref="AC22:AD22"/>
    <mergeCell ref="AC23:AD23"/>
    <mergeCell ref="AC24:AD24"/>
    <mergeCell ref="AC25:AD25"/>
    <mergeCell ref="AC26:AD26"/>
    <mergeCell ref="AC17:AD17"/>
    <mergeCell ref="AC18:AD18"/>
    <mergeCell ref="AC19:AD19"/>
    <mergeCell ref="AC20:AD20"/>
    <mergeCell ref="AC21:AD21"/>
  </mergeCells>
  <conditionalFormatting sqref="M35:M51 AE15:AE34">
    <cfRule type="cellIs" dxfId="861" priority="23" stopIfTrue="1" operator="equal">
      <formula>0</formula>
    </cfRule>
    <cfRule type="cellIs" dxfId="860" priority="24" stopIfTrue="1" operator="equal">
      <formula>#N/A</formula>
    </cfRule>
  </conditionalFormatting>
  <conditionalFormatting sqref="Z15:AC51 B15:AD34 N52:Y52">
    <cfRule type="cellIs" dxfId="859" priority="22" stopIfTrue="1" operator="equal">
      <formula>0</formula>
    </cfRule>
  </conditionalFormatting>
  <conditionalFormatting sqref="K15:K34">
    <cfRule type="cellIs" dxfId="858" priority="6" stopIfTrue="1" operator="equal">
      <formula>"BASE"</formula>
    </cfRule>
    <cfRule type="cellIs" dxfId="857" priority="15" stopIfTrue="1" operator="equal">
      <formula>0</formula>
    </cfRule>
    <cfRule type="cellIs" priority="16" stopIfTrue="1" operator="equal">
      <formula>0</formula>
    </cfRule>
  </conditionalFormatting>
  <conditionalFormatting sqref="W8:W9">
    <cfRule type="cellIs" dxfId="856" priority="14" stopIfTrue="1" operator="equal">
      <formula>0</formula>
    </cfRule>
  </conditionalFormatting>
  <conditionalFormatting sqref="L15:L34">
    <cfRule type="cellIs" dxfId="855" priority="5" stopIfTrue="1" operator="equal">
      <formula>"HONORARIO"</formula>
    </cfRule>
    <cfRule type="cellIs" dxfId="854" priority="8" stopIfTrue="1" operator="equal">
      <formula>"BASE"</formula>
    </cfRule>
    <cfRule type="cellIs" dxfId="853" priority="11" stopIfTrue="1" operator="equal">
      <formula>0</formula>
    </cfRule>
    <cfRule type="cellIs" priority="12" stopIfTrue="1" operator="equal">
      <formula>0</formula>
    </cfRule>
  </conditionalFormatting>
  <conditionalFormatting sqref="M15:M34">
    <cfRule type="cellIs" dxfId="852" priority="2" stopIfTrue="1" operator="equal">
      <formula>"HONORARIO"</formula>
    </cfRule>
    <cfRule type="cellIs" dxfId="851" priority="3" stopIfTrue="1" operator="equal">
      <formula>"HONARARIO"</formula>
    </cfRule>
    <cfRule type="cellIs" dxfId="850" priority="4" stopIfTrue="1" operator="equal">
      <formula>"BASE"</formula>
    </cfRule>
    <cfRule type="cellIs" dxfId="849" priority="7" stopIfTrue="1" operator="equal">
      <formula>"BASE"</formula>
    </cfRule>
    <cfRule type="cellIs" dxfId="848" priority="9" stopIfTrue="1" operator="equal">
      <formula>0</formula>
    </cfRule>
    <cfRule type="cellIs" priority="10" stopIfTrue="1" operator="equal">
      <formula>0</formula>
    </cfRule>
  </conditionalFormatting>
  <pageMargins left="0.19" right="0.22" top="0.22" bottom="0.35433070866141736" header="0" footer="0"/>
  <pageSetup paperSize="9" scale="93" orientation="landscape" r:id="rId1"/>
  <colBreaks count="1" manualBreakCount="1">
    <brk id="35" min="2" max="57" man="1"/>
  </colBreaks>
  <ignoredErrors>
    <ignoredError sqref="O15:W31 O33:W34 X15:X34 O32:U32 V32:W32" formula="1"/>
  </ignoredErrors>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6">
    <tabColor rgb="FF002060"/>
  </sheetPr>
  <dimension ref="A1:AG48"/>
  <sheetViews>
    <sheetView view="pageBreakPreview" zoomScaleSheetLayoutView="100" workbookViewId="0">
      <selection activeCell="E19" sqref="E19:AJ20"/>
    </sheetView>
  </sheetViews>
  <sheetFormatPr baseColWidth="10" defaultRowHeight="12.75"/>
  <cols>
    <col min="1" max="1" width="0.42578125" style="16" customWidth="1"/>
    <col min="2" max="2" width="4.85546875" style="16" customWidth="1"/>
    <col min="3" max="3" width="4.28515625" style="16" customWidth="1"/>
    <col min="4" max="4" width="8.5703125" style="16" customWidth="1"/>
    <col min="5" max="5" width="18.140625" style="16" customWidth="1"/>
    <col min="6" max="6" width="12.7109375" style="16" customWidth="1"/>
    <col min="7" max="7" width="10" style="16" customWidth="1"/>
    <col min="8" max="8" width="28.140625" style="16" customWidth="1"/>
    <col min="9" max="9" width="12" style="16" hidden="1" customWidth="1"/>
    <col min="10" max="10" width="15.28515625" style="16" hidden="1" customWidth="1"/>
    <col min="11" max="11" width="6" style="176" customWidth="1"/>
    <col min="12" max="12" width="12" style="176" customWidth="1"/>
    <col min="13" max="14" width="3" style="16" customWidth="1"/>
    <col min="15" max="15" width="6.140625" style="16" customWidth="1"/>
    <col min="16" max="17" width="6.85546875" style="16" customWidth="1"/>
    <col min="18" max="18" width="0.28515625" style="16" customWidth="1"/>
    <col min="19" max="25" width="5.42578125" style="16" customWidth="1"/>
    <col min="26" max="27" width="2.140625" style="16" customWidth="1"/>
    <col min="28" max="28" width="5.42578125" style="16" customWidth="1"/>
    <col min="29" max="29" width="0.42578125" style="16" customWidth="1"/>
    <col min="30" max="30" width="3.7109375" style="177" hidden="1" customWidth="1"/>
    <col min="31" max="33" width="5.7109375" style="177" hidden="1" customWidth="1"/>
    <col min="34" max="34" width="0" style="16" hidden="1" customWidth="1"/>
    <col min="35" max="16384" width="11.42578125" style="16"/>
  </cols>
  <sheetData>
    <row r="1" spans="2:33" ht="15" customHeight="1">
      <c r="B1" s="2808" t="s">
        <v>2019</v>
      </c>
      <c r="C1" s="2791" t="s">
        <v>1985</v>
      </c>
      <c r="D1" s="2792" t="str">
        <f>'VISITA DE INSP.'!AT9</f>
        <v>2012 / 2013</v>
      </c>
      <c r="E1" s="2812" t="s">
        <v>2020</v>
      </c>
      <c r="F1" s="2791" t="str">
        <f>'VISITA DE INSP.'!E7</f>
        <v>KABAH</v>
      </c>
      <c r="G1" s="2793" t="str">
        <f>'VISITA DE INSP.'!AE7</f>
        <v>MATUTINO</v>
      </c>
      <c r="H1" s="2791" t="str">
        <f>'VISITA DE INSP.'!V7</f>
        <v>23DPR0055K</v>
      </c>
      <c r="I1" s="2794"/>
      <c r="J1" s="2794"/>
      <c r="K1" s="2795"/>
      <c r="L1" s="2795"/>
      <c r="M1" s="2796"/>
      <c r="N1" s="2796"/>
      <c r="O1" s="2796"/>
      <c r="P1" s="2796"/>
      <c r="Q1" s="828"/>
    </row>
    <row r="2" spans="2:33" ht="13.5" customHeight="1">
      <c r="B2" s="2764"/>
      <c r="C2" s="2764"/>
      <c r="D2" s="828"/>
      <c r="E2" s="828"/>
      <c r="F2" s="5480" t="s">
        <v>1983</v>
      </c>
      <c r="G2" s="5480"/>
      <c r="H2" s="5480"/>
      <c r="I2" s="5480"/>
      <c r="J2" s="5480"/>
      <c r="K2" s="5480"/>
      <c r="L2" s="2765"/>
      <c r="M2" s="2766"/>
      <c r="N2" s="2766"/>
      <c r="O2" s="2766"/>
      <c r="P2" s="2766"/>
      <c r="Q2" s="2766"/>
      <c r="R2" s="178"/>
      <c r="S2" s="178"/>
      <c r="T2" s="178"/>
      <c r="U2" s="178"/>
      <c r="V2" s="178"/>
      <c r="W2" s="178"/>
      <c r="X2" s="178"/>
      <c r="Y2" s="178"/>
      <c r="Z2" s="179"/>
    </row>
    <row r="3" spans="2:33" ht="13.5" customHeight="1">
      <c r="B3" s="2764"/>
      <c r="C3" s="2764"/>
      <c r="D3" s="828"/>
      <c r="E3" s="828"/>
      <c r="F3" s="5480" t="s">
        <v>926</v>
      </c>
      <c r="G3" s="5480"/>
      <c r="H3" s="5480"/>
      <c r="I3" s="5480"/>
      <c r="J3" s="5480"/>
      <c r="K3" s="5480"/>
      <c r="L3" s="2765"/>
      <c r="M3" s="2766"/>
      <c r="N3" s="2766"/>
      <c r="O3" s="2766"/>
      <c r="P3" s="2766"/>
      <c r="Q3" s="2766"/>
      <c r="R3" s="174"/>
      <c r="S3" s="174"/>
      <c r="T3" s="174"/>
      <c r="U3" s="174"/>
      <c r="V3" s="174"/>
      <c r="W3" s="174"/>
      <c r="X3" s="174"/>
      <c r="Y3" s="174"/>
      <c r="Z3" s="180"/>
      <c r="AA3" s="181"/>
      <c r="AB3" s="182"/>
      <c r="AD3" s="110"/>
      <c r="AE3" s="111">
        <v>0</v>
      </c>
      <c r="AF3" s="86">
        <v>0</v>
      </c>
    </row>
    <row r="4" spans="2:33" ht="13.5" customHeight="1">
      <c r="B4" s="2980"/>
      <c r="C4" s="2980"/>
      <c r="D4" s="3030"/>
      <c r="E4" s="3031"/>
      <c r="F4" s="5480" t="s">
        <v>927</v>
      </c>
      <c r="G4" s="5480"/>
      <c r="H4" s="5480"/>
      <c r="I4" s="5480"/>
      <c r="J4" s="5480"/>
      <c r="K4" s="5480"/>
      <c r="L4" s="2765"/>
      <c r="M4" s="2766"/>
      <c r="N4" s="2766"/>
      <c r="O4" s="2766"/>
      <c r="P4" s="2766"/>
      <c r="Q4" s="2766"/>
      <c r="R4" s="174"/>
      <c r="S4" s="174"/>
      <c r="T4" s="174"/>
      <c r="U4" s="174"/>
      <c r="V4" s="174"/>
      <c r="W4" s="174"/>
      <c r="X4" s="174"/>
      <c r="Y4" s="174"/>
      <c r="Z4" s="179"/>
      <c r="AB4" s="183"/>
      <c r="AD4" s="110"/>
      <c r="AE4" s="87">
        <v>3</v>
      </c>
      <c r="AF4" s="87" t="s">
        <v>61</v>
      </c>
    </row>
    <row r="5" spans="2:33" ht="13.5" customHeight="1">
      <c r="B5" s="2980"/>
      <c r="C5" s="3035" t="s">
        <v>1156</v>
      </c>
      <c r="D5" s="2994" t="s">
        <v>2309</v>
      </c>
      <c r="E5" s="3032"/>
      <c r="F5" s="5480" t="s">
        <v>1984</v>
      </c>
      <c r="G5" s="5480"/>
      <c r="H5" s="5480"/>
      <c r="I5" s="5480"/>
      <c r="J5" s="5480"/>
      <c r="K5" s="5480"/>
      <c r="L5" s="2767"/>
      <c r="M5" s="828"/>
      <c r="N5" s="828"/>
      <c r="O5" s="828"/>
      <c r="P5" s="828"/>
      <c r="Q5" s="828"/>
      <c r="R5" s="184"/>
      <c r="S5" s="174"/>
      <c r="T5" s="185"/>
      <c r="U5" s="185"/>
      <c r="V5" s="174"/>
      <c r="W5" s="174"/>
      <c r="X5" s="174"/>
      <c r="Y5" s="174"/>
      <c r="Z5" s="174"/>
      <c r="AA5" s="126"/>
      <c r="AD5" s="110"/>
      <c r="AE5" s="87">
        <v>9</v>
      </c>
      <c r="AF5" s="82" t="s">
        <v>56</v>
      </c>
    </row>
    <row r="6" spans="2:33" ht="13.5" customHeight="1">
      <c r="B6" s="2980"/>
      <c r="C6" s="3035" t="s">
        <v>69</v>
      </c>
      <c r="D6" s="2994" t="s">
        <v>2309</v>
      </c>
      <c r="E6" s="1652"/>
      <c r="F6" s="2790"/>
      <c r="G6" s="2790"/>
      <c r="H6" s="2790"/>
      <c r="I6" s="2790"/>
      <c r="J6" s="2790"/>
      <c r="K6" s="2328"/>
      <c r="L6" s="2767"/>
      <c r="M6" s="828"/>
      <c r="N6" s="828"/>
      <c r="O6" s="828"/>
      <c r="P6" s="5498" t="s">
        <v>1986</v>
      </c>
      <c r="Q6" s="5499"/>
      <c r="R6" s="184"/>
      <c r="S6" s="174"/>
      <c r="T6" s="185"/>
      <c r="U6" s="185"/>
      <c r="V6" s="174"/>
      <c r="W6" s="174"/>
      <c r="X6" s="174"/>
      <c r="Y6" s="174"/>
      <c r="Z6" s="174"/>
      <c r="AA6" s="126"/>
      <c r="AD6" s="110"/>
      <c r="AE6" s="87"/>
      <c r="AF6" s="82"/>
    </row>
    <row r="7" spans="2:33" ht="12" customHeight="1">
      <c r="B7" s="2980"/>
      <c r="C7" s="3036" t="s">
        <v>77</v>
      </c>
      <c r="D7" s="2994" t="s">
        <v>1992</v>
      </c>
      <c r="E7" s="1652"/>
      <c r="F7" s="5492" t="str">
        <f>CONCATENATE(C1,D1)</f>
        <v>LISTA DE ASISTENCIA. CICLO ESCOLAR  2012 / 2013</v>
      </c>
      <c r="G7" s="5492"/>
      <c r="H7" s="5492"/>
      <c r="I7" s="5492"/>
      <c r="J7" s="5492"/>
      <c r="K7" s="5492"/>
      <c r="L7" s="2752"/>
      <c r="M7" s="1074"/>
      <c r="N7" s="828"/>
      <c r="O7" s="828"/>
      <c r="P7" s="2817" t="s">
        <v>406</v>
      </c>
      <c r="Q7" s="2818">
        <f>COUNTIF(O15:O34,"H")</f>
        <v>3</v>
      </c>
      <c r="R7" s="122"/>
      <c r="S7" s="122"/>
      <c r="T7" s="122"/>
      <c r="U7" s="122"/>
      <c r="V7" s="122"/>
      <c r="W7" s="122"/>
      <c r="X7" s="122"/>
      <c r="Y7" s="122"/>
      <c r="AA7" s="186"/>
      <c r="AB7" s="141"/>
      <c r="AD7" s="110"/>
      <c r="AE7" s="87">
        <v>10</v>
      </c>
      <c r="AF7" s="82" t="s">
        <v>31</v>
      </c>
    </row>
    <row r="8" spans="2:33" ht="12" customHeight="1">
      <c r="B8" s="2980"/>
      <c r="C8" s="3034"/>
      <c r="D8" s="3033"/>
      <c r="E8" s="828"/>
      <c r="F8" s="988"/>
      <c r="G8" s="988"/>
      <c r="H8" s="2768"/>
      <c r="I8" s="1652"/>
      <c r="J8" s="1652"/>
      <c r="K8" s="2769"/>
      <c r="L8" s="2752"/>
      <c r="M8" s="828"/>
      <c r="N8" s="828"/>
      <c r="O8" s="828"/>
      <c r="P8" s="2816" t="s">
        <v>407</v>
      </c>
      <c r="Q8" s="2816">
        <f>COUNTIF(O15:O34,"M")</f>
        <v>12</v>
      </c>
      <c r="W8" s="186"/>
      <c r="AA8" s="187"/>
      <c r="AB8" s="698"/>
      <c r="AD8" s="110"/>
      <c r="AE8" s="87">
        <v>20</v>
      </c>
      <c r="AF8" s="82" t="s">
        <v>33</v>
      </c>
    </row>
    <row r="9" spans="2:33" s="173" customFormat="1" ht="12" customHeight="1">
      <c r="B9" s="2770" t="s">
        <v>1987</v>
      </c>
      <c r="C9" s="2771"/>
      <c r="D9" s="2772"/>
      <c r="E9" s="2811" t="s">
        <v>2483</v>
      </c>
      <c r="F9" s="2773"/>
      <c r="G9" s="2774"/>
      <c r="I9" s="2779"/>
      <c r="J9" s="2773"/>
      <c r="K9" s="2774" t="s">
        <v>1524</v>
      </c>
      <c r="L9" s="2811" t="s">
        <v>2484</v>
      </c>
      <c r="M9" s="2809"/>
      <c r="N9" s="2809"/>
      <c r="O9" s="2992"/>
      <c r="P9" s="2780" t="s">
        <v>495</v>
      </c>
      <c r="Q9" s="2781">
        <f>SUM(Q7:Q8)</f>
        <v>15</v>
      </c>
      <c r="R9" s="16"/>
      <c r="S9" s="16"/>
      <c r="T9" s="16"/>
      <c r="X9" s="189"/>
      <c r="AA9" s="188"/>
      <c r="AB9" s="184"/>
      <c r="AD9" s="190"/>
      <c r="AE9" s="175">
        <v>95</v>
      </c>
      <c r="AF9" s="83" t="s">
        <v>62</v>
      </c>
    </row>
    <row r="10" spans="2:33" s="173" customFormat="1" ht="4.5" customHeight="1">
      <c r="B10" s="2776"/>
      <c r="C10" s="2771"/>
      <c r="D10" s="2771"/>
      <c r="E10" s="2771"/>
      <c r="F10" s="2771"/>
      <c r="G10" s="2771"/>
      <c r="H10" s="2771"/>
      <c r="I10" s="2777"/>
      <c r="J10" s="2777"/>
      <c r="K10" s="2775"/>
      <c r="L10" s="2775"/>
      <c r="M10" s="2771"/>
      <c r="N10" s="2771"/>
      <c r="O10" s="2776"/>
      <c r="P10" s="2776"/>
      <c r="Q10" s="2776"/>
      <c r="R10" s="121"/>
      <c r="S10" s="121"/>
      <c r="T10" s="121"/>
      <c r="W10" s="188"/>
      <c r="X10" s="189"/>
      <c r="AA10" s="188"/>
      <c r="AB10" s="184"/>
      <c r="AD10" s="190"/>
      <c r="AE10" s="175"/>
      <c r="AF10" s="83"/>
    </row>
    <row r="11" spans="2:33" s="173" customFormat="1" ht="12" customHeight="1">
      <c r="B11" s="2778" t="s">
        <v>1988</v>
      </c>
      <c r="C11" s="2771"/>
      <c r="D11" s="2809" t="str">
        <f>VLOOKUP(Q11,C5:D8,2,2)</f>
        <v>JORNADA DE 08:00 A 11:30  HORAS</v>
      </c>
      <c r="E11" s="2809"/>
      <c r="F11" s="2809"/>
      <c r="H11" s="2813" t="s">
        <v>2028</v>
      </c>
      <c r="I11" s="2810"/>
      <c r="J11" s="2810"/>
      <c r="K11" s="2809" t="str">
        <f>CONCATENATE(F1)</f>
        <v>KABAH</v>
      </c>
      <c r="L11" s="2775"/>
      <c r="M11" s="2773"/>
      <c r="N11" s="1652"/>
      <c r="O11" s="1652"/>
      <c r="P11" s="2811"/>
      <c r="Q11" s="2993" t="str">
        <f>'VISITA DE INSP.'!AE7</f>
        <v>MATUTINO</v>
      </c>
      <c r="R11" s="121"/>
      <c r="S11" s="121"/>
      <c r="T11" s="121"/>
      <c r="W11" s="188"/>
      <c r="X11" s="2750"/>
      <c r="AA11" s="188"/>
      <c r="AB11" s="184"/>
      <c r="AD11" s="190"/>
      <c r="AE11" s="175"/>
      <c r="AF11" s="83"/>
    </row>
    <row r="12" spans="2:33" ht="4.5" customHeight="1">
      <c r="B12" s="828"/>
      <c r="C12" s="2884"/>
      <c r="D12" s="828"/>
      <c r="E12" s="2884"/>
      <c r="F12" s="2885"/>
      <c r="G12" s="2885"/>
      <c r="H12" s="2885"/>
      <c r="I12" s="2886"/>
      <c r="J12" s="2886"/>
      <c r="K12" s="2887"/>
      <c r="L12" s="2888"/>
      <c r="M12" s="2889"/>
      <c r="N12" s="2884"/>
      <c r="O12" s="2884"/>
      <c r="P12" s="2884"/>
      <c r="Q12" s="2884"/>
      <c r="R12" s="192"/>
      <c r="S12" s="192"/>
      <c r="T12" s="192"/>
      <c r="W12" s="193"/>
      <c r="X12" s="191"/>
      <c r="AA12" s="187"/>
      <c r="AB12" s="698"/>
      <c r="AD12" s="110"/>
      <c r="AE12" s="87"/>
      <c r="AF12" s="82"/>
    </row>
    <row r="13" spans="2:33" ht="19.5" customHeight="1">
      <c r="B13" s="2807">
        <v>2</v>
      </c>
      <c r="C13" s="5497" t="s">
        <v>1581</v>
      </c>
      <c r="D13" s="5497"/>
      <c r="E13" s="5497"/>
      <c r="F13" s="5491" t="s">
        <v>1993</v>
      </c>
      <c r="G13" s="2866" t="s">
        <v>1989</v>
      </c>
      <c r="H13" s="5485" t="s">
        <v>846</v>
      </c>
      <c r="I13" s="2876" t="s">
        <v>374</v>
      </c>
      <c r="J13" s="5495" t="s">
        <v>2137</v>
      </c>
      <c r="K13" s="5493" t="s">
        <v>1996</v>
      </c>
      <c r="L13" s="2864" t="s">
        <v>1990</v>
      </c>
      <c r="M13" s="5493" t="s">
        <v>1995</v>
      </c>
      <c r="N13" s="5493"/>
      <c r="O13" s="5485" t="s">
        <v>1994</v>
      </c>
      <c r="P13" s="5485" t="s">
        <v>1958</v>
      </c>
      <c r="Q13" s="5485"/>
      <c r="R13" s="194"/>
      <c r="S13" s="194"/>
      <c r="T13" s="194"/>
      <c r="U13" s="194"/>
      <c r="V13" s="194"/>
      <c r="W13" s="194"/>
      <c r="Y13" s="194"/>
      <c r="Z13" s="194"/>
      <c r="AA13" s="194"/>
      <c r="AB13" s="194"/>
      <c r="AD13" s="110"/>
      <c r="AE13" s="87">
        <v>100</v>
      </c>
      <c r="AF13" s="82" t="s">
        <v>64</v>
      </c>
    </row>
    <row r="14" spans="2:33" s="195" customFormat="1" ht="33.75" customHeight="1">
      <c r="B14" s="2991" t="s">
        <v>2308</v>
      </c>
      <c r="C14" s="5490" t="s">
        <v>1991</v>
      </c>
      <c r="D14" s="5490"/>
      <c r="E14" s="5490"/>
      <c r="F14" s="5490"/>
      <c r="G14" s="2797" t="s">
        <v>481</v>
      </c>
      <c r="H14" s="5486"/>
      <c r="I14" s="2865" t="s">
        <v>1670</v>
      </c>
      <c r="J14" s="5496"/>
      <c r="K14" s="5494"/>
      <c r="L14" s="2798" t="s">
        <v>2392</v>
      </c>
      <c r="M14" s="5494"/>
      <c r="N14" s="5494"/>
      <c r="O14" s="5486"/>
      <c r="P14" s="5486"/>
      <c r="Q14" s="5486"/>
      <c r="R14" s="194"/>
      <c r="S14" s="194"/>
      <c r="T14" s="194"/>
      <c r="U14" s="194"/>
      <c r="V14" s="194"/>
      <c r="W14" s="194"/>
      <c r="X14" s="194"/>
      <c r="Y14" s="194"/>
      <c r="Z14" s="194"/>
      <c r="AA14" s="194"/>
      <c r="AB14" s="194"/>
      <c r="AD14" s="110"/>
      <c r="AE14" s="87">
        <v>101</v>
      </c>
      <c r="AF14" s="82" t="s">
        <v>37</v>
      </c>
      <c r="AG14" s="196"/>
    </row>
    <row r="15" spans="2:33" s="195" customFormat="1" ht="15.75" customHeight="1">
      <c r="B15" s="2757">
        <v>1</v>
      </c>
      <c r="C15" s="5482" t="str">
        <f>'VISITA DE INSP.'!DK23</f>
        <v>CERVANTES BENITEZ * ANTONIA</v>
      </c>
      <c r="D15" s="5483"/>
      <c r="E15" s="5484"/>
      <c r="F15" s="2890" t="str">
        <f>'VISITA DE INSP.'!DL23</f>
        <v>CEBA641230GX0</v>
      </c>
      <c r="G15" s="2891" t="str">
        <f>'VISITA DE INSP.'!AV17</f>
        <v>23DPR0055K</v>
      </c>
      <c r="H15" s="2892" t="str">
        <f>'VISITA DE INSP.'!AW17</f>
        <v>KABAH</v>
      </c>
      <c r="I15" s="2919" t="str">
        <f>'VISITA DE INSP.'!DM23</f>
        <v>078312 E022100.0231688</v>
      </c>
      <c r="J15" s="2918" t="str">
        <f>'VISITA DE INSP.'!AR17</f>
        <v>CEBA641230MSL</v>
      </c>
      <c r="K15" s="2891" t="str">
        <f>'VISITA DE INSP.'!I17</f>
        <v>042</v>
      </c>
      <c r="L15" s="2890" t="str">
        <f>'VISITA DE INSP.'!AP17</f>
        <v>DIRECTOR</v>
      </c>
      <c r="M15" s="2893">
        <f>'VISITA DE INSP.'!B17</f>
        <v>0</v>
      </c>
      <c r="N15" s="2894">
        <f>'VISITA DE INSP.'!C17</f>
        <v>0</v>
      </c>
      <c r="O15" s="2895" t="str">
        <f>MID(J15,11,1)</f>
        <v>M</v>
      </c>
      <c r="P15" s="2896"/>
      <c r="Q15" s="2981"/>
      <c r="R15" s="197"/>
      <c r="S15" s="197"/>
      <c r="U15" s="197"/>
      <c r="V15" s="197"/>
      <c r="W15" s="198"/>
      <c r="X15" s="198"/>
      <c r="Y15" s="198"/>
      <c r="Z15" s="5500"/>
      <c r="AA15" s="5500"/>
      <c r="AB15" s="5500"/>
      <c r="AD15" s="110" t="e">
        <f>#REF!</f>
        <v>#REF!</v>
      </c>
      <c r="AE15" s="87">
        <v>102</v>
      </c>
      <c r="AF15" s="82" t="s">
        <v>65</v>
      </c>
      <c r="AG15" s="196"/>
    </row>
    <row r="16" spans="2:33" s="195" customFormat="1" ht="15.75" customHeight="1">
      <c r="B16" s="2758">
        <f>B15+1</f>
        <v>2</v>
      </c>
      <c r="C16" s="5482" t="str">
        <f>'VISITA DE INSP.'!DK24</f>
        <v>ARANDA ESCALANTE * ARELI GUADALUPE</v>
      </c>
      <c r="D16" s="5483"/>
      <c r="E16" s="5484"/>
      <c r="F16" s="2890" t="str">
        <f>'VISITA DE INSP.'!DL24</f>
        <v>AAEA820728V25</v>
      </c>
      <c r="G16" s="2891" t="str">
        <f>'VISITA DE INSP.'!AV18</f>
        <v>23DPR0055K</v>
      </c>
      <c r="H16" s="2892" t="str">
        <f>'VISITA DE INSP.'!AW18</f>
        <v>KABAH</v>
      </c>
      <c r="I16" s="2919" t="str">
        <f>'VISITA DE INSP.'!DM24</f>
        <v>078312 E028100.0230501</v>
      </c>
      <c r="J16" s="2918" t="str">
        <f>'VISITA DE INSP.'!AR18</f>
        <v>AAEA820728MYN</v>
      </c>
      <c r="K16" s="2891" t="str">
        <f>'VISITA DE INSP.'!I18</f>
        <v>042</v>
      </c>
      <c r="L16" s="2890" t="str">
        <f>'VISITA DE INSP.'!AP18</f>
        <v>DOCENTE</v>
      </c>
      <c r="M16" s="2893" t="str">
        <f>'VISITA DE INSP.'!B18</f>
        <v>1º</v>
      </c>
      <c r="N16" s="2894" t="str">
        <f>'VISITA DE INSP.'!C18</f>
        <v>A</v>
      </c>
      <c r="O16" s="2895" t="str">
        <f t="shared" ref="O16:O34" si="0">MID(J16,11,1)</f>
        <v>M</v>
      </c>
      <c r="P16" s="2979"/>
      <c r="Q16" s="2981"/>
      <c r="R16" s="197"/>
      <c r="S16" s="197"/>
      <c r="U16" s="197"/>
      <c r="V16" s="197"/>
      <c r="W16" s="198"/>
      <c r="X16" s="198"/>
      <c r="Y16" s="198"/>
      <c r="Z16" s="5500"/>
      <c r="AA16" s="5500"/>
      <c r="AB16" s="5500"/>
      <c r="AD16" s="110" t="e">
        <f>#REF!</f>
        <v>#REF!</v>
      </c>
      <c r="AE16" s="87"/>
      <c r="AF16" s="199" t="s">
        <v>69</v>
      </c>
      <c r="AG16" s="200" t="s">
        <v>78</v>
      </c>
    </row>
    <row r="17" spans="2:33" s="195" customFormat="1" ht="15.75" customHeight="1">
      <c r="B17" s="2758">
        <f t="shared" ref="B17:B34" si="1">B16+1</f>
        <v>3</v>
      </c>
      <c r="C17" s="5482" t="str">
        <f>'VISITA DE INSP.'!DK25</f>
        <v>AKE QUEB * MARIANA DEL CONSUELO</v>
      </c>
      <c r="D17" s="5483"/>
      <c r="E17" s="5484"/>
      <c r="F17" s="2890" t="str">
        <f>'VISITA DE INSP.'!DL25</f>
        <v>AEQM701008HL2</v>
      </c>
      <c r="G17" s="2891" t="str">
        <f>'VISITA DE INSP.'!AV19</f>
        <v>23DPR0055K</v>
      </c>
      <c r="H17" s="2892" t="str">
        <f>'VISITA DE INSP.'!AW19</f>
        <v>KABAH</v>
      </c>
      <c r="I17" s="2919" t="str">
        <f>'VISITA DE INSP.'!DM25</f>
        <v>078312 E028100.0233023</v>
      </c>
      <c r="J17" s="2918" t="str">
        <f>'VISITA DE INSP.'!AR19</f>
        <v>AEQM701008MCC</v>
      </c>
      <c r="K17" s="2891" t="str">
        <f>'VISITA DE INSP.'!I19</f>
        <v>042</v>
      </c>
      <c r="L17" s="2890" t="str">
        <f>'VISITA DE INSP.'!AP19</f>
        <v>DOCENTE</v>
      </c>
      <c r="M17" s="2893" t="str">
        <f>'VISITA DE INSP.'!B19</f>
        <v>1º</v>
      </c>
      <c r="N17" s="2894" t="str">
        <f>'VISITA DE INSP.'!C19</f>
        <v>B</v>
      </c>
      <c r="O17" s="2895" t="str">
        <f t="shared" si="0"/>
        <v>M</v>
      </c>
      <c r="P17" s="2979"/>
      <c r="Q17" s="2981"/>
      <c r="R17" s="201"/>
      <c r="S17" s="197"/>
      <c r="U17" s="197"/>
      <c r="W17" s="198"/>
      <c r="X17" s="198"/>
      <c r="Y17" s="198"/>
      <c r="Z17" s="5500"/>
      <c r="AA17" s="5500"/>
      <c r="AB17" s="5500"/>
      <c r="AD17" s="110" t="e">
        <f>#REF!</f>
        <v>#REF!</v>
      </c>
      <c r="AE17" s="87" t="e">
        <f>VLOOKUP(W12,AF16:AG17,2,0)</f>
        <v>#N/A</v>
      </c>
      <c r="AF17" s="199" t="s">
        <v>77</v>
      </c>
      <c r="AG17" s="200">
        <v>0</v>
      </c>
    </row>
    <row r="18" spans="2:33" s="195" customFormat="1" ht="15.75" customHeight="1">
      <c r="B18" s="2758">
        <f t="shared" si="1"/>
        <v>4</v>
      </c>
      <c r="C18" s="5482" t="str">
        <f>'VISITA DE INSP.'!DK26</f>
        <v>MORENO CARDENAS * IGNACIA</v>
      </c>
      <c r="D18" s="5483"/>
      <c r="E18" s="5484"/>
      <c r="F18" s="2890" t="str">
        <f>'VISITA DE INSP.'!DL26</f>
        <v>MOCI710325EVA</v>
      </c>
      <c r="G18" s="2891" t="str">
        <f>'VISITA DE INSP.'!AV20</f>
        <v>23DPR0055K</v>
      </c>
      <c r="H18" s="2892" t="str">
        <f>'VISITA DE INSP.'!AW20</f>
        <v>KABAH</v>
      </c>
      <c r="I18" s="2919" t="str">
        <f>'VISITA DE INSP.'!DM26</f>
        <v>078312 E028100.0232722</v>
      </c>
      <c r="J18" s="2918" t="str">
        <f>'VISITA DE INSP.'!AR20</f>
        <v>MOCI710325MQR</v>
      </c>
      <c r="K18" s="2891" t="str">
        <f>'VISITA DE INSP.'!I20</f>
        <v>042</v>
      </c>
      <c r="L18" s="2890" t="str">
        <f>'VISITA DE INSP.'!AP20</f>
        <v>DOCENTE</v>
      </c>
      <c r="M18" s="2893" t="str">
        <f>'VISITA DE INSP.'!B20</f>
        <v>2º</v>
      </c>
      <c r="N18" s="2894" t="str">
        <f>'VISITA DE INSP.'!C20</f>
        <v>A</v>
      </c>
      <c r="O18" s="2895" t="str">
        <f t="shared" si="0"/>
        <v>M</v>
      </c>
      <c r="P18" s="2979"/>
      <c r="Q18" s="2981"/>
      <c r="R18" s="197"/>
      <c r="S18" s="197"/>
      <c r="U18" s="201"/>
      <c r="W18" s="198"/>
      <c r="X18" s="198"/>
      <c r="Y18" s="198"/>
      <c r="Z18" s="5500"/>
      <c r="AA18" s="5500"/>
      <c r="AB18" s="5500"/>
      <c r="AD18" s="110" t="e">
        <f>#REF!</f>
        <v>#REF!</v>
      </c>
      <c r="AE18" s="87" t="e">
        <f>VLOOKUP(W12,AF18:AG19,2,0)</f>
        <v>#N/A</v>
      </c>
      <c r="AF18" s="199" t="s">
        <v>69</v>
      </c>
      <c r="AG18" s="200">
        <v>0</v>
      </c>
    </row>
    <row r="19" spans="2:33" s="195" customFormat="1" ht="15.75" customHeight="1">
      <c r="B19" s="2758">
        <f t="shared" si="1"/>
        <v>5</v>
      </c>
      <c r="C19" s="5482" t="str">
        <f>'VISITA DE INSP.'!DK27</f>
        <v>GONGORA SANTOS * GRACIELA</v>
      </c>
      <c r="D19" s="5483"/>
      <c r="E19" s="5484"/>
      <c r="F19" s="2890" t="str">
        <f>'VISITA DE INSP.'!DL27</f>
        <v>GOSG720804RM7</v>
      </c>
      <c r="G19" s="2891" t="str">
        <f>'VISITA DE INSP.'!AV21</f>
        <v>23DPR0055K</v>
      </c>
      <c r="H19" s="2892" t="str">
        <f>'VISITA DE INSP.'!AW21</f>
        <v>KABAH</v>
      </c>
      <c r="I19" s="2919" t="str">
        <f>'VISITA DE INSP.'!DM27</f>
        <v>078312 E028100.0233382</v>
      </c>
      <c r="J19" s="2918" t="str">
        <f>'VISITA DE INSP.'!AR21</f>
        <v>GOSG720804MYN</v>
      </c>
      <c r="K19" s="2891" t="str">
        <f>'VISITA DE INSP.'!I21</f>
        <v>042</v>
      </c>
      <c r="L19" s="2890" t="str">
        <f>'VISITA DE INSP.'!AP21</f>
        <v>DOCENTE</v>
      </c>
      <c r="M19" s="2893" t="str">
        <f>'VISITA DE INSP.'!B21</f>
        <v>2º</v>
      </c>
      <c r="N19" s="2894" t="str">
        <f>'VISITA DE INSP.'!C21</f>
        <v>B</v>
      </c>
      <c r="O19" s="2895" t="str">
        <f t="shared" si="0"/>
        <v>M</v>
      </c>
      <c r="P19" s="2979"/>
      <c r="Q19" s="2981"/>
      <c r="R19" s="197"/>
      <c r="S19" s="197"/>
      <c r="U19" s="197"/>
      <c r="W19" s="202"/>
      <c r="X19" s="198"/>
      <c r="Y19" s="198"/>
      <c r="Z19" s="5500"/>
      <c r="AA19" s="5500"/>
      <c r="AB19" s="5500"/>
      <c r="AD19" s="110" t="e">
        <f>#REF!</f>
        <v>#REF!</v>
      </c>
      <c r="AE19" s="196"/>
      <c r="AF19" s="199" t="s">
        <v>77</v>
      </c>
      <c r="AG19" s="200" t="s">
        <v>78</v>
      </c>
    </row>
    <row r="20" spans="2:33" s="195" customFormat="1" ht="15.75" customHeight="1">
      <c r="B20" s="2758">
        <f t="shared" si="1"/>
        <v>6</v>
      </c>
      <c r="C20" s="5482" t="str">
        <f>'VISITA DE INSP.'!DK28</f>
        <v>VARGAS GARCIA * DEBRA DORIS DEL SAGRARIO</v>
      </c>
      <c r="D20" s="5483"/>
      <c r="E20" s="5484"/>
      <c r="F20" s="2890" t="str">
        <f>'VISITA DE INSP.'!DL28</f>
        <v>VAGD571220UB2</v>
      </c>
      <c r="G20" s="2891" t="str">
        <f>'VISITA DE INSP.'!AV22</f>
        <v>23DPR0055K</v>
      </c>
      <c r="H20" s="2892" t="str">
        <f>'VISITA DE INSP.'!AW22</f>
        <v>KABAH</v>
      </c>
      <c r="I20" s="2919" t="str">
        <f>'VISITA DE INSP.'!DM28</f>
        <v>078312 E028100.0232821</v>
      </c>
      <c r="J20" s="2918" t="str">
        <f>'VISITA DE INSP.'!AR22</f>
        <v>VAGD571220MYN</v>
      </c>
      <c r="K20" s="2891" t="str">
        <f>'VISITA DE INSP.'!I22</f>
        <v>042</v>
      </c>
      <c r="L20" s="2890" t="str">
        <f>'VISITA DE INSP.'!AP22</f>
        <v>DOCENTE</v>
      </c>
      <c r="M20" s="2893" t="str">
        <f>'VISITA DE INSP.'!B22</f>
        <v>3º</v>
      </c>
      <c r="N20" s="2894" t="str">
        <f>'VISITA DE INSP.'!C22</f>
        <v>A</v>
      </c>
      <c r="O20" s="2895" t="str">
        <f t="shared" si="0"/>
        <v>M</v>
      </c>
      <c r="P20" s="2979"/>
      <c r="Q20" s="2981"/>
      <c r="R20" s="197"/>
      <c r="S20" s="197"/>
      <c r="U20" s="197"/>
      <c r="W20" s="198"/>
      <c r="X20" s="202"/>
      <c r="Y20" s="202"/>
      <c r="Z20" s="5500"/>
      <c r="AA20" s="5500"/>
      <c r="AB20" s="5500"/>
      <c r="AD20" s="110" t="e">
        <f>#REF!</f>
        <v>#REF!</v>
      </c>
      <c r="AE20" s="196"/>
      <c r="AF20" s="196"/>
      <c r="AG20" s="196"/>
    </row>
    <row r="21" spans="2:33" s="195" customFormat="1" ht="15.75" customHeight="1">
      <c r="B21" s="2758">
        <f t="shared" si="1"/>
        <v>7</v>
      </c>
      <c r="C21" s="5482" t="str">
        <f>'VISITA DE INSP.'!DK29</f>
        <v>CASTRO LOPEZ * SOSIMA PETRA</v>
      </c>
      <c r="D21" s="5483"/>
      <c r="E21" s="5484"/>
      <c r="F21" s="2890" t="str">
        <f>'VISITA DE INSP.'!DL29</f>
        <v>CALS720517BFA</v>
      </c>
      <c r="G21" s="2891" t="str">
        <f>'VISITA DE INSP.'!AV23</f>
        <v>23DPR0055K</v>
      </c>
      <c r="H21" s="2892" t="str">
        <f>'VISITA DE INSP.'!AW23</f>
        <v>KABAH</v>
      </c>
      <c r="I21" s="2919" t="str">
        <f>'VISITA DE INSP.'!DM29</f>
        <v>078312 E028100.0232759</v>
      </c>
      <c r="J21" s="2918" t="str">
        <f>'VISITA DE INSP.'!AR23</f>
        <v>CALS720517MQR</v>
      </c>
      <c r="K21" s="2891" t="str">
        <f>'VISITA DE INSP.'!I23</f>
        <v>042</v>
      </c>
      <c r="L21" s="2890" t="str">
        <f>'VISITA DE INSP.'!AP23</f>
        <v>DOCENTE</v>
      </c>
      <c r="M21" s="2893" t="str">
        <f>'VISITA DE INSP.'!B23</f>
        <v>3º</v>
      </c>
      <c r="N21" s="3297" t="str">
        <f>'VISITA DE INSP.'!C23</f>
        <v>B</v>
      </c>
      <c r="O21" s="2895" t="str">
        <f t="shared" si="0"/>
        <v>M</v>
      </c>
      <c r="P21" s="3299"/>
      <c r="Q21" s="2981"/>
      <c r="R21" s="197"/>
      <c r="S21" s="197"/>
      <c r="U21" s="197"/>
      <c r="V21" s="197"/>
      <c r="W21" s="198"/>
      <c r="X21" s="198"/>
      <c r="Y21" s="198"/>
      <c r="Z21" s="5500"/>
      <c r="AA21" s="5500"/>
      <c r="AB21" s="5500"/>
      <c r="AD21" s="110" t="e">
        <f>#REF!</f>
        <v>#REF!</v>
      </c>
      <c r="AE21" s="196"/>
      <c r="AF21" s="196"/>
      <c r="AG21" s="196"/>
    </row>
    <row r="22" spans="2:33" s="195" customFormat="1" ht="15.75" customHeight="1">
      <c r="B22" s="2758">
        <f t="shared" si="1"/>
        <v>8</v>
      </c>
      <c r="C22" s="5482" t="str">
        <f>'VISITA DE INSP.'!DK30</f>
        <v>SANCHEZ BUSTAMANTE * CONCEPCION</v>
      </c>
      <c r="D22" s="5483"/>
      <c r="E22" s="5484"/>
      <c r="F22" s="2890" t="str">
        <f>'VISITA DE INSP.'!DL30</f>
        <v>SABC641208519</v>
      </c>
      <c r="G22" s="2891" t="str">
        <f>'VISITA DE INSP.'!AV24</f>
        <v>23DPR0055K</v>
      </c>
      <c r="H22" s="2892" t="str">
        <f>'VISITA DE INSP.'!AW24</f>
        <v>KABAH</v>
      </c>
      <c r="I22" s="2919" t="str">
        <f>'VISITA DE INSP.'!DM30</f>
        <v>078312 E028100.0233935</v>
      </c>
      <c r="J22" s="2918" t="str">
        <f>'VISITA DE INSP.'!AR24</f>
        <v>SABC641208MQR</v>
      </c>
      <c r="K22" s="2891" t="str">
        <f>'VISITA DE INSP.'!I24</f>
        <v>042</v>
      </c>
      <c r="L22" s="2890" t="str">
        <f>'VISITA DE INSP.'!AP24</f>
        <v>DOCENTE</v>
      </c>
      <c r="M22" s="2893" t="str">
        <f>'VISITA DE INSP.'!B24</f>
        <v>4º</v>
      </c>
      <c r="N22" s="3297" t="str">
        <f>'VISITA DE INSP.'!C24</f>
        <v>A</v>
      </c>
      <c r="O22" s="2895" t="str">
        <f t="shared" si="0"/>
        <v>M</v>
      </c>
      <c r="P22" s="3300"/>
      <c r="Q22" s="2981"/>
      <c r="R22" s="197"/>
      <c r="S22" s="197"/>
      <c r="U22" s="201"/>
      <c r="V22" s="197"/>
      <c r="W22" s="198"/>
      <c r="X22" s="198"/>
      <c r="Y22" s="198"/>
      <c r="Z22" s="5500"/>
      <c r="AA22" s="5500"/>
      <c r="AB22" s="5500"/>
      <c r="AD22" s="110" t="e">
        <f>#REF!</f>
        <v>#REF!</v>
      </c>
      <c r="AE22" s="196"/>
      <c r="AF22" s="196"/>
      <c r="AG22" s="196"/>
    </row>
    <row r="23" spans="2:33" ht="15.75" customHeight="1">
      <c r="B23" s="2758">
        <f t="shared" si="1"/>
        <v>9</v>
      </c>
      <c r="C23" s="5482" t="str">
        <f>'VISITA DE INSP.'!DK31</f>
        <v>VIVEROS SALAZAR *NORA</v>
      </c>
      <c r="D23" s="5483"/>
      <c r="E23" s="5484"/>
      <c r="F23" s="2890" t="str">
        <f>'VISITA DE INSP.'!DL31</f>
        <v>VISN610207QM0</v>
      </c>
      <c r="G23" s="2891" t="str">
        <f>'VISITA DE INSP.'!AV25</f>
        <v>23DPR0055K</v>
      </c>
      <c r="H23" s="2892" t="str">
        <f>'VISITA DE INSP.'!AW25</f>
        <v>KABAH</v>
      </c>
      <c r="I23" s="2919" t="str">
        <f>'VISITA DE INSP.'!DM31</f>
        <v>078312 E028100.0232459</v>
      </c>
      <c r="J23" s="2918" t="str">
        <f>'VISITA DE INSP.'!AR25</f>
        <v>VISN610207MQR</v>
      </c>
      <c r="K23" s="2891" t="str">
        <f>'VISITA DE INSP.'!I25</f>
        <v>042</v>
      </c>
      <c r="L23" s="2890" t="str">
        <f>'VISITA DE INSP.'!AP25</f>
        <v>DOCENTE</v>
      </c>
      <c r="M23" s="2893" t="str">
        <f>'VISITA DE INSP.'!B25</f>
        <v>4º</v>
      </c>
      <c r="N23" s="3297" t="str">
        <f>'VISITA DE INSP.'!C25</f>
        <v>B</v>
      </c>
      <c r="O23" s="2895" t="str">
        <f t="shared" si="0"/>
        <v>M</v>
      </c>
      <c r="P23" s="3300"/>
      <c r="Q23" s="2981"/>
      <c r="R23" s="197"/>
      <c r="S23" s="197"/>
      <c r="U23" s="201"/>
      <c r="V23" s="197"/>
      <c r="W23" s="198"/>
      <c r="X23" s="198"/>
      <c r="Y23" s="198"/>
      <c r="Z23" s="5500"/>
      <c r="AA23" s="5500"/>
      <c r="AB23" s="5500"/>
      <c r="AD23" s="110" t="e">
        <f>#REF!</f>
        <v>#REF!</v>
      </c>
    </row>
    <row r="24" spans="2:33" ht="15.75" customHeight="1">
      <c r="B24" s="2758">
        <f t="shared" si="1"/>
        <v>10</v>
      </c>
      <c r="C24" s="5482" t="str">
        <f>'VISITA DE INSP.'!DK32</f>
        <v>XIU VELAZQUEZ * JOSE MANUEL</v>
      </c>
      <c r="D24" s="5483"/>
      <c r="E24" s="5484"/>
      <c r="F24" s="2890" t="str">
        <f>'VISITA DE INSP.'!DL32</f>
        <v>XIVM780420LJ4</v>
      </c>
      <c r="G24" s="2891" t="str">
        <f>'VISITA DE INSP.'!AV26</f>
        <v>23DPR0055K</v>
      </c>
      <c r="H24" s="2892" t="str">
        <f>'VISITA DE INSP.'!AW26</f>
        <v>KABAH</v>
      </c>
      <c r="I24" s="2919" t="str">
        <f>'VISITA DE INSP.'!DM32</f>
        <v>078312 E028100.0040223</v>
      </c>
      <c r="J24" s="2918" t="str">
        <f>'VISITA DE INSP.'!AR26</f>
        <v>XIVM780420HQR</v>
      </c>
      <c r="K24" s="2891" t="str">
        <f>'VISITA DE INSP.'!I26</f>
        <v>042</v>
      </c>
      <c r="L24" s="2890" t="str">
        <f>'VISITA DE INSP.'!AP26</f>
        <v>DOCENTE</v>
      </c>
      <c r="M24" s="2893" t="str">
        <f>'VISITA DE INSP.'!B26</f>
        <v>5º</v>
      </c>
      <c r="N24" s="3297" t="str">
        <f>'VISITA DE INSP.'!C26</f>
        <v>A</v>
      </c>
      <c r="O24" s="2895" t="str">
        <f t="shared" si="0"/>
        <v>H</v>
      </c>
      <c r="P24" s="3300"/>
      <c r="Q24" s="2981"/>
      <c r="R24" s="197"/>
      <c r="S24" s="197"/>
      <c r="U24" s="197"/>
      <c r="V24" s="201"/>
      <c r="W24" s="202"/>
      <c r="X24" s="198"/>
      <c r="Y24" s="198"/>
      <c r="Z24" s="5500"/>
      <c r="AA24" s="5500"/>
      <c r="AB24" s="5500"/>
      <c r="AD24" s="110" t="e">
        <f>#REF!</f>
        <v>#REF!</v>
      </c>
    </row>
    <row r="25" spans="2:33" ht="15.75" customHeight="1">
      <c r="B25" s="2758">
        <f t="shared" si="1"/>
        <v>11</v>
      </c>
      <c r="C25" s="5482" t="str">
        <f>'VISITA DE INSP.'!DK33</f>
        <v>MARTIN QUINTAL * SIHARELI CONCEPCION</v>
      </c>
      <c r="D25" s="5483"/>
      <c r="E25" s="5484"/>
      <c r="F25" s="2890" t="str">
        <f>'VISITA DE INSP.'!DL33</f>
        <v>MAQS911208-BX9</v>
      </c>
      <c r="G25" s="2891" t="str">
        <f>'VISITA DE INSP.'!AV27</f>
        <v>23DPR0055K</v>
      </c>
      <c r="H25" s="2892" t="str">
        <f>'VISITA DE INSP.'!AW27</f>
        <v>KABAH</v>
      </c>
      <c r="I25" s="2919" t="str">
        <f>'VISITA DE INSP.'!DM33</f>
        <v>078312E028100.0234567</v>
      </c>
      <c r="J25" s="2918">
        <f>'VISITA DE INSP.'!AR27</f>
        <v>0</v>
      </c>
      <c r="K25" s="2891" t="str">
        <f>'VISITA DE INSP.'!I27</f>
        <v>042</v>
      </c>
      <c r="L25" s="2890" t="str">
        <f>'VISITA DE INSP.'!AP27</f>
        <v>DOCENTE</v>
      </c>
      <c r="M25" s="2893" t="str">
        <f>'VISITA DE INSP.'!B27</f>
        <v>5º</v>
      </c>
      <c r="N25" s="3297" t="str">
        <f>'VISITA DE INSP.'!C27</f>
        <v>B</v>
      </c>
      <c r="O25" s="2895" t="str">
        <f t="shared" si="0"/>
        <v/>
      </c>
      <c r="P25" s="3300"/>
      <c r="Q25" s="2981"/>
      <c r="R25" s="197"/>
      <c r="S25" s="197"/>
      <c r="U25" s="197"/>
      <c r="V25" s="201"/>
      <c r="W25" s="202"/>
      <c r="X25" s="198"/>
      <c r="Y25" s="198"/>
      <c r="Z25" s="5500"/>
      <c r="AA25" s="5500"/>
      <c r="AB25" s="5500"/>
      <c r="AD25" s="110" t="e">
        <f>#REF!</f>
        <v>#REF!</v>
      </c>
    </row>
    <row r="26" spans="2:33" ht="15.75" customHeight="1">
      <c r="B26" s="2758">
        <f t="shared" si="1"/>
        <v>12</v>
      </c>
      <c r="C26" s="5482" t="str">
        <f>'VISITA DE INSP.'!DK34</f>
        <v>ALEMAN SANTOS * MIRIAM</v>
      </c>
      <c r="D26" s="5483"/>
      <c r="E26" s="5484"/>
      <c r="F26" s="2890" t="str">
        <f>'VISITA DE INSP.'!DL34</f>
        <v>AESM711024QNA</v>
      </c>
      <c r="G26" s="2891" t="str">
        <f>'VISITA DE INSP.'!AV28</f>
        <v>23DPR0055K</v>
      </c>
      <c r="H26" s="2892" t="str">
        <f>'VISITA DE INSP.'!AW28</f>
        <v>KABAH</v>
      </c>
      <c r="I26" s="2919" t="str">
        <f>'VISITA DE INSP.'!DM34</f>
        <v>078312 E028100.0233330</v>
      </c>
      <c r="J26" s="2918" t="str">
        <f>'VISITA DE INSP.'!AR28</f>
        <v>AESM711024MQR</v>
      </c>
      <c r="K26" s="2891" t="str">
        <f>'VISITA DE INSP.'!I28</f>
        <v>042</v>
      </c>
      <c r="L26" s="2890" t="str">
        <f>'VISITA DE INSP.'!AP28</f>
        <v>DOCENTE</v>
      </c>
      <c r="M26" s="2893" t="str">
        <f>'VISITA DE INSP.'!B28</f>
        <v>6º</v>
      </c>
      <c r="N26" s="3297" t="str">
        <f>'VISITA DE INSP.'!C28</f>
        <v>A</v>
      </c>
      <c r="O26" s="2895" t="str">
        <f t="shared" si="0"/>
        <v>M</v>
      </c>
      <c r="P26" s="3300"/>
      <c r="Q26" s="2981"/>
      <c r="R26" s="197"/>
      <c r="S26" s="197"/>
      <c r="U26" s="197"/>
      <c r="V26" s="197"/>
      <c r="W26" s="198"/>
      <c r="X26" s="202"/>
      <c r="Y26" s="202"/>
      <c r="Z26" s="5500"/>
      <c r="AA26" s="5500"/>
      <c r="AB26" s="5500"/>
      <c r="AD26" s="110" t="e">
        <f>#REF!</f>
        <v>#REF!</v>
      </c>
    </row>
    <row r="27" spans="2:33" ht="15.75" customHeight="1">
      <c r="B27" s="2758">
        <f t="shared" si="1"/>
        <v>13</v>
      </c>
      <c r="C27" s="5482" t="str">
        <f>'VISITA DE INSP.'!DK35</f>
        <v>CRUZ PEREZ * FRANCISCO</v>
      </c>
      <c r="D27" s="5483"/>
      <c r="E27" s="5484"/>
      <c r="F27" s="2890" t="str">
        <f>'VISITA DE INSP.'!DL35</f>
        <v>CUPF7111299H0</v>
      </c>
      <c r="G27" s="2891" t="str">
        <f>'VISITA DE INSP.'!AV29</f>
        <v>23DPR0055K</v>
      </c>
      <c r="H27" s="2892" t="str">
        <f>'VISITA DE INSP.'!AW29</f>
        <v>KABAH</v>
      </c>
      <c r="I27" s="2919" t="str">
        <f>'VISITA DE INSP.'!DM35</f>
        <v>078312 E028100.0233698</v>
      </c>
      <c r="J27" s="2918" t="str">
        <f>'VISITA DE INSP.'!AR29</f>
        <v>CUPF711129HCC</v>
      </c>
      <c r="K27" s="2891" t="str">
        <f>'VISITA DE INSP.'!I29</f>
        <v>042</v>
      </c>
      <c r="L27" s="2890" t="str">
        <f>'VISITA DE INSP.'!AP29</f>
        <v>DOCENTE</v>
      </c>
      <c r="M27" s="2893" t="str">
        <f>'VISITA DE INSP.'!B29</f>
        <v>6º</v>
      </c>
      <c r="N27" s="3297" t="str">
        <f>'VISITA DE INSP.'!C29</f>
        <v>B</v>
      </c>
      <c r="O27" s="2895" t="str">
        <f t="shared" si="0"/>
        <v>H</v>
      </c>
      <c r="P27" s="3300"/>
      <c r="Q27" s="2981"/>
      <c r="R27" s="197"/>
      <c r="S27" s="197"/>
      <c r="U27" s="197"/>
      <c r="V27" s="197"/>
      <c r="W27" s="198"/>
      <c r="X27" s="202"/>
      <c r="Y27" s="202"/>
      <c r="Z27" s="5500"/>
      <c r="AA27" s="5500"/>
      <c r="AB27" s="5500"/>
      <c r="AD27" s="110" t="e">
        <f>#REF!</f>
        <v>#REF!</v>
      </c>
    </row>
    <row r="28" spans="2:33" ht="15.75" customHeight="1">
      <c r="B28" s="2758">
        <f t="shared" si="1"/>
        <v>14</v>
      </c>
      <c r="C28" s="5482" t="str">
        <f>'VISITA DE INSP.'!DK36</f>
        <v>GONGORA * TERESITA DEL CARMEN</v>
      </c>
      <c r="D28" s="5483"/>
      <c r="E28" s="5484"/>
      <c r="F28" s="2890" t="str">
        <f>'VISITA DE INSP.'!DL36</f>
        <v>GOTE710913H14</v>
      </c>
      <c r="G28" s="2891" t="str">
        <f>'VISITA DE INSP.'!AV30</f>
        <v>23DPR0055K</v>
      </c>
      <c r="H28" s="2892" t="str">
        <f>'VISITA DE INSP.'!AW30</f>
        <v>KABAH</v>
      </c>
      <c r="I28" s="2919" t="str">
        <f>'VISITA DE INSP.'!DM36</f>
        <v>072303 S0180700.0300489</v>
      </c>
      <c r="J28" s="2918" t="str">
        <f>'VISITA DE INSP.'!AR30</f>
        <v>GOTE710913M</v>
      </c>
      <c r="K28" s="2891" t="str">
        <f>'VISITA DE INSP.'!I30</f>
        <v>042</v>
      </c>
      <c r="L28" s="2890" t="str">
        <f>'VISITA DE INSP.'!AP30</f>
        <v>INTENDENTE</v>
      </c>
      <c r="M28" s="2893">
        <f>'VISITA DE INSP.'!B30</f>
        <v>0</v>
      </c>
      <c r="N28" s="3297">
        <f>'VISITA DE INSP.'!C30</f>
        <v>0</v>
      </c>
      <c r="O28" s="2895" t="str">
        <f t="shared" si="0"/>
        <v>M</v>
      </c>
      <c r="P28" s="3300"/>
      <c r="Q28" s="2981"/>
      <c r="R28" s="197"/>
      <c r="S28" s="197"/>
      <c r="U28" s="197"/>
      <c r="V28" s="197"/>
      <c r="W28" s="198"/>
      <c r="X28" s="198"/>
      <c r="Y28" s="198"/>
      <c r="Z28" s="5500"/>
      <c r="AA28" s="5500"/>
      <c r="AB28" s="5500"/>
      <c r="AD28" s="110" t="e">
        <f>#REF!</f>
        <v>#REF!</v>
      </c>
    </row>
    <row r="29" spans="2:33" ht="15.75" customHeight="1">
      <c r="B29" s="2758">
        <f t="shared" si="1"/>
        <v>15</v>
      </c>
      <c r="C29" s="5482" t="str">
        <f>'VISITA DE INSP.'!DK37</f>
        <v>ARGUELLES GARCIA * MAYRA LUCELY</v>
      </c>
      <c r="D29" s="5483"/>
      <c r="E29" s="5484"/>
      <c r="F29" s="2890" t="str">
        <f>'VISITA DE INSP.'!DL37</f>
        <v>AUGM7601167K6</v>
      </c>
      <c r="G29" s="2891" t="str">
        <f>'VISITA DE INSP.'!AV31</f>
        <v>23DPR0055K</v>
      </c>
      <c r="H29" s="2892" t="str">
        <f>'VISITA DE INSP.'!AW31</f>
        <v>KABAH</v>
      </c>
      <c r="I29" s="2919" t="str">
        <f>'VISITA DE INSP.'!DM37</f>
        <v>074823 E076302.0230140</v>
      </c>
      <c r="J29" s="2918" t="str">
        <f>'VISITA DE INSP.'!AR31</f>
        <v>AUGM760116M</v>
      </c>
      <c r="K29" s="2891" t="str">
        <f>'VISITA DE INSP.'!I31</f>
        <v>042</v>
      </c>
      <c r="L29" s="2890" t="str">
        <f>'VISITA DE INSP.'!AP31</f>
        <v>E. FISICA</v>
      </c>
      <c r="M29" s="2893">
        <f>'VISITA DE INSP.'!B31</f>
        <v>0</v>
      </c>
      <c r="N29" s="3297">
        <f>'VISITA DE INSP.'!C31</f>
        <v>0</v>
      </c>
      <c r="O29" s="2895" t="str">
        <f>MID(J29,11,1)</f>
        <v>M</v>
      </c>
      <c r="P29" s="3300"/>
      <c r="Q29" s="2981"/>
      <c r="R29" s="201"/>
      <c r="S29" s="197"/>
      <c r="U29" s="201"/>
      <c r="V29" s="201"/>
      <c r="W29" s="202"/>
      <c r="X29" s="202"/>
      <c r="Y29" s="202"/>
      <c r="Z29" s="5500"/>
      <c r="AA29" s="5500"/>
      <c r="AB29" s="5500"/>
      <c r="AD29" s="110" t="e">
        <f>#REF!</f>
        <v>#REF!</v>
      </c>
    </row>
    <row r="30" spans="2:33" ht="15.75" customHeight="1">
      <c r="B30" s="2758">
        <f t="shared" si="1"/>
        <v>16</v>
      </c>
      <c r="C30" s="5482">
        <f>'VISITA DE INSP.'!DK38</f>
        <v>0</v>
      </c>
      <c r="D30" s="5483"/>
      <c r="E30" s="5484"/>
      <c r="F30" s="2890">
        <f>'VISITA DE INSP.'!DL38</f>
        <v>0</v>
      </c>
      <c r="G30" s="2891" t="str">
        <f>'VISITA DE INSP.'!AV32</f>
        <v>23DPR0055K</v>
      </c>
      <c r="H30" s="2892" t="str">
        <f>'VISITA DE INSP.'!AW32</f>
        <v>KABAH</v>
      </c>
      <c r="I30" s="2919">
        <f>'VISITA DE INSP.'!DM38</f>
        <v>0</v>
      </c>
      <c r="J30" s="2918" t="str">
        <f>'VISITA DE INSP.'!AR32</f>
        <v>MASA730502HQR</v>
      </c>
      <c r="K30" s="2891" t="str">
        <f>'VISITA DE INSP.'!I32</f>
        <v>042</v>
      </c>
      <c r="L30" s="2890">
        <f>'VISITA DE INSP.'!AP32</f>
        <v>0</v>
      </c>
      <c r="M30" s="2893">
        <f>'VISITA DE INSP.'!B32</f>
        <v>0</v>
      </c>
      <c r="N30" s="3297">
        <f>'VISITA DE INSP.'!C32</f>
        <v>0</v>
      </c>
      <c r="O30" s="2895" t="str">
        <f t="shared" si="0"/>
        <v>H</v>
      </c>
      <c r="P30" s="2896"/>
      <c r="Q30" s="2981"/>
      <c r="R30" s="201"/>
      <c r="S30" s="197"/>
      <c r="U30" s="201"/>
      <c r="V30" s="201"/>
      <c r="W30" s="202"/>
      <c r="X30" s="202"/>
      <c r="Y30" s="202"/>
      <c r="Z30" s="5500"/>
      <c r="AA30" s="5500"/>
      <c r="AB30" s="5500"/>
      <c r="AD30" s="110" t="e">
        <f>#REF!</f>
        <v>#REF!</v>
      </c>
    </row>
    <row r="31" spans="2:33" ht="15.75" customHeight="1">
      <c r="B31" s="2758">
        <f t="shared" si="1"/>
        <v>17</v>
      </c>
      <c r="C31" s="5482">
        <f>'VISITA DE INSP.'!DK39</f>
        <v>0</v>
      </c>
      <c r="D31" s="5483"/>
      <c r="E31" s="5484"/>
      <c r="F31" s="2890">
        <f>'VISITA DE INSP.'!DL39</f>
        <v>0</v>
      </c>
      <c r="G31" s="2891">
        <f>'VISITA DE INSP.'!AV33</f>
        <v>0</v>
      </c>
      <c r="H31" s="2892">
        <f>'VISITA DE INSP.'!AW33</f>
        <v>0</v>
      </c>
      <c r="I31" s="2919">
        <f>'VISITA DE INSP.'!DM39</f>
        <v>0</v>
      </c>
      <c r="J31" s="2918">
        <f>'VISITA DE INSP.'!AR33</f>
        <v>0</v>
      </c>
      <c r="K31" s="2891">
        <f>'VISITA DE INSP.'!I33</f>
        <v>0</v>
      </c>
      <c r="L31" s="2890">
        <f>'VISITA DE INSP.'!AP33</f>
        <v>0</v>
      </c>
      <c r="M31" s="2893">
        <f>'VISITA DE INSP.'!B33</f>
        <v>0</v>
      </c>
      <c r="N31" s="2894">
        <f>'VISITA DE INSP.'!C33</f>
        <v>0</v>
      </c>
      <c r="O31" s="2895" t="str">
        <f t="shared" si="0"/>
        <v/>
      </c>
      <c r="P31" s="2896"/>
      <c r="Q31" s="2981"/>
      <c r="R31" s="201"/>
      <c r="S31" s="197"/>
      <c r="U31" s="201"/>
      <c r="V31" s="201"/>
      <c r="W31" s="202"/>
      <c r="X31" s="202"/>
      <c r="Y31" s="202"/>
      <c r="Z31" s="5500"/>
      <c r="AA31" s="5500"/>
      <c r="AB31" s="5500"/>
      <c r="AD31" s="110" t="e">
        <f>#REF!</f>
        <v>#REF!</v>
      </c>
    </row>
    <row r="32" spans="2:33" ht="15.75" customHeight="1">
      <c r="B32" s="2758">
        <f t="shared" si="1"/>
        <v>18</v>
      </c>
      <c r="C32" s="5482" t="str">
        <f>'VISITA DE INSP.'!DK40</f>
        <v>GARDUÑO CASTILLO * MERLI ROCIO</v>
      </c>
      <c r="D32" s="5483"/>
      <c r="E32" s="5484"/>
      <c r="F32" s="2890">
        <f>'VISITA DE INSP.'!DL40</f>
        <v>0</v>
      </c>
      <c r="G32" s="2891">
        <f>'VISITA DE INSP.'!AV34</f>
        <v>0</v>
      </c>
      <c r="H32" s="2892">
        <f>'VISITA DE INSP.'!AW34</f>
        <v>0</v>
      </c>
      <c r="I32" s="2919">
        <f>'VISITA DE INSP.'!DM40</f>
        <v>0</v>
      </c>
      <c r="J32" s="2918">
        <f>'VISITA DE INSP.'!AR34</f>
        <v>0</v>
      </c>
      <c r="K32" s="2891">
        <f>'VISITA DE INSP.'!I34</f>
        <v>0</v>
      </c>
      <c r="L32" s="2890">
        <f>'VISITA DE INSP.'!AP34</f>
        <v>0</v>
      </c>
      <c r="M32" s="2893">
        <f>'VISITA DE INSP.'!B34</f>
        <v>0</v>
      </c>
      <c r="N32" s="2894">
        <f>'VISITA DE INSP.'!C34</f>
        <v>0</v>
      </c>
      <c r="O32" s="2895" t="str">
        <f t="shared" si="0"/>
        <v/>
      </c>
      <c r="P32" s="2896"/>
      <c r="Q32" s="2981"/>
      <c r="R32" s="197"/>
      <c r="S32" s="197"/>
      <c r="U32" s="197"/>
      <c r="V32" s="197"/>
      <c r="W32" s="198"/>
      <c r="X32" s="198"/>
      <c r="Y32" s="198"/>
      <c r="Z32" s="5500"/>
      <c r="AA32" s="5500"/>
      <c r="AB32" s="5500"/>
      <c r="AD32" s="110" t="e">
        <f>#REF!</f>
        <v>#REF!</v>
      </c>
    </row>
    <row r="33" spans="1:30" ht="15.75" customHeight="1">
      <c r="B33" s="2758">
        <f t="shared" si="1"/>
        <v>19</v>
      </c>
      <c r="C33" s="5482" t="str">
        <f>'VISITA DE INSP.'!DK41</f>
        <v>POOT QUEB *LUIS ARMANDO</v>
      </c>
      <c r="D33" s="5483"/>
      <c r="E33" s="5484"/>
      <c r="F33" s="2890">
        <f>'VISITA DE INSP.'!DL41</f>
        <v>0</v>
      </c>
      <c r="G33" s="2891">
        <f>'VISITA DE INSP.'!AV35</f>
        <v>0</v>
      </c>
      <c r="H33" s="2892">
        <f>'VISITA DE INSP.'!AW35</f>
        <v>0</v>
      </c>
      <c r="I33" s="2919">
        <f>'VISITA DE INSP.'!DM41</f>
        <v>0</v>
      </c>
      <c r="J33" s="2918">
        <f>'VISITA DE INSP.'!AR35</f>
        <v>0</v>
      </c>
      <c r="K33" s="3259">
        <f>'VISITA DE INSP.'!I35</f>
        <v>0</v>
      </c>
      <c r="L33" s="2890">
        <f>'VISITA DE INSP.'!AP35</f>
        <v>0</v>
      </c>
      <c r="M33" s="2893">
        <f>'VISITA DE INSP.'!B35</f>
        <v>0</v>
      </c>
      <c r="N33" s="2894">
        <f>'VISITA DE INSP.'!C35</f>
        <v>0</v>
      </c>
      <c r="O33" s="2895" t="str">
        <f t="shared" si="0"/>
        <v/>
      </c>
      <c r="P33" s="2896"/>
      <c r="Q33" s="2981"/>
      <c r="R33" s="197"/>
      <c r="S33" s="197"/>
      <c r="U33" s="197"/>
      <c r="V33" s="197"/>
      <c r="W33" s="198"/>
      <c r="X33" s="198"/>
      <c r="Y33" s="198"/>
      <c r="Z33" s="5500"/>
      <c r="AA33" s="5500"/>
      <c r="AB33" s="5500"/>
      <c r="AD33" s="110" t="e">
        <f>#REF!</f>
        <v>#REF!</v>
      </c>
    </row>
    <row r="34" spans="1:30" ht="15.75" customHeight="1">
      <c r="B34" s="2758">
        <f t="shared" si="1"/>
        <v>20</v>
      </c>
      <c r="C34" s="5487">
        <f>'VISITA DE INSP.'!DK42</f>
        <v>0</v>
      </c>
      <c r="D34" s="5488"/>
      <c r="E34" s="5489"/>
      <c r="F34" s="2897">
        <f>'VISITA DE INSP.'!DL42</f>
        <v>0</v>
      </c>
      <c r="G34" s="2891">
        <f>'VISITA DE INSP.'!AV36</f>
        <v>0</v>
      </c>
      <c r="H34" s="2892">
        <f>'VISITA DE INSP.'!AW36</f>
        <v>0</v>
      </c>
      <c r="I34" s="2920">
        <f>'VISITA DE INSP.'!DM42</f>
        <v>0</v>
      </c>
      <c r="J34" s="2918">
        <f>'VISITA DE INSP.'!AR36</f>
        <v>0</v>
      </c>
      <c r="K34" s="2891">
        <f>'VISITA DE INSP.'!I36</f>
        <v>0</v>
      </c>
      <c r="L34" s="2897">
        <f>'VISITA DE INSP.'!AP36</f>
        <v>0</v>
      </c>
      <c r="M34" s="2898">
        <f>'VISITA DE INSP.'!B36</f>
        <v>0</v>
      </c>
      <c r="N34" s="2899">
        <f>'VISITA DE INSP.'!C36</f>
        <v>0</v>
      </c>
      <c r="O34" s="2895" t="str">
        <f t="shared" si="0"/>
        <v/>
      </c>
      <c r="P34" s="2896"/>
      <c r="Q34" s="2981"/>
      <c r="R34" s="197"/>
      <c r="S34" s="197"/>
      <c r="U34" s="197"/>
      <c r="V34" s="197"/>
      <c r="W34" s="198"/>
      <c r="X34" s="198"/>
      <c r="Y34" s="198"/>
      <c r="Z34" s="5500"/>
      <c r="AA34" s="5500"/>
      <c r="AB34" s="5500"/>
      <c r="AD34" s="110" t="e">
        <f>#REF!</f>
        <v>#REF!</v>
      </c>
    </row>
    <row r="35" spans="1:30" ht="3.75" customHeight="1">
      <c r="A35" s="828"/>
      <c r="B35" s="5502" t="s">
        <v>176</v>
      </c>
      <c r="C35" s="5502"/>
      <c r="D35" s="5502"/>
      <c r="E35" s="5502"/>
      <c r="F35" s="5502"/>
      <c r="G35" s="5502"/>
      <c r="H35" s="5502"/>
      <c r="I35" s="5502"/>
      <c r="J35" s="5502"/>
      <c r="K35" s="5502"/>
      <c r="L35" s="5503" t="s">
        <v>177</v>
      </c>
      <c r="M35" s="5503"/>
      <c r="N35" s="5503"/>
      <c r="O35" s="5503"/>
      <c r="P35" s="5503"/>
      <c r="Q35" s="5503"/>
      <c r="R35" s="2759"/>
      <c r="S35" s="198"/>
      <c r="T35" s="202"/>
      <c r="U35" s="198"/>
      <c r="V35" s="198"/>
      <c r="W35" s="198"/>
      <c r="X35" s="198"/>
      <c r="Y35" s="198"/>
      <c r="Z35" s="5501"/>
      <c r="AA35" s="5500"/>
      <c r="AB35" s="5500"/>
      <c r="AD35" s="110"/>
    </row>
    <row r="36" spans="1:30" ht="3.75" customHeight="1">
      <c r="A36" s="828"/>
      <c r="B36" s="5504" t="s">
        <v>181</v>
      </c>
      <c r="C36" s="5504"/>
      <c r="D36" s="5504"/>
      <c r="E36" s="5504"/>
      <c r="F36" s="5504"/>
      <c r="G36" s="5504"/>
      <c r="H36" s="5504"/>
      <c r="I36" s="5504"/>
      <c r="J36" s="5504"/>
      <c r="K36" s="5504"/>
      <c r="L36" s="5503"/>
      <c r="M36" s="5503"/>
      <c r="N36" s="5503"/>
      <c r="O36" s="5503"/>
      <c r="P36" s="5503"/>
      <c r="Q36" s="5503"/>
      <c r="R36" s="2759"/>
      <c r="S36" s="198"/>
      <c r="T36" s="202"/>
      <c r="U36" s="198"/>
      <c r="V36" s="198"/>
      <c r="W36" s="198"/>
      <c r="X36" s="198"/>
      <c r="Y36" s="198"/>
      <c r="Z36" s="5501"/>
      <c r="AA36" s="5500"/>
      <c r="AB36" s="5500"/>
      <c r="AD36" s="110"/>
    </row>
    <row r="37" spans="1:30" ht="12" customHeight="1">
      <c r="A37" s="828"/>
      <c r="B37" s="5481" t="s">
        <v>1997</v>
      </c>
      <c r="C37" s="5481"/>
      <c r="D37" s="5481"/>
      <c r="E37" s="5481"/>
      <c r="F37" s="2761"/>
      <c r="G37" s="5481" t="s">
        <v>1998</v>
      </c>
      <c r="H37" s="5481"/>
      <c r="I37" s="2761"/>
      <c r="J37" s="2761"/>
      <c r="K37" s="2761"/>
      <c r="L37" s="5481" t="s">
        <v>2302</v>
      </c>
      <c r="M37" s="5481"/>
      <c r="N37" s="5481"/>
      <c r="O37" s="5481"/>
      <c r="P37" s="5481"/>
      <c r="Q37" s="5481"/>
      <c r="R37" s="2759"/>
      <c r="S37" s="198"/>
      <c r="T37" s="202"/>
      <c r="U37" s="198"/>
      <c r="V37" s="198"/>
      <c r="W37" s="198"/>
      <c r="X37" s="202"/>
      <c r="Y37" s="202"/>
      <c r="Z37" s="5501"/>
      <c r="AA37" s="5500"/>
      <c r="AB37" s="5500"/>
      <c r="AD37" s="110">
        <v>17</v>
      </c>
    </row>
    <row r="38" spans="1:30" ht="12" customHeight="1">
      <c r="A38" s="828"/>
      <c r="B38" s="2990" t="s">
        <v>2304</v>
      </c>
      <c r="C38" s="5505" t="str">
        <f>'VISITA DE INSP.'!G8</f>
        <v>CERVANTES BENITEZ * ANTONIA</v>
      </c>
      <c r="D38" s="5505"/>
      <c r="E38" s="5505"/>
      <c r="F38" s="2754"/>
      <c r="G38" s="5505" t="str">
        <f>'VISITA DE INSP.'!AJ41</f>
        <v>JESUS MARTIN RICALDE CASTRO</v>
      </c>
      <c r="H38" s="5505"/>
      <c r="I38" s="5505"/>
      <c r="J38" s="5505"/>
      <c r="K38" s="5505"/>
      <c r="L38" s="5479"/>
      <c r="M38" s="5479"/>
      <c r="N38" s="5479"/>
      <c r="O38" s="5479"/>
      <c r="P38" s="5479"/>
      <c r="Q38" s="5479"/>
      <c r="R38" s="2759"/>
      <c r="S38" s="198"/>
      <c r="T38" s="202"/>
      <c r="U38" s="198"/>
      <c r="V38" s="198"/>
      <c r="W38" s="198"/>
      <c r="X38" s="202"/>
      <c r="Y38" s="202"/>
      <c r="Z38" s="5501"/>
      <c r="AA38" s="5500"/>
      <c r="AB38" s="5500"/>
      <c r="AD38" s="110"/>
    </row>
    <row r="39" spans="1:30">
      <c r="A39" s="828"/>
      <c r="B39" s="2755"/>
      <c r="C39" s="4082"/>
      <c r="D39" s="4082"/>
      <c r="E39" s="4082"/>
      <c r="F39" s="2755"/>
      <c r="G39" s="2755"/>
      <c r="H39" s="2755"/>
      <c r="I39" s="2755"/>
      <c r="J39" s="2755"/>
      <c r="K39" s="2756"/>
      <c r="L39" s="2756"/>
      <c r="M39" s="2755"/>
      <c r="N39" s="2755"/>
      <c r="O39" s="2755"/>
      <c r="P39" s="2755"/>
      <c r="Q39" s="2755"/>
      <c r="R39" s="828"/>
    </row>
    <row r="40" spans="1:30">
      <c r="A40" s="828"/>
      <c r="B40" s="5509" t="s">
        <v>1999</v>
      </c>
      <c r="C40" s="5509"/>
      <c r="D40" s="5509"/>
      <c r="E40" s="5509"/>
      <c r="F40" s="2760"/>
      <c r="G40" s="5506" t="s">
        <v>2303</v>
      </c>
      <c r="H40" s="5506"/>
      <c r="I40" s="2760"/>
      <c r="J40" s="2760"/>
      <c r="K40" s="2762"/>
      <c r="L40" s="5508" t="str">
        <f>CONCATENATE(B38,C38)</f>
        <v>PROF: CERVANTES BENITEZ * ANTONIA</v>
      </c>
      <c r="M40" s="5508"/>
      <c r="N40" s="5508"/>
      <c r="O40" s="5508"/>
      <c r="P40" s="5508"/>
      <c r="Q40" s="5508"/>
      <c r="R40" s="828"/>
    </row>
    <row r="41" spans="1:30">
      <c r="A41" s="828"/>
      <c r="B41" s="5507" t="s">
        <v>178</v>
      </c>
      <c r="C41" s="5507"/>
      <c r="D41" s="5507"/>
      <c r="E41" s="5507"/>
      <c r="F41" s="2763"/>
      <c r="G41" s="5507" t="s">
        <v>178</v>
      </c>
      <c r="H41" s="5507"/>
      <c r="I41" s="2763"/>
      <c r="J41" s="2763"/>
      <c r="K41" s="2763"/>
      <c r="L41" s="5507" t="s">
        <v>178</v>
      </c>
      <c r="M41" s="5507"/>
      <c r="N41" s="5507"/>
      <c r="O41" s="5507"/>
      <c r="P41" s="5507"/>
      <c r="Q41" s="5507"/>
      <c r="R41" s="828"/>
    </row>
    <row r="42" spans="1:30">
      <c r="B42" s="828"/>
      <c r="C42" s="828"/>
      <c r="D42" s="828"/>
      <c r="E42" s="828"/>
      <c r="F42" s="828"/>
      <c r="G42" s="828"/>
      <c r="H42" s="828"/>
      <c r="I42" s="828"/>
      <c r="J42" s="828"/>
      <c r="K42" s="2752"/>
      <c r="L42" s="2752"/>
      <c r="M42" s="828"/>
      <c r="N42" s="828"/>
      <c r="O42" s="828"/>
      <c r="P42" s="828"/>
      <c r="Q42" s="828"/>
    </row>
    <row r="43" spans="1:30">
      <c r="B43" s="828"/>
      <c r="C43" s="828"/>
      <c r="D43" s="828"/>
      <c r="E43" s="828"/>
      <c r="F43" s="828"/>
      <c r="G43" s="828"/>
      <c r="H43" s="828"/>
      <c r="I43" s="828"/>
      <c r="J43" s="828"/>
      <c r="K43" s="2752"/>
      <c r="L43" s="2752"/>
      <c r="M43" s="828"/>
      <c r="N43" s="828"/>
      <c r="O43" s="828"/>
      <c r="P43" s="828"/>
      <c r="Q43" s="828"/>
    </row>
    <row r="44" spans="1:30">
      <c r="B44" s="828"/>
      <c r="C44" s="828"/>
      <c r="D44" s="828"/>
      <c r="E44" s="828"/>
      <c r="F44" s="828"/>
      <c r="G44" s="828"/>
      <c r="H44" s="828"/>
      <c r="I44" s="828"/>
      <c r="J44" s="828"/>
      <c r="K44" s="2752"/>
      <c r="L44" s="2752"/>
      <c r="M44" s="828"/>
      <c r="N44" s="828"/>
      <c r="O44" s="828"/>
      <c r="P44" s="828"/>
      <c r="Q44" s="828"/>
    </row>
    <row r="45" spans="1:30">
      <c r="B45" s="828"/>
      <c r="C45" s="828"/>
      <c r="D45" s="828"/>
      <c r="E45" s="828"/>
      <c r="F45" s="828"/>
      <c r="G45" s="828"/>
      <c r="H45" s="828"/>
      <c r="I45" s="828"/>
      <c r="J45" s="828"/>
      <c r="K45" s="2752"/>
      <c r="L45" s="2752"/>
      <c r="M45" s="828"/>
      <c r="N45" s="828"/>
      <c r="O45" s="828"/>
      <c r="P45" s="828"/>
      <c r="Q45" s="828"/>
    </row>
    <row r="46" spans="1:30">
      <c r="B46" s="828"/>
      <c r="C46" s="828"/>
      <c r="D46" s="828"/>
      <c r="E46" s="828"/>
      <c r="F46" s="828"/>
      <c r="G46" s="828"/>
      <c r="H46" s="828"/>
      <c r="I46" s="828"/>
      <c r="J46" s="828"/>
      <c r="K46" s="2752"/>
      <c r="L46" s="2752"/>
      <c r="M46" s="828"/>
      <c r="N46" s="828"/>
      <c r="O46" s="828"/>
      <c r="P46" s="828"/>
      <c r="Q46" s="828"/>
    </row>
    <row r="47" spans="1:30">
      <c r="R47" s="122"/>
      <c r="S47" s="122"/>
    </row>
    <row r="48" spans="1:30">
      <c r="B48" s="2753"/>
      <c r="C48" s="2751"/>
      <c r="D48" s="2751"/>
      <c r="E48" s="2751"/>
      <c r="F48" s="2751"/>
      <c r="G48" s="2753"/>
      <c r="H48" s="2751"/>
      <c r="I48" s="2751"/>
      <c r="J48" s="2751"/>
      <c r="K48" s="2751"/>
      <c r="L48" s="2751"/>
      <c r="M48" s="2753"/>
      <c r="N48" s="2753"/>
      <c r="O48" s="2751"/>
      <c r="P48" s="2751"/>
      <c r="Q48" s="2751"/>
      <c r="R48" s="122"/>
      <c r="S48" s="122"/>
    </row>
  </sheetData>
  <sheetProtection selectLockedCells="1"/>
  <mergeCells count="75">
    <mergeCell ref="G40:H40"/>
    <mergeCell ref="G41:H41"/>
    <mergeCell ref="L40:Q40"/>
    <mergeCell ref="L41:Q41"/>
    <mergeCell ref="B40:E40"/>
    <mergeCell ref="B41:E41"/>
    <mergeCell ref="Z37:AB37"/>
    <mergeCell ref="Z38:AB38"/>
    <mergeCell ref="B35:K35"/>
    <mergeCell ref="L35:Q36"/>
    <mergeCell ref="Z35:AB35"/>
    <mergeCell ref="B36:K36"/>
    <mergeCell ref="Z36:AB36"/>
    <mergeCell ref="L37:Q37"/>
    <mergeCell ref="C38:E38"/>
    <mergeCell ref="G38:K38"/>
    <mergeCell ref="B37:E37"/>
    <mergeCell ref="Z31:AB31"/>
    <mergeCell ref="Z27:AB27"/>
    <mergeCell ref="Z32:AB32"/>
    <mergeCell ref="Z33:AB33"/>
    <mergeCell ref="Z34:AB34"/>
    <mergeCell ref="Z28:AB28"/>
    <mergeCell ref="Z30:AB30"/>
    <mergeCell ref="Z19:AB19"/>
    <mergeCell ref="Z25:AB25"/>
    <mergeCell ref="Z26:AB26"/>
    <mergeCell ref="Z29:AB29"/>
    <mergeCell ref="Z20:AB20"/>
    <mergeCell ref="Z21:AB21"/>
    <mergeCell ref="Z22:AB22"/>
    <mergeCell ref="Z23:AB23"/>
    <mergeCell ref="Z24:AB24"/>
    <mergeCell ref="P6:Q6"/>
    <mergeCell ref="Z15:AB15"/>
    <mergeCell ref="Z16:AB16"/>
    <mergeCell ref="Z17:AB17"/>
    <mergeCell ref="Z18:AB18"/>
    <mergeCell ref="C14:E14"/>
    <mergeCell ref="F13:F14"/>
    <mergeCell ref="F7:K7"/>
    <mergeCell ref="M13:N14"/>
    <mergeCell ref="P13:Q14"/>
    <mergeCell ref="O13:O14"/>
    <mergeCell ref="K13:K14"/>
    <mergeCell ref="J13:J14"/>
    <mergeCell ref="C13:E13"/>
    <mergeCell ref="C15:E15"/>
    <mergeCell ref="C26:E26"/>
    <mergeCell ref="C25:E25"/>
    <mergeCell ref="C24:E24"/>
    <mergeCell ref="C23:E23"/>
    <mergeCell ref="C22:E22"/>
    <mergeCell ref="C21:E21"/>
    <mergeCell ref="C20:E20"/>
    <mergeCell ref="C19:E19"/>
    <mergeCell ref="C18:E18"/>
    <mergeCell ref="C17:E17"/>
    <mergeCell ref="C16:E16"/>
    <mergeCell ref="C39:E39"/>
    <mergeCell ref="L38:Q38"/>
    <mergeCell ref="F2:K2"/>
    <mergeCell ref="F5:K5"/>
    <mergeCell ref="F4:K4"/>
    <mergeCell ref="F3:K3"/>
    <mergeCell ref="G37:H37"/>
    <mergeCell ref="C32:E32"/>
    <mergeCell ref="C31:E31"/>
    <mergeCell ref="C30:E30"/>
    <mergeCell ref="C29:E29"/>
    <mergeCell ref="C28:E28"/>
    <mergeCell ref="C27:E27"/>
    <mergeCell ref="H13:H14"/>
    <mergeCell ref="C34:E34"/>
    <mergeCell ref="C33:E33"/>
  </mergeCells>
  <conditionalFormatting sqref="AD35:AD38 AD3:AD14 X9:X11 C36:J36 R35:Y38 W17:Y20 C15:C34 L35 U17:U20 U21:Y34 U15:Y16 M15:M34 B38 O15:S34 B15:B36">
    <cfRule type="cellIs" dxfId="34" priority="13" operator="equal">
      <formula>0</formula>
    </cfRule>
  </conditionalFormatting>
  <conditionalFormatting sqref="AD15:AD34 K36">
    <cfRule type="cellIs" dxfId="33" priority="11" stopIfTrue="1" operator="equal">
      <formula>0</formula>
    </cfRule>
    <cfRule type="cellIs" dxfId="32" priority="12" stopIfTrue="1" operator="equal">
      <formula>#N/A</formula>
    </cfRule>
  </conditionalFormatting>
  <conditionalFormatting sqref="Z15:AB38 C15:C34 F15:F34 M15:N34 I15:J34">
    <cfRule type="cellIs" dxfId="31" priority="10" stopIfTrue="1" operator="equal">
      <formula>0</formula>
    </cfRule>
  </conditionalFormatting>
  <conditionalFormatting sqref="AB8:AB12 X9:X11">
    <cfRule type="cellIs" dxfId="30" priority="9" stopIfTrue="1" operator="equal">
      <formula>0</formula>
    </cfRule>
  </conditionalFormatting>
  <conditionalFormatting sqref="N15:N34">
    <cfRule type="cellIs" dxfId="29" priority="7" stopIfTrue="1" operator="equal">
      <formula>0</formula>
    </cfRule>
  </conditionalFormatting>
  <conditionalFormatting sqref="X9:X11">
    <cfRule type="cellIs" dxfId="28" priority="6" stopIfTrue="1" operator="equal">
      <formula>0</formula>
    </cfRule>
  </conditionalFormatting>
  <conditionalFormatting sqref="Q7:Q8">
    <cfRule type="cellIs" dxfId="27" priority="4" operator="equal">
      <formula>0</formula>
    </cfRule>
  </conditionalFormatting>
  <conditionalFormatting sqref="B33:Q33 B31:Q31 B29:Q29 B27:Q27 B25:Q25 B23:Q23 B21:Q21 B19:Q19 B17:Q17 B15:Q15 G16:G34 O16:O34 Q16:Q34 P16:P21 J16:K34">
    <cfRule type="cellIs" dxfId="26" priority="2" operator="equal">
      <formula>0</formula>
    </cfRule>
  </conditionalFormatting>
  <conditionalFormatting sqref="B15:Q34">
    <cfRule type="cellIs" dxfId="25" priority="1" operator="equal">
      <formula>0</formula>
    </cfRule>
  </conditionalFormatting>
  <printOptions horizontalCentered="1" verticalCentered="1"/>
  <pageMargins left="0.31496062992125984" right="0.51181102362204722" top="0.39370078740157483" bottom="0.23622047244094491" header="0.31496062992125984" footer="0.31496062992125984"/>
  <pageSetup scale="95" orientation="landscape" horizontalDpi="300" verticalDpi="300" r:id="rId1"/>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59999389629810485"/>
  </sheetPr>
  <dimension ref="A1:AR55"/>
  <sheetViews>
    <sheetView view="pageBreakPreview" zoomScaleSheetLayoutView="100" workbookViewId="0">
      <selection activeCell="E19" sqref="E19:AJ20"/>
    </sheetView>
  </sheetViews>
  <sheetFormatPr baseColWidth="10" defaultRowHeight="12.75"/>
  <cols>
    <col min="1" max="1" width="0.42578125" style="16" customWidth="1"/>
    <col min="2" max="7" width="5" style="16" customWidth="1"/>
    <col min="8" max="8" width="4.28515625" style="16" customWidth="1"/>
    <col min="9" max="12" width="5" style="16" customWidth="1"/>
    <col min="13" max="17" width="5.7109375" style="16" customWidth="1"/>
    <col min="18" max="18" width="5" style="16" customWidth="1"/>
    <col min="19" max="19" width="5.140625" style="16" customWidth="1"/>
    <col min="20" max="20" width="4.28515625" style="16" customWidth="1"/>
    <col min="21" max="22" width="4.28515625" style="176" customWidth="1"/>
    <col min="23" max="24" width="3" style="16" hidden="1" customWidth="1"/>
    <col min="25" max="25" width="6.140625" style="16" hidden="1" customWidth="1"/>
    <col min="26" max="27" width="6.85546875" style="16" hidden="1" customWidth="1"/>
    <col min="28" max="28" width="0.28515625" style="16" customWidth="1"/>
    <col min="29" max="35" width="5.42578125" style="16" customWidth="1"/>
    <col min="36" max="37" width="2.140625" style="16" customWidth="1"/>
    <col min="38" max="38" width="5.42578125" style="16" customWidth="1"/>
    <col min="39" max="39" width="0.42578125" style="16" customWidth="1"/>
    <col min="40" max="40" width="3.7109375" style="177" hidden="1" customWidth="1"/>
    <col min="41" max="43" width="5.7109375" style="177" hidden="1" customWidth="1"/>
    <col min="44" max="44" width="5.7109375" style="16" hidden="1" customWidth="1"/>
    <col min="45" max="16384" width="11.42578125" style="16"/>
  </cols>
  <sheetData>
    <row r="1" spans="2:42" ht="3" customHeight="1">
      <c r="B1" s="2808" t="s">
        <v>2019</v>
      </c>
      <c r="C1" s="2791" t="s">
        <v>1985</v>
      </c>
      <c r="D1" s="2791"/>
      <c r="E1" s="2791"/>
      <c r="F1" s="2791"/>
      <c r="G1" s="2791"/>
      <c r="H1" s="2791"/>
      <c r="I1" s="2791"/>
      <c r="J1" s="2812" t="s">
        <v>2020</v>
      </c>
      <c r="K1" s="2812"/>
      <c r="L1" s="2791" t="str">
        <f>'VISITA DE INSP.'!E7</f>
        <v>KABAH</v>
      </c>
      <c r="M1" s="2793" t="str">
        <f>'VISITA DE INSP.'!AE7</f>
        <v>MATUTINO</v>
      </c>
      <c r="N1" s="2793"/>
      <c r="O1" s="2793"/>
      <c r="P1" s="2793"/>
      <c r="Q1" s="2791" t="str">
        <f>'VISITA DE INSP.'!V7</f>
        <v>23DPR0055K</v>
      </c>
      <c r="R1" s="2791"/>
      <c r="S1" s="2794"/>
      <c r="T1" s="2794"/>
      <c r="U1" s="2795"/>
      <c r="V1" s="2795"/>
      <c r="W1" s="2796"/>
      <c r="X1" s="2796"/>
      <c r="Y1" s="2796"/>
      <c r="Z1" s="2796"/>
      <c r="AA1" s="828"/>
    </row>
    <row r="2" spans="2:42" ht="19.5" customHeight="1">
      <c r="B2" s="2764"/>
      <c r="C2" s="2764"/>
      <c r="D2" s="2764"/>
      <c r="E2" s="2764"/>
      <c r="F2" s="2764"/>
      <c r="G2" s="5480" t="s">
        <v>1983</v>
      </c>
      <c r="H2" s="5480"/>
      <c r="I2" s="5480"/>
      <c r="J2" s="5480"/>
      <c r="K2" s="5480"/>
      <c r="L2" s="5480"/>
      <c r="M2" s="5480"/>
      <c r="N2" s="5480"/>
      <c r="O2" s="5480"/>
      <c r="P2" s="5480"/>
      <c r="Q2" s="3142"/>
      <c r="R2" s="3142"/>
      <c r="S2" s="3142"/>
      <c r="T2" s="3142"/>
      <c r="U2" s="3142"/>
      <c r="V2" s="2765"/>
      <c r="W2" s="2766"/>
      <c r="X2" s="2766"/>
      <c r="Y2" s="2766"/>
      <c r="Z2" s="2766"/>
      <c r="AA2" s="2766"/>
      <c r="AB2" s="178"/>
      <c r="AC2" s="178"/>
      <c r="AD2" s="178"/>
      <c r="AE2" s="178"/>
      <c r="AF2" s="178"/>
      <c r="AG2" s="178"/>
      <c r="AH2" s="178"/>
      <c r="AI2" s="178"/>
      <c r="AJ2" s="3126"/>
    </row>
    <row r="3" spans="2:42" ht="19.5" customHeight="1">
      <c r="B3" s="2764"/>
      <c r="C3" s="2764"/>
      <c r="D3" s="2764"/>
      <c r="E3" s="2764"/>
      <c r="F3" s="2764"/>
      <c r="G3" s="5480" t="s">
        <v>926</v>
      </c>
      <c r="H3" s="5480"/>
      <c r="I3" s="5480"/>
      <c r="J3" s="5480"/>
      <c r="K3" s="5480"/>
      <c r="L3" s="5480"/>
      <c r="M3" s="5480"/>
      <c r="N3" s="5480"/>
      <c r="O3" s="5480"/>
      <c r="P3" s="5480"/>
      <c r="Q3" s="3142"/>
      <c r="R3" s="3142"/>
      <c r="S3" s="3142"/>
      <c r="T3" s="3142"/>
      <c r="U3" s="3142"/>
      <c r="V3" s="2765"/>
      <c r="W3" s="2766"/>
      <c r="X3" s="2766"/>
      <c r="Y3" s="2766"/>
      <c r="Z3" s="2766"/>
      <c r="AA3" s="2766"/>
      <c r="AB3" s="174"/>
      <c r="AC3" s="174"/>
      <c r="AD3" s="174"/>
      <c r="AE3" s="174"/>
      <c r="AF3" s="174"/>
      <c r="AG3" s="174"/>
      <c r="AH3" s="174"/>
      <c r="AI3" s="174"/>
      <c r="AJ3" s="180"/>
      <c r="AK3" s="181"/>
      <c r="AL3" s="182"/>
      <c r="AN3" s="110"/>
      <c r="AO3" s="111">
        <v>0</v>
      </c>
      <c r="AP3" s="86">
        <v>0</v>
      </c>
    </row>
    <row r="4" spans="2:42" ht="19.5" customHeight="1">
      <c r="B4" s="2980"/>
      <c r="C4" s="2980"/>
      <c r="D4" s="2980"/>
      <c r="E4" s="2980"/>
      <c r="F4" s="2980"/>
      <c r="G4" s="5480" t="s">
        <v>927</v>
      </c>
      <c r="H4" s="5480"/>
      <c r="I4" s="5480"/>
      <c r="J4" s="5480"/>
      <c r="K4" s="5480"/>
      <c r="L4" s="5480"/>
      <c r="M4" s="5480"/>
      <c r="N4" s="5480"/>
      <c r="O4" s="5480"/>
      <c r="P4" s="5480"/>
      <c r="Q4" s="3142"/>
      <c r="R4" s="3142"/>
      <c r="S4" s="3142"/>
      <c r="T4" s="3142"/>
      <c r="U4" s="3142"/>
      <c r="V4" s="2765"/>
      <c r="W4" s="2766"/>
      <c r="X4" s="2766"/>
      <c r="Y4" s="2766"/>
      <c r="Z4" s="2766"/>
      <c r="AA4" s="2766"/>
      <c r="AB4" s="174"/>
      <c r="AC4" s="174"/>
      <c r="AD4" s="174"/>
      <c r="AE4" s="174"/>
      <c r="AF4" s="174"/>
      <c r="AG4" s="174"/>
      <c r="AH4" s="174"/>
      <c r="AI4" s="174"/>
      <c r="AJ4" s="3126"/>
      <c r="AL4" s="183"/>
      <c r="AN4" s="110"/>
      <c r="AO4" s="87">
        <v>3</v>
      </c>
      <c r="AP4" s="87" t="s">
        <v>61</v>
      </c>
    </row>
    <row r="5" spans="2:42" ht="19.5" customHeight="1">
      <c r="B5" s="2980"/>
      <c r="C5" s="3035" t="s">
        <v>1156</v>
      </c>
      <c r="D5" s="3035"/>
      <c r="E5" s="3035"/>
      <c r="F5" s="3035"/>
      <c r="G5" s="5480" t="s">
        <v>1984</v>
      </c>
      <c r="H5" s="5480"/>
      <c r="I5" s="5480"/>
      <c r="J5" s="5480"/>
      <c r="K5" s="5480"/>
      <c r="L5" s="5480"/>
      <c r="M5" s="5480"/>
      <c r="N5" s="5480"/>
      <c r="O5" s="5480"/>
      <c r="P5" s="5480"/>
      <c r="Q5" s="3142"/>
      <c r="R5" s="3142"/>
      <c r="S5" s="3142"/>
      <c r="T5" s="3142"/>
      <c r="U5" s="3142"/>
      <c r="V5" s="2767"/>
      <c r="W5" s="828"/>
      <c r="X5" s="828"/>
      <c r="Y5" s="828"/>
      <c r="Z5" s="828"/>
      <c r="AA5" s="828"/>
      <c r="AB5" s="184"/>
      <c r="AC5" s="174"/>
      <c r="AD5" s="185"/>
      <c r="AE5" s="185"/>
      <c r="AF5" s="174"/>
      <c r="AG5" s="174"/>
      <c r="AH5" s="174"/>
      <c r="AI5" s="174"/>
      <c r="AJ5" s="174"/>
      <c r="AK5" s="126"/>
      <c r="AN5" s="110"/>
      <c r="AO5" s="87">
        <v>9</v>
      </c>
      <c r="AP5" s="82" t="s">
        <v>56</v>
      </c>
    </row>
    <row r="6" spans="2:42" ht="13.5" customHeight="1">
      <c r="B6" s="2980"/>
      <c r="C6" s="828"/>
      <c r="D6" s="828"/>
      <c r="E6" s="828"/>
      <c r="F6" s="828"/>
      <c r="G6" s="828"/>
      <c r="H6" s="828"/>
      <c r="I6" s="828"/>
      <c r="J6" s="1652"/>
      <c r="K6" s="1652"/>
      <c r="L6" s="2790"/>
      <c r="M6" s="2790"/>
      <c r="N6" s="2790"/>
      <c r="O6" s="2790"/>
      <c r="P6" s="2790"/>
      <c r="Q6" s="2790"/>
      <c r="R6" s="2790"/>
      <c r="S6" s="2790"/>
      <c r="T6" s="2790"/>
      <c r="U6" s="2328"/>
      <c r="V6" s="2767"/>
      <c r="W6" s="828"/>
      <c r="X6" s="828"/>
      <c r="Y6" s="828"/>
      <c r="Z6" s="5525"/>
      <c r="AA6" s="5525"/>
      <c r="AB6" s="184"/>
      <c r="AC6" s="174"/>
      <c r="AD6" s="185"/>
      <c r="AE6" s="185"/>
      <c r="AF6" s="174"/>
      <c r="AG6" s="174"/>
      <c r="AH6" s="174"/>
      <c r="AI6" s="174"/>
      <c r="AJ6" s="174"/>
      <c r="AK6" s="126"/>
      <c r="AN6" s="110"/>
      <c r="AO6" s="87"/>
      <c r="AP6" s="82"/>
    </row>
    <row r="7" spans="2:42" ht="12" customHeight="1">
      <c r="B7" s="2980"/>
      <c r="C7" s="828"/>
      <c r="D7" s="828"/>
      <c r="E7" s="828"/>
      <c r="F7" s="828"/>
      <c r="G7" s="5492" t="s">
        <v>2429</v>
      </c>
      <c r="H7" s="5492"/>
      <c r="I7" s="5492"/>
      <c r="J7" s="5492"/>
      <c r="K7" s="5492"/>
      <c r="L7" s="5492"/>
      <c r="M7" s="5492"/>
      <c r="N7" s="5492"/>
      <c r="O7" s="5492"/>
      <c r="P7" s="5492"/>
      <c r="Q7" s="3143"/>
      <c r="R7" s="3143"/>
      <c r="S7" s="3143"/>
      <c r="T7" s="3143"/>
      <c r="U7" s="3143"/>
      <c r="V7" s="2752"/>
      <c r="W7" s="1074"/>
      <c r="X7" s="828"/>
      <c r="Y7" s="828"/>
      <c r="Z7" s="3141"/>
      <c r="AA7" s="2338"/>
      <c r="AB7" s="122"/>
      <c r="AC7" s="122"/>
      <c r="AD7" s="122"/>
      <c r="AE7" s="122"/>
      <c r="AF7" s="122"/>
      <c r="AG7" s="122"/>
      <c r="AH7" s="122"/>
      <c r="AI7" s="122"/>
      <c r="AK7" s="186"/>
      <c r="AL7" s="2751"/>
      <c r="AN7" s="110"/>
      <c r="AO7" s="87">
        <v>10</v>
      </c>
      <c r="AP7" s="82" t="s">
        <v>31</v>
      </c>
    </row>
    <row r="8" spans="2:42" ht="12" customHeight="1">
      <c r="B8" s="2980"/>
      <c r="C8" s="828"/>
      <c r="D8" s="828"/>
      <c r="E8" s="828"/>
      <c r="F8" s="828"/>
      <c r="G8" s="828"/>
      <c r="H8" s="3157" t="s">
        <v>2430</v>
      </c>
      <c r="I8" s="3157"/>
      <c r="J8" s="828"/>
      <c r="K8" s="828"/>
      <c r="L8" s="828"/>
      <c r="M8" s="988"/>
      <c r="N8" s="988"/>
      <c r="O8" s="988"/>
      <c r="P8" s="988"/>
      <c r="Q8" s="828"/>
      <c r="R8" s="828"/>
      <c r="S8" s="1652"/>
      <c r="T8" s="1652"/>
      <c r="U8" s="2769"/>
      <c r="V8" s="2752"/>
      <c r="W8" s="828"/>
      <c r="X8" s="828"/>
      <c r="Y8" s="828"/>
      <c r="Z8" s="2337"/>
      <c r="AA8" s="2337"/>
      <c r="AG8" s="186"/>
      <c r="AK8" s="187"/>
      <c r="AL8" s="698"/>
      <c r="AN8" s="110"/>
      <c r="AO8" s="87">
        <v>20</v>
      </c>
      <c r="AP8" s="82" t="s">
        <v>33</v>
      </c>
    </row>
    <row r="9" spans="2:42" ht="12" customHeight="1">
      <c r="B9" s="2980"/>
      <c r="C9" s="828"/>
      <c r="D9" s="828"/>
      <c r="E9" s="828"/>
      <c r="F9" s="828"/>
      <c r="G9" s="828"/>
      <c r="H9" s="828"/>
      <c r="I9" s="828"/>
      <c r="J9" s="828"/>
      <c r="K9" s="828"/>
      <c r="L9" s="828"/>
      <c r="M9" s="828"/>
      <c r="N9" s="828"/>
      <c r="O9" s="828"/>
      <c r="P9" s="828"/>
      <c r="Q9" s="828"/>
      <c r="R9" s="828"/>
      <c r="S9" s="828"/>
      <c r="T9" s="828"/>
      <c r="U9" s="2769"/>
      <c r="V9" s="2752"/>
      <c r="W9" s="828"/>
      <c r="X9" s="828"/>
      <c r="Y9" s="828"/>
      <c r="Z9" s="2337"/>
      <c r="AA9" s="2337"/>
      <c r="AG9" s="186"/>
      <c r="AK9" s="187"/>
      <c r="AL9" s="698"/>
      <c r="AN9" s="110"/>
      <c r="AO9" s="87"/>
      <c r="AP9" s="82"/>
    </row>
    <row r="10" spans="2:42" ht="12" customHeight="1">
      <c r="B10" s="2980"/>
      <c r="C10" s="828"/>
      <c r="D10" s="1791" t="s">
        <v>2443</v>
      </c>
      <c r="E10" s="828"/>
      <c r="F10" s="828"/>
      <c r="G10" s="828"/>
      <c r="H10" s="828"/>
      <c r="I10" s="828"/>
      <c r="J10" s="828"/>
      <c r="K10" s="828"/>
      <c r="L10" s="828"/>
      <c r="M10" s="828"/>
      <c r="N10" s="828"/>
      <c r="O10" s="828"/>
      <c r="P10" s="828"/>
      <c r="Q10" s="828"/>
      <c r="R10" s="828"/>
      <c r="S10" s="828"/>
      <c r="T10" s="828"/>
      <c r="U10" s="2769"/>
      <c r="V10" s="2752"/>
      <c r="W10" s="828"/>
      <c r="X10" s="828"/>
      <c r="Y10" s="828"/>
      <c r="Z10" s="2337"/>
      <c r="AA10" s="2337"/>
      <c r="AG10" s="186"/>
      <c r="AK10" s="187"/>
      <c r="AL10" s="698"/>
      <c r="AN10" s="110"/>
      <c r="AO10" s="87"/>
      <c r="AP10" s="82"/>
    </row>
    <row r="11" spans="2:42" ht="12" customHeight="1">
      <c r="B11" s="2980"/>
      <c r="C11" s="828"/>
      <c r="D11" s="828"/>
      <c r="E11" s="828"/>
      <c r="F11" s="828"/>
      <c r="G11" s="828"/>
      <c r="H11" s="828"/>
      <c r="I11" s="828"/>
      <c r="J11" s="828"/>
      <c r="K11" s="828"/>
      <c r="L11" s="828"/>
      <c r="M11" s="828"/>
      <c r="N11" s="828"/>
      <c r="O11" s="828"/>
      <c r="P11" s="828"/>
      <c r="Q11" s="828"/>
      <c r="R11" s="828"/>
      <c r="S11" s="828"/>
      <c r="T11" s="828"/>
      <c r="U11" s="3160"/>
      <c r="V11" s="2752"/>
      <c r="W11" s="828"/>
      <c r="X11" s="828"/>
      <c r="Y11" s="828"/>
      <c r="Z11" s="2337"/>
      <c r="AA11" s="2337"/>
      <c r="AG11" s="186"/>
      <c r="AK11" s="187"/>
      <c r="AL11" s="698"/>
      <c r="AN11" s="110"/>
      <c r="AO11" s="87"/>
      <c r="AP11" s="82"/>
    </row>
    <row r="12" spans="2:42" ht="15.75" customHeight="1">
      <c r="B12" s="2980"/>
      <c r="C12" s="828"/>
      <c r="D12" s="1159" t="s">
        <v>2431</v>
      </c>
      <c r="E12" s="3158"/>
      <c r="F12" s="3161" t="s">
        <v>2310</v>
      </c>
      <c r="G12" s="3158"/>
      <c r="H12" s="3173"/>
      <c r="I12" s="3173"/>
      <c r="J12" s="2330"/>
      <c r="K12" s="2330"/>
      <c r="L12" s="3174"/>
      <c r="M12" s="3175"/>
      <c r="N12" s="3175"/>
      <c r="O12" s="3175"/>
      <c r="P12" s="3175"/>
      <c r="Q12" s="2330"/>
      <c r="R12" s="2330"/>
      <c r="S12" s="2330"/>
      <c r="T12" s="1652"/>
      <c r="U12" s="2769"/>
      <c r="V12" s="2752"/>
      <c r="W12" s="828"/>
      <c r="X12" s="828"/>
      <c r="Y12" s="828"/>
      <c r="Z12" s="2337"/>
      <c r="AA12" s="2337"/>
      <c r="AG12" s="186"/>
      <c r="AK12" s="187"/>
      <c r="AL12" s="698"/>
      <c r="AN12" s="110"/>
      <c r="AO12" s="87"/>
      <c r="AP12" s="82"/>
    </row>
    <row r="13" spans="2:42" ht="15.75" customHeight="1">
      <c r="B13" s="2980"/>
      <c r="C13" s="828"/>
      <c r="D13" s="1159" t="s">
        <v>2449</v>
      </c>
      <c r="E13" s="1159"/>
      <c r="F13" s="1159"/>
      <c r="G13" s="1159"/>
      <c r="H13" s="3163" t="s">
        <v>2441</v>
      </c>
      <c r="I13" s="1172"/>
      <c r="J13" s="2330"/>
      <c r="K13" s="3159" t="s">
        <v>2432</v>
      </c>
      <c r="L13" s="3163" t="s">
        <v>2440</v>
      </c>
      <c r="M13" s="3176"/>
      <c r="N13" s="3159" t="s">
        <v>2433</v>
      </c>
      <c r="O13" s="3177" t="s">
        <v>2438</v>
      </c>
      <c r="P13" s="3176"/>
      <c r="Q13" s="3176"/>
      <c r="R13" s="3178"/>
      <c r="S13" s="3156"/>
      <c r="T13" s="1652"/>
      <c r="U13" s="2769"/>
      <c r="V13" s="2752"/>
      <c r="W13" s="828"/>
      <c r="X13" s="828"/>
      <c r="Y13" s="828"/>
      <c r="Z13" s="2337"/>
      <c r="AA13" s="2337"/>
      <c r="AG13" s="186"/>
      <c r="AK13" s="187"/>
      <c r="AL13" s="698"/>
      <c r="AN13" s="110"/>
      <c r="AO13" s="87"/>
      <c r="AP13" s="82"/>
    </row>
    <row r="14" spans="2:42" ht="15.75" customHeight="1">
      <c r="B14" s="2980"/>
      <c r="C14" s="828"/>
      <c r="D14" s="1159" t="s">
        <v>2434</v>
      </c>
      <c r="E14" s="1159"/>
      <c r="F14" s="1159"/>
      <c r="G14" s="1159"/>
      <c r="H14" s="1159"/>
      <c r="I14" s="1172"/>
      <c r="J14" s="3179" t="s">
        <v>2442</v>
      </c>
      <c r="K14" s="2330"/>
      <c r="L14" s="3174"/>
      <c r="M14" s="3175"/>
      <c r="N14" s="3175"/>
      <c r="O14" s="3175"/>
      <c r="P14" s="3175"/>
      <c r="Q14" s="2330"/>
      <c r="R14" s="2330"/>
      <c r="S14" s="2330"/>
      <c r="T14" s="1652"/>
      <c r="U14" s="2769"/>
      <c r="V14" s="2752"/>
      <c r="W14" s="828"/>
      <c r="X14" s="828"/>
      <c r="Y14" s="828"/>
      <c r="Z14" s="2337"/>
      <c r="AA14" s="2337"/>
      <c r="AG14" s="186"/>
      <c r="AK14" s="187"/>
      <c r="AL14" s="698"/>
      <c r="AN14" s="110"/>
      <c r="AO14" s="87"/>
      <c r="AP14" s="82"/>
    </row>
    <row r="15" spans="2:42" s="173" customFormat="1" ht="15.75" customHeight="1">
      <c r="B15" s="2770"/>
      <c r="C15" s="2771"/>
      <c r="D15" s="1159" t="s">
        <v>2435</v>
      </c>
      <c r="E15" s="1159"/>
      <c r="F15" s="1159"/>
      <c r="G15" s="1159"/>
      <c r="H15" s="1159"/>
      <c r="I15" s="1159"/>
      <c r="J15" s="1159"/>
      <c r="K15" s="1159"/>
      <c r="L15" s="1159"/>
      <c r="M15" s="3179" t="s">
        <v>2442</v>
      </c>
      <c r="N15" s="3180"/>
      <c r="O15" s="3180"/>
      <c r="P15" s="3180"/>
      <c r="Q15" s="3180"/>
      <c r="R15" s="3180"/>
      <c r="S15" s="3180"/>
      <c r="T15" s="3164"/>
      <c r="U15" s="3165"/>
      <c r="V15" s="2752"/>
      <c r="W15" s="828"/>
      <c r="X15" s="828"/>
      <c r="Y15" s="828"/>
      <c r="Z15" s="2337"/>
      <c r="AA15" s="2337"/>
      <c r="AB15" s="16"/>
      <c r="AC15" s="16"/>
      <c r="AD15" s="16"/>
      <c r="AH15" s="3125"/>
      <c r="AK15" s="188"/>
      <c r="AL15" s="184"/>
      <c r="AN15" s="190"/>
      <c r="AO15" s="175">
        <v>95</v>
      </c>
      <c r="AP15" s="83" t="s">
        <v>62</v>
      </c>
    </row>
    <row r="16" spans="2:42" s="173" customFormat="1" ht="15.75" customHeight="1">
      <c r="B16" s="2776"/>
      <c r="C16" s="2771"/>
      <c r="D16" s="1159" t="s">
        <v>2436</v>
      </c>
      <c r="E16" s="1159"/>
      <c r="F16" s="1159"/>
      <c r="G16" s="1159"/>
      <c r="H16" s="1159"/>
      <c r="I16" s="1159"/>
      <c r="J16" s="2330"/>
      <c r="K16" s="2330"/>
      <c r="L16" s="3174"/>
      <c r="M16" s="1791"/>
      <c r="N16" s="2769" t="s">
        <v>406</v>
      </c>
      <c r="O16" s="3181">
        <f>SUM(T24:T40)</f>
        <v>39</v>
      </c>
      <c r="P16" s="2769" t="s">
        <v>407</v>
      </c>
      <c r="Q16" s="3181">
        <f>SUM(U24:U40)</f>
        <v>77</v>
      </c>
      <c r="R16" s="2769" t="s">
        <v>495</v>
      </c>
      <c r="S16" s="3181">
        <f>O16+Q16</f>
        <v>116</v>
      </c>
      <c r="T16" s="3171"/>
      <c r="U16" s="2775"/>
      <c r="V16" s="2775"/>
      <c r="W16" s="2771"/>
      <c r="X16" s="2771"/>
      <c r="Y16" s="2776"/>
      <c r="Z16" s="2776"/>
      <c r="AA16" s="2776"/>
      <c r="AB16" s="121"/>
      <c r="AC16" s="121"/>
      <c r="AD16" s="121"/>
      <c r="AG16" s="188"/>
      <c r="AH16" s="3125"/>
      <c r="AK16" s="188"/>
      <c r="AL16" s="184"/>
      <c r="AN16" s="190"/>
      <c r="AO16" s="175"/>
      <c r="AP16" s="83"/>
    </row>
    <row r="17" spans="2:43" s="173" customFormat="1" ht="11.25" customHeight="1">
      <c r="B17" s="2778"/>
      <c r="C17" s="2771"/>
      <c r="D17" s="2771"/>
      <c r="E17" s="2771"/>
      <c r="F17" s="2771"/>
      <c r="G17" s="2771"/>
      <c r="H17" s="2771"/>
      <c r="I17" s="2771"/>
      <c r="J17" s="2809"/>
      <c r="K17" s="2809"/>
      <c r="L17" s="2809"/>
      <c r="M17" s="1652"/>
      <c r="N17" s="1652"/>
      <c r="O17" s="1652"/>
      <c r="P17" s="1652"/>
      <c r="Q17" s="2813"/>
      <c r="R17" s="2813"/>
      <c r="S17" s="2810"/>
      <c r="T17" s="2810"/>
      <c r="U17" s="3144"/>
      <c r="V17" s="2775"/>
      <c r="W17" s="2773"/>
      <c r="X17" s="1652"/>
      <c r="Y17" s="1652"/>
      <c r="Z17" s="2811"/>
      <c r="AA17" s="2993" t="str">
        <f>'VISITA DE INSP.'!AE7</f>
        <v>MATUTINO</v>
      </c>
      <c r="AB17" s="121"/>
      <c r="AC17" s="121"/>
      <c r="AD17" s="121"/>
      <c r="AG17" s="188"/>
      <c r="AH17" s="3125"/>
      <c r="AK17" s="188"/>
      <c r="AL17" s="184"/>
      <c r="AN17" s="190"/>
      <c r="AO17" s="175"/>
      <c r="AP17" s="83"/>
    </row>
    <row r="18" spans="2:43" ht="13.5" customHeight="1">
      <c r="B18" s="828"/>
      <c r="C18" s="2884"/>
      <c r="D18" s="2884"/>
      <c r="E18" s="2884"/>
      <c r="F18" s="2884"/>
      <c r="G18" s="2884"/>
      <c r="H18" s="2884"/>
      <c r="I18" s="2884"/>
      <c r="J18" s="2884"/>
      <c r="K18" s="2884"/>
      <c r="L18" s="2885"/>
      <c r="M18" s="2885"/>
      <c r="N18" s="2885"/>
      <c r="O18" s="2885"/>
      <c r="P18" s="2885"/>
      <c r="Q18" s="2885"/>
      <c r="R18" s="2885"/>
      <c r="S18" s="2886"/>
      <c r="T18" s="2886"/>
      <c r="U18" s="2887"/>
      <c r="V18" s="2888"/>
      <c r="W18" s="2889"/>
      <c r="X18" s="2884"/>
      <c r="Y18" s="2884"/>
      <c r="Z18" s="2884"/>
      <c r="AA18" s="2884"/>
      <c r="AB18" s="192"/>
      <c r="AC18" s="192"/>
      <c r="AD18" s="192"/>
      <c r="AG18" s="193"/>
      <c r="AH18" s="191"/>
      <c r="AK18" s="187"/>
      <c r="AL18" s="698"/>
      <c r="AN18" s="110"/>
      <c r="AO18" s="87"/>
      <c r="AP18" s="82"/>
    </row>
    <row r="19" spans="2:43" ht="18" customHeight="1">
      <c r="B19" s="3172">
        <f>'VISITA DE INSP.'!T6</f>
        <v>1</v>
      </c>
      <c r="C19" s="5537" t="s">
        <v>846</v>
      </c>
      <c r="D19" s="5537"/>
      <c r="E19" s="5537"/>
      <c r="F19" s="5537"/>
      <c r="G19" s="5537"/>
      <c r="H19" s="5537"/>
      <c r="I19" s="5519" t="s">
        <v>481</v>
      </c>
      <c r="J19" s="5520"/>
      <c r="K19" s="5519" t="s">
        <v>2427</v>
      </c>
      <c r="L19" s="5520"/>
      <c r="M19" s="5537" t="s">
        <v>2439</v>
      </c>
      <c r="N19" s="5537"/>
      <c r="O19" s="5537"/>
      <c r="P19" s="5537"/>
      <c r="Q19" s="5537"/>
      <c r="R19" s="5519" t="s">
        <v>2439</v>
      </c>
      <c r="S19" s="5520"/>
      <c r="T19" s="5532" t="s">
        <v>2428</v>
      </c>
      <c r="U19" s="5532"/>
      <c r="V19" s="5532"/>
      <c r="W19" s="5528" t="s">
        <v>1995</v>
      </c>
      <c r="X19" s="5529"/>
      <c r="Y19" s="5526" t="s">
        <v>1994</v>
      </c>
      <c r="Z19" s="5526" t="s">
        <v>1958</v>
      </c>
      <c r="AA19" s="5526"/>
      <c r="AB19" s="194"/>
      <c r="AF19" s="194"/>
      <c r="AG19" s="194"/>
      <c r="AI19" s="194"/>
      <c r="AJ19" s="194"/>
      <c r="AK19" s="194"/>
      <c r="AL19" s="194"/>
      <c r="AN19" s="110"/>
      <c r="AO19" s="87">
        <v>100</v>
      </c>
      <c r="AP19" s="82" t="s">
        <v>64</v>
      </c>
    </row>
    <row r="20" spans="2:43" s="195" customFormat="1" ht="18" customHeight="1">
      <c r="B20" s="3138" t="s">
        <v>2308</v>
      </c>
      <c r="C20" s="5537"/>
      <c r="D20" s="5537"/>
      <c r="E20" s="5537"/>
      <c r="F20" s="5537"/>
      <c r="G20" s="5537"/>
      <c r="H20" s="5537"/>
      <c r="I20" s="5521"/>
      <c r="J20" s="5522"/>
      <c r="K20" s="5521"/>
      <c r="L20" s="5522"/>
      <c r="M20" s="5537"/>
      <c r="N20" s="5537"/>
      <c r="O20" s="5537"/>
      <c r="P20" s="5537"/>
      <c r="Q20" s="5537"/>
      <c r="R20" s="5521"/>
      <c r="S20" s="5522"/>
      <c r="T20" s="3139" t="s">
        <v>406</v>
      </c>
      <c r="U20" s="3140" t="s">
        <v>407</v>
      </c>
      <c r="V20" s="3139" t="s">
        <v>495</v>
      </c>
      <c r="W20" s="5530"/>
      <c r="X20" s="5531"/>
      <c r="Y20" s="5527"/>
      <c r="Z20" s="5527"/>
      <c r="AA20" s="5527"/>
      <c r="AB20" s="194"/>
      <c r="AF20" s="194"/>
      <c r="AG20" s="194"/>
      <c r="AH20" s="194"/>
      <c r="AI20" s="194"/>
      <c r="AJ20" s="194"/>
      <c r="AK20" s="194"/>
      <c r="AL20" s="194"/>
      <c r="AN20" s="110"/>
      <c r="AO20" s="87">
        <v>101</v>
      </c>
      <c r="AP20" s="82" t="s">
        <v>37</v>
      </c>
      <c r="AQ20" s="196"/>
    </row>
    <row r="21" spans="2:43" s="195" customFormat="1" ht="15.75" hidden="1" customHeight="1">
      <c r="B21" s="3154">
        <v>-2</v>
      </c>
      <c r="C21" s="5524" t="str">
        <f>'VISITA DE INSP.'!AW17</f>
        <v>KABAH</v>
      </c>
      <c r="D21" s="5524"/>
      <c r="E21" s="5524"/>
      <c r="F21" s="5524"/>
      <c r="G21" s="5524"/>
      <c r="H21" s="5524"/>
      <c r="I21" s="5511" t="str">
        <f>'VISITA DE INSP.'!AV17</f>
        <v>23DPR0055K</v>
      </c>
      <c r="J21" s="5512"/>
      <c r="K21" s="5515" t="s">
        <v>1156</v>
      </c>
      <c r="L21" s="5516"/>
      <c r="M21" s="5524" t="str">
        <f>'VISITA DE INSP.'!DK23</f>
        <v>CERVANTES BENITEZ * ANTONIA</v>
      </c>
      <c r="N21" s="5524"/>
      <c r="O21" s="5524"/>
      <c r="P21" s="5524"/>
      <c r="Q21" s="5524"/>
      <c r="R21" s="5511" t="str">
        <f>'VISITA DE INSP.'!AP17</f>
        <v>DIRECTOR</v>
      </c>
      <c r="S21" s="5512"/>
      <c r="T21" s="3153"/>
      <c r="U21" s="3154"/>
      <c r="V21" s="3153"/>
      <c r="W21" s="3137">
        <f>'VISITA DE INSP.'!B17</f>
        <v>0</v>
      </c>
      <c r="X21" s="3133">
        <f>'VISITA DE INSP.'!C17</f>
        <v>0</v>
      </c>
      <c r="Y21" s="3134" t="e">
        <f>MID(#REF!,11,1)</f>
        <v>#REF!</v>
      </c>
      <c r="Z21" s="3134"/>
      <c r="AA21" s="3135"/>
      <c r="AB21" s="197"/>
      <c r="AF21" s="197"/>
      <c r="AG21" s="198"/>
      <c r="AH21" s="198"/>
      <c r="AI21" s="198"/>
      <c r="AJ21" s="5500"/>
      <c r="AK21" s="5500"/>
      <c r="AL21" s="5500"/>
      <c r="AN21" s="110" t="e">
        <f>#REF!</f>
        <v>#REF!</v>
      </c>
      <c r="AO21" s="87">
        <v>102</v>
      </c>
      <c r="AP21" s="82" t="s">
        <v>65</v>
      </c>
      <c r="AQ21" s="196"/>
    </row>
    <row r="22" spans="2:43" s="195" customFormat="1" ht="15.75" hidden="1" customHeight="1">
      <c r="B22" s="3149">
        <f>B21+1</f>
        <v>-1</v>
      </c>
      <c r="C22" s="5523" t="str">
        <f>'VISITA DE INSP.'!AW18</f>
        <v>KABAH</v>
      </c>
      <c r="D22" s="5523"/>
      <c r="E22" s="5523"/>
      <c r="F22" s="5523"/>
      <c r="G22" s="5523"/>
      <c r="H22" s="5523"/>
      <c r="I22" s="5513" t="str">
        <f>'VISITA DE INSP.'!AV18</f>
        <v>23DPR0055K</v>
      </c>
      <c r="J22" s="5514"/>
      <c r="K22" s="5517" t="s">
        <v>1156</v>
      </c>
      <c r="L22" s="5518"/>
      <c r="M22" s="5523" t="str">
        <f>'VISITA DE INSP.'!DK24</f>
        <v>ARANDA ESCALANTE * ARELI GUADALUPE</v>
      </c>
      <c r="N22" s="5523"/>
      <c r="O22" s="5523"/>
      <c r="P22" s="5523"/>
      <c r="Q22" s="5523"/>
      <c r="R22" s="5513" t="str">
        <f>'VISITA DE INSP.'!AP18</f>
        <v>DOCENTE</v>
      </c>
      <c r="S22" s="5514"/>
      <c r="T22" s="3150"/>
      <c r="U22" s="3151"/>
      <c r="V22" s="3150"/>
      <c r="W22" s="3137" t="str">
        <f>'VISITA DE INSP.'!B18</f>
        <v>1º</v>
      </c>
      <c r="X22" s="3133" t="str">
        <f>'VISITA DE INSP.'!C18</f>
        <v>A</v>
      </c>
      <c r="Y22" s="3134" t="e">
        <f>MID(#REF!,11,1)</f>
        <v>#REF!</v>
      </c>
      <c r="Z22" s="3136"/>
      <c r="AA22" s="3135"/>
      <c r="AB22" s="197"/>
      <c r="AF22" s="197"/>
      <c r="AG22" s="198"/>
      <c r="AH22" s="198"/>
      <c r="AI22" s="198"/>
      <c r="AJ22" s="5500"/>
      <c r="AK22" s="5500"/>
      <c r="AL22" s="5500"/>
      <c r="AN22" s="110" t="e">
        <f>#REF!</f>
        <v>#REF!</v>
      </c>
      <c r="AO22" s="87"/>
      <c r="AP22" s="199" t="s">
        <v>69</v>
      </c>
      <c r="AQ22" s="200" t="s">
        <v>78</v>
      </c>
    </row>
    <row r="23" spans="2:43" s="195" customFormat="1" ht="15.75" hidden="1" customHeight="1">
      <c r="B23" s="3152">
        <f t="shared" ref="B23:B40" si="0">B22+1</f>
        <v>0</v>
      </c>
      <c r="C23" s="5524" t="str">
        <f>'VISITA DE INSP.'!AW19</f>
        <v>KABAH</v>
      </c>
      <c r="D23" s="5524"/>
      <c r="E23" s="5524"/>
      <c r="F23" s="5524"/>
      <c r="G23" s="5524"/>
      <c r="H23" s="5524"/>
      <c r="I23" s="5511" t="str">
        <f>'VISITA DE INSP.'!AV19</f>
        <v>23DPR0055K</v>
      </c>
      <c r="J23" s="5512"/>
      <c r="K23" s="5515" t="s">
        <v>1156</v>
      </c>
      <c r="L23" s="5516"/>
      <c r="M23" s="5524" t="str">
        <f>'VISITA DE INSP.'!DK25</f>
        <v>AKE QUEB * MARIANA DEL CONSUELO</v>
      </c>
      <c r="N23" s="5524"/>
      <c r="O23" s="5524"/>
      <c r="P23" s="5524"/>
      <c r="Q23" s="5524"/>
      <c r="R23" s="5511" t="str">
        <f>'VISITA DE INSP.'!AP19</f>
        <v>DOCENTE</v>
      </c>
      <c r="S23" s="5512"/>
      <c r="T23" s="3153"/>
      <c r="U23" s="3154"/>
      <c r="V23" s="3153"/>
      <c r="W23" s="3137" t="str">
        <f>'VISITA DE INSP.'!B19</f>
        <v>1º</v>
      </c>
      <c r="X23" s="3133" t="str">
        <f>'VISITA DE INSP.'!C19</f>
        <v>B</v>
      </c>
      <c r="Y23" s="3134" t="e">
        <f>MID(#REF!,11,1)</f>
        <v>#REF!</v>
      </c>
      <c r="Z23" s="3136"/>
      <c r="AA23" s="3135"/>
      <c r="AB23" s="3123"/>
      <c r="AG23" s="198"/>
      <c r="AH23" s="198"/>
      <c r="AI23" s="198"/>
      <c r="AJ23" s="5500"/>
      <c r="AK23" s="5500"/>
      <c r="AL23" s="5500"/>
      <c r="AN23" s="110" t="e">
        <f>#REF!</f>
        <v>#REF!</v>
      </c>
      <c r="AO23" s="87" t="e">
        <f>VLOOKUP(AG18,AP22:AQ23,2,0)</f>
        <v>#N/A</v>
      </c>
      <c r="AP23" s="199" t="s">
        <v>77</v>
      </c>
      <c r="AQ23" s="200">
        <v>0</v>
      </c>
    </row>
    <row r="24" spans="2:43" s="195" customFormat="1" ht="20.25" customHeight="1">
      <c r="B24" s="3149">
        <f t="shared" si="0"/>
        <v>1</v>
      </c>
      <c r="C24" s="5523" t="str">
        <f>'VISITA DE INSP.'!AW20</f>
        <v>KABAH</v>
      </c>
      <c r="D24" s="5523"/>
      <c r="E24" s="5523"/>
      <c r="F24" s="5523"/>
      <c r="G24" s="5523"/>
      <c r="H24" s="5523"/>
      <c r="I24" s="5513" t="str">
        <f>'VISITA DE INSP.'!AV20</f>
        <v>23DPR0055K</v>
      </c>
      <c r="J24" s="5514"/>
      <c r="K24" s="5517" t="s">
        <v>69</v>
      </c>
      <c r="L24" s="5518"/>
      <c r="M24" s="5523" t="str">
        <f>'VISITA DE INSP.'!DK26</f>
        <v>MORENO CARDENAS * IGNACIA</v>
      </c>
      <c r="N24" s="5523"/>
      <c r="O24" s="5523"/>
      <c r="P24" s="5523"/>
      <c r="Q24" s="5523"/>
      <c r="R24" s="5513" t="str">
        <f>'VISITA DE INSP.'!AP20</f>
        <v>DOCENTE</v>
      </c>
      <c r="S24" s="5514"/>
      <c r="T24" s="3183">
        <f>Plantillas!H63</f>
        <v>2</v>
      </c>
      <c r="U24" s="3183">
        <f>Plantillas!I63</f>
        <v>10</v>
      </c>
      <c r="V24" s="3184">
        <f>T24+U24</f>
        <v>12</v>
      </c>
      <c r="W24" s="3137" t="str">
        <f>'VISITA DE INSP.'!B20</f>
        <v>2º</v>
      </c>
      <c r="X24" s="3133" t="str">
        <f>'VISITA DE INSP.'!C20</f>
        <v>A</v>
      </c>
      <c r="Y24" s="3134"/>
      <c r="Z24" s="3136"/>
      <c r="AA24" s="3135"/>
      <c r="AB24" s="197"/>
      <c r="AG24" s="198"/>
      <c r="AH24" s="198"/>
      <c r="AI24" s="198"/>
      <c r="AJ24" s="5500"/>
      <c r="AK24" s="5500"/>
      <c r="AL24" s="5500"/>
      <c r="AN24" s="110" t="e">
        <f>#REF!</f>
        <v>#REF!</v>
      </c>
      <c r="AO24" s="87" t="e">
        <f>VLOOKUP(AG18,AP24:AQ25,2,0)</f>
        <v>#N/A</v>
      </c>
      <c r="AP24" s="199" t="s">
        <v>69</v>
      </c>
      <c r="AQ24" s="200">
        <v>0</v>
      </c>
    </row>
    <row r="25" spans="2:43" s="195" customFormat="1" ht="20.25" customHeight="1">
      <c r="B25" s="3152">
        <f t="shared" si="0"/>
        <v>2</v>
      </c>
      <c r="C25" s="5524" t="str">
        <f>'VISITA DE INSP.'!AW21</f>
        <v>KABAH</v>
      </c>
      <c r="D25" s="5524"/>
      <c r="E25" s="5524"/>
      <c r="F25" s="5524"/>
      <c r="G25" s="5524"/>
      <c r="H25" s="5524"/>
      <c r="I25" s="5511" t="str">
        <f>'VISITA DE INSP.'!AV21</f>
        <v>23DPR0055K</v>
      </c>
      <c r="J25" s="5512"/>
      <c r="K25" s="5515" t="s">
        <v>69</v>
      </c>
      <c r="L25" s="5516"/>
      <c r="M25" s="5524" t="str">
        <f>'VISITA DE INSP.'!DK27</f>
        <v>GONGORA SANTOS * GRACIELA</v>
      </c>
      <c r="N25" s="5524"/>
      <c r="O25" s="5524"/>
      <c r="P25" s="5524"/>
      <c r="Q25" s="5524"/>
      <c r="R25" s="5511" t="str">
        <f>'VISITA DE INSP.'!AP21</f>
        <v>DOCENTE</v>
      </c>
      <c r="S25" s="5512"/>
      <c r="T25" s="3185">
        <f>Plantillas!H103</f>
        <v>4</v>
      </c>
      <c r="U25" s="3185">
        <f>Plantillas!I103</f>
        <v>10</v>
      </c>
      <c r="V25" s="3186">
        <f t="shared" ref="V25:V40" si="1">T25+U25</f>
        <v>14</v>
      </c>
      <c r="W25" s="3137" t="str">
        <f>'VISITA DE INSP.'!B21</f>
        <v>2º</v>
      </c>
      <c r="X25" s="3133" t="str">
        <f>'VISITA DE INSP.'!C21</f>
        <v>B</v>
      </c>
      <c r="Y25" s="3134"/>
      <c r="Z25" s="3136"/>
      <c r="AA25" s="3135"/>
      <c r="AB25" s="197"/>
      <c r="AG25" s="202"/>
      <c r="AH25" s="198"/>
      <c r="AI25" s="198"/>
      <c r="AJ25" s="5500"/>
      <c r="AK25" s="5500"/>
      <c r="AL25" s="5500"/>
      <c r="AN25" s="110" t="e">
        <f>#REF!</f>
        <v>#REF!</v>
      </c>
      <c r="AO25" s="196"/>
      <c r="AP25" s="199" t="s">
        <v>77</v>
      </c>
      <c r="AQ25" s="200" t="s">
        <v>78</v>
      </c>
    </row>
    <row r="26" spans="2:43" s="195" customFormat="1" ht="20.25" customHeight="1">
      <c r="B26" s="3149">
        <f t="shared" si="0"/>
        <v>3</v>
      </c>
      <c r="C26" s="5523" t="str">
        <f>'VISITA DE INSP.'!AW22</f>
        <v>KABAH</v>
      </c>
      <c r="D26" s="5523"/>
      <c r="E26" s="5523"/>
      <c r="F26" s="5523"/>
      <c r="G26" s="5523"/>
      <c r="H26" s="5523"/>
      <c r="I26" s="5513" t="str">
        <f>'VISITA DE INSP.'!AV22</f>
        <v>23DPR0055K</v>
      </c>
      <c r="J26" s="5514"/>
      <c r="K26" s="5517" t="s">
        <v>77</v>
      </c>
      <c r="L26" s="5518"/>
      <c r="M26" s="5523" t="str">
        <f>'VISITA DE INSP.'!DK28</f>
        <v>VARGAS GARCIA * DEBRA DORIS DEL SAGRARIO</v>
      </c>
      <c r="N26" s="5523"/>
      <c r="O26" s="5523"/>
      <c r="P26" s="5523"/>
      <c r="Q26" s="5523"/>
      <c r="R26" s="5513" t="str">
        <f>'VISITA DE INSP.'!AP22</f>
        <v>DOCENTE</v>
      </c>
      <c r="S26" s="5514"/>
      <c r="T26" s="3183">
        <f>Plantillas!H143</f>
        <v>6</v>
      </c>
      <c r="U26" s="3183">
        <f>Plantillas!I143</f>
        <v>5</v>
      </c>
      <c r="V26" s="3184">
        <f t="shared" si="1"/>
        <v>11</v>
      </c>
      <c r="W26" s="3137" t="str">
        <f>'VISITA DE INSP.'!B22</f>
        <v>3º</v>
      </c>
      <c r="X26" s="3133" t="str">
        <f>'VISITA DE INSP.'!C22</f>
        <v>A</v>
      </c>
      <c r="Y26" s="3134"/>
      <c r="Z26" s="3136"/>
      <c r="AA26" s="3135"/>
      <c r="AB26" s="197"/>
      <c r="AG26" s="198"/>
      <c r="AH26" s="202"/>
      <c r="AI26" s="202"/>
      <c r="AJ26" s="5500"/>
      <c r="AK26" s="5500"/>
      <c r="AL26" s="5500"/>
      <c r="AN26" s="110" t="e">
        <f>#REF!</f>
        <v>#REF!</v>
      </c>
      <c r="AO26" s="196"/>
      <c r="AP26" s="196"/>
      <c r="AQ26" s="196"/>
    </row>
    <row r="27" spans="2:43" s="195" customFormat="1" ht="20.25" customHeight="1">
      <c r="B27" s="3152">
        <f t="shared" si="0"/>
        <v>4</v>
      </c>
      <c r="C27" s="5524" t="str">
        <f>'VISITA DE INSP.'!AW23</f>
        <v>KABAH</v>
      </c>
      <c r="D27" s="5524"/>
      <c r="E27" s="5524"/>
      <c r="F27" s="5524"/>
      <c r="G27" s="5524"/>
      <c r="H27" s="5524"/>
      <c r="I27" s="5511" t="str">
        <f>'VISITA DE INSP.'!AV23</f>
        <v>23DPR0055K</v>
      </c>
      <c r="J27" s="5512"/>
      <c r="K27" s="5515" t="s">
        <v>69</v>
      </c>
      <c r="L27" s="5516"/>
      <c r="M27" s="5524" t="str">
        <f>'VISITA DE INSP.'!DK29</f>
        <v>CASTRO LOPEZ * SOSIMA PETRA</v>
      </c>
      <c r="N27" s="5524"/>
      <c r="O27" s="5524"/>
      <c r="P27" s="5524"/>
      <c r="Q27" s="5524"/>
      <c r="R27" s="5511" t="str">
        <f>'VISITA DE INSP.'!AP23</f>
        <v>DOCENTE</v>
      </c>
      <c r="S27" s="5512"/>
      <c r="T27" s="3185">
        <f>Plantillas!H183</f>
        <v>5</v>
      </c>
      <c r="U27" s="3185">
        <f>Plantillas!I183</f>
        <v>7</v>
      </c>
      <c r="V27" s="3186">
        <f t="shared" si="1"/>
        <v>12</v>
      </c>
      <c r="W27" s="3137" t="str">
        <f>'VISITA DE INSP.'!B23</f>
        <v>3º</v>
      </c>
      <c r="X27" s="3133" t="str">
        <f>'VISITA DE INSP.'!C23</f>
        <v>B</v>
      </c>
      <c r="Y27" s="3134"/>
      <c r="Z27" s="3136"/>
      <c r="AA27" s="3135"/>
      <c r="AB27" s="197"/>
      <c r="AF27" s="197"/>
      <c r="AG27" s="198"/>
      <c r="AH27" s="198"/>
      <c r="AI27" s="198"/>
      <c r="AJ27" s="5500"/>
      <c r="AK27" s="5500"/>
      <c r="AL27" s="5500"/>
      <c r="AN27" s="110" t="e">
        <f>#REF!</f>
        <v>#REF!</v>
      </c>
      <c r="AO27" s="196"/>
      <c r="AP27" s="196"/>
      <c r="AQ27" s="196"/>
    </row>
    <row r="28" spans="2:43" s="195" customFormat="1" ht="20.25" customHeight="1">
      <c r="B28" s="3149">
        <f t="shared" si="0"/>
        <v>5</v>
      </c>
      <c r="C28" s="5523" t="str">
        <f>'VISITA DE INSP.'!AW24</f>
        <v>KABAH</v>
      </c>
      <c r="D28" s="5523"/>
      <c r="E28" s="5523"/>
      <c r="F28" s="5523"/>
      <c r="G28" s="5523"/>
      <c r="H28" s="5523"/>
      <c r="I28" s="5513" t="str">
        <f>'VISITA DE INSP.'!AV24</f>
        <v>23DPR0055K</v>
      </c>
      <c r="J28" s="5514"/>
      <c r="K28" s="5517" t="s">
        <v>77</v>
      </c>
      <c r="L28" s="5518"/>
      <c r="M28" s="5523" t="str">
        <f>'VISITA DE INSP.'!DK30</f>
        <v>SANCHEZ BUSTAMANTE * CONCEPCION</v>
      </c>
      <c r="N28" s="5523"/>
      <c r="O28" s="5523"/>
      <c r="P28" s="5523"/>
      <c r="Q28" s="5523"/>
      <c r="R28" s="5513" t="str">
        <f>'VISITA DE INSP.'!AP24</f>
        <v>DOCENTE</v>
      </c>
      <c r="S28" s="5514"/>
      <c r="T28" s="3183">
        <f>Plantillas!H223</f>
        <v>6</v>
      </c>
      <c r="U28" s="3183">
        <f>Plantillas!I223</f>
        <v>3</v>
      </c>
      <c r="V28" s="3184">
        <f t="shared" si="1"/>
        <v>9</v>
      </c>
      <c r="W28" s="3137" t="str">
        <f>'VISITA DE INSP.'!B24</f>
        <v>4º</v>
      </c>
      <c r="X28" s="3133" t="str">
        <f>'VISITA DE INSP.'!C24</f>
        <v>A</v>
      </c>
      <c r="Y28" s="3134"/>
      <c r="Z28" s="3134"/>
      <c r="AA28" s="3135"/>
      <c r="AB28" s="197"/>
      <c r="AF28" s="197"/>
      <c r="AG28" s="198"/>
      <c r="AH28" s="198"/>
      <c r="AI28" s="198"/>
      <c r="AJ28" s="5500"/>
      <c r="AK28" s="5500"/>
      <c r="AL28" s="5500"/>
      <c r="AN28" s="110" t="e">
        <f>#REF!</f>
        <v>#REF!</v>
      </c>
      <c r="AO28" s="196"/>
      <c r="AP28" s="196"/>
      <c r="AQ28" s="196"/>
    </row>
    <row r="29" spans="2:43" ht="20.25" customHeight="1">
      <c r="B29" s="3152">
        <f t="shared" si="0"/>
        <v>6</v>
      </c>
      <c r="C29" s="5524" t="str">
        <f>'VISITA DE INSP.'!AW25</f>
        <v>KABAH</v>
      </c>
      <c r="D29" s="5524"/>
      <c r="E29" s="5524"/>
      <c r="F29" s="5524"/>
      <c r="G29" s="5524"/>
      <c r="H29" s="5524"/>
      <c r="I29" s="5511" t="str">
        <f>'VISITA DE INSP.'!AV25</f>
        <v>23DPR0055K</v>
      </c>
      <c r="J29" s="5512"/>
      <c r="K29" s="5515" t="s">
        <v>69</v>
      </c>
      <c r="L29" s="5516"/>
      <c r="M29" s="5524" t="str">
        <f>'VISITA DE INSP.'!DK31</f>
        <v>VIVEROS SALAZAR *NORA</v>
      </c>
      <c r="N29" s="5524"/>
      <c r="O29" s="5524"/>
      <c r="P29" s="5524"/>
      <c r="Q29" s="5524"/>
      <c r="R29" s="5511" t="str">
        <f>'VISITA DE INSP.'!AP25</f>
        <v>DOCENTE</v>
      </c>
      <c r="S29" s="5512"/>
      <c r="T29" s="3185">
        <f>Plantillas!H263</f>
        <v>3</v>
      </c>
      <c r="U29" s="3185">
        <f>Plantillas!I263</f>
        <v>9</v>
      </c>
      <c r="V29" s="3186">
        <f t="shared" si="1"/>
        <v>12</v>
      </c>
      <c r="W29" s="3137" t="str">
        <f>'VISITA DE INSP.'!B25</f>
        <v>4º</v>
      </c>
      <c r="X29" s="3133" t="str">
        <f>'VISITA DE INSP.'!C25</f>
        <v>B</v>
      </c>
      <c r="Y29" s="3134"/>
      <c r="Z29" s="3134"/>
      <c r="AA29" s="3135"/>
      <c r="AB29" s="197"/>
      <c r="AF29" s="197"/>
      <c r="AG29" s="198"/>
      <c r="AH29" s="198"/>
      <c r="AI29" s="198"/>
      <c r="AJ29" s="5500"/>
      <c r="AK29" s="5500"/>
      <c r="AL29" s="5500"/>
      <c r="AN29" s="110" t="e">
        <f>#REF!</f>
        <v>#REF!</v>
      </c>
    </row>
    <row r="30" spans="2:43" ht="20.25" customHeight="1">
      <c r="B30" s="3149">
        <f t="shared" si="0"/>
        <v>7</v>
      </c>
      <c r="C30" s="5523" t="str">
        <f>'VISITA DE INSP.'!AW26</f>
        <v>KABAH</v>
      </c>
      <c r="D30" s="5523"/>
      <c r="E30" s="5523"/>
      <c r="F30" s="5523"/>
      <c r="G30" s="5523"/>
      <c r="H30" s="5523"/>
      <c r="I30" s="5513" t="str">
        <f>'VISITA DE INSP.'!AV26</f>
        <v>23DPR0055K</v>
      </c>
      <c r="J30" s="5514"/>
      <c r="K30" s="5517" t="s">
        <v>77</v>
      </c>
      <c r="L30" s="5518"/>
      <c r="M30" s="5523" t="str">
        <f>'VISITA DE INSP.'!DK32</f>
        <v>XIU VELAZQUEZ * JOSE MANUEL</v>
      </c>
      <c r="N30" s="5523"/>
      <c r="O30" s="5523"/>
      <c r="P30" s="5523"/>
      <c r="Q30" s="5523"/>
      <c r="R30" s="5513" t="str">
        <f>'VISITA DE INSP.'!AP26</f>
        <v>DOCENTE</v>
      </c>
      <c r="S30" s="5514"/>
      <c r="T30" s="3183">
        <f>Plantillas!H303</f>
        <v>4</v>
      </c>
      <c r="U30" s="3183">
        <f>Plantillas!I303</f>
        <v>2</v>
      </c>
      <c r="V30" s="3184">
        <f t="shared" si="1"/>
        <v>6</v>
      </c>
      <c r="W30" s="3137" t="str">
        <f>'VISITA DE INSP.'!B26</f>
        <v>5º</v>
      </c>
      <c r="X30" s="3133" t="str">
        <f>'VISITA DE INSP.'!C26</f>
        <v>A</v>
      </c>
      <c r="Y30" s="3134"/>
      <c r="Z30" s="3134"/>
      <c r="AA30" s="3135"/>
      <c r="AB30" s="197"/>
      <c r="AF30" s="3123"/>
      <c r="AG30" s="202"/>
      <c r="AH30" s="198"/>
      <c r="AI30" s="198"/>
      <c r="AJ30" s="5500"/>
      <c r="AK30" s="5500"/>
      <c r="AL30" s="5500"/>
      <c r="AN30" s="110" t="e">
        <f>#REF!</f>
        <v>#REF!</v>
      </c>
    </row>
    <row r="31" spans="2:43" ht="20.25" customHeight="1">
      <c r="B31" s="3152">
        <f t="shared" si="0"/>
        <v>8</v>
      </c>
      <c r="C31" s="5524" t="str">
        <f>'VISITA DE INSP.'!AW27</f>
        <v>KABAH</v>
      </c>
      <c r="D31" s="5524"/>
      <c r="E31" s="5524"/>
      <c r="F31" s="5524"/>
      <c r="G31" s="5524"/>
      <c r="H31" s="5524"/>
      <c r="I31" s="5511" t="str">
        <f>'VISITA DE INSP.'!AV27</f>
        <v>23DPR0055K</v>
      </c>
      <c r="J31" s="5512"/>
      <c r="K31" s="5515" t="s">
        <v>77</v>
      </c>
      <c r="L31" s="5516"/>
      <c r="M31" s="5524" t="str">
        <f>'VISITA DE INSP.'!DK33</f>
        <v>MARTIN QUINTAL * SIHARELI CONCEPCION</v>
      </c>
      <c r="N31" s="5524"/>
      <c r="O31" s="5524"/>
      <c r="P31" s="5524"/>
      <c r="Q31" s="5524"/>
      <c r="R31" s="5511" t="str">
        <f>'VISITA DE INSP.'!AP27</f>
        <v>DOCENTE</v>
      </c>
      <c r="S31" s="5512"/>
      <c r="T31" s="3185">
        <f>Plantillas!H343</f>
        <v>1</v>
      </c>
      <c r="U31" s="3185">
        <f>Plantillas!I343</f>
        <v>2</v>
      </c>
      <c r="V31" s="3186">
        <f t="shared" si="1"/>
        <v>3</v>
      </c>
      <c r="W31" s="3137" t="str">
        <f>'VISITA DE INSP.'!B27</f>
        <v>5º</v>
      </c>
      <c r="X31" s="3133" t="str">
        <f>'VISITA DE INSP.'!C27</f>
        <v>B</v>
      </c>
      <c r="Y31" s="3134"/>
      <c r="Z31" s="3134"/>
      <c r="AA31" s="3135"/>
      <c r="AB31" s="197"/>
      <c r="AF31" s="3123"/>
      <c r="AG31" s="202"/>
      <c r="AH31" s="198"/>
      <c r="AI31" s="198"/>
      <c r="AJ31" s="5500"/>
      <c r="AK31" s="5500"/>
      <c r="AL31" s="5500"/>
      <c r="AN31" s="110" t="e">
        <f>#REF!</f>
        <v>#REF!</v>
      </c>
    </row>
    <row r="32" spans="2:43" ht="20.25" customHeight="1">
      <c r="B32" s="3149">
        <f t="shared" si="0"/>
        <v>9</v>
      </c>
      <c r="C32" s="5523" t="str">
        <f>'VISITA DE INSP.'!AW28</f>
        <v>KABAH</v>
      </c>
      <c r="D32" s="5523"/>
      <c r="E32" s="5523"/>
      <c r="F32" s="5523"/>
      <c r="G32" s="5523"/>
      <c r="H32" s="5523"/>
      <c r="I32" s="5513" t="str">
        <f>'VISITA DE INSP.'!AV28</f>
        <v>23DPR0055K</v>
      </c>
      <c r="J32" s="5514"/>
      <c r="K32" s="5517" t="s">
        <v>69</v>
      </c>
      <c r="L32" s="5518"/>
      <c r="M32" s="5523" t="str">
        <f>'VISITA DE INSP.'!DK34</f>
        <v>ALEMAN SANTOS * MIRIAM</v>
      </c>
      <c r="N32" s="5523"/>
      <c r="O32" s="5523"/>
      <c r="P32" s="5523"/>
      <c r="Q32" s="5523"/>
      <c r="R32" s="5513" t="str">
        <f>'VISITA DE INSP.'!AP28</f>
        <v>DOCENTE</v>
      </c>
      <c r="S32" s="5514"/>
      <c r="T32" s="3183">
        <f>Plantillas!H383</f>
        <v>3</v>
      </c>
      <c r="U32" s="3183">
        <f>Plantillas!I383</f>
        <v>9</v>
      </c>
      <c r="V32" s="3184">
        <f t="shared" si="1"/>
        <v>12</v>
      </c>
      <c r="W32" s="3137" t="str">
        <f>'VISITA DE INSP.'!B28</f>
        <v>6º</v>
      </c>
      <c r="X32" s="3133" t="str">
        <f>'VISITA DE INSP.'!C28</f>
        <v>A</v>
      </c>
      <c r="Y32" s="3134"/>
      <c r="Z32" s="3134"/>
      <c r="AA32" s="3135"/>
      <c r="AB32" s="197"/>
      <c r="AF32" s="197"/>
      <c r="AG32" s="198"/>
      <c r="AH32" s="202"/>
      <c r="AI32" s="202"/>
      <c r="AJ32" s="5500"/>
      <c r="AK32" s="5500"/>
      <c r="AL32" s="5500"/>
      <c r="AN32" s="110" t="e">
        <f>#REF!</f>
        <v>#REF!</v>
      </c>
    </row>
    <row r="33" spans="1:40" ht="20.25" customHeight="1">
      <c r="B33" s="3152">
        <f t="shared" si="0"/>
        <v>10</v>
      </c>
      <c r="C33" s="5524" t="str">
        <f>'VISITA DE INSP.'!AW29</f>
        <v>KABAH</v>
      </c>
      <c r="D33" s="5524"/>
      <c r="E33" s="5524"/>
      <c r="F33" s="5524"/>
      <c r="G33" s="5524"/>
      <c r="H33" s="5524"/>
      <c r="I33" s="5511" t="str">
        <f>'VISITA DE INSP.'!AV29</f>
        <v>23DPR0055K</v>
      </c>
      <c r="J33" s="5512"/>
      <c r="K33" s="5515" t="s">
        <v>69</v>
      </c>
      <c r="L33" s="5516"/>
      <c r="M33" s="5524" t="str">
        <f>'VISITA DE INSP.'!DK35</f>
        <v>CRUZ PEREZ * FRANCISCO</v>
      </c>
      <c r="N33" s="5524"/>
      <c r="O33" s="5524"/>
      <c r="P33" s="5524"/>
      <c r="Q33" s="5524"/>
      <c r="R33" s="5511" t="str">
        <f>'VISITA DE INSP.'!AP29</f>
        <v>DOCENTE</v>
      </c>
      <c r="S33" s="5512"/>
      <c r="T33" s="3185">
        <f>Plantillas!H423</f>
        <v>4</v>
      </c>
      <c r="U33" s="3185">
        <f>Plantillas!I423</f>
        <v>3</v>
      </c>
      <c r="V33" s="3186">
        <f t="shared" si="1"/>
        <v>7</v>
      </c>
      <c r="W33" s="3137" t="str">
        <f>'VISITA DE INSP.'!B29</f>
        <v>6º</v>
      </c>
      <c r="X33" s="3133" t="str">
        <f>'VISITA DE INSP.'!C29</f>
        <v>B</v>
      </c>
      <c r="Y33" s="3134"/>
      <c r="Z33" s="3134"/>
      <c r="AA33" s="3135"/>
      <c r="AB33" s="197"/>
      <c r="AF33" s="197"/>
      <c r="AG33" s="198"/>
      <c r="AH33" s="202"/>
      <c r="AI33" s="202"/>
      <c r="AJ33" s="5500"/>
      <c r="AK33" s="5500"/>
      <c r="AL33" s="5500"/>
      <c r="AN33" s="110" t="e">
        <f>#REF!</f>
        <v>#REF!</v>
      </c>
    </row>
    <row r="34" spans="1:40" ht="20.25" customHeight="1">
      <c r="B34" s="3149">
        <f t="shared" si="0"/>
        <v>11</v>
      </c>
      <c r="C34" s="5523" t="str">
        <f>'VISITA DE INSP.'!AW30</f>
        <v>KABAH</v>
      </c>
      <c r="D34" s="5523"/>
      <c r="E34" s="5523"/>
      <c r="F34" s="5523"/>
      <c r="G34" s="5523"/>
      <c r="H34" s="5523"/>
      <c r="I34" s="5513" t="str">
        <f>'VISITA DE INSP.'!AV30</f>
        <v>23DPR0055K</v>
      </c>
      <c r="J34" s="5514"/>
      <c r="K34" s="5517" t="s">
        <v>69</v>
      </c>
      <c r="L34" s="5518"/>
      <c r="M34" s="5523" t="str">
        <f>'VISITA DE INSP.'!DK36</f>
        <v>GONGORA * TERESITA DEL CARMEN</v>
      </c>
      <c r="N34" s="5523"/>
      <c r="O34" s="5523"/>
      <c r="P34" s="5523"/>
      <c r="Q34" s="5523"/>
      <c r="R34" s="5513" t="str">
        <f>'VISITA DE INSP.'!AP30</f>
        <v>INTENDENTE</v>
      </c>
      <c r="S34" s="5514"/>
      <c r="T34" s="3183">
        <f>Plantillas!H463</f>
        <v>1</v>
      </c>
      <c r="U34" s="3183">
        <f>Plantillas!I463</f>
        <v>2</v>
      </c>
      <c r="V34" s="3184">
        <f t="shared" si="1"/>
        <v>3</v>
      </c>
      <c r="W34" s="3137">
        <f>'VISITA DE INSP.'!B30</f>
        <v>0</v>
      </c>
      <c r="X34" s="3133">
        <f>'VISITA DE INSP.'!C30</f>
        <v>0</v>
      </c>
      <c r="Y34" s="3134"/>
      <c r="Z34" s="3134"/>
      <c r="AA34" s="3135"/>
      <c r="AB34" s="197"/>
      <c r="AF34" s="197"/>
      <c r="AG34" s="198"/>
      <c r="AH34" s="198"/>
      <c r="AI34" s="198"/>
      <c r="AJ34" s="5500"/>
      <c r="AK34" s="5500"/>
      <c r="AL34" s="5500"/>
      <c r="AN34" s="110" t="e">
        <f>#REF!</f>
        <v>#REF!</v>
      </c>
    </row>
    <row r="35" spans="1:40" ht="20.25" customHeight="1">
      <c r="B35" s="3152">
        <f t="shared" si="0"/>
        <v>12</v>
      </c>
      <c r="C35" s="5524" t="str">
        <f>'VISITA DE INSP.'!AW31</f>
        <v>KABAH</v>
      </c>
      <c r="D35" s="5524"/>
      <c r="E35" s="5524"/>
      <c r="F35" s="5524"/>
      <c r="G35" s="5524"/>
      <c r="H35" s="5524"/>
      <c r="I35" s="5511" t="str">
        <f>'VISITA DE INSP.'!AV31</f>
        <v>23DPR0055K</v>
      </c>
      <c r="J35" s="5512"/>
      <c r="K35" s="5515" t="s">
        <v>69</v>
      </c>
      <c r="L35" s="5516"/>
      <c r="M35" s="5524" t="str">
        <f>'VISITA DE INSP.'!DK37</f>
        <v>ARGUELLES GARCIA * MAYRA LUCELY</v>
      </c>
      <c r="N35" s="5524"/>
      <c r="O35" s="5524"/>
      <c r="P35" s="5524"/>
      <c r="Q35" s="5524"/>
      <c r="R35" s="5511" t="str">
        <f>'VISITA DE INSP.'!AP31</f>
        <v>E. FISICA</v>
      </c>
      <c r="S35" s="5512"/>
      <c r="T35" s="3185">
        <f>Plantillas!H503</f>
        <v>0</v>
      </c>
      <c r="U35" s="3185">
        <f>Plantillas!I503</f>
        <v>3</v>
      </c>
      <c r="V35" s="3186">
        <f t="shared" si="1"/>
        <v>3</v>
      </c>
      <c r="W35" s="3137">
        <f>'VISITA DE INSP.'!B31</f>
        <v>0</v>
      </c>
      <c r="X35" s="3133">
        <f>'VISITA DE INSP.'!C31</f>
        <v>0</v>
      </c>
      <c r="Y35" s="3134"/>
      <c r="Z35" s="3134"/>
      <c r="AA35" s="3135"/>
      <c r="AB35" s="3123"/>
      <c r="AF35" s="3123"/>
      <c r="AG35" s="202"/>
      <c r="AH35" s="202"/>
      <c r="AI35" s="202"/>
      <c r="AJ35" s="5500"/>
      <c r="AK35" s="5500"/>
      <c r="AL35" s="5500"/>
      <c r="AN35" s="110" t="e">
        <f>#REF!</f>
        <v>#REF!</v>
      </c>
    </row>
    <row r="36" spans="1:40" ht="20.25" customHeight="1">
      <c r="B36" s="3149">
        <f t="shared" si="0"/>
        <v>13</v>
      </c>
      <c r="C36" s="5523" t="str">
        <f>'VISITA DE INSP.'!AW32</f>
        <v>KABAH</v>
      </c>
      <c r="D36" s="5523"/>
      <c r="E36" s="5523"/>
      <c r="F36" s="5523"/>
      <c r="G36" s="5523"/>
      <c r="H36" s="5523"/>
      <c r="I36" s="5513" t="str">
        <f>'VISITA DE INSP.'!AV32</f>
        <v>23DPR0055K</v>
      </c>
      <c r="J36" s="5514"/>
      <c r="K36" s="5517" t="s">
        <v>69</v>
      </c>
      <c r="L36" s="5518"/>
      <c r="M36" s="5523">
        <f>'VISITA DE INSP.'!DK38</f>
        <v>0</v>
      </c>
      <c r="N36" s="5523"/>
      <c r="O36" s="5523"/>
      <c r="P36" s="5523"/>
      <c r="Q36" s="5523"/>
      <c r="R36" s="5513">
        <f>'VISITA DE INSP.'!AP32</f>
        <v>0</v>
      </c>
      <c r="S36" s="5514"/>
      <c r="T36" s="3183">
        <f>Plantillas!H543</f>
        <v>0</v>
      </c>
      <c r="U36" s="3183">
        <f>Plantillas!I543</f>
        <v>4</v>
      </c>
      <c r="V36" s="3184">
        <f t="shared" si="1"/>
        <v>4</v>
      </c>
      <c r="W36" s="3137">
        <f>'VISITA DE INSP.'!B32</f>
        <v>0</v>
      </c>
      <c r="X36" s="3133">
        <f>'VISITA DE INSP.'!C32</f>
        <v>0</v>
      </c>
      <c r="Y36" s="3134"/>
      <c r="Z36" s="3134"/>
      <c r="AA36" s="3135"/>
      <c r="AB36" s="3123"/>
      <c r="AF36" s="3123"/>
      <c r="AG36" s="202"/>
      <c r="AH36" s="202"/>
      <c r="AI36" s="202"/>
      <c r="AJ36" s="5500"/>
      <c r="AK36" s="5500"/>
      <c r="AL36" s="5500"/>
      <c r="AN36" s="110" t="e">
        <f>#REF!</f>
        <v>#REF!</v>
      </c>
    </row>
    <row r="37" spans="1:40" ht="20.25" customHeight="1">
      <c r="B37" s="3152">
        <f t="shared" si="0"/>
        <v>14</v>
      </c>
      <c r="C37" s="5524">
        <f>'VISITA DE INSP.'!AW33</f>
        <v>0</v>
      </c>
      <c r="D37" s="5524"/>
      <c r="E37" s="5524"/>
      <c r="F37" s="5524"/>
      <c r="G37" s="5524"/>
      <c r="H37" s="5524"/>
      <c r="I37" s="5511">
        <f>'VISITA DE INSP.'!AV33</f>
        <v>0</v>
      </c>
      <c r="J37" s="5512"/>
      <c r="K37" s="5515" t="s">
        <v>69</v>
      </c>
      <c r="L37" s="5516"/>
      <c r="M37" s="5524">
        <f>'VISITA DE INSP.'!DK39</f>
        <v>0</v>
      </c>
      <c r="N37" s="5524"/>
      <c r="O37" s="5524"/>
      <c r="P37" s="5524"/>
      <c r="Q37" s="5524"/>
      <c r="R37" s="5511">
        <f>'VISITA DE INSP.'!AP33</f>
        <v>0</v>
      </c>
      <c r="S37" s="5512"/>
      <c r="T37" s="3185">
        <f>Plantillas!H583</f>
        <v>0</v>
      </c>
      <c r="U37" s="3185">
        <f>Plantillas!I583</f>
        <v>2</v>
      </c>
      <c r="V37" s="3186">
        <f t="shared" si="1"/>
        <v>2</v>
      </c>
      <c r="W37" s="3137">
        <f>'VISITA DE INSP.'!B33</f>
        <v>0</v>
      </c>
      <c r="X37" s="3133">
        <f>'VISITA DE INSP.'!C33</f>
        <v>0</v>
      </c>
      <c r="Y37" s="3134"/>
      <c r="Z37" s="3134"/>
      <c r="AA37" s="3135"/>
      <c r="AB37" s="3123"/>
      <c r="AF37" s="3123"/>
      <c r="AG37" s="202"/>
      <c r="AH37" s="202"/>
      <c r="AI37" s="202"/>
      <c r="AJ37" s="5500"/>
      <c r="AK37" s="5500"/>
      <c r="AL37" s="5500"/>
      <c r="AN37" s="110" t="e">
        <f>#REF!</f>
        <v>#REF!</v>
      </c>
    </row>
    <row r="38" spans="1:40" ht="20.25" customHeight="1">
      <c r="B38" s="3149">
        <f t="shared" si="0"/>
        <v>15</v>
      </c>
      <c r="C38" s="5523">
        <f>'VISITA DE INSP.'!AW34</f>
        <v>0</v>
      </c>
      <c r="D38" s="5523"/>
      <c r="E38" s="5523"/>
      <c r="F38" s="5523"/>
      <c r="G38" s="5523"/>
      <c r="H38" s="5523"/>
      <c r="I38" s="5513">
        <f>'VISITA DE INSP.'!AV34</f>
        <v>0</v>
      </c>
      <c r="J38" s="5514"/>
      <c r="K38" s="5517" t="s">
        <v>69</v>
      </c>
      <c r="L38" s="5518"/>
      <c r="M38" s="5523" t="str">
        <f>'VISITA DE INSP.'!DK40</f>
        <v>GARDUÑO CASTILLO * MERLI ROCIO</v>
      </c>
      <c r="N38" s="5523"/>
      <c r="O38" s="5523"/>
      <c r="P38" s="5523"/>
      <c r="Q38" s="5523"/>
      <c r="R38" s="5513">
        <f>'VISITA DE INSP.'!AP34</f>
        <v>0</v>
      </c>
      <c r="S38" s="5514"/>
      <c r="T38" s="3183">
        <f>Plantillas!H623</f>
        <v>0</v>
      </c>
      <c r="U38" s="3183">
        <f>Plantillas!I623</f>
        <v>6</v>
      </c>
      <c r="V38" s="3184">
        <f t="shared" si="1"/>
        <v>6</v>
      </c>
      <c r="W38" s="3137">
        <f>'VISITA DE INSP.'!B34</f>
        <v>0</v>
      </c>
      <c r="X38" s="3133">
        <f>'VISITA DE INSP.'!C34</f>
        <v>0</v>
      </c>
      <c r="Y38" s="3134"/>
      <c r="Z38" s="3134"/>
      <c r="AA38" s="3135"/>
      <c r="AB38" s="197"/>
      <c r="AF38" s="197"/>
      <c r="AG38" s="198"/>
      <c r="AH38" s="198"/>
      <c r="AI38" s="198"/>
      <c r="AJ38" s="5500"/>
      <c r="AK38" s="5500"/>
      <c r="AL38" s="5500"/>
      <c r="AN38" s="110" t="e">
        <f>#REF!</f>
        <v>#REF!</v>
      </c>
    </row>
    <row r="39" spans="1:40" s="177" customFormat="1" ht="20.25" customHeight="1">
      <c r="A39" s="16"/>
      <c r="B39" s="3152">
        <f t="shared" si="0"/>
        <v>16</v>
      </c>
      <c r="C39" s="5524">
        <f>'VISITA DE INSP.'!AW35</f>
        <v>0</v>
      </c>
      <c r="D39" s="5524"/>
      <c r="E39" s="5524"/>
      <c r="F39" s="5524"/>
      <c r="G39" s="5524"/>
      <c r="H39" s="5524"/>
      <c r="I39" s="5511">
        <f>'VISITA DE INSP.'!AV35</f>
        <v>0</v>
      </c>
      <c r="J39" s="5512"/>
      <c r="K39" s="5511"/>
      <c r="L39" s="5512"/>
      <c r="M39" s="5524" t="str">
        <f>'VISITA DE INSP.'!DK41</f>
        <v>POOT QUEB *LUIS ARMANDO</v>
      </c>
      <c r="N39" s="5524"/>
      <c r="O39" s="5524"/>
      <c r="P39" s="5524"/>
      <c r="Q39" s="5524"/>
      <c r="R39" s="5511">
        <f>'VISITA DE INSP.'!AP35</f>
        <v>0</v>
      </c>
      <c r="S39" s="5512"/>
      <c r="T39" s="3185"/>
      <c r="U39" s="3185"/>
      <c r="V39" s="3186">
        <f t="shared" si="1"/>
        <v>0</v>
      </c>
      <c r="W39" s="3137">
        <f>'VISITA DE INSP.'!B35</f>
        <v>0</v>
      </c>
      <c r="X39" s="3133">
        <f>'VISITA DE INSP.'!C35</f>
        <v>0</v>
      </c>
      <c r="Y39" s="3134"/>
      <c r="Z39" s="3134"/>
      <c r="AA39" s="3135"/>
      <c r="AB39" s="197"/>
      <c r="AC39" s="16"/>
      <c r="AD39" s="16"/>
      <c r="AE39" s="16"/>
      <c r="AF39" s="197"/>
      <c r="AG39" s="198"/>
      <c r="AH39" s="198"/>
      <c r="AI39" s="198"/>
      <c r="AJ39" s="5500"/>
      <c r="AK39" s="5500"/>
      <c r="AL39" s="5500"/>
      <c r="AM39" s="16"/>
      <c r="AN39" s="110" t="e">
        <f>#REF!</f>
        <v>#REF!</v>
      </c>
    </row>
    <row r="40" spans="1:40" s="177" customFormat="1" ht="20.25" customHeight="1">
      <c r="A40" s="16"/>
      <c r="B40" s="3149">
        <f t="shared" si="0"/>
        <v>17</v>
      </c>
      <c r="C40" s="5523">
        <f>'VISITA DE INSP.'!AW36</f>
        <v>0</v>
      </c>
      <c r="D40" s="5523"/>
      <c r="E40" s="5523"/>
      <c r="F40" s="5523"/>
      <c r="G40" s="5523"/>
      <c r="H40" s="5523"/>
      <c r="I40" s="5513">
        <f>'VISITA DE INSP.'!AV36</f>
        <v>0</v>
      </c>
      <c r="J40" s="5514"/>
      <c r="K40" s="5513"/>
      <c r="L40" s="5514"/>
      <c r="M40" s="5523">
        <f>'VISITA DE INSP.'!DK42</f>
        <v>0</v>
      </c>
      <c r="N40" s="5523"/>
      <c r="O40" s="5523"/>
      <c r="P40" s="5523"/>
      <c r="Q40" s="5523"/>
      <c r="R40" s="5513">
        <f>'VISITA DE INSP.'!AP36</f>
        <v>0</v>
      </c>
      <c r="S40" s="5514"/>
      <c r="T40" s="3183"/>
      <c r="U40" s="3183"/>
      <c r="V40" s="3184">
        <f t="shared" si="1"/>
        <v>0</v>
      </c>
      <c r="W40" s="3137">
        <f>'VISITA DE INSP.'!B36</f>
        <v>0</v>
      </c>
      <c r="X40" s="3133">
        <f>'VISITA DE INSP.'!C36</f>
        <v>0</v>
      </c>
      <c r="Y40" s="3134"/>
      <c r="Z40" s="3134"/>
      <c r="AA40" s="3135"/>
      <c r="AB40" s="197"/>
      <c r="AC40" s="16"/>
      <c r="AD40" s="16"/>
      <c r="AE40" s="16"/>
      <c r="AF40" s="197"/>
      <c r="AG40" s="198"/>
      <c r="AH40" s="198"/>
      <c r="AI40" s="198"/>
      <c r="AJ40" s="5500"/>
      <c r="AK40" s="5500"/>
      <c r="AL40" s="5500"/>
      <c r="AM40" s="16"/>
      <c r="AN40" s="110" t="e">
        <f>#REF!</f>
        <v>#REF!</v>
      </c>
    </row>
    <row r="41" spans="1:40" s="177" customFormat="1" ht="10.5" customHeight="1">
      <c r="A41" s="828"/>
      <c r="B41" s="3147"/>
      <c r="C41" s="3147"/>
      <c r="D41" s="3147"/>
      <c r="E41" s="3147"/>
      <c r="F41" s="3147"/>
      <c r="G41" s="3147"/>
      <c r="H41" s="3147"/>
      <c r="I41" s="3147"/>
      <c r="J41" s="3147"/>
      <c r="K41" s="3147"/>
      <c r="L41" s="3147"/>
      <c r="M41" s="3147"/>
      <c r="N41" s="3147"/>
      <c r="O41" s="3147"/>
      <c r="P41" s="3147"/>
      <c r="Q41" s="3147"/>
      <c r="R41" s="3147"/>
      <c r="S41" s="3147"/>
      <c r="T41" s="3147"/>
      <c r="U41" s="3147"/>
      <c r="V41" s="5503" t="s">
        <v>177</v>
      </c>
      <c r="W41" s="5503"/>
      <c r="X41" s="5503"/>
      <c r="Y41" s="5503"/>
      <c r="Z41" s="5503"/>
      <c r="AA41" s="5503"/>
      <c r="AB41" s="2759"/>
      <c r="AC41" s="198"/>
      <c r="AD41" s="202"/>
      <c r="AE41" s="198"/>
      <c r="AF41" s="198"/>
      <c r="AG41" s="198"/>
      <c r="AH41" s="198"/>
      <c r="AI41" s="198"/>
      <c r="AJ41" s="5501"/>
      <c r="AK41" s="5500"/>
      <c r="AL41" s="5500"/>
      <c r="AM41" s="16"/>
      <c r="AN41" s="110"/>
    </row>
    <row r="42" spans="1:40" s="177" customFormat="1" ht="10.5" customHeight="1">
      <c r="A42" s="828"/>
      <c r="B42" s="3148"/>
      <c r="C42" s="3148"/>
      <c r="D42" s="3148"/>
      <c r="E42" s="3148"/>
      <c r="F42" s="3148"/>
      <c r="G42" s="3148"/>
      <c r="H42" s="3148"/>
      <c r="I42" s="3148"/>
      <c r="J42" s="3148"/>
      <c r="K42" s="3148"/>
      <c r="L42" s="3148"/>
      <c r="M42" s="3148"/>
      <c r="N42" s="3148"/>
      <c r="O42" s="3148"/>
      <c r="P42" s="3148"/>
      <c r="Q42" s="3148"/>
      <c r="R42" s="3148"/>
      <c r="S42" s="3148"/>
      <c r="T42" s="3148"/>
      <c r="U42" s="3148"/>
      <c r="V42" s="5503"/>
      <c r="W42" s="5503"/>
      <c r="X42" s="5503"/>
      <c r="Y42" s="5503"/>
      <c r="Z42" s="5503"/>
      <c r="AA42" s="5503"/>
      <c r="AB42" s="2759"/>
      <c r="AC42" s="198"/>
      <c r="AD42" s="202"/>
      <c r="AE42" s="198"/>
      <c r="AF42" s="198"/>
      <c r="AG42" s="198"/>
      <c r="AH42" s="198"/>
      <c r="AI42" s="198"/>
      <c r="AJ42" s="3131"/>
      <c r="AK42" s="3130"/>
      <c r="AL42" s="3130"/>
      <c r="AM42" s="16"/>
      <c r="AN42" s="110"/>
    </row>
    <row r="43" spans="1:40" s="177" customFormat="1" ht="10.5" customHeight="1">
      <c r="A43" s="828"/>
      <c r="B43" s="3148"/>
      <c r="C43" s="3148"/>
      <c r="D43" s="3148"/>
      <c r="E43" s="3148"/>
      <c r="F43" s="3148"/>
      <c r="G43" s="3148"/>
      <c r="H43" s="3148"/>
      <c r="I43" s="3148"/>
      <c r="J43" s="5481" t="s">
        <v>2437</v>
      </c>
      <c r="K43" s="5481"/>
      <c r="L43" s="5481"/>
      <c r="M43" s="5481"/>
      <c r="N43" s="5481"/>
      <c r="O43" s="5481"/>
      <c r="P43" s="3148"/>
      <c r="Q43" s="3148"/>
      <c r="R43" s="3148"/>
      <c r="S43" s="3148"/>
      <c r="T43" s="3148"/>
      <c r="U43" s="3148"/>
      <c r="V43" s="5503"/>
      <c r="W43" s="5503"/>
      <c r="X43" s="5503"/>
      <c r="Y43" s="5503"/>
      <c r="Z43" s="5503"/>
      <c r="AA43" s="5503"/>
      <c r="AB43" s="2759"/>
      <c r="AC43" s="198"/>
      <c r="AD43" s="202"/>
      <c r="AE43" s="198"/>
      <c r="AF43" s="198"/>
      <c r="AG43" s="198"/>
      <c r="AH43" s="198"/>
      <c r="AI43" s="198"/>
      <c r="AJ43" s="5501"/>
      <c r="AK43" s="5500"/>
      <c r="AL43" s="5500"/>
      <c r="AM43" s="16"/>
      <c r="AN43" s="110"/>
    </row>
    <row r="44" spans="1:40" s="177" customFormat="1" ht="12" customHeight="1">
      <c r="A44" s="828"/>
      <c r="B44" s="2761"/>
      <c r="C44" s="2761"/>
      <c r="D44" s="2761"/>
      <c r="E44" s="2761"/>
      <c r="F44" s="2761"/>
      <c r="G44" s="2761"/>
      <c r="H44" s="2761"/>
      <c r="I44" s="2761"/>
      <c r="J44" s="2761"/>
      <c r="K44" s="2761"/>
      <c r="L44" s="2761"/>
      <c r="M44" s="2761"/>
      <c r="N44" s="2761"/>
      <c r="O44" s="2761"/>
      <c r="P44" s="2761"/>
      <c r="Q44" s="2761"/>
      <c r="R44" s="3129"/>
      <c r="S44" s="2761"/>
      <c r="T44" s="2761"/>
      <c r="U44" s="2761"/>
      <c r="V44" s="5535" t="s">
        <v>2302</v>
      </c>
      <c r="W44" s="5535"/>
      <c r="X44" s="5535"/>
      <c r="Y44" s="5535"/>
      <c r="Z44" s="5535"/>
      <c r="AA44" s="5535"/>
      <c r="AB44" s="2759"/>
      <c r="AC44" s="198"/>
      <c r="AD44" s="202"/>
      <c r="AE44" s="198"/>
      <c r="AF44" s="198"/>
      <c r="AG44" s="198"/>
      <c r="AH44" s="202"/>
      <c r="AI44" s="202"/>
      <c r="AJ44" s="5501"/>
      <c r="AK44" s="5500"/>
      <c r="AL44" s="5500"/>
      <c r="AM44" s="16"/>
      <c r="AN44" s="110">
        <v>17</v>
      </c>
    </row>
    <row r="45" spans="1:40" s="177" customFormat="1" ht="12" customHeight="1">
      <c r="A45" s="828"/>
      <c r="B45" s="2990" t="s">
        <v>2304</v>
      </c>
      <c r="D45" s="3146"/>
      <c r="E45" s="3146"/>
      <c r="F45" s="3146"/>
      <c r="G45" s="3146"/>
      <c r="H45" s="3146"/>
      <c r="I45" s="3146"/>
      <c r="J45" s="2754"/>
      <c r="K45" s="3146"/>
      <c r="M45" s="5505" t="str">
        <f>'VISITA DE INSP.'!AJ41</f>
        <v>JESUS MARTIN RICALDE CASTRO</v>
      </c>
      <c r="N45" s="5505"/>
      <c r="O45" s="5505"/>
      <c r="P45" s="5505"/>
      <c r="Q45" s="5505"/>
      <c r="R45" s="5505"/>
      <c r="S45" s="5505"/>
      <c r="T45" s="5505"/>
      <c r="U45" s="5505"/>
      <c r="V45" s="5479"/>
      <c r="W45" s="5479"/>
      <c r="X45" s="5479"/>
      <c r="Y45" s="5479"/>
      <c r="Z45" s="5479"/>
      <c r="AA45" s="5479"/>
      <c r="AB45" s="2759"/>
      <c r="AC45" s="198"/>
      <c r="AD45" s="202"/>
      <c r="AE45" s="198"/>
      <c r="AF45" s="198"/>
      <c r="AG45" s="198"/>
      <c r="AH45" s="202"/>
      <c r="AI45" s="202"/>
      <c r="AJ45" s="5501"/>
      <c r="AK45" s="5500"/>
      <c r="AL45" s="5500"/>
      <c r="AM45" s="16"/>
      <c r="AN45" s="110"/>
    </row>
    <row r="46" spans="1:40" s="177" customFormat="1">
      <c r="A46" s="828"/>
      <c r="B46" s="2755"/>
      <c r="C46" s="3145"/>
      <c r="D46" s="3145"/>
      <c r="E46" s="3145"/>
      <c r="F46" s="3145"/>
      <c r="G46" s="3145"/>
      <c r="H46" s="3145"/>
      <c r="I46" s="3145"/>
      <c r="J46" s="5510" t="str">
        <f>'VISITA DE INSP.'!G8</f>
        <v>CERVANTES BENITEZ * ANTONIA</v>
      </c>
      <c r="K46" s="5510"/>
      <c r="L46" s="5510"/>
      <c r="M46" s="5510"/>
      <c r="N46" s="5510"/>
      <c r="O46" s="5510"/>
      <c r="P46" s="3162"/>
      <c r="Q46" s="3162"/>
      <c r="R46" s="3155"/>
      <c r="S46" s="2755"/>
      <c r="T46" s="2755"/>
      <c r="U46" s="2756"/>
      <c r="V46" s="3124"/>
      <c r="W46" s="2754"/>
      <c r="X46" s="2754"/>
      <c r="Y46" s="2754"/>
      <c r="Z46" s="2754"/>
      <c r="AA46" s="2754"/>
      <c r="AB46" s="828"/>
      <c r="AC46" s="16"/>
      <c r="AD46" s="16"/>
      <c r="AE46" s="16"/>
      <c r="AF46" s="16"/>
      <c r="AG46" s="16"/>
      <c r="AH46" s="16"/>
      <c r="AI46" s="16"/>
      <c r="AJ46" s="16"/>
      <c r="AK46" s="16"/>
      <c r="AL46" s="16"/>
      <c r="AM46" s="16"/>
    </row>
    <row r="47" spans="1:40" s="177" customFormat="1">
      <c r="A47" s="828"/>
      <c r="B47" s="2761"/>
      <c r="C47" s="2761"/>
      <c r="D47" s="2761"/>
      <c r="E47" s="2761"/>
      <c r="F47" s="2761"/>
      <c r="G47" s="2761"/>
      <c r="H47" s="2761"/>
      <c r="I47" s="2761"/>
      <c r="J47" s="5507" t="s">
        <v>178</v>
      </c>
      <c r="K47" s="5507"/>
      <c r="L47" s="5507"/>
      <c r="M47" s="5507"/>
      <c r="N47" s="5507"/>
      <c r="O47" s="5507"/>
      <c r="P47" s="2763"/>
      <c r="Q47" s="2763"/>
      <c r="R47" s="3132"/>
      <c r="S47" s="2760"/>
      <c r="T47" s="2760"/>
      <c r="U47" s="2762"/>
      <c r="V47" s="5533" t="str">
        <f>CONCATENATE(B45,J46)</f>
        <v>PROF: CERVANTES BENITEZ * ANTONIA</v>
      </c>
      <c r="W47" s="5534"/>
      <c r="X47" s="5534"/>
      <c r="Y47" s="5534"/>
      <c r="Z47" s="5534"/>
      <c r="AA47" s="5534"/>
      <c r="AB47" s="828"/>
      <c r="AC47" s="16"/>
      <c r="AD47" s="16"/>
      <c r="AE47" s="16"/>
      <c r="AF47" s="16"/>
      <c r="AG47" s="16"/>
      <c r="AH47" s="16"/>
      <c r="AI47" s="16"/>
      <c r="AJ47" s="16"/>
      <c r="AK47" s="16"/>
      <c r="AL47" s="16"/>
      <c r="AM47" s="16"/>
    </row>
    <row r="48" spans="1:40" s="177" customFormat="1">
      <c r="A48" s="828"/>
      <c r="B48" s="2763"/>
      <c r="C48" s="2763"/>
      <c r="D48" s="2763"/>
      <c r="E48" s="2763"/>
      <c r="F48" s="2763"/>
      <c r="G48" s="2763"/>
      <c r="H48" s="2763"/>
      <c r="I48" s="2763"/>
      <c r="J48" s="2763"/>
      <c r="K48" s="2763"/>
      <c r="L48" s="2763"/>
      <c r="M48" s="2763"/>
      <c r="N48" s="2763"/>
      <c r="O48" s="2763"/>
      <c r="P48" s="2763"/>
      <c r="Q48" s="2763"/>
      <c r="R48" s="2763"/>
      <c r="S48" s="2763"/>
      <c r="T48" s="2763"/>
      <c r="U48" s="2763"/>
      <c r="V48" s="5536" t="s">
        <v>178</v>
      </c>
      <c r="W48" s="5536"/>
      <c r="X48" s="5536"/>
      <c r="Y48" s="5536"/>
      <c r="Z48" s="5536"/>
      <c r="AA48" s="5536"/>
      <c r="AB48" s="828"/>
      <c r="AC48" s="16"/>
      <c r="AD48" s="16"/>
      <c r="AE48" s="16"/>
      <c r="AF48" s="16"/>
      <c r="AG48" s="16"/>
      <c r="AH48" s="16"/>
      <c r="AI48" s="16"/>
      <c r="AJ48" s="16"/>
      <c r="AK48" s="16"/>
      <c r="AL48" s="16"/>
      <c r="AM48" s="16"/>
    </row>
    <row r="49" spans="1:39" s="177" customFormat="1">
      <c r="A49" s="16"/>
      <c r="B49" s="828"/>
      <c r="C49" s="828"/>
      <c r="D49" s="828"/>
      <c r="E49" s="828"/>
      <c r="F49" s="828"/>
      <c r="G49" s="828"/>
      <c r="H49" s="828"/>
      <c r="I49" s="828"/>
      <c r="J49" s="828"/>
      <c r="K49" s="828"/>
      <c r="L49" s="828"/>
      <c r="M49" s="828"/>
      <c r="N49" s="828"/>
      <c r="O49" s="828"/>
      <c r="P49" s="828"/>
      <c r="Q49" s="828"/>
      <c r="R49" s="828"/>
      <c r="S49" s="828"/>
      <c r="T49" s="828"/>
      <c r="U49" s="2752"/>
      <c r="V49" s="2752"/>
      <c r="W49" s="828"/>
      <c r="X49" s="828"/>
      <c r="Y49" s="828"/>
      <c r="Z49" s="828"/>
      <c r="AA49" s="828"/>
      <c r="AB49" s="16"/>
      <c r="AC49" s="16"/>
      <c r="AD49" s="16"/>
      <c r="AE49" s="16"/>
      <c r="AF49" s="16"/>
      <c r="AG49" s="16"/>
      <c r="AH49" s="16"/>
      <c r="AI49" s="16"/>
      <c r="AJ49" s="16"/>
      <c r="AK49" s="16"/>
      <c r="AL49" s="16"/>
      <c r="AM49" s="16"/>
    </row>
    <row r="50" spans="1:39" s="177" customFormat="1">
      <c r="A50" s="16"/>
      <c r="B50" s="828"/>
      <c r="C50" s="828"/>
      <c r="D50" s="828"/>
      <c r="E50" s="828"/>
      <c r="F50" s="828"/>
      <c r="G50" s="828"/>
      <c r="H50" s="828"/>
      <c r="I50" s="828"/>
      <c r="J50" s="828"/>
      <c r="K50" s="828"/>
      <c r="L50" s="828"/>
      <c r="M50" s="828"/>
      <c r="N50" s="828"/>
      <c r="O50" s="828"/>
      <c r="P50" s="828"/>
      <c r="Q50" s="828"/>
      <c r="R50" s="828"/>
      <c r="S50" s="828"/>
      <c r="T50" s="828"/>
      <c r="U50" s="2752"/>
      <c r="V50" s="2752"/>
      <c r="W50" s="828"/>
      <c r="X50" s="828"/>
      <c r="Y50" s="828"/>
      <c r="Z50" s="828"/>
      <c r="AA50" s="828"/>
      <c r="AB50" s="16"/>
      <c r="AC50" s="16"/>
      <c r="AD50" s="16"/>
      <c r="AE50" s="16"/>
      <c r="AF50" s="16"/>
      <c r="AG50" s="16"/>
      <c r="AH50" s="16"/>
      <c r="AI50" s="16"/>
      <c r="AJ50" s="16"/>
      <c r="AK50" s="16"/>
      <c r="AL50" s="16"/>
      <c r="AM50" s="16"/>
    </row>
    <row r="51" spans="1:39" s="177" customFormat="1">
      <c r="A51" s="16"/>
      <c r="B51" s="828"/>
      <c r="C51" s="828"/>
      <c r="D51" s="828"/>
      <c r="E51" s="828"/>
      <c r="F51" s="828"/>
      <c r="G51" s="828"/>
      <c r="H51" s="828"/>
      <c r="I51" s="828"/>
      <c r="J51" s="828"/>
      <c r="K51" s="828"/>
      <c r="L51" s="828"/>
      <c r="M51" s="828"/>
      <c r="N51" s="828"/>
      <c r="O51" s="828"/>
      <c r="P51" s="828"/>
      <c r="Q51" s="828"/>
      <c r="R51" s="828"/>
      <c r="S51" s="828"/>
      <c r="T51" s="828"/>
      <c r="U51" s="2752"/>
      <c r="V51" s="2752"/>
      <c r="W51" s="828"/>
      <c r="X51" s="828"/>
      <c r="Y51" s="828"/>
      <c r="Z51" s="828"/>
      <c r="AA51" s="828"/>
      <c r="AB51" s="16"/>
      <c r="AC51" s="16"/>
      <c r="AD51" s="16"/>
      <c r="AE51" s="16"/>
      <c r="AF51" s="16"/>
      <c r="AG51" s="16"/>
      <c r="AH51" s="16"/>
      <c r="AI51" s="16"/>
      <c r="AJ51" s="16"/>
      <c r="AK51" s="16"/>
      <c r="AL51" s="16"/>
      <c r="AM51" s="16"/>
    </row>
    <row r="52" spans="1:39" s="177" customFormat="1">
      <c r="A52" s="16"/>
      <c r="B52" s="828"/>
      <c r="C52" s="828"/>
      <c r="D52" s="828"/>
      <c r="E52" s="828"/>
      <c r="F52" s="828"/>
      <c r="G52" s="828"/>
      <c r="H52" s="828"/>
      <c r="I52" s="828"/>
      <c r="J52" s="828"/>
      <c r="K52" s="828"/>
      <c r="L52" s="828"/>
      <c r="M52" s="828"/>
      <c r="N52" s="828"/>
      <c r="O52" s="828"/>
      <c r="P52" s="828"/>
      <c r="Q52" s="828"/>
      <c r="R52" s="828"/>
      <c r="S52" s="828"/>
      <c r="T52" s="828"/>
      <c r="U52" s="2752"/>
      <c r="V52" s="2752"/>
      <c r="W52" s="828"/>
      <c r="X52" s="828"/>
      <c r="Y52" s="828"/>
      <c r="Z52" s="828"/>
      <c r="AA52" s="828"/>
      <c r="AB52" s="16"/>
      <c r="AC52" s="16"/>
      <c r="AD52" s="16"/>
      <c r="AE52" s="16"/>
      <c r="AF52" s="16"/>
      <c r="AG52" s="16"/>
      <c r="AH52" s="16"/>
      <c r="AI52" s="16"/>
      <c r="AJ52" s="16"/>
      <c r="AK52" s="16"/>
      <c r="AL52" s="16"/>
      <c r="AM52" s="16"/>
    </row>
    <row r="53" spans="1:39" s="177" customFormat="1">
      <c r="A53" s="16"/>
      <c r="B53" s="828"/>
      <c r="C53" s="828"/>
      <c r="D53" s="828"/>
      <c r="E53" s="828"/>
      <c r="F53" s="828"/>
      <c r="G53" s="828"/>
      <c r="H53" s="828"/>
      <c r="I53" s="828"/>
      <c r="J53" s="828"/>
      <c r="K53" s="828"/>
      <c r="L53" s="828"/>
      <c r="M53" s="828"/>
      <c r="N53" s="828"/>
      <c r="O53" s="828"/>
      <c r="P53" s="828"/>
      <c r="Q53" s="828"/>
      <c r="R53" s="828"/>
      <c r="S53" s="828"/>
      <c r="T53" s="828"/>
      <c r="U53" s="2752"/>
      <c r="V53" s="2752"/>
      <c r="W53" s="828"/>
      <c r="X53" s="828"/>
      <c r="Y53" s="828"/>
      <c r="Z53" s="828"/>
      <c r="AA53" s="828"/>
      <c r="AB53" s="16"/>
      <c r="AC53" s="16"/>
      <c r="AD53" s="16"/>
      <c r="AE53" s="16"/>
      <c r="AF53" s="16"/>
      <c r="AG53" s="16"/>
      <c r="AH53" s="16"/>
      <c r="AI53" s="16"/>
      <c r="AJ53" s="16"/>
      <c r="AK53" s="16"/>
      <c r="AL53" s="16"/>
      <c r="AM53" s="16"/>
    </row>
    <row r="54" spans="1:39" s="177" customFormat="1">
      <c r="A54" s="16"/>
      <c r="B54" s="16"/>
      <c r="C54" s="16"/>
      <c r="D54" s="16"/>
      <c r="E54" s="16"/>
      <c r="F54" s="16"/>
      <c r="G54" s="16"/>
      <c r="H54" s="16"/>
      <c r="I54" s="16"/>
      <c r="J54" s="16"/>
      <c r="K54" s="16"/>
      <c r="L54" s="16"/>
      <c r="M54" s="16"/>
      <c r="N54" s="16"/>
      <c r="O54" s="16"/>
      <c r="P54" s="16"/>
      <c r="Q54" s="16"/>
      <c r="R54" s="16"/>
      <c r="S54" s="16"/>
      <c r="T54" s="16"/>
      <c r="U54" s="176"/>
      <c r="V54" s="176"/>
      <c r="W54" s="16"/>
      <c r="X54" s="16"/>
      <c r="Y54" s="16"/>
      <c r="Z54" s="16"/>
      <c r="AA54" s="16"/>
      <c r="AB54" s="122"/>
      <c r="AC54" s="122"/>
      <c r="AD54" s="16"/>
      <c r="AE54" s="16"/>
      <c r="AF54" s="16"/>
      <c r="AG54" s="16"/>
      <c r="AH54" s="16"/>
      <c r="AI54" s="16"/>
      <c r="AJ54" s="16"/>
      <c r="AK54" s="16"/>
      <c r="AL54" s="16"/>
      <c r="AM54" s="16"/>
    </row>
    <row r="55" spans="1:39" s="177" customFormat="1">
      <c r="A55" s="16"/>
      <c r="B55" s="2753"/>
      <c r="C55" s="2751"/>
      <c r="D55" s="2751"/>
      <c r="E55" s="2751"/>
      <c r="F55" s="2751"/>
      <c r="G55" s="2751"/>
      <c r="H55" s="2751"/>
      <c r="I55" s="2751"/>
      <c r="J55" s="2751"/>
      <c r="K55" s="2751"/>
      <c r="L55" s="2751"/>
      <c r="M55" s="2753"/>
      <c r="N55" s="2753"/>
      <c r="O55" s="2753"/>
      <c r="P55" s="2753"/>
      <c r="Q55" s="2751"/>
      <c r="R55" s="2751"/>
      <c r="S55" s="2751"/>
      <c r="T55" s="2751"/>
      <c r="U55" s="2751"/>
      <c r="V55" s="2751"/>
      <c r="W55" s="2753"/>
      <c r="X55" s="2753"/>
      <c r="Y55" s="2751"/>
      <c r="Z55" s="2751"/>
      <c r="AA55" s="2751"/>
      <c r="AB55" s="122"/>
      <c r="AC55" s="122"/>
      <c r="AD55" s="16"/>
      <c r="AE55" s="16"/>
      <c r="AF55" s="16"/>
      <c r="AG55" s="16"/>
      <c r="AH55" s="16"/>
      <c r="AI55" s="16"/>
      <c r="AJ55" s="16"/>
      <c r="AK55" s="16"/>
      <c r="AL55" s="16"/>
      <c r="AM55" s="16"/>
    </row>
  </sheetData>
  <sheetProtection selectLockedCells="1"/>
  <mergeCells count="148">
    <mergeCell ref="C36:H36"/>
    <mergeCell ref="C35:H35"/>
    <mergeCell ref="C34:H34"/>
    <mergeCell ref="C33:H33"/>
    <mergeCell ref="C22:H22"/>
    <mergeCell ref="C21:H21"/>
    <mergeCell ref="C19:H20"/>
    <mergeCell ref="M19:Q20"/>
    <mergeCell ref="M22:Q22"/>
    <mergeCell ref="M21:Q21"/>
    <mergeCell ref="C32:H32"/>
    <mergeCell ref="C31:H31"/>
    <mergeCell ref="C26:H26"/>
    <mergeCell ref="C25:H25"/>
    <mergeCell ref="C24:H24"/>
    <mergeCell ref="C23:H23"/>
    <mergeCell ref="C30:H30"/>
    <mergeCell ref="C29:H29"/>
    <mergeCell ref="C28:H28"/>
    <mergeCell ref="C27:H27"/>
    <mergeCell ref="V48:AA48"/>
    <mergeCell ref="M45:U45"/>
    <mergeCell ref="V45:AA45"/>
    <mergeCell ref="I27:J27"/>
    <mergeCell ref="I26:J26"/>
    <mergeCell ref="I25:J25"/>
    <mergeCell ref="I24:J24"/>
    <mergeCell ref="K40:L40"/>
    <mergeCell ref="K39:L39"/>
    <mergeCell ref="K38:L38"/>
    <mergeCell ref="K37:L37"/>
    <mergeCell ref="K36:L36"/>
    <mergeCell ref="M34:Q34"/>
    <mergeCell ref="M33:Q33"/>
    <mergeCell ref="M32:Q32"/>
    <mergeCell ref="M36:Q36"/>
    <mergeCell ref="M35:Q35"/>
    <mergeCell ref="R36:S36"/>
    <mergeCell ref="R35:S35"/>
    <mergeCell ref="R34:S34"/>
    <mergeCell ref="R33:S33"/>
    <mergeCell ref="R32:S32"/>
    <mergeCell ref="C38:H38"/>
    <mergeCell ref="C37:H37"/>
    <mergeCell ref="AJ38:AL38"/>
    <mergeCell ref="AJ39:AL39"/>
    <mergeCell ref="AJ40:AL40"/>
    <mergeCell ref="M40:Q40"/>
    <mergeCell ref="M39:Q39"/>
    <mergeCell ref="M38:Q38"/>
    <mergeCell ref="M37:Q37"/>
    <mergeCell ref="R40:S40"/>
    <mergeCell ref="R39:S39"/>
    <mergeCell ref="R38:S38"/>
    <mergeCell ref="R37:S37"/>
    <mergeCell ref="AJ45:AL45"/>
    <mergeCell ref="V47:AA47"/>
    <mergeCell ref="V41:AA43"/>
    <mergeCell ref="AJ41:AL41"/>
    <mergeCell ref="AJ43:AL43"/>
    <mergeCell ref="V44:AA44"/>
    <mergeCell ref="AJ44:AL44"/>
    <mergeCell ref="AJ32:AL32"/>
    <mergeCell ref="AJ33:AL33"/>
    <mergeCell ref="AJ34:AL34"/>
    <mergeCell ref="AJ35:AL35"/>
    <mergeCell ref="AJ36:AL36"/>
    <mergeCell ref="AJ37:AL37"/>
    <mergeCell ref="AJ26:AL26"/>
    <mergeCell ref="AJ27:AL27"/>
    <mergeCell ref="AJ28:AL28"/>
    <mergeCell ref="M28:Q28"/>
    <mergeCell ref="M27:Q27"/>
    <mergeCell ref="M26:Q26"/>
    <mergeCell ref="AJ29:AL29"/>
    <mergeCell ref="AJ30:AL30"/>
    <mergeCell ref="AJ31:AL31"/>
    <mergeCell ref="M31:Q31"/>
    <mergeCell ref="M30:Q30"/>
    <mergeCell ref="M29:Q29"/>
    <mergeCell ref="R31:S31"/>
    <mergeCell ref="R30:S30"/>
    <mergeCell ref="R29:S29"/>
    <mergeCell ref="R28:S28"/>
    <mergeCell ref="R27:S27"/>
    <mergeCell ref="R26:S26"/>
    <mergeCell ref="AJ21:AL21"/>
    <mergeCell ref="AJ22:AL22"/>
    <mergeCell ref="W19:X20"/>
    <mergeCell ref="AJ23:AL23"/>
    <mergeCell ref="AJ24:AL24"/>
    <mergeCell ref="AJ25:AL25"/>
    <mergeCell ref="M25:Q25"/>
    <mergeCell ref="M24:Q24"/>
    <mergeCell ref="M23:Q23"/>
    <mergeCell ref="R25:S25"/>
    <mergeCell ref="R24:S24"/>
    <mergeCell ref="T19:V19"/>
    <mergeCell ref="R21:S21"/>
    <mergeCell ref="R19:S20"/>
    <mergeCell ref="Z6:AA6"/>
    <mergeCell ref="I40:J40"/>
    <mergeCell ref="I39:J39"/>
    <mergeCell ref="I38:J38"/>
    <mergeCell ref="I37:J37"/>
    <mergeCell ref="I36:J36"/>
    <mergeCell ref="I35:J35"/>
    <mergeCell ref="I34:J34"/>
    <mergeCell ref="I33:J33"/>
    <mergeCell ref="I32:J32"/>
    <mergeCell ref="I31:J31"/>
    <mergeCell ref="I30:J30"/>
    <mergeCell ref="I29:J29"/>
    <mergeCell ref="I28:J28"/>
    <mergeCell ref="Y19:Y20"/>
    <mergeCell ref="Z19:AA20"/>
    <mergeCell ref="K28:L28"/>
    <mergeCell ref="K27:L27"/>
    <mergeCell ref="K26:L26"/>
    <mergeCell ref="K25:L25"/>
    <mergeCell ref="K24:L24"/>
    <mergeCell ref="R23:S23"/>
    <mergeCell ref="R22:S22"/>
    <mergeCell ref="I19:J20"/>
    <mergeCell ref="G5:P5"/>
    <mergeCell ref="G4:P4"/>
    <mergeCell ref="G3:P3"/>
    <mergeCell ref="G2:P2"/>
    <mergeCell ref="G7:P7"/>
    <mergeCell ref="J43:O43"/>
    <mergeCell ref="J46:O46"/>
    <mergeCell ref="J47:O47"/>
    <mergeCell ref="I21:J21"/>
    <mergeCell ref="I22:J22"/>
    <mergeCell ref="I23:J23"/>
    <mergeCell ref="K23:L23"/>
    <mergeCell ref="K22:L22"/>
    <mergeCell ref="K21:L21"/>
    <mergeCell ref="K19:L20"/>
    <mergeCell ref="K35:L35"/>
    <mergeCell ref="K34:L34"/>
    <mergeCell ref="K33:L33"/>
    <mergeCell ref="K32:L32"/>
    <mergeCell ref="K31:L31"/>
    <mergeCell ref="K30:L30"/>
    <mergeCell ref="K29:L29"/>
    <mergeCell ref="C40:H40"/>
    <mergeCell ref="C39:H39"/>
  </mergeCells>
  <conditionalFormatting sqref="AN41:AN45 AN3:AN20 AH15:AH17 AB41:AI45 AG23:AI26 V41:V42 AF27:AI40 AF21:AI22 W21:W40 B45 Y21:AB40 M21:P40 B21:B43 C43:I43 P43:T43">
    <cfRule type="cellIs" dxfId="24" priority="15" operator="equal">
      <formula>0</formula>
    </cfRule>
  </conditionalFormatting>
  <conditionalFormatting sqref="AN21:AN40 U43">
    <cfRule type="cellIs" dxfId="23" priority="13" stopIfTrue="1" operator="equal">
      <formula>0</formula>
    </cfRule>
    <cfRule type="cellIs" dxfId="22" priority="14" stopIfTrue="1" operator="equal">
      <formula>#N/A</formula>
    </cfRule>
  </conditionalFormatting>
  <conditionalFormatting sqref="AJ21:AL45 W21:X40 M21:P40 B21:I40 R21:R40">
    <cfRule type="cellIs" dxfId="21" priority="12" stopIfTrue="1" operator="equal">
      <formula>0</formula>
    </cfRule>
  </conditionalFormatting>
  <conditionalFormatting sqref="AL8:AL18 AH15:AH17">
    <cfRule type="cellIs" dxfId="20" priority="11" stopIfTrue="1" operator="equal">
      <formula>0</formula>
    </cfRule>
  </conditionalFormatting>
  <conditionalFormatting sqref="X21:X40">
    <cfRule type="cellIs" dxfId="19" priority="10" stopIfTrue="1" operator="equal">
      <formula>0</formula>
    </cfRule>
  </conditionalFormatting>
  <conditionalFormatting sqref="AH15:AH17">
    <cfRule type="cellIs" dxfId="18" priority="9" stopIfTrue="1" operator="equal">
      <formula>0</formula>
    </cfRule>
  </conditionalFormatting>
  <conditionalFormatting sqref="M21:P40 W21:AA40 T24:T40 AA7:AA15 U21:U40">
    <cfRule type="cellIs" dxfId="17" priority="8" stopIfTrue="1" operator="equal">
      <formula>0</formula>
    </cfRule>
  </conditionalFormatting>
  <conditionalFormatting sqref="I24 I26 I28 I30 I32 I34 I36 I38 I40 Y28 Y30 Y32 Y34 Y36 Y38 Y40 AA28 AA30 AA32 AA34 AA36 AA38 AA40 Y22:AA22 Y24:AA24 Y26:AA26 U22 I22 T24:V40">
    <cfRule type="cellIs" dxfId="16" priority="7" operator="equal">
      <formula>0</formula>
    </cfRule>
  </conditionalFormatting>
  <conditionalFormatting sqref="O16 Q16 S16">
    <cfRule type="cellIs" dxfId="15" priority="4" operator="equal">
      <formula>0</formula>
    </cfRule>
  </conditionalFormatting>
  <conditionalFormatting sqref="C39:V39 T31:U31">
    <cfRule type="cellIs" dxfId="14" priority="3" operator="equal">
      <formula>0</formula>
    </cfRule>
  </conditionalFormatting>
  <conditionalFormatting sqref="T24:V40">
    <cfRule type="cellIs" dxfId="13" priority="2" operator="greaterThan">
      <formula>0</formula>
    </cfRule>
  </conditionalFormatting>
  <conditionalFormatting sqref="C29:V29 C31:V31 C33:V33 C35:V35 C37:V37 C27:V27 C25:V25">
    <cfRule type="cellIs" dxfId="12" priority="1" operator="equal">
      <formula>0</formula>
    </cfRule>
  </conditionalFormatting>
  <printOptions horizontalCentered="1"/>
  <pageMargins left="0.31496062992125984" right="0.51181102362204722" top="0.78740157480314965" bottom="0.23622047244094491" header="0.31496062992125984" footer="0.31496062992125984"/>
  <pageSetup scale="93" orientation="portrait" horizontalDpi="300" verticalDpi="300" r:id="rId1"/>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AP23"/>
  <sheetViews>
    <sheetView zoomScale="82" zoomScaleNormal="82" workbookViewId="0">
      <selection activeCell="AT11" sqref="AT11"/>
    </sheetView>
  </sheetViews>
  <sheetFormatPr baseColWidth="10" defaultRowHeight="12.75"/>
  <cols>
    <col min="1" max="1" width="0.7109375" style="2584" customWidth="1"/>
    <col min="2" max="2" width="40" style="2584" customWidth="1"/>
    <col min="3" max="42" width="4.7109375" style="2584" customWidth="1"/>
    <col min="43" max="43" width="0.5703125" style="2584" customWidth="1"/>
    <col min="44" max="16384" width="11.42578125" style="2584"/>
  </cols>
  <sheetData>
    <row r="1" spans="2:42" ht="33.75" customHeight="1"/>
    <row r="2" spans="2:42" ht="33.75" customHeight="1"/>
    <row r="3" spans="2:42" ht="33.75" customHeight="1"/>
    <row r="4" spans="2:42" ht="21">
      <c r="B4" s="2585" t="s">
        <v>1145</v>
      </c>
      <c r="C4" s="5543" t="s">
        <v>1782</v>
      </c>
      <c r="D4" s="5543"/>
      <c r="E4" s="5543"/>
      <c r="F4" s="5543"/>
      <c r="G4" s="5543" t="s">
        <v>1783</v>
      </c>
      <c r="H4" s="5543"/>
      <c r="I4" s="5543"/>
      <c r="J4" s="5543"/>
      <c r="K4" s="5543" t="s">
        <v>1784</v>
      </c>
      <c r="L4" s="5543"/>
      <c r="M4" s="5543"/>
      <c r="N4" s="5543"/>
      <c r="O4" s="5543" t="s">
        <v>1785</v>
      </c>
      <c r="P4" s="5543"/>
      <c r="Q4" s="5543"/>
      <c r="R4" s="5543"/>
      <c r="S4" s="5543" t="s">
        <v>1786</v>
      </c>
      <c r="T4" s="5543"/>
      <c r="U4" s="5543"/>
      <c r="V4" s="5543"/>
      <c r="W4" s="5543" t="s">
        <v>1787</v>
      </c>
      <c r="X4" s="5543"/>
      <c r="Y4" s="5543"/>
      <c r="Z4" s="5543"/>
      <c r="AA4" s="5543" t="s">
        <v>1744</v>
      </c>
      <c r="AB4" s="5543"/>
      <c r="AC4" s="5543"/>
      <c r="AD4" s="5543"/>
      <c r="AE4" s="5543" t="s">
        <v>1788</v>
      </c>
      <c r="AF4" s="5543"/>
      <c r="AG4" s="5543"/>
      <c r="AH4" s="5543"/>
      <c r="AI4" s="5543" t="s">
        <v>1789</v>
      </c>
      <c r="AJ4" s="5543"/>
      <c r="AK4" s="5543"/>
      <c r="AL4" s="5543"/>
      <c r="AM4" s="5543" t="s">
        <v>1790</v>
      </c>
      <c r="AN4" s="5543"/>
      <c r="AO4" s="5543"/>
      <c r="AP4" s="5543"/>
    </row>
    <row r="5" spans="2:42" ht="21">
      <c r="B5" s="2585" t="s">
        <v>1791</v>
      </c>
      <c r="C5" s="2586">
        <v>1</v>
      </c>
      <c r="D5" s="2586">
        <v>2</v>
      </c>
      <c r="E5" s="2587">
        <v>3</v>
      </c>
      <c r="F5" s="2588">
        <v>4</v>
      </c>
      <c r="G5" s="2589">
        <v>1</v>
      </c>
      <c r="H5" s="2586">
        <v>2</v>
      </c>
      <c r="I5" s="2586">
        <v>3</v>
      </c>
      <c r="J5" s="2586">
        <v>4</v>
      </c>
      <c r="K5" s="2586">
        <v>1</v>
      </c>
      <c r="L5" s="2589">
        <v>2</v>
      </c>
      <c r="M5" s="2586">
        <v>3</v>
      </c>
      <c r="N5" s="2588">
        <v>4</v>
      </c>
      <c r="O5" s="2586">
        <v>1</v>
      </c>
      <c r="P5" s="2586">
        <v>2</v>
      </c>
      <c r="Q5" s="2586">
        <v>3</v>
      </c>
      <c r="R5" s="2586">
        <v>4</v>
      </c>
      <c r="S5" s="2586">
        <v>1</v>
      </c>
      <c r="T5" s="2586">
        <v>2</v>
      </c>
      <c r="U5" s="2586">
        <v>3</v>
      </c>
      <c r="V5" s="2586">
        <v>4</v>
      </c>
      <c r="W5" s="2586">
        <v>1</v>
      </c>
      <c r="X5" s="2586">
        <v>2</v>
      </c>
      <c r="Y5" s="2589">
        <v>3</v>
      </c>
      <c r="Z5" s="2586">
        <v>4</v>
      </c>
      <c r="AA5" s="2586">
        <v>1</v>
      </c>
      <c r="AB5" s="2586">
        <v>2</v>
      </c>
      <c r="AC5" s="2586">
        <v>3</v>
      </c>
      <c r="AD5" s="2586">
        <v>4</v>
      </c>
      <c r="AE5" s="2586">
        <v>1</v>
      </c>
      <c r="AF5" s="2586">
        <v>2</v>
      </c>
      <c r="AG5" s="2586">
        <v>3</v>
      </c>
      <c r="AH5" s="2586">
        <v>4</v>
      </c>
      <c r="AI5" s="2586">
        <v>1</v>
      </c>
      <c r="AJ5" s="2586">
        <v>2</v>
      </c>
      <c r="AK5" s="2586">
        <v>3</v>
      </c>
      <c r="AL5" s="2586">
        <v>4</v>
      </c>
      <c r="AM5" s="2589">
        <v>1</v>
      </c>
      <c r="AN5" s="2586">
        <v>2</v>
      </c>
      <c r="AO5" s="2586">
        <v>3</v>
      </c>
      <c r="AP5" s="2588">
        <v>4</v>
      </c>
    </row>
    <row r="6" spans="2:42" ht="41.25" customHeight="1">
      <c r="B6" s="5544" t="s">
        <v>1792</v>
      </c>
      <c r="C6" s="5545" t="s">
        <v>1793</v>
      </c>
      <c r="D6" s="5545"/>
      <c r="E6" s="5545"/>
      <c r="F6" s="5545"/>
      <c r="G6" s="5538" t="s">
        <v>1794</v>
      </c>
      <c r="H6" s="5538"/>
      <c r="I6" s="5538"/>
      <c r="J6" s="5538"/>
      <c r="K6" s="5538" t="s">
        <v>1795</v>
      </c>
      <c r="L6" s="5538"/>
      <c r="M6" s="5538"/>
      <c r="N6" s="5538"/>
      <c r="S6" s="2729"/>
      <c r="W6" s="5538" t="s">
        <v>1798</v>
      </c>
      <c r="X6" s="5538"/>
      <c r="Y6" s="5538"/>
      <c r="Z6" s="5538"/>
      <c r="AE6" s="2730"/>
      <c r="AF6" s="2731"/>
      <c r="AG6" s="2731"/>
      <c r="AH6" s="2732"/>
      <c r="AM6" s="5538" t="s">
        <v>1800</v>
      </c>
      <c r="AN6" s="5538"/>
      <c r="AO6" s="5538"/>
      <c r="AP6" s="5538"/>
    </row>
    <row r="7" spans="2:42" ht="41.25" customHeight="1">
      <c r="B7" s="5544"/>
      <c r="C7" s="5541" t="s">
        <v>1801</v>
      </c>
      <c r="D7" s="5541"/>
      <c r="E7" s="5541"/>
      <c r="F7" s="5541"/>
      <c r="G7" s="5542" t="s">
        <v>1802</v>
      </c>
      <c r="H7" s="5539"/>
      <c r="I7" s="5539"/>
      <c r="J7" s="5539"/>
      <c r="K7" s="5540" t="s">
        <v>1803</v>
      </c>
      <c r="L7" s="5540"/>
      <c r="M7" s="5540"/>
      <c r="N7" s="5540"/>
      <c r="O7" s="5542" t="s">
        <v>1797</v>
      </c>
      <c r="P7" s="5539"/>
      <c r="Q7" s="5539"/>
      <c r="R7" s="5539"/>
      <c r="S7" s="5542" t="s">
        <v>1799</v>
      </c>
      <c r="T7" s="5539"/>
      <c r="U7" s="5539"/>
      <c r="V7" s="5539"/>
      <c r="W7" s="5542" t="s">
        <v>1796</v>
      </c>
      <c r="X7" s="5539"/>
      <c r="Y7" s="5539"/>
      <c r="Z7" s="5539"/>
      <c r="AA7" s="5539"/>
      <c r="AB7" s="5539"/>
      <c r="AC7" s="5539"/>
      <c r="AD7" s="5539"/>
      <c r="AE7" s="5539"/>
      <c r="AF7" s="5539"/>
      <c r="AG7" s="5539"/>
      <c r="AH7" s="5539"/>
      <c r="AI7" s="5539"/>
      <c r="AJ7" s="5539"/>
      <c r="AK7" s="5539"/>
      <c r="AL7" s="5539"/>
      <c r="AM7" s="5540" t="s">
        <v>1804</v>
      </c>
      <c r="AN7" s="5540"/>
      <c r="AO7" s="5540"/>
      <c r="AP7" s="5540"/>
    </row>
    <row r="8" spans="2:42" ht="23.25" customHeight="1">
      <c r="B8" s="2590" t="str">
        <f>'VISITA DE INSP.'!$AY$2</f>
        <v>KABAH</v>
      </c>
      <c r="C8" s="2591" t="s">
        <v>1329</v>
      </c>
      <c r="D8" s="2592" t="s">
        <v>1805</v>
      </c>
      <c r="E8" s="2593" t="s">
        <v>1806</v>
      </c>
      <c r="F8" s="2594" t="s">
        <v>1806</v>
      </c>
      <c r="G8" s="2595" t="s">
        <v>1806</v>
      </c>
      <c r="H8" s="2596"/>
      <c r="I8" s="2596"/>
      <c r="J8" s="2596"/>
      <c r="K8" s="2596"/>
      <c r="L8" s="2595" t="s">
        <v>1806</v>
      </c>
      <c r="M8" s="2596"/>
      <c r="N8" s="2594" t="s">
        <v>1806</v>
      </c>
      <c r="O8" s="2596"/>
      <c r="P8" s="2596"/>
      <c r="Q8" s="2596"/>
      <c r="R8" s="2596"/>
      <c r="S8" s="2596"/>
      <c r="T8" s="2596"/>
      <c r="U8" s="2596"/>
      <c r="V8" s="2596"/>
      <c r="W8" s="2596"/>
      <c r="X8" s="2596"/>
      <c r="Y8" s="2595" t="s">
        <v>1806</v>
      </c>
      <c r="Z8" s="2596"/>
      <c r="AA8" s="2596"/>
      <c r="AB8" s="2596"/>
      <c r="AC8" s="2596"/>
      <c r="AD8" s="2596"/>
      <c r="AE8" s="2596"/>
      <c r="AF8" s="2596"/>
      <c r="AG8" s="2596"/>
      <c r="AH8" s="2596"/>
      <c r="AI8" s="2596"/>
      <c r="AJ8" s="2596"/>
      <c r="AK8" s="2596"/>
      <c r="AL8" s="2596"/>
      <c r="AM8" s="2595" t="s">
        <v>1806</v>
      </c>
      <c r="AN8" s="2596"/>
      <c r="AO8" s="2596"/>
      <c r="AP8" s="2594" t="s">
        <v>1806</v>
      </c>
    </row>
    <row r="9" spans="2:42" ht="23.25" customHeight="1">
      <c r="B9" s="2590" t="str">
        <f>'VISITA DE INSP.'!$AY$3</f>
        <v>8 DE OCTUBRE</v>
      </c>
      <c r="C9" s="2591" t="s">
        <v>1269</v>
      </c>
      <c r="D9" s="2592" t="s">
        <v>1807</v>
      </c>
      <c r="E9" s="2593" t="s">
        <v>1806</v>
      </c>
      <c r="F9" s="2594" t="s">
        <v>1806</v>
      </c>
      <c r="G9" s="2595" t="s">
        <v>1806</v>
      </c>
      <c r="H9" s="2596"/>
      <c r="I9" s="2596"/>
      <c r="J9" s="2596"/>
      <c r="K9" s="2596"/>
      <c r="L9" s="2595" t="s">
        <v>1806</v>
      </c>
      <c r="M9" s="2596"/>
      <c r="N9" s="2594" t="s">
        <v>1806</v>
      </c>
      <c r="O9" s="2596"/>
      <c r="P9" s="2596"/>
      <c r="Q9" s="2596"/>
      <c r="R9" s="2596"/>
      <c r="S9" s="2596"/>
      <c r="T9" s="2596"/>
      <c r="U9" s="2596"/>
      <c r="V9" s="2596"/>
      <c r="W9" s="2596"/>
      <c r="X9" s="2596"/>
      <c r="Y9" s="2595" t="s">
        <v>1806</v>
      </c>
      <c r="Z9" s="2596"/>
      <c r="AA9" s="2596"/>
      <c r="AB9" s="2596"/>
      <c r="AC9" s="2596"/>
      <c r="AD9" s="2596"/>
      <c r="AE9" s="2596"/>
      <c r="AF9" s="2596"/>
      <c r="AG9" s="2596"/>
      <c r="AH9" s="2596"/>
      <c r="AI9" s="2596"/>
      <c r="AJ9" s="2596"/>
      <c r="AK9" s="2596"/>
      <c r="AL9" s="2596"/>
      <c r="AM9" s="2595" t="s">
        <v>1806</v>
      </c>
      <c r="AN9" s="2596"/>
      <c r="AO9" s="2596"/>
      <c r="AP9" s="2594" t="s">
        <v>1806</v>
      </c>
    </row>
    <row r="10" spans="2:42" ht="23.25" customHeight="1">
      <c r="B10" s="2590" t="str">
        <f>'VISITA DE INSP.'!$AY$4</f>
        <v>8 DE OCTUBRE</v>
      </c>
      <c r="C10" s="2591" t="s">
        <v>1237</v>
      </c>
      <c r="D10" s="2592" t="s">
        <v>1808</v>
      </c>
      <c r="E10" s="2593" t="s">
        <v>1806</v>
      </c>
      <c r="F10" s="2594" t="s">
        <v>1806</v>
      </c>
      <c r="G10" s="2595" t="s">
        <v>1806</v>
      </c>
      <c r="H10" s="2596"/>
      <c r="I10" s="2596"/>
      <c r="J10" s="2596"/>
      <c r="K10" s="2596"/>
      <c r="L10" s="2595" t="s">
        <v>1806</v>
      </c>
      <c r="M10" s="2596"/>
      <c r="N10" s="2594" t="s">
        <v>1806</v>
      </c>
      <c r="O10" s="2596"/>
      <c r="P10" s="2596"/>
      <c r="Q10" s="2596"/>
      <c r="R10" s="2596"/>
      <c r="S10" s="2596"/>
      <c r="T10" s="2596"/>
      <c r="U10" s="2596"/>
      <c r="V10" s="2596"/>
      <c r="W10" s="2596"/>
      <c r="X10" s="2596"/>
      <c r="Y10" s="2595" t="s">
        <v>1806</v>
      </c>
      <c r="Z10" s="2596"/>
      <c r="AA10" s="2596"/>
      <c r="AB10" s="2596"/>
      <c r="AC10" s="2596"/>
      <c r="AD10" s="2596"/>
      <c r="AE10" s="2596"/>
      <c r="AF10" s="2596"/>
      <c r="AG10" s="2596"/>
      <c r="AH10" s="2596"/>
      <c r="AI10" s="2596"/>
      <c r="AJ10" s="2596"/>
      <c r="AK10" s="2596"/>
      <c r="AL10" s="2596"/>
      <c r="AM10" s="2595" t="s">
        <v>1806</v>
      </c>
      <c r="AN10" s="2596"/>
      <c r="AO10" s="2596"/>
      <c r="AP10" s="2594" t="s">
        <v>1806</v>
      </c>
    </row>
    <row r="11" spans="2:42" ht="23.25" customHeight="1">
      <c r="B11" s="2590" t="str">
        <f>'VISITA DE INSP.'!$AY$5</f>
        <v>DERECHOS DEL NIÑO</v>
      </c>
      <c r="C11" s="2591" t="s">
        <v>1277</v>
      </c>
      <c r="D11" s="2592" t="s">
        <v>1809</v>
      </c>
      <c r="E11" s="2593" t="s">
        <v>1806</v>
      </c>
      <c r="F11" s="2594" t="s">
        <v>1806</v>
      </c>
      <c r="G11" s="2595" t="s">
        <v>1806</v>
      </c>
      <c r="H11" s="2596"/>
      <c r="I11" s="2596"/>
      <c r="J11" s="2596"/>
      <c r="K11" s="2596"/>
      <c r="L11" s="2595" t="s">
        <v>1806</v>
      </c>
      <c r="M11" s="2596"/>
      <c r="N11" s="2594" t="s">
        <v>1806</v>
      </c>
      <c r="O11" s="2596"/>
      <c r="P11" s="2596"/>
      <c r="Q11" s="2596"/>
      <c r="R11" s="2596"/>
      <c r="S11" s="2596"/>
      <c r="T11" s="2596"/>
      <c r="U11" s="2596"/>
      <c r="V11" s="2596"/>
      <c r="W11" s="2596"/>
      <c r="X11" s="2596"/>
      <c r="Y11" s="2595" t="s">
        <v>1806</v>
      </c>
      <c r="Z11" s="2596"/>
      <c r="AA11" s="2596"/>
      <c r="AB11" s="2596"/>
      <c r="AC11" s="2596"/>
      <c r="AD11" s="2596"/>
      <c r="AE11" s="2596"/>
      <c r="AF11" s="2596"/>
      <c r="AG11" s="2596"/>
      <c r="AH11" s="2596"/>
      <c r="AI11" s="2596"/>
      <c r="AJ11" s="2596"/>
      <c r="AK11" s="2596"/>
      <c r="AL11" s="2596"/>
      <c r="AM11" s="2595" t="s">
        <v>1806</v>
      </c>
      <c r="AN11" s="2596"/>
      <c r="AO11" s="2596"/>
      <c r="AP11" s="2594" t="s">
        <v>1806</v>
      </c>
    </row>
    <row r="12" spans="2:42" ht="23.25" customHeight="1">
      <c r="B12" s="2590" t="str">
        <f>'VISITA DE INSP.'!$AY$6</f>
        <v>DERECHOS DEL NIÑO</v>
      </c>
      <c r="C12" s="2591" t="s">
        <v>1253</v>
      </c>
      <c r="D12" s="2592" t="s">
        <v>1810</v>
      </c>
      <c r="E12" s="2593" t="s">
        <v>1806</v>
      </c>
      <c r="F12" s="2594" t="s">
        <v>1806</v>
      </c>
      <c r="G12" s="2595" t="s">
        <v>1806</v>
      </c>
      <c r="H12" s="2596"/>
      <c r="I12" s="2596"/>
      <c r="J12" s="2596"/>
      <c r="K12" s="2596"/>
      <c r="L12" s="2595" t="s">
        <v>1806</v>
      </c>
      <c r="M12" s="2596"/>
      <c r="N12" s="2594" t="s">
        <v>1806</v>
      </c>
      <c r="O12" s="2596"/>
      <c r="P12" s="2596"/>
      <c r="Q12" s="2596"/>
      <c r="R12" s="2596"/>
      <c r="S12" s="2596"/>
      <c r="T12" s="2596"/>
      <c r="U12" s="2596"/>
      <c r="V12" s="2596"/>
      <c r="W12" s="2596"/>
      <c r="X12" s="2596"/>
      <c r="Y12" s="2595" t="s">
        <v>1806</v>
      </c>
      <c r="Z12" s="2596"/>
      <c r="AA12" s="2596"/>
      <c r="AB12" s="2596"/>
      <c r="AC12" s="2596"/>
      <c r="AD12" s="2596"/>
      <c r="AE12" s="2596"/>
      <c r="AF12" s="2596"/>
      <c r="AG12" s="2596"/>
      <c r="AH12" s="2596"/>
      <c r="AI12" s="2596"/>
      <c r="AJ12" s="2596"/>
      <c r="AK12" s="2596"/>
      <c r="AL12" s="2596"/>
      <c r="AM12" s="2595" t="s">
        <v>1806</v>
      </c>
      <c r="AN12" s="2596"/>
      <c r="AO12" s="2596"/>
      <c r="AP12" s="2594" t="s">
        <v>1806</v>
      </c>
    </row>
    <row r="13" spans="2:42" ht="23.25" customHeight="1">
      <c r="B13" s="2590" t="str">
        <f>'VISITA DE INSP.'!$AY$7</f>
        <v>CUITLAHUAC</v>
      </c>
      <c r="C13" s="2591" t="s">
        <v>1281</v>
      </c>
      <c r="D13" s="2592" t="s">
        <v>1811</v>
      </c>
      <c r="E13" s="2593" t="s">
        <v>1806</v>
      </c>
      <c r="F13" s="2594" t="s">
        <v>1806</v>
      </c>
      <c r="G13" s="2595" t="s">
        <v>1806</v>
      </c>
      <c r="H13" s="2596"/>
      <c r="I13" s="2596"/>
      <c r="J13" s="2596"/>
      <c r="K13" s="2596"/>
      <c r="L13" s="2595" t="s">
        <v>1806</v>
      </c>
      <c r="M13" s="2596"/>
      <c r="N13" s="2594" t="s">
        <v>1806</v>
      </c>
      <c r="O13" s="2596"/>
      <c r="P13" s="2596"/>
      <c r="Q13" s="2596"/>
      <c r="R13" s="2596"/>
      <c r="S13" s="2596"/>
      <c r="T13" s="2596"/>
      <c r="U13" s="2596"/>
      <c r="V13" s="2596"/>
      <c r="W13" s="2596"/>
      <c r="X13" s="2596"/>
      <c r="Y13" s="2595" t="s">
        <v>1806</v>
      </c>
      <c r="Z13" s="2596"/>
      <c r="AA13" s="2596"/>
      <c r="AB13" s="2596"/>
      <c r="AC13" s="2596"/>
      <c r="AD13" s="2596"/>
      <c r="AE13" s="2596"/>
      <c r="AF13" s="2596"/>
      <c r="AG13" s="2596"/>
      <c r="AH13" s="2596"/>
      <c r="AI13" s="2596"/>
      <c r="AJ13" s="2596"/>
      <c r="AK13" s="2596"/>
      <c r="AL13" s="2596"/>
      <c r="AM13" s="2595" t="s">
        <v>1806</v>
      </c>
      <c r="AN13" s="2596"/>
      <c r="AO13" s="2596"/>
      <c r="AP13" s="2594" t="s">
        <v>1806</v>
      </c>
    </row>
    <row r="14" spans="2:42" ht="23.25" customHeight="1">
      <c r="B14" s="2590" t="str">
        <f>'VISITA DE INSP.'!$AY$8</f>
        <v>CUITLAHUAC</v>
      </c>
      <c r="C14" s="2591" t="s">
        <v>1245</v>
      </c>
      <c r="D14" s="2592" t="s">
        <v>1812</v>
      </c>
      <c r="E14" s="2593" t="s">
        <v>1806</v>
      </c>
      <c r="F14" s="2594" t="s">
        <v>1806</v>
      </c>
      <c r="G14" s="2595" t="s">
        <v>1806</v>
      </c>
      <c r="H14" s="2596"/>
      <c r="I14" s="2596"/>
      <c r="J14" s="2596"/>
      <c r="K14" s="2596"/>
      <c r="L14" s="2595" t="s">
        <v>1806</v>
      </c>
      <c r="M14" s="2596"/>
      <c r="N14" s="2594" t="s">
        <v>1806</v>
      </c>
      <c r="O14" s="2596"/>
      <c r="P14" s="2596"/>
      <c r="Q14" s="2596"/>
      <c r="R14" s="2596"/>
      <c r="S14" s="2596"/>
      <c r="T14" s="2596"/>
      <c r="U14" s="2596"/>
      <c r="V14" s="2596"/>
      <c r="W14" s="2596"/>
      <c r="X14" s="2596"/>
      <c r="Y14" s="2595" t="s">
        <v>1806</v>
      </c>
      <c r="Z14" s="2596"/>
      <c r="AA14" s="2596"/>
      <c r="AB14" s="2596"/>
      <c r="AC14" s="2596"/>
      <c r="AD14" s="2596"/>
      <c r="AE14" s="2596"/>
      <c r="AF14" s="2596"/>
      <c r="AG14" s="2596"/>
      <c r="AH14" s="2596"/>
      <c r="AI14" s="2596"/>
      <c r="AJ14" s="2596"/>
      <c r="AK14" s="2596"/>
      <c r="AL14" s="2596"/>
      <c r="AM14" s="2595" t="s">
        <v>1806</v>
      </c>
      <c r="AN14" s="2596"/>
      <c r="AO14" s="2596"/>
      <c r="AP14" s="2594" t="s">
        <v>1806</v>
      </c>
    </row>
    <row r="15" spans="2:42" ht="23.25" customHeight="1">
      <c r="B15" s="2590" t="str">
        <f>'VISITA DE INSP.'!$AY$9</f>
        <v>KABAH</v>
      </c>
      <c r="C15" s="2591" t="s">
        <v>1201</v>
      </c>
      <c r="D15" s="2592" t="s">
        <v>1813</v>
      </c>
      <c r="E15" s="2593" t="s">
        <v>1806</v>
      </c>
      <c r="F15" s="2594" t="s">
        <v>1806</v>
      </c>
      <c r="G15" s="2595" t="s">
        <v>1806</v>
      </c>
      <c r="H15" s="2596"/>
      <c r="I15" s="2596"/>
      <c r="J15" s="2596"/>
      <c r="K15" s="2596"/>
      <c r="L15" s="2595" t="s">
        <v>1806</v>
      </c>
      <c r="M15" s="2596"/>
      <c r="N15" s="2594" t="s">
        <v>1806</v>
      </c>
      <c r="O15" s="2596"/>
      <c r="P15" s="2596"/>
      <c r="Q15" s="2596"/>
      <c r="R15" s="2596"/>
      <c r="S15" s="2596"/>
      <c r="T15" s="2596"/>
      <c r="U15" s="2596"/>
      <c r="V15" s="2596"/>
      <c r="W15" s="2596"/>
      <c r="X15" s="2596"/>
      <c r="Y15" s="2595" t="s">
        <v>1806</v>
      </c>
      <c r="Z15" s="2596"/>
      <c r="AA15" s="2596"/>
      <c r="AB15" s="2596"/>
      <c r="AC15" s="2596"/>
      <c r="AD15" s="2596"/>
      <c r="AE15" s="2596"/>
      <c r="AF15" s="2596"/>
      <c r="AG15" s="2596"/>
      <c r="AH15" s="2596"/>
      <c r="AI15" s="2596"/>
      <c r="AJ15" s="2596"/>
      <c r="AK15" s="2596"/>
      <c r="AL15" s="2596"/>
      <c r="AM15" s="2595" t="s">
        <v>1806</v>
      </c>
      <c r="AN15" s="2596"/>
      <c r="AO15" s="2596"/>
      <c r="AP15" s="2594" t="s">
        <v>1806</v>
      </c>
    </row>
    <row r="16" spans="2:42" ht="23.25" customHeight="1">
      <c r="B16" s="2590" t="str">
        <f>'VISITA DE INSP.'!$AY$10</f>
        <v>ANTONIO MEDIZ BOLIO</v>
      </c>
      <c r="C16" s="2591" t="s">
        <v>1271</v>
      </c>
      <c r="D16" s="2592" t="s">
        <v>1814</v>
      </c>
      <c r="E16" s="2593" t="s">
        <v>1806</v>
      </c>
      <c r="F16" s="2594" t="s">
        <v>1806</v>
      </c>
      <c r="G16" s="2595" t="s">
        <v>1806</v>
      </c>
      <c r="H16" s="2596"/>
      <c r="I16" s="2596"/>
      <c r="J16" s="2596"/>
      <c r="K16" s="2596"/>
      <c r="L16" s="2595" t="s">
        <v>1806</v>
      </c>
      <c r="M16" s="2596"/>
      <c r="N16" s="2594" t="s">
        <v>1806</v>
      </c>
      <c r="O16" s="2596"/>
      <c r="P16" s="2596"/>
      <c r="Q16" s="2596"/>
      <c r="R16" s="2596"/>
      <c r="S16" s="2596"/>
      <c r="T16" s="2596"/>
      <c r="U16" s="2596"/>
      <c r="V16" s="2596"/>
      <c r="W16" s="2596"/>
      <c r="X16" s="2596"/>
      <c r="Y16" s="2595" t="s">
        <v>1806</v>
      </c>
      <c r="Z16" s="2596"/>
      <c r="AA16" s="2596"/>
      <c r="AB16" s="2596"/>
      <c r="AC16" s="2596"/>
      <c r="AD16" s="2596"/>
      <c r="AE16" s="2596"/>
      <c r="AF16" s="2596"/>
      <c r="AG16" s="2596"/>
      <c r="AH16" s="2596"/>
      <c r="AI16" s="2596"/>
      <c r="AJ16" s="2596"/>
      <c r="AK16" s="2596"/>
      <c r="AL16" s="2596"/>
      <c r="AM16" s="2595" t="s">
        <v>1806</v>
      </c>
      <c r="AN16" s="2596"/>
      <c r="AO16" s="2596"/>
      <c r="AP16" s="2594" t="s">
        <v>1806</v>
      </c>
    </row>
    <row r="17" spans="2:42" ht="23.25" customHeight="1">
      <c r="B17" s="2590" t="str">
        <f>'VISITA DE INSP.'!$AY$11</f>
        <v>MANUEL CRESCENCIO REJON</v>
      </c>
      <c r="C17" s="2591" t="s">
        <v>1815</v>
      </c>
      <c r="D17" s="2592" t="s">
        <v>1816</v>
      </c>
      <c r="E17" s="2593" t="s">
        <v>1806</v>
      </c>
      <c r="F17" s="2594" t="s">
        <v>1806</v>
      </c>
      <c r="G17" s="2595" t="s">
        <v>1806</v>
      </c>
      <c r="H17" s="2596"/>
      <c r="I17" s="2596"/>
      <c r="J17" s="2596"/>
      <c r="K17" s="2596"/>
      <c r="L17" s="2595" t="s">
        <v>1806</v>
      </c>
      <c r="M17" s="2596"/>
      <c r="N17" s="2594" t="s">
        <v>1806</v>
      </c>
      <c r="O17" s="2596"/>
      <c r="P17" s="2596"/>
      <c r="Q17" s="2596"/>
      <c r="R17" s="2596"/>
      <c r="S17" s="2596"/>
      <c r="T17" s="2596"/>
      <c r="U17" s="2596"/>
      <c r="V17" s="2596"/>
      <c r="W17" s="2596"/>
      <c r="X17" s="2596"/>
      <c r="Y17" s="2595" t="s">
        <v>1806</v>
      </c>
      <c r="Z17" s="2596"/>
      <c r="AA17" s="2596"/>
      <c r="AB17" s="2596"/>
      <c r="AC17" s="2596"/>
      <c r="AD17" s="2596"/>
      <c r="AE17" s="2596"/>
      <c r="AF17" s="2596"/>
      <c r="AG17" s="2596"/>
      <c r="AH17" s="2596"/>
      <c r="AI17" s="2596"/>
      <c r="AJ17" s="2596"/>
      <c r="AK17" s="2596"/>
      <c r="AL17" s="2596"/>
      <c r="AM17" s="2595" t="s">
        <v>1806</v>
      </c>
      <c r="AN17" s="2596"/>
      <c r="AO17" s="2596"/>
      <c r="AP17" s="2594" t="s">
        <v>1806</v>
      </c>
    </row>
    <row r="18" spans="2:42" ht="23.25" customHeight="1">
      <c r="B18" s="2590" t="str">
        <f>'VISITA DE INSP.'!$AY$12</f>
        <v>CENTRO EDUCATIVO EL MANANTIAL</v>
      </c>
      <c r="C18" s="2591" t="s">
        <v>1198</v>
      </c>
      <c r="D18" s="2592" t="s">
        <v>1817</v>
      </c>
      <c r="E18" s="2593" t="s">
        <v>1806</v>
      </c>
      <c r="F18" s="2594" t="s">
        <v>1806</v>
      </c>
      <c r="G18" s="2595" t="s">
        <v>1806</v>
      </c>
      <c r="H18" s="2596"/>
      <c r="I18" s="2596"/>
      <c r="J18" s="2596"/>
      <c r="K18" s="2596"/>
      <c r="L18" s="2595" t="s">
        <v>1806</v>
      </c>
      <c r="M18" s="2596"/>
      <c r="N18" s="2594" t="s">
        <v>1806</v>
      </c>
      <c r="O18" s="2596"/>
      <c r="P18" s="2596"/>
      <c r="Q18" s="2596"/>
      <c r="R18" s="2596"/>
      <c r="S18" s="2596"/>
      <c r="T18" s="2596"/>
      <c r="U18" s="2596"/>
      <c r="V18" s="2596"/>
      <c r="W18" s="2596"/>
      <c r="X18" s="2596"/>
      <c r="Y18" s="2595" t="s">
        <v>1806</v>
      </c>
      <c r="Z18" s="2596"/>
      <c r="AA18" s="2596"/>
      <c r="AB18" s="2596"/>
      <c r="AC18" s="2596"/>
      <c r="AD18" s="2596"/>
      <c r="AE18" s="2596"/>
      <c r="AF18" s="2596"/>
      <c r="AG18" s="2596"/>
      <c r="AH18" s="2596"/>
      <c r="AI18" s="2596"/>
      <c r="AJ18" s="2596"/>
      <c r="AK18" s="2596"/>
      <c r="AL18" s="2596"/>
      <c r="AM18" s="2595" t="s">
        <v>1806</v>
      </c>
      <c r="AN18" s="2596"/>
      <c r="AO18" s="2596"/>
      <c r="AP18" s="2594" t="s">
        <v>1806</v>
      </c>
    </row>
    <row r="19" spans="2:42" ht="23.25" customHeight="1">
      <c r="B19" s="2590" t="str">
        <f>'VISITA DE INSP.'!$AY$13</f>
        <v>COLEGIO HISPANOAMERICANO LA LUNA</v>
      </c>
      <c r="C19" s="2591" t="s">
        <v>1818</v>
      </c>
      <c r="D19" s="2592" t="s">
        <v>1819</v>
      </c>
      <c r="E19" s="2593" t="s">
        <v>1806</v>
      </c>
      <c r="F19" s="2594" t="s">
        <v>1806</v>
      </c>
      <c r="G19" s="2595" t="s">
        <v>1806</v>
      </c>
      <c r="H19" s="2596"/>
      <c r="I19" s="2596"/>
      <c r="J19" s="2596"/>
      <c r="K19" s="2596"/>
      <c r="L19" s="2595" t="s">
        <v>1806</v>
      </c>
      <c r="M19" s="2596"/>
      <c r="N19" s="2594" t="s">
        <v>1806</v>
      </c>
      <c r="O19" s="2596"/>
      <c r="P19" s="2596"/>
      <c r="Q19" s="2596"/>
      <c r="R19" s="2596"/>
      <c r="S19" s="2596"/>
      <c r="T19" s="2596"/>
      <c r="U19" s="2596"/>
      <c r="V19" s="2596"/>
      <c r="W19" s="2596"/>
      <c r="X19" s="2596"/>
      <c r="Y19" s="2595" t="s">
        <v>1806</v>
      </c>
      <c r="Z19" s="2596"/>
      <c r="AA19" s="2596"/>
      <c r="AB19" s="2596"/>
      <c r="AC19" s="2596"/>
      <c r="AD19" s="2596"/>
      <c r="AE19" s="2596"/>
      <c r="AF19" s="2596"/>
      <c r="AG19" s="2596"/>
      <c r="AH19" s="2596"/>
      <c r="AI19" s="2596"/>
      <c r="AJ19" s="2596"/>
      <c r="AK19" s="2596"/>
      <c r="AL19" s="2596"/>
      <c r="AM19" s="2595" t="s">
        <v>1806</v>
      </c>
      <c r="AN19" s="2596"/>
      <c r="AO19" s="2596"/>
      <c r="AP19" s="2594" t="s">
        <v>1806</v>
      </c>
    </row>
    <row r="20" spans="2:42" ht="23.25" customHeight="1">
      <c r="B20" s="2590" t="str">
        <f>'VISITA DE INSP.'!$AY$14</f>
        <v>JOSE VASCONCELOS</v>
      </c>
      <c r="C20" s="2591" t="s">
        <v>1820</v>
      </c>
      <c r="D20" s="2592" t="s">
        <v>1821</v>
      </c>
      <c r="E20" s="2593" t="s">
        <v>1806</v>
      </c>
      <c r="F20" s="2594" t="s">
        <v>1806</v>
      </c>
      <c r="G20" s="2595" t="s">
        <v>1806</v>
      </c>
      <c r="H20" s="2596"/>
      <c r="I20" s="2596"/>
      <c r="J20" s="2596"/>
      <c r="K20" s="2596"/>
      <c r="L20" s="2595" t="s">
        <v>1806</v>
      </c>
      <c r="M20" s="2596"/>
      <c r="N20" s="2594" t="s">
        <v>1806</v>
      </c>
      <c r="O20" s="2596"/>
      <c r="P20" s="2596"/>
      <c r="Q20" s="2596"/>
      <c r="R20" s="2596"/>
      <c r="S20" s="2596"/>
      <c r="T20" s="2596"/>
      <c r="U20" s="2596"/>
      <c r="V20" s="2596"/>
      <c r="W20" s="2596"/>
      <c r="X20" s="2596"/>
      <c r="Y20" s="2595" t="s">
        <v>1806</v>
      </c>
      <c r="Z20" s="2596"/>
      <c r="AA20" s="2596"/>
      <c r="AB20" s="2596"/>
      <c r="AC20" s="2596"/>
      <c r="AD20" s="2596"/>
      <c r="AE20" s="2596"/>
      <c r="AF20" s="2596"/>
      <c r="AG20" s="2596"/>
      <c r="AH20" s="2596"/>
      <c r="AI20" s="2596"/>
      <c r="AJ20" s="2596"/>
      <c r="AK20" s="2596"/>
      <c r="AL20" s="2596"/>
      <c r="AM20" s="2595" t="s">
        <v>1806</v>
      </c>
      <c r="AN20" s="2596"/>
      <c r="AO20" s="2596"/>
      <c r="AP20" s="2594" t="s">
        <v>1806</v>
      </c>
    </row>
    <row r="21" spans="2:42" ht="23.25" customHeight="1">
      <c r="B21" s="2590" t="str">
        <f>'VISITA DE INSP.'!$AY$15</f>
        <v>CENTRO INFANTIL LATINOAMERICANO</v>
      </c>
      <c r="C21" s="2591" t="s">
        <v>1822</v>
      </c>
      <c r="D21" s="2592" t="s">
        <v>1823</v>
      </c>
      <c r="E21" s="2593" t="s">
        <v>1806</v>
      </c>
      <c r="F21" s="2594" t="s">
        <v>1806</v>
      </c>
      <c r="G21" s="2595" t="s">
        <v>1806</v>
      </c>
      <c r="H21" s="2596"/>
      <c r="I21" s="2596"/>
      <c r="J21" s="2596"/>
      <c r="K21" s="2596"/>
      <c r="L21" s="2595" t="s">
        <v>1806</v>
      </c>
      <c r="M21" s="2596"/>
      <c r="N21" s="2594" t="s">
        <v>1806</v>
      </c>
      <c r="O21" s="2596"/>
      <c r="P21" s="2596"/>
      <c r="Q21" s="2596"/>
      <c r="R21" s="2596"/>
      <c r="S21" s="2596"/>
      <c r="T21" s="2596"/>
      <c r="U21" s="2596"/>
      <c r="V21" s="2596"/>
      <c r="W21" s="2596"/>
      <c r="X21" s="2596"/>
      <c r="Y21" s="2595" t="s">
        <v>1806</v>
      </c>
      <c r="Z21" s="2596"/>
      <c r="AA21" s="2596"/>
      <c r="AB21" s="2596"/>
      <c r="AC21" s="2596"/>
      <c r="AD21" s="2596"/>
      <c r="AE21" s="2596"/>
      <c r="AF21" s="2596"/>
      <c r="AG21" s="2596"/>
      <c r="AH21" s="2596"/>
      <c r="AI21" s="2596"/>
      <c r="AJ21" s="2596"/>
      <c r="AK21" s="2596"/>
      <c r="AL21" s="2596"/>
      <c r="AM21" s="2595" t="s">
        <v>1806</v>
      </c>
      <c r="AN21" s="2596"/>
      <c r="AO21" s="2596"/>
      <c r="AP21" s="2594" t="s">
        <v>1806</v>
      </c>
    </row>
    <row r="22" spans="2:42" ht="23.25" customHeight="1">
      <c r="B22" s="2590" t="str">
        <f>'VISITA DE INSP.'!$AY$16</f>
        <v>COLEGIO KING DAVID</v>
      </c>
      <c r="C22" s="2591" t="s">
        <v>1824</v>
      </c>
      <c r="D22" s="2592"/>
      <c r="E22" s="2593"/>
      <c r="F22" s="2594" t="s">
        <v>1806</v>
      </c>
      <c r="G22" s="2595" t="s">
        <v>1806</v>
      </c>
      <c r="H22" s="2596"/>
      <c r="I22" s="2596"/>
      <c r="J22" s="2596"/>
      <c r="K22" s="2596"/>
      <c r="L22" s="2595" t="s">
        <v>1806</v>
      </c>
      <c r="M22" s="2596"/>
      <c r="N22" s="2594"/>
      <c r="O22" s="2596"/>
      <c r="P22" s="2596"/>
      <c r="Q22" s="2596"/>
      <c r="R22" s="2596"/>
      <c r="S22" s="2596"/>
      <c r="T22" s="2596"/>
      <c r="U22" s="2596"/>
      <c r="V22" s="2596"/>
      <c r="W22" s="2596"/>
      <c r="X22" s="2596"/>
      <c r="Y22" s="2595" t="s">
        <v>1806</v>
      </c>
      <c r="Z22" s="2596"/>
      <c r="AA22" s="2596"/>
      <c r="AB22" s="2596"/>
      <c r="AC22" s="2596"/>
      <c r="AD22" s="2596"/>
      <c r="AE22" s="2596"/>
      <c r="AF22" s="2596"/>
      <c r="AG22" s="2596"/>
      <c r="AH22" s="2596"/>
      <c r="AI22" s="2596"/>
      <c r="AJ22" s="2596"/>
      <c r="AK22" s="2596"/>
      <c r="AL22" s="2596"/>
      <c r="AM22" s="2595" t="s">
        <v>1806</v>
      </c>
      <c r="AN22" s="2596"/>
      <c r="AO22" s="2596"/>
      <c r="AP22" s="2594" t="s">
        <v>1806</v>
      </c>
    </row>
    <row r="23" spans="2:42" ht="23.25" customHeight="1">
      <c r="B23" s="2590">
        <f>'VISITA DE INSP.'!$AY$17</f>
        <v>0</v>
      </c>
      <c r="C23" s="2591" t="s">
        <v>1825</v>
      </c>
      <c r="D23" s="2592"/>
      <c r="E23" s="2593" t="s">
        <v>1806</v>
      </c>
      <c r="F23" s="2594" t="s">
        <v>1806</v>
      </c>
      <c r="G23" s="2595" t="s">
        <v>1806</v>
      </c>
      <c r="H23" s="2596"/>
      <c r="I23" s="2596"/>
      <c r="J23" s="2596"/>
      <c r="K23" s="2596"/>
      <c r="L23" s="2595" t="s">
        <v>1806</v>
      </c>
      <c r="M23" s="2596"/>
      <c r="N23" s="2594" t="s">
        <v>1806</v>
      </c>
      <c r="O23" s="2596"/>
      <c r="P23" s="2596"/>
      <c r="Q23" s="2596"/>
      <c r="R23" s="2596"/>
      <c r="S23" s="2596"/>
      <c r="T23" s="2596"/>
      <c r="U23" s="2596"/>
      <c r="V23" s="2596"/>
      <c r="W23" s="2596"/>
      <c r="X23" s="2596"/>
      <c r="Y23" s="2595" t="s">
        <v>1806</v>
      </c>
      <c r="Z23" s="2596"/>
      <c r="AA23" s="2596"/>
      <c r="AB23" s="2596"/>
      <c r="AC23" s="2596"/>
      <c r="AD23" s="2596"/>
      <c r="AE23" s="2596"/>
      <c r="AF23" s="2596"/>
      <c r="AG23" s="2596"/>
      <c r="AH23" s="2596"/>
      <c r="AI23" s="2596"/>
      <c r="AJ23" s="2596"/>
      <c r="AK23" s="2596"/>
      <c r="AL23" s="2596"/>
      <c r="AM23" s="2595" t="s">
        <v>1806</v>
      </c>
      <c r="AN23" s="2596"/>
      <c r="AO23" s="2596"/>
      <c r="AP23" s="2594" t="s">
        <v>1806</v>
      </c>
    </row>
  </sheetData>
  <mergeCells count="26">
    <mergeCell ref="AA4:AD4"/>
    <mergeCell ref="AE4:AH4"/>
    <mergeCell ref="AI4:AL4"/>
    <mergeCell ref="AM4:AP4"/>
    <mergeCell ref="B6:B7"/>
    <mergeCell ref="C6:F6"/>
    <mergeCell ref="G6:J6"/>
    <mergeCell ref="K6:N6"/>
    <mergeCell ref="W7:Z7"/>
    <mergeCell ref="O7:R7"/>
    <mergeCell ref="C4:F4"/>
    <mergeCell ref="G4:J4"/>
    <mergeCell ref="K4:N4"/>
    <mergeCell ref="O4:R4"/>
    <mergeCell ref="S4:V4"/>
    <mergeCell ref="W4:Z4"/>
    <mergeCell ref="C7:F7"/>
    <mergeCell ref="G7:J7"/>
    <mergeCell ref="K7:N7"/>
    <mergeCell ref="W6:Z6"/>
    <mergeCell ref="S7:V7"/>
    <mergeCell ref="AM6:AP6"/>
    <mergeCell ref="AA7:AD7"/>
    <mergeCell ref="AE7:AH7"/>
    <mergeCell ref="AI7:AL7"/>
    <mergeCell ref="AM7:AP7"/>
  </mergeCells>
  <hyperlinks>
    <hyperlink ref="G7" r:id="rId1"/>
    <hyperlink ref="W7" r:id="rId2"/>
    <hyperlink ref="O7" r:id="rId3"/>
    <hyperlink ref="S7" r:id="rId4"/>
  </hyperlinks>
  <pageMargins left="0.7" right="0.7" top="0.75" bottom="0.75" header="0.3" footer="0.3"/>
  <drawing r:id="rId5"/>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21">
    <tabColor rgb="FFC00000"/>
  </sheetPr>
  <dimension ref="B1:U22"/>
  <sheetViews>
    <sheetView view="pageBreakPreview" zoomScale="75" zoomScaleSheetLayoutView="75" workbookViewId="0">
      <selection activeCell="S19" sqref="S19"/>
    </sheetView>
  </sheetViews>
  <sheetFormatPr baseColWidth="10" defaultRowHeight="12.75"/>
  <cols>
    <col min="1" max="1" width="0.7109375" customWidth="1"/>
    <col min="2" max="2" width="2.5703125" customWidth="1"/>
    <col min="3" max="15" width="5.5703125" customWidth="1"/>
    <col min="16" max="16" width="1.7109375" customWidth="1"/>
    <col min="17" max="17" width="0.7109375" customWidth="1"/>
  </cols>
  <sheetData>
    <row r="1" spans="2:16" ht="4.5" customHeight="1" thickBot="1"/>
    <row r="2" spans="2:16" ht="8.1" customHeight="1" thickTop="1">
      <c r="B2" s="88"/>
      <c r="C2" s="89"/>
      <c r="D2" s="89"/>
      <c r="E2" s="89"/>
      <c r="F2" s="89"/>
      <c r="G2" s="89"/>
      <c r="H2" s="89"/>
      <c r="I2" s="89"/>
      <c r="J2" s="89"/>
      <c r="K2" s="89"/>
      <c r="L2" s="89"/>
      <c r="M2" s="89"/>
      <c r="N2" s="89"/>
      <c r="O2" s="89"/>
      <c r="P2" s="90"/>
    </row>
    <row r="3" spans="2:16" ht="18" customHeight="1">
      <c r="B3" s="91"/>
      <c r="C3" s="92"/>
      <c r="D3" s="92"/>
      <c r="E3" s="92"/>
      <c r="F3" s="92"/>
      <c r="G3" s="92"/>
      <c r="H3" s="92"/>
      <c r="I3" s="92"/>
      <c r="J3" s="92"/>
      <c r="K3" s="92"/>
      <c r="L3" s="92"/>
      <c r="M3" s="1087">
        <f>'VISITA DE INSP.'!T6</f>
        <v>1</v>
      </c>
      <c r="N3" s="92"/>
      <c r="O3" s="92"/>
      <c r="P3" s="93"/>
    </row>
    <row r="4" spans="2:16" ht="18" customHeight="1">
      <c r="B4" s="91"/>
      <c r="C4" s="92"/>
      <c r="D4" s="92"/>
      <c r="E4" s="92"/>
      <c r="F4" s="92"/>
      <c r="G4" s="92"/>
      <c r="H4" s="92"/>
      <c r="I4" s="92"/>
      <c r="J4" s="92"/>
      <c r="K4" s="92"/>
      <c r="L4" s="92"/>
      <c r="M4" s="92"/>
      <c r="N4" s="92"/>
      <c r="O4" s="92"/>
      <c r="P4" s="94"/>
    </row>
    <row r="5" spans="2:16" ht="18" customHeight="1">
      <c r="B5" s="91"/>
      <c r="C5" s="5546" t="s">
        <v>66</v>
      </c>
      <c r="D5" s="5547"/>
      <c r="E5" s="5547"/>
      <c r="F5" s="5547"/>
      <c r="G5" s="5547"/>
      <c r="H5" s="5547"/>
      <c r="I5" s="5547"/>
      <c r="J5" s="5547"/>
      <c r="K5" s="5547"/>
      <c r="L5" s="5547"/>
      <c r="M5" s="5547"/>
      <c r="N5" s="5547"/>
      <c r="O5" s="5548"/>
      <c r="P5" s="93"/>
    </row>
    <row r="6" spans="2:16" ht="18" customHeight="1">
      <c r="B6" s="91"/>
      <c r="C6" s="5546" t="s">
        <v>67</v>
      </c>
      <c r="D6" s="5547"/>
      <c r="E6" s="5547"/>
      <c r="F6" s="5547"/>
      <c r="G6" s="5547"/>
      <c r="H6" s="5547"/>
      <c r="I6" s="5547"/>
      <c r="J6" s="5547"/>
      <c r="K6" s="5547"/>
      <c r="L6" s="5547"/>
      <c r="M6" s="5547"/>
      <c r="N6" s="5547"/>
      <c r="O6" s="5548"/>
      <c r="P6" s="94"/>
    </row>
    <row r="7" spans="2:16" ht="6" customHeight="1">
      <c r="B7" s="91"/>
      <c r="C7" s="105"/>
      <c r="D7" s="105"/>
      <c r="E7" s="105"/>
      <c r="F7" s="105"/>
      <c r="G7" s="105"/>
      <c r="H7" s="105"/>
      <c r="I7" s="105"/>
      <c r="J7" s="105"/>
      <c r="K7" s="105"/>
      <c r="L7" s="105"/>
      <c r="M7" s="105"/>
      <c r="N7" s="105"/>
      <c r="O7" s="105"/>
      <c r="P7" s="93"/>
    </row>
    <row r="8" spans="2:16" ht="19.5" customHeight="1">
      <c r="B8" s="91"/>
      <c r="C8" s="105"/>
      <c r="D8" s="105"/>
      <c r="E8" s="105"/>
      <c r="F8" s="5552" t="s">
        <v>193</v>
      </c>
      <c r="G8" s="5554"/>
      <c r="H8" s="5553"/>
      <c r="I8" s="5549" t="str">
        <f>'VISITA DE INSP.'!AS9</f>
        <v>2012</v>
      </c>
      <c r="J8" s="5551"/>
      <c r="K8" s="5549">
        <f>I8+1</f>
        <v>2013</v>
      </c>
      <c r="L8" s="5551"/>
      <c r="M8" s="106"/>
      <c r="N8" s="106"/>
      <c r="O8" s="106"/>
      <c r="P8" s="93"/>
    </row>
    <row r="9" spans="2:16" ht="6" customHeight="1">
      <c r="B9" s="91"/>
      <c r="C9" s="105"/>
      <c r="D9" s="98"/>
      <c r="E9" s="98"/>
      <c r="F9" s="98"/>
      <c r="G9" s="98"/>
      <c r="H9" s="98"/>
      <c r="I9" s="98"/>
      <c r="J9" s="98"/>
      <c r="K9" s="98"/>
      <c r="L9" s="98"/>
      <c r="M9" s="98"/>
      <c r="N9" s="98"/>
      <c r="O9" s="106"/>
      <c r="P9" s="93"/>
    </row>
    <row r="10" spans="2:16" ht="19.5" customHeight="1">
      <c r="B10" s="91"/>
      <c r="C10" s="5552" t="s">
        <v>9</v>
      </c>
      <c r="D10" s="5553"/>
      <c r="E10" s="5549" t="str">
        <f>'VISITA DE INSP.'!E7</f>
        <v>KABAH</v>
      </c>
      <c r="F10" s="5550"/>
      <c r="G10" s="5550"/>
      <c r="H10" s="5550"/>
      <c r="I10" s="5550"/>
      <c r="J10" s="5550"/>
      <c r="K10" s="5551"/>
      <c r="L10" s="102" t="s">
        <v>190</v>
      </c>
      <c r="M10" s="5549" t="str">
        <f>'VISITA DE INSP.'!V7</f>
        <v>23DPR0055K</v>
      </c>
      <c r="N10" s="5550"/>
      <c r="O10" s="5551"/>
      <c r="P10" s="93"/>
    </row>
    <row r="11" spans="2:16" ht="6" customHeight="1">
      <c r="B11" s="91"/>
      <c r="C11" s="98"/>
      <c r="D11" s="98"/>
      <c r="E11" s="103"/>
      <c r="F11" s="103"/>
      <c r="G11" s="103"/>
      <c r="H11" s="103"/>
      <c r="I11" s="103"/>
      <c r="J11" s="103"/>
      <c r="K11" s="103"/>
      <c r="L11" s="103"/>
      <c r="M11" s="103"/>
      <c r="N11" s="103"/>
      <c r="O11" s="103"/>
      <c r="P11" s="93"/>
    </row>
    <row r="12" spans="2:16" ht="19.5" customHeight="1">
      <c r="B12" s="91"/>
      <c r="C12" s="5552" t="s">
        <v>191</v>
      </c>
      <c r="D12" s="5553"/>
      <c r="E12" s="5549" t="str">
        <f>'VISITA DE INSP.'!AE7</f>
        <v>MATUTINO</v>
      </c>
      <c r="F12" s="5550"/>
      <c r="G12" s="5551"/>
      <c r="H12" s="104"/>
      <c r="I12" s="101" t="s">
        <v>194</v>
      </c>
      <c r="J12" s="5549" t="str">
        <f>'VISITA DE INSP.'!Z9</f>
        <v>9981 49 34 04</v>
      </c>
      <c r="K12" s="5550"/>
      <c r="L12" s="5550"/>
      <c r="M12" s="5550"/>
      <c r="N12" s="5550"/>
      <c r="O12" s="5551"/>
      <c r="P12" s="93"/>
    </row>
    <row r="13" spans="2:16" ht="6" customHeight="1">
      <c r="B13" s="91"/>
      <c r="C13" s="98"/>
      <c r="D13" s="98"/>
      <c r="E13" s="104"/>
      <c r="F13" s="214"/>
      <c r="G13" s="214"/>
      <c r="H13" s="214"/>
      <c r="I13" s="214"/>
      <c r="J13" s="214"/>
      <c r="K13" s="214"/>
      <c r="L13" s="214"/>
      <c r="M13" s="214"/>
      <c r="N13" s="214"/>
      <c r="O13" s="214"/>
      <c r="P13" s="93"/>
    </row>
    <row r="14" spans="2:16" ht="19.5" customHeight="1">
      <c r="B14" s="91"/>
      <c r="C14" s="5552" t="s">
        <v>189</v>
      </c>
      <c r="D14" s="5554"/>
      <c r="E14" s="5553"/>
      <c r="F14" s="5549" t="str">
        <f>'VISITA DE INSP.'!M9</f>
        <v>SM-48 C-OCOSINGO CON OCOTEPEC</v>
      </c>
      <c r="G14" s="5550"/>
      <c r="H14" s="5550"/>
      <c r="I14" s="5550"/>
      <c r="J14" s="5550"/>
      <c r="K14" s="5550"/>
      <c r="L14" s="5550"/>
      <c r="M14" s="5550"/>
      <c r="N14" s="5550"/>
      <c r="O14" s="5551"/>
      <c r="P14" s="93"/>
    </row>
    <row r="15" spans="2:16" ht="6" customHeight="1">
      <c r="B15" s="91"/>
      <c r="C15" s="98"/>
      <c r="D15" s="98"/>
      <c r="E15" s="98"/>
      <c r="F15" s="104"/>
      <c r="G15" s="104"/>
      <c r="H15" s="104"/>
      <c r="I15" s="104"/>
      <c r="J15" s="104"/>
      <c r="K15" s="104"/>
      <c r="L15" s="104"/>
      <c r="M15" s="104"/>
      <c r="N15" s="104"/>
      <c r="O15" s="104"/>
      <c r="P15" s="93"/>
    </row>
    <row r="16" spans="2:16" ht="19.5" customHeight="1">
      <c r="B16" s="91"/>
      <c r="C16" s="99" t="s">
        <v>192</v>
      </c>
      <c r="D16" s="98"/>
      <c r="E16" s="98"/>
      <c r="F16" s="98"/>
      <c r="G16" s="100"/>
      <c r="H16" s="5549" t="str">
        <f>'VISITA DE INSP.'!P41</f>
        <v>CERVANTES BENITEZ * ANTONIA</v>
      </c>
      <c r="I16" s="5550"/>
      <c r="J16" s="5550"/>
      <c r="K16" s="5550"/>
      <c r="L16" s="5550"/>
      <c r="M16" s="5550"/>
      <c r="N16" s="5550"/>
      <c r="O16" s="5551"/>
      <c r="P16" s="94"/>
    </row>
    <row r="17" spans="2:21" ht="10.5" customHeight="1">
      <c r="B17" s="91"/>
      <c r="C17" s="103"/>
      <c r="D17" s="103"/>
      <c r="E17" s="103"/>
      <c r="F17" s="103"/>
      <c r="G17" s="103"/>
      <c r="H17" s="103"/>
      <c r="I17" s="103"/>
      <c r="J17" s="103"/>
      <c r="K17" s="103"/>
      <c r="L17" s="98"/>
      <c r="M17" s="98"/>
      <c r="N17" s="98"/>
      <c r="O17" s="98"/>
      <c r="P17" s="94"/>
    </row>
    <row r="18" spans="2:21" ht="22.5" customHeight="1">
      <c r="B18" s="756"/>
      <c r="C18" s="5555" t="str">
        <f>'ACUSE 2'!K6</f>
        <v>RECIBOS DE ACUSE DE SICEEB</v>
      </c>
      <c r="D18" s="5556"/>
      <c r="E18" s="5556"/>
      <c r="F18" s="5556"/>
      <c r="G18" s="5556"/>
      <c r="H18" s="5556"/>
      <c r="I18" s="5556"/>
      <c r="J18" s="5556"/>
      <c r="K18" s="5557"/>
      <c r="L18" s="106"/>
      <c r="M18" s="106"/>
      <c r="N18" s="106"/>
      <c r="O18" s="106"/>
      <c r="P18" s="94"/>
    </row>
    <row r="19" spans="2:21" ht="22.5" customHeight="1">
      <c r="B19" s="756"/>
      <c r="C19" s="5558"/>
      <c r="D19" s="5559"/>
      <c r="E19" s="5559"/>
      <c r="F19" s="5559"/>
      <c r="G19" s="5559"/>
      <c r="H19" s="5559"/>
      <c r="I19" s="5559"/>
      <c r="J19" s="5559"/>
      <c r="K19" s="5560"/>
      <c r="L19" s="106"/>
      <c r="M19" s="106"/>
      <c r="N19" s="106"/>
      <c r="O19" s="106"/>
      <c r="P19" s="94"/>
      <c r="S19" s="107"/>
      <c r="U19" t="s">
        <v>79</v>
      </c>
    </row>
    <row r="20" spans="2:21" ht="22.5" customHeight="1">
      <c r="B20" s="756"/>
      <c r="C20" s="5561"/>
      <c r="D20" s="5562"/>
      <c r="E20" s="5562"/>
      <c r="F20" s="5562"/>
      <c r="G20" s="5562"/>
      <c r="H20" s="5562"/>
      <c r="I20" s="5562"/>
      <c r="J20" s="5562"/>
      <c r="K20" s="5563"/>
      <c r="L20" s="106"/>
      <c r="M20" s="106"/>
      <c r="N20" s="106"/>
      <c r="O20" s="106"/>
      <c r="P20" s="94"/>
    </row>
    <row r="21" spans="2:21" ht="8.1" customHeight="1" thickBot="1">
      <c r="B21" s="95"/>
      <c r="C21" s="757"/>
      <c r="D21" s="757"/>
      <c r="E21" s="757"/>
      <c r="F21" s="757"/>
      <c r="G21" s="757"/>
      <c r="H21" s="757"/>
      <c r="I21" s="757"/>
      <c r="J21" s="757"/>
      <c r="K21" s="757"/>
      <c r="L21" s="96"/>
      <c r="M21" s="96"/>
      <c r="N21" s="96"/>
      <c r="O21" s="96"/>
      <c r="P21" s="97"/>
    </row>
    <row r="22" spans="2:21" ht="4.5" customHeight="1" thickTop="1"/>
  </sheetData>
  <sheetProtection selectLockedCells="1"/>
  <mergeCells count="15">
    <mergeCell ref="C14:E14"/>
    <mergeCell ref="F8:H8"/>
    <mergeCell ref="C18:K20"/>
    <mergeCell ref="H16:O16"/>
    <mergeCell ref="E10:K10"/>
    <mergeCell ref="F14:O14"/>
    <mergeCell ref="C5:O5"/>
    <mergeCell ref="C6:O6"/>
    <mergeCell ref="M10:O10"/>
    <mergeCell ref="E12:G12"/>
    <mergeCell ref="I8:J8"/>
    <mergeCell ref="K8:L8"/>
    <mergeCell ref="J12:O12"/>
    <mergeCell ref="C10:D10"/>
    <mergeCell ref="C12:D12"/>
  </mergeCells>
  <conditionalFormatting sqref="C18:K20">
    <cfRule type="cellIs" dxfId="11" priority="1" stopIfTrue="1" operator="equal">
      <formula>0</formula>
    </cfRule>
    <cfRule type="cellIs" dxfId="10" priority="2" stopIfTrue="1" operator="equal">
      <formula>0</formula>
    </cfRule>
  </conditionalFormatting>
  <printOptions horizontalCentered="1"/>
  <pageMargins left="0.51181102362204722" right="0.51181102362204722" top="0.35433070866141736" bottom="0.35433070866141736" header="0.31496062992125984" footer="0.31496062992125984"/>
  <pageSetup scale="50" orientation="portrait" horizontalDpi="300" verticalDpi="300" r:id="rId1"/>
  <drawing r:id="rId2"/>
  <legacyDrawing r:id="rId3"/>
  <oleObjects>
    <mc:AlternateContent xmlns:mc="http://schemas.openxmlformats.org/markup-compatibility/2006">
      <mc:Choice Requires="x14">
        <oleObject progId="MSPhotoEd.3" shapeId="66188" r:id="rId4">
          <objectPr defaultSize="0" autoPict="0" r:id="rId5">
            <anchor moveWithCells="1" sizeWithCells="1">
              <from>
                <xdr:col>1</xdr:col>
                <xdr:colOff>104775</xdr:colOff>
                <xdr:row>4</xdr:row>
                <xdr:rowOff>66675</xdr:rowOff>
              </from>
              <to>
                <xdr:col>3</xdr:col>
                <xdr:colOff>323850</xdr:colOff>
                <xdr:row>8</xdr:row>
                <xdr:rowOff>19050</xdr:rowOff>
              </to>
            </anchor>
          </objectPr>
        </oleObject>
      </mc:Choice>
      <mc:Fallback>
        <oleObject progId="MSPhotoEd.3" shapeId="66188" r:id="rId4"/>
      </mc:Fallback>
    </mc:AlternateContent>
  </oleObject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AC27"/>
  <sheetViews>
    <sheetView view="pageBreakPreview" zoomScale="90" zoomScaleSheetLayoutView="90" workbookViewId="0">
      <selection activeCell="E19" sqref="E19:AJ20"/>
    </sheetView>
  </sheetViews>
  <sheetFormatPr baseColWidth="10" defaultRowHeight="15"/>
  <cols>
    <col min="1" max="1" width="0.5703125" customWidth="1"/>
    <col min="2" max="2" width="3.7109375" customWidth="1"/>
    <col min="3" max="3" width="33.42578125" style="2658" customWidth="1"/>
    <col min="4" max="5" width="3.85546875" style="107" customWidth="1"/>
    <col min="6" max="14" width="3.85546875" customWidth="1"/>
    <col min="15" max="15" width="3.85546875" style="2658" customWidth="1"/>
    <col min="16" max="21" width="3.85546875" customWidth="1"/>
    <col min="22" max="22" width="7.85546875" customWidth="1"/>
    <col min="23" max="25" width="11.140625" style="107" hidden="1" customWidth="1"/>
    <col min="26" max="26" width="11.140625" hidden="1" customWidth="1"/>
    <col min="27" max="27" width="0.42578125" customWidth="1"/>
    <col min="28" max="28" width="12.42578125" customWidth="1"/>
    <col min="29" max="29" width="0.42578125" customWidth="1"/>
  </cols>
  <sheetData>
    <row r="1" spans="1:29" ht="20.25" customHeight="1" thickBot="1">
      <c r="A1" s="2655"/>
      <c r="B1" s="5566" t="str">
        <f>CONCATENATE(C21,D21,F21,G21,H21,I21)</f>
        <v>CONTROL DE EXAMENES DE LA ZONA  042  2012 / 2013</v>
      </c>
      <c r="C1" s="5566"/>
      <c r="D1" s="5566"/>
      <c r="E1" s="5566"/>
      <c r="F1" s="5566"/>
      <c r="G1" s="5566"/>
      <c r="H1" s="5566"/>
      <c r="I1" s="5566"/>
      <c r="J1" s="5566"/>
      <c r="K1" s="5566"/>
      <c r="L1" s="5566"/>
      <c r="M1" s="5566"/>
      <c r="N1" s="5566"/>
      <c r="O1" s="5566"/>
      <c r="P1" s="5566"/>
      <c r="Q1" s="5566"/>
      <c r="R1" s="5566"/>
      <c r="S1" s="5566"/>
      <c r="T1" s="5566"/>
      <c r="U1" s="5566"/>
      <c r="V1" s="5566"/>
      <c r="W1" s="5566"/>
      <c r="X1" s="5566"/>
      <c r="Y1" s="5566"/>
      <c r="Z1" s="5566"/>
      <c r="AA1" s="2655"/>
    </row>
    <row r="2" spans="1:29" ht="20.25" customHeight="1" thickBot="1">
      <c r="A2" s="2655"/>
      <c r="B2" s="3075" t="s">
        <v>358</v>
      </c>
      <c r="C2" s="3075" t="s">
        <v>2394</v>
      </c>
      <c r="D2" s="5567" t="s">
        <v>1442</v>
      </c>
      <c r="E2" s="5568"/>
      <c r="F2" s="5569"/>
      <c r="G2" s="5567" t="s">
        <v>1443</v>
      </c>
      <c r="H2" s="5568"/>
      <c r="I2" s="5569"/>
      <c r="J2" s="5567" t="s">
        <v>1444</v>
      </c>
      <c r="K2" s="5568"/>
      <c r="L2" s="5569"/>
      <c r="M2" s="5567" t="s">
        <v>1445</v>
      </c>
      <c r="N2" s="5568"/>
      <c r="O2" s="5569"/>
      <c r="P2" s="5567" t="s">
        <v>1446</v>
      </c>
      <c r="Q2" s="5568"/>
      <c r="R2" s="5569"/>
      <c r="S2" s="5570" t="s">
        <v>1447</v>
      </c>
      <c r="T2" s="5568"/>
      <c r="U2" s="5569"/>
      <c r="V2" s="3301" t="s">
        <v>2396</v>
      </c>
      <c r="W2" s="5571" t="s">
        <v>1950</v>
      </c>
      <c r="X2" s="5572"/>
      <c r="Y2" s="5572"/>
      <c r="Z2" s="5573"/>
      <c r="AA2" s="2978"/>
      <c r="AB2" s="2977" t="s">
        <v>1953</v>
      </c>
    </row>
    <row r="3" spans="1:29" ht="20.25" customHeight="1" thickBot="1">
      <c r="A3" s="2655"/>
      <c r="B3" s="3076" t="s">
        <v>444</v>
      </c>
      <c r="C3" s="3077" t="s">
        <v>846</v>
      </c>
      <c r="D3" s="3070" t="s">
        <v>228</v>
      </c>
      <c r="E3" s="3071" t="s">
        <v>230</v>
      </c>
      <c r="F3" s="3072" t="s">
        <v>7</v>
      </c>
      <c r="G3" s="3070" t="s">
        <v>228</v>
      </c>
      <c r="H3" s="3071" t="s">
        <v>230</v>
      </c>
      <c r="I3" s="3072" t="s">
        <v>7</v>
      </c>
      <c r="J3" s="3070" t="s">
        <v>228</v>
      </c>
      <c r="K3" s="3071" t="s">
        <v>230</v>
      </c>
      <c r="L3" s="3074" t="s">
        <v>7</v>
      </c>
      <c r="M3" s="3070" t="s">
        <v>228</v>
      </c>
      <c r="N3" s="3071" t="s">
        <v>230</v>
      </c>
      <c r="O3" s="3072" t="s">
        <v>7</v>
      </c>
      <c r="P3" s="3070" t="s">
        <v>228</v>
      </c>
      <c r="Q3" s="3071" t="s">
        <v>230</v>
      </c>
      <c r="R3" s="3074" t="s">
        <v>7</v>
      </c>
      <c r="S3" s="3070" t="s">
        <v>228</v>
      </c>
      <c r="T3" s="3071" t="s">
        <v>230</v>
      </c>
      <c r="U3" s="3074" t="s">
        <v>7</v>
      </c>
      <c r="V3" s="3078" t="s">
        <v>1232</v>
      </c>
      <c r="W3" s="3302">
        <v>3.7</v>
      </c>
      <c r="X3" s="3302">
        <v>5</v>
      </c>
      <c r="Y3" s="3303">
        <v>1</v>
      </c>
      <c r="Z3" s="3302">
        <v>0.6</v>
      </c>
      <c r="AA3" s="2656"/>
      <c r="AB3" s="2673" t="s">
        <v>1952</v>
      </c>
    </row>
    <row r="4" spans="1:29" ht="16.5" customHeight="1">
      <c r="A4" s="2655"/>
      <c r="B4" s="3316">
        <v>1</v>
      </c>
      <c r="C4" s="3317" t="str">
        <f>'VISITA DE INSP.'!$AY$2</f>
        <v>KABAH</v>
      </c>
      <c r="D4" s="3045">
        <f>Plantillas!$AA$38</f>
        <v>29</v>
      </c>
      <c r="E4" s="3046">
        <f>Plantillas!$AA$39</f>
        <v>27</v>
      </c>
      <c r="F4" s="3047"/>
      <c r="G4" s="3045">
        <f>Plantillas!$AA$40</f>
        <v>31</v>
      </c>
      <c r="H4" s="3046">
        <f>Plantillas!$AA$41</f>
        <v>33</v>
      </c>
      <c r="I4" s="3047"/>
      <c r="J4" s="3045">
        <f>Plantillas!$AA$42</f>
        <v>24</v>
      </c>
      <c r="K4" s="3046">
        <f>Plantillas!$AA$43</f>
        <v>33</v>
      </c>
      <c r="L4" s="3047"/>
      <c r="M4" s="3045">
        <f>Plantillas!$AA$44</f>
        <v>31</v>
      </c>
      <c r="N4" s="3046">
        <f>Plantillas!$AA$45</f>
        <v>29</v>
      </c>
      <c r="O4" s="3047"/>
      <c r="P4" s="3045">
        <f>Plantillas!$AA$46</f>
        <v>27</v>
      </c>
      <c r="Q4" s="3046">
        <f>Plantillas!$AA$47</f>
        <v>26</v>
      </c>
      <c r="R4" s="3047"/>
      <c r="S4" s="3045">
        <f>Plantillas!$AA$48</f>
        <v>30</v>
      </c>
      <c r="T4" s="3046">
        <f>Plantillas!$AA$49</f>
        <v>30</v>
      </c>
      <c r="U4" s="3047"/>
      <c r="V4" s="3079">
        <f>SUM(D4:U4)</f>
        <v>350</v>
      </c>
      <c r="W4" s="3304">
        <f>V4*W3</f>
        <v>1295</v>
      </c>
      <c r="X4" s="3305">
        <f>V4*X3</f>
        <v>1750</v>
      </c>
      <c r="Y4" s="3304">
        <f>V4*Y3</f>
        <v>350</v>
      </c>
      <c r="Z4" s="3306">
        <f>V4*Z3</f>
        <v>210</v>
      </c>
      <c r="AA4" s="2655"/>
      <c r="AB4" s="2974" t="s">
        <v>1955</v>
      </c>
    </row>
    <row r="5" spans="1:29" ht="16.5" customHeight="1">
      <c r="A5" s="2655"/>
      <c r="B5" s="3318">
        <v>2</v>
      </c>
      <c r="C5" s="3319" t="str">
        <f>'VISITA DE INSP.'!$AY$3</f>
        <v>8 DE OCTUBRE</v>
      </c>
      <c r="D5" s="3048">
        <f>Plantillas!$AA$78</f>
        <v>31</v>
      </c>
      <c r="E5" s="3049">
        <f>Plantillas!$AA$79</f>
        <v>27</v>
      </c>
      <c r="F5" s="3050"/>
      <c r="G5" s="3048">
        <f>Plantillas!$AA$80</f>
        <v>29</v>
      </c>
      <c r="H5" s="3049">
        <f>Plantillas!$AA$81</f>
        <v>32</v>
      </c>
      <c r="I5" s="3057"/>
      <c r="J5" s="3048">
        <f>Plantillas!$AA$82</f>
        <v>34</v>
      </c>
      <c r="K5" s="3049">
        <f>Plantillas!$AA$83</f>
        <v>32</v>
      </c>
      <c r="L5" s="3063">
        <f>Plantillas!$AA$84</f>
        <v>31</v>
      </c>
      <c r="M5" s="3048">
        <f>Plantillas!$AA$85</f>
        <v>26</v>
      </c>
      <c r="N5" s="3049">
        <f>Plantillas!$AA$86</f>
        <v>28</v>
      </c>
      <c r="O5" s="3050"/>
      <c r="P5" s="3048">
        <f>Plantillas!$AA$87</f>
        <v>30</v>
      </c>
      <c r="Q5" s="3049">
        <f>Plantillas!$AA$88</f>
        <v>34</v>
      </c>
      <c r="R5" s="3057"/>
      <c r="S5" s="3048">
        <f>Plantillas!$AA$89</f>
        <v>35</v>
      </c>
      <c r="T5" s="3049">
        <f>Plantillas!$AA$90</f>
        <v>33</v>
      </c>
      <c r="U5" s="3063">
        <f>Plantillas!$AA$91</f>
        <v>34</v>
      </c>
      <c r="V5" s="3080">
        <f>SUM(D5:U5)</f>
        <v>436</v>
      </c>
      <c r="W5" s="3307">
        <f>V5*W3</f>
        <v>1613.2</v>
      </c>
      <c r="X5" s="3308">
        <f>V5*X3</f>
        <v>2180</v>
      </c>
      <c r="Y5" s="3307">
        <f>V5*Y3</f>
        <v>436</v>
      </c>
      <c r="Z5" s="3309">
        <f>V5*Z3</f>
        <v>261.59999999999997</v>
      </c>
      <c r="AA5" s="2655"/>
      <c r="AB5" s="2975" t="s">
        <v>1955</v>
      </c>
    </row>
    <row r="6" spans="1:29" ht="16.5" customHeight="1">
      <c r="A6" s="2655"/>
      <c r="B6" s="3318">
        <v>3</v>
      </c>
      <c r="C6" s="3319" t="str">
        <f>'VISITA DE INSP.'!$AY$4</f>
        <v>8 DE OCTUBRE</v>
      </c>
      <c r="D6" s="3048">
        <f>Plantillas!$AA$118</f>
        <v>32</v>
      </c>
      <c r="E6" s="3049">
        <f>Plantillas!$AA$119</f>
        <v>27</v>
      </c>
      <c r="F6" s="3050"/>
      <c r="G6" s="3048">
        <f>Plantillas!$AA$120</f>
        <v>31</v>
      </c>
      <c r="H6" s="3049">
        <f>Plantillas!$AA$121</f>
        <v>27</v>
      </c>
      <c r="I6" s="3050"/>
      <c r="J6" s="3048">
        <f>Plantillas!$AA$122</f>
        <v>22</v>
      </c>
      <c r="K6" s="3064"/>
      <c r="L6" s="3050"/>
      <c r="M6" s="3048">
        <f>Plantillas!$AA$123</f>
        <v>35</v>
      </c>
      <c r="N6" s="3049">
        <f>Plantillas!$AA$124</f>
        <v>23</v>
      </c>
      <c r="O6" s="3050"/>
      <c r="P6" s="3048">
        <f>Plantillas!$AA$125</f>
        <v>23</v>
      </c>
      <c r="Q6" s="3049">
        <f>Plantillas!$AA$126</f>
        <v>22</v>
      </c>
      <c r="R6" s="3050"/>
      <c r="S6" s="3048">
        <f>Plantillas!$AA$127</f>
        <v>21</v>
      </c>
      <c r="T6" s="3049">
        <f>Plantillas!$AA$128</f>
        <v>0</v>
      </c>
      <c r="U6" s="3050"/>
      <c r="V6" s="3080">
        <f t="shared" ref="V6:V18" si="0">SUM(D6:U6)</f>
        <v>263</v>
      </c>
      <c r="W6" s="3307">
        <f>V6*W3</f>
        <v>973.1</v>
      </c>
      <c r="X6" s="3308">
        <f>V6*X3</f>
        <v>1315</v>
      </c>
      <c r="Y6" s="3307">
        <f>V6*Y3</f>
        <v>263</v>
      </c>
      <c r="Z6" s="3309">
        <f>V6*Z3</f>
        <v>157.79999999999998</v>
      </c>
      <c r="AA6" s="2655"/>
      <c r="AB6" s="2975" t="s">
        <v>1955</v>
      </c>
    </row>
    <row r="7" spans="1:29" ht="16.5" customHeight="1">
      <c r="A7" s="2655"/>
      <c r="B7" s="3318">
        <v>4</v>
      </c>
      <c r="C7" s="3319" t="str">
        <f>'VISITA DE INSP.'!$AY$5</f>
        <v>DERECHOS DEL NIÑO</v>
      </c>
      <c r="D7" s="3051">
        <f>Plantillas!$AA$158</f>
        <v>31</v>
      </c>
      <c r="E7" s="3052">
        <f>Plantillas!$AA$159</f>
        <v>31</v>
      </c>
      <c r="F7" s="3050"/>
      <c r="G7" s="3051">
        <f>Plantillas!$AA$160</f>
        <v>35</v>
      </c>
      <c r="H7" s="3052">
        <f>Plantillas!$AA$161</f>
        <v>35</v>
      </c>
      <c r="I7" s="3050"/>
      <c r="J7" s="3051">
        <f>Plantillas!$AA$162</f>
        <v>33</v>
      </c>
      <c r="K7" s="3052">
        <f>Plantillas!$AA$163</f>
        <v>30</v>
      </c>
      <c r="L7" s="3050"/>
      <c r="M7" s="3051">
        <f>Plantillas!$AA$164</f>
        <v>28</v>
      </c>
      <c r="N7" s="3052">
        <f>Plantillas!$AA$165</f>
        <v>28</v>
      </c>
      <c r="O7" s="3050"/>
      <c r="P7" s="3051">
        <f>Plantillas!$AA$166</f>
        <v>23</v>
      </c>
      <c r="Q7" s="3052">
        <f>Plantillas!$AA$167</f>
        <v>22</v>
      </c>
      <c r="R7" s="3050"/>
      <c r="S7" s="3051">
        <f>Plantillas!$AA$168</f>
        <v>30</v>
      </c>
      <c r="T7" s="3052">
        <f>Plantillas!$AA$169</f>
        <v>31</v>
      </c>
      <c r="U7" s="3050"/>
      <c r="V7" s="3080">
        <f t="shared" si="0"/>
        <v>357</v>
      </c>
      <c r="W7" s="3307">
        <f>V7*W3</f>
        <v>1320.9</v>
      </c>
      <c r="X7" s="3308">
        <f>V7*X3</f>
        <v>1785</v>
      </c>
      <c r="Y7" s="3307">
        <f>V7*Y3</f>
        <v>357</v>
      </c>
      <c r="Z7" s="3309">
        <f>V7*Z3</f>
        <v>214.2</v>
      </c>
      <c r="AA7" s="2655"/>
      <c r="AB7" s="2975" t="s">
        <v>1955</v>
      </c>
    </row>
    <row r="8" spans="1:29" ht="16.5" customHeight="1">
      <c r="A8" s="2655"/>
      <c r="B8" s="3318">
        <v>5</v>
      </c>
      <c r="C8" s="3319" t="str">
        <f>'VISITA DE INSP.'!$AY$6</f>
        <v>DERECHOS DEL NIÑO</v>
      </c>
      <c r="D8" s="3048">
        <f>Plantillas!$AA$198</f>
        <v>28</v>
      </c>
      <c r="E8" s="3053"/>
      <c r="F8" s="3050"/>
      <c r="G8" s="3048">
        <f>Plantillas!$AA$199</f>
        <v>32</v>
      </c>
      <c r="H8" s="3053"/>
      <c r="I8" s="3050"/>
      <c r="J8" s="3048">
        <f>Plantillas!$AA$200</f>
        <v>28</v>
      </c>
      <c r="K8" s="3053"/>
      <c r="L8" s="3050"/>
      <c r="M8" s="3048">
        <f>Plantillas!$AA$201</f>
        <v>26</v>
      </c>
      <c r="N8" s="3053"/>
      <c r="O8" s="3050"/>
      <c r="P8" s="3048">
        <f>Plantillas!$AA$202</f>
        <v>31</v>
      </c>
      <c r="Q8" s="3049">
        <f>Plantillas!$AA$203</f>
        <v>31</v>
      </c>
      <c r="R8" s="3063">
        <f>Plantillas!$AA$204</f>
        <v>31</v>
      </c>
      <c r="S8" s="3048">
        <f>Plantillas!$AA$205</f>
        <v>0</v>
      </c>
      <c r="T8" s="3049">
        <f>Plantillas!$AA$206</f>
        <v>0</v>
      </c>
      <c r="U8" s="3050"/>
      <c r="V8" s="3080">
        <f t="shared" si="0"/>
        <v>207</v>
      </c>
      <c r="W8" s="3307">
        <f>V8*W3</f>
        <v>765.90000000000009</v>
      </c>
      <c r="X8" s="3308">
        <f>V8*X3</f>
        <v>1035</v>
      </c>
      <c r="Y8" s="3307">
        <f>V8*Y3</f>
        <v>207</v>
      </c>
      <c r="Z8" s="3309">
        <f>V8*Z3</f>
        <v>124.19999999999999</v>
      </c>
      <c r="AA8" s="2655"/>
      <c r="AB8" s="2975" t="s">
        <v>1955</v>
      </c>
    </row>
    <row r="9" spans="1:29" ht="16.5" customHeight="1">
      <c r="A9" s="2655"/>
      <c r="B9" s="3318">
        <v>6</v>
      </c>
      <c r="C9" s="3319" t="str">
        <f>'VISITA DE INSP.'!$AY$7</f>
        <v>CUITLAHUAC</v>
      </c>
      <c r="D9" s="3051">
        <f>Plantillas!$AA$238</f>
        <v>31</v>
      </c>
      <c r="E9" s="3052">
        <f>Plantillas!$AA$239</f>
        <v>32</v>
      </c>
      <c r="F9" s="3054"/>
      <c r="G9" s="3051">
        <f>Plantillas!$AA$240</f>
        <v>32</v>
      </c>
      <c r="H9" s="3052">
        <f>Plantillas!$AA$241</f>
        <v>27</v>
      </c>
      <c r="I9" s="3054"/>
      <c r="J9" s="3051">
        <f>Plantillas!$AA$242</f>
        <v>29</v>
      </c>
      <c r="K9" s="3052">
        <f>Plantillas!$AA$243</f>
        <v>27</v>
      </c>
      <c r="L9" s="3054"/>
      <c r="M9" s="3051">
        <f>Plantillas!$AA$244</f>
        <v>27</v>
      </c>
      <c r="N9" s="3052">
        <f>Plantillas!$AA$245</f>
        <v>33</v>
      </c>
      <c r="O9" s="3054"/>
      <c r="P9" s="3051">
        <f>Plantillas!$AA$246</f>
        <v>33</v>
      </c>
      <c r="Q9" s="3052">
        <f>Plantillas!$AA$247</f>
        <v>34</v>
      </c>
      <c r="R9" s="3057"/>
      <c r="S9" s="3051">
        <f>Plantillas!$AA$248</f>
        <v>35</v>
      </c>
      <c r="T9" s="3052">
        <f>Plantillas!$AA$249</f>
        <v>35</v>
      </c>
      <c r="U9" s="3068">
        <f>Plantillas!$AA$250</f>
        <v>35</v>
      </c>
      <c r="V9" s="3080">
        <f t="shared" si="0"/>
        <v>410</v>
      </c>
      <c r="W9" s="3307">
        <f>V9*W3</f>
        <v>1517</v>
      </c>
      <c r="X9" s="3308">
        <f>V9*X3</f>
        <v>2050</v>
      </c>
      <c r="Y9" s="3307">
        <f>V9*Y3</f>
        <v>410</v>
      </c>
      <c r="Z9" s="3309">
        <f>V9*Z3</f>
        <v>246</v>
      </c>
      <c r="AA9" s="2655"/>
      <c r="AB9" s="2975" t="s">
        <v>1955</v>
      </c>
    </row>
    <row r="10" spans="1:29" ht="16.5" customHeight="1">
      <c r="A10" s="2655"/>
      <c r="B10" s="3318">
        <v>7</v>
      </c>
      <c r="C10" s="3319" t="str">
        <f>'VISITA DE INSP.'!$AY$8</f>
        <v>CUITLAHUAC</v>
      </c>
      <c r="D10" s="3055"/>
      <c r="E10" s="3056"/>
      <c r="F10" s="3057"/>
      <c r="G10" s="3048">
        <f>Plantillas!$AA$278</f>
        <v>21</v>
      </c>
      <c r="H10" s="3053"/>
      <c r="I10" s="3050"/>
      <c r="J10" s="3048">
        <f>Plantillas!$AA$279</f>
        <v>21</v>
      </c>
      <c r="K10" s="3053"/>
      <c r="L10" s="3050"/>
      <c r="M10" s="3048">
        <f>Plantillas!$AA$280</f>
        <v>25</v>
      </c>
      <c r="N10" s="3053"/>
      <c r="O10" s="3050"/>
      <c r="P10" s="3048">
        <f>Plantillas!$AA$281</f>
        <v>22</v>
      </c>
      <c r="Q10" s="3049">
        <f>Plantillas!$AA$282</f>
        <v>20</v>
      </c>
      <c r="R10" s="3050"/>
      <c r="S10" s="3048">
        <f>Plantillas!$AA$283</f>
        <v>0</v>
      </c>
      <c r="T10" s="3053"/>
      <c r="U10" s="3050"/>
      <c r="V10" s="3080">
        <f t="shared" si="0"/>
        <v>109</v>
      </c>
      <c r="W10" s="3307">
        <f>V10*W3</f>
        <v>403.3</v>
      </c>
      <c r="X10" s="3308">
        <f>V10*X3</f>
        <v>545</v>
      </c>
      <c r="Y10" s="3307">
        <f>V10*Y3</f>
        <v>109</v>
      </c>
      <c r="Z10" s="3309">
        <f>V10*Z3</f>
        <v>65.399999999999991</v>
      </c>
      <c r="AA10" s="2655"/>
      <c r="AB10" s="2975" t="s">
        <v>1955</v>
      </c>
    </row>
    <row r="11" spans="1:29" ht="16.5" customHeight="1">
      <c r="A11" s="2655"/>
      <c r="B11" s="3318">
        <v>8</v>
      </c>
      <c r="C11" s="3319" t="str">
        <f>'VISITA DE INSP.'!$AY$9</f>
        <v>KABAH</v>
      </c>
      <c r="D11" s="3058"/>
      <c r="E11" s="3053"/>
      <c r="F11" s="3050"/>
      <c r="G11" s="3058"/>
      <c r="H11" s="3053"/>
      <c r="I11" s="3050"/>
      <c r="J11" s="3065"/>
      <c r="K11" s="3064"/>
      <c r="L11" s="3057"/>
      <c r="M11" s="3048">
        <f>Plantillas!$AA$318</f>
        <v>23</v>
      </c>
      <c r="N11" s="3053"/>
      <c r="O11" s="3050"/>
      <c r="P11" s="3048">
        <f>Plantillas!$AA$319</f>
        <v>0</v>
      </c>
      <c r="Q11" s="3053"/>
      <c r="R11" s="3050"/>
      <c r="S11" s="3048">
        <f>Plantillas!$AA$320</f>
        <v>0</v>
      </c>
      <c r="T11" s="3053"/>
      <c r="U11" s="3050"/>
      <c r="V11" s="3080">
        <f t="shared" si="0"/>
        <v>23</v>
      </c>
      <c r="W11" s="3307">
        <f>V11*W3</f>
        <v>85.100000000000009</v>
      </c>
      <c r="X11" s="3308">
        <f>V11*X3</f>
        <v>115</v>
      </c>
      <c r="Y11" s="3307">
        <f>V11*Y3</f>
        <v>23</v>
      </c>
      <c r="Z11" s="3309">
        <f>V11*Z3</f>
        <v>13.799999999999999</v>
      </c>
      <c r="AA11" s="2655"/>
      <c r="AB11" s="2975" t="s">
        <v>1955</v>
      </c>
    </row>
    <row r="12" spans="1:29" ht="16.5" customHeight="1">
      <c r="A12" s="2655"/>
      <c r="B12" s="3318">
        <v>9</v>
      </c>
      <c r="C12" s="3319" t="str">
        <f>'VISITA DE INSP.'!$AY$10</f>
        <v>ANTONIO MEDIZ BOLIO</v>
      </c>
      <c r="D12" s="3048">
        <f>Plantillas!$AA$358</f>
        <v>26</v>
      </c>
      <c r="E12" s="3049">
        <f>Plantillas!$AA$359</f>
        <v>22</v>
      </c>
      <c r="F12" s="3050"/>
      <c r="G12" s="3048">
        <f>Plantillas!$AA$360</f>
        <v>24</v>
      </c>
      <c r="H12" s="3049">
        <f>Plantillas!$AA$361</f>
        <v>28</v>
      </c>
      <c r="I12" s="3050"/>
      <c r="J12" s="3048">
        <f>Plantillas!$AA$362</f>
        <v>24</v>
      </c>
      <c r="K12" s="3049">
        <f>Plantillas!$AA$363</f>
        <v>23</v>
      </c>
      <c r="L12" s="3050"/>
      <c r="M12" s="3048">
        <f>Plantillas!$AA$364</f>
        <v>33</v>
      </c>
      <c r="N12" s="3049">
        <f>Plantillas!$AA$365</f>
        <v>32</v>
      </c>
      <c r="O12" s="3050"/>
      <c r="P12" s="3048">
        <f>Plantillas!$AA$366</f>
        <v>32</v>
      </c>
      <c r="Q12" s="3049">
        <f>Plantillas!$AA$367</f>
        <v>31</v>
      </c>
      <c r="R12" s="3050"/>
      <c r="S12" s="3048">
        <f>Plantillas!$AA$368</f>
        <v>32</v>
      </c>
      <c r="T12" s="3049">
        <f>Plantillas!$AA$369</f>
        <v>33</v>
      </c>
      <c r="U12" s="3050"/>
      <c r="V12" s="3080">
        <f t="shared" si="0"/>
        <v>340</v>
      </c>
      <c r="W12" s="3307">
        <f>V12*W3</f>
        <v>1258</v>
      </c>
      <c r="X12" s="3308">
        <f>V12*X3</f>
        <v>1700</v>
      </c>
      <c r="Y12" s="3307">
        <f>V12*Y3</f>
        <v>340</v>
      </c>
      <c r="Z12" s="3309">
        <f>V12*Z3</f>
        <v>204</v>
      </c>
      <c r="AA12" s="2655"/>
      <c r="AB12" s="2975" t="s">
        <v>1955</v>
      </c>
    </row>
    <row r="13" spans="1:29" ht="16.5" customHeight="1">
      <c r="A13" s="2655"/>
      <c r="B13" s="3318">
        <v>10</v>
      </c>
      <c r="C13" s="3319" t="str">
        <f>'VISITA DE INSP.'!$AY$11</f>
        <v>MANUEL CRESCENCIO REJON</v>
      </c>
      <c r="D13" s="3051">
        <f>Plantillas!$AA$398</f>
        <v>35</v>
      </c>
      <c r="E13" s="3059"/>
      <c r="F13" s="3050"/>
      <c r="G13" s="3051">
        <f>Plantillas!$AA$399</f>
        <v>34</v>
      </c>
      <c r="H13" s="3059"/>
      <c r="I13" s="3050"/>
      <c r="J13" s="3051">
        <f>Plantillas!$AA$400</f>
        <v>35</v>
      </c>
      <c r="K13" s="3064"/>
      <c r="L13" s="3050"/>
      <c r="M13" s="3051">
        <f>Plantillas!$AA$401</f>
        <v>34</v>
      </c>
      <c r="N13" s="3052">
        <f>Plantillas!$AA$402</f>
        <v>26</v>
      </c>
      <c r="O13" s="3050"/>
      <c r="P13" s="3051">
        <f>Plantillas!$AA$403</f>
        <v>29</v>
      </c>
      <c r="Q13" s="3059"/>
      <c r="R13" s="3050"/>
      <c r="S13" s="3051">
        <f>Plantillas!$AA$404</f>
        <v>33</v>
      </c>
      <c r="T13" s="3059"/>
      <c r="U13" s="3050"/>
      <c r="V13" s="3080">
        <f t="shared" si="0"/>
        <v>226</v>
      </c>
      <c r="W13" s="3307">
        <f>V13*W3</f>
        <v>836.2</v>
      </c>
      <c r="X13" s="3308">
        <f>V13*X3</f>
        <v>1130</v>
      </c>
      <c r="Y13" s="3307">
        <f>V13*Y3</f>
        <v>226</v>
      </c>
      <c r="Z13" s="3309">
        <f>V13*Z3</f>
        <v>135.6</v>
      </c>
      <c r="AA13" s="2655"/>
      <c r="AB13" s="2975" t="s">
        <v>1955</v>
      </c>
    </row>
    <row r="14" spans="1:29" ht="16.5" customHeight="1">
      <c r="A14" s="2655"/>
      <c r="B14" s="3318">
        <v>11</v>
      </c>
      <c r="C14" s="3319" t="str">
        <f>'VISITA DE INSP.'!$AY$12</f>
        <v>CENTRO EDUCATIVO EL MANANTIAL</v>
      </c>
      <c r="D14" s="3048">
        <f>Plantillas!AA438</f>
        <v>9</v>
      </c>
      <c r="E14" s="3053"/>
      <c r="F14" s="3050"/>
      <c r="G14" s="3048">
        <f>Plantillas!AA439</f>
        <v>15</v>
      </c>
      <c r="H14" s="3053"/>
      <c r="I14" s="3050"/>
      <c r="J14" s="3066">
        <f>Plantillas!AA440</f>
        <v>11</v>
      </c>
      <c r="K14" s="3053"/>
      <c r="L14" s="3050"/>
      <c r="M14" s="3048">
        <f>Plantillas!$AA$441</f>
        <v>13</v>
      </c>
      <c r="N14" s="3064"/>
      <c r="O14" s="3050"/>
      <c r="P14" s="3048">
        <f>Plantillas!AA442</f>
        <v>19</v>
      </c>
      <c r="Q14" s="3067"/>
      <c r="R14" s="3050"/>
      <c r="S14" s="3048">
        <f>Plantillas!AA437</f>
        <v>16</v>
      </c>
      <c r="T14" s="3053"/>
      <c r="U14" s="3050"/>
      <c r="V14" s="3080">
        <f t="shared" si="0"/>
        <v>83</v>
      </c>
      <c r="W14" s="3307">
        <f>V14*W3</f>
        <v>307.10000000000002</v>
      </c>
      <c r="X14" s="3308">
        <f>V14*X3</f>
        <v>415</v>
      </c>
      <c r="Y14" s="3307">
        <f>V14*Y3</f>
        <v>83</v>
      </c>
      <c r="Z14" s="3309">
        <f>V14*Z3</f>
        <v>49.8</v>
      </c>
      <c r="AA14" s="2655"/>
      <c r="AB14" s="2975" t="s">
        <v>1955</v>
      </c>
    </row>
    <row r="15" spans="1:29" ht="16.5" customHeight="1">
      <c r="A15" s="2655"/>
      <c r="B15" s="3318">
        <v>12</v>
      </c>
      <c r="C15" s="3319" t="str">
        <f>'VISITA DE INSP.'!$AY$13</f>
        <v>COLEGIO HISPANOAMERICANO LA LUNA</v>
      </c>
      <c r="D15" s="3051">
        <f>Plantillas!$AA$478</f>
        <v>21</v>
      </c>
      <c r="E15" s="3053"/>
      <c r="F15" s="3050"/>
      <c r="G15" s="3051">
        <f>Plantillas!$AA$479</f>
        <v>26</v>
      </c>
      <c r="H15" s="3053"/>
      <c r="I15" s="3050"/>
      <c r="J15" s="3051">
        <f>Plantillas!$AA$480</f>
        <v>15</v>
      </c>
      <c r="K15" s="3053"/>
      <c r="L15" s="3050"/>
      <c r="M15" s="3051">
        <f>Plantillas!$AA$477</f>
        <v>17</v>
      </c>
      <c r="N15" s="3053"/>
      <c r="O15" s="3050"/>
      <c r="P15" s="3051">
        <f>Plantillas!$AA$481</f>
        <v>23</v>
      </c>
      <c r="Q15" s="3053"/>
      <c r="R15" s="3050"/>
      <c r="S15" s="3051">
        <f>Plantillas!$AA$482</f>
        <v>26</v>
      </c>
      <c r="T15" s="3053"/>
      <c r="U15" s="3050"/>
      <c r="V15" s="3080">
        <f t="shared" si="0"/>
        <v>128</v>
      </c>
      <c r="W15" s="3307">
        <f>V15*W3</f>
        <v>473.6</v>
      </c>
      <c r="X15" s="3308">
        <f>V15*X3</f>
        <v>640</v>
      </c>
      <c r="Y15" s="3307">
        <f>V15*Y3</f>
        <v>128</v>
      </c>
      <c r="Z15" s="3309">
        <f>V15*Z3</f>
        <v>76.8</v>
      </c>
      <c r="AA15" s="2655"/>
      <c r="AB15" s="2975" t="s">
        <v>1955</v>
      </c>
      <c r="AC15" s="2746">
        <f>E15+H15+K15+N15+Q15+T15</f>
        <v>0</v>
      </c>
    </row>
    <row r="16" spans="1:29" ht="16.5" customHeight="1">
      <c r="A16" s="2655"/>
      <c r="B16" s="3318">
        <v>13</v>
      </c>
      <c r="C16" s="3319" t="str">
        <f>'VISITA DE INSP.'!$AY$14</f>
        <v>JOSE VASCONCELOS</v>
      </c>
      <c r="D16" s="3048">
        <f>Plantillas!$AA$518</f>
        <v>8</v>
      </c>
      <c r="E16" s="3053"/>
      <c r="F16" s="3050"/>
      <c r="G16" s="3048">
        <f>Plantillas!$AA$519</f>
        <v>10</v>
      </c>
      <c r="H16" s="3053"/>
      <c r="I16" s="3050"/>
      <c r="J16" s="3048">
        <f>Plantillas!$AA$520</f>
        <v>13</v>
      </c>
      <c r="K16" s="3053"/>
      <c r="L16" s="3050"/>
      <c r="M16" s="3048">
        <f>Plantillas!$AA$521</f>
        <v>11</v>
      </c>
      <c r="N16" s="3053"/>
      <c r="O16" s="3050"/>
      <c r="P16" s="3048">
        <f>Plantillas!$AA$522</f>
        <v>11</v>
      </c>
      <c r="Q16" s="3053"/>
      <c r="R16" s="3050"/>
      <c r="S16" s="3048">
        <f>Plantillas!$AA$523</f>
        <v>8</v>
      </c>
      <c r="T16" s="3053"/>
      <c r="U16" s="3050"/>
      <c r="V16" s="3080">
        <f t="shared" si="0"/>
        <v>61</v>
      </c>
      <c r="W16" s="3307">
        <f>V16*W3</f>
        <v>225.70000000000002</v>
      </c>
      <c r="X16" s="3308">
        <f>V16*X3</f>
        <v>305</v>
      </c>
      <c r="Y16" s="3307">
        <f>V16*Y3</f>
        <v>61</v>
      </c>
      <c r="Z16" s="3309">
        <f>V16*Z3</f>
        <v>36.6</v>
      </c>
      <c r="AA16" s="2655"/>
      <c r="AB16" s="2975" t="s">
        <v>1955</v>
      </c>
    </row>
    <row r="17" spans="1:28" ht="16.5" customHeight="1">
      <c r="A17" s="2655"/>
      <c r="B17" s="3318">
        <v>14</v>
      </c>
      <c r="C17" s="3319" t="str">
        <f>'VISITA DE INSP.'!$AY$15</f>
        <v>CENTRO INFANTIL LATINOAMERICANO</v>
      </c>
      <c r="D17" s="3048">
        <f>Plantillas!$AA$558</f>
        <v>15</v>
      </c>
      <c r="E17" s="3053"/>
      <c r="F17" s="3050"/>
      <c r="G17" s="3048">
        <f>Plantillas!$AA$559</f>
        <v>13</v>
      </c>
      <c r="H17" s="3053"/>
      <c r="I17" s="3050"/>
      <c r="J17" s="3048">
        <f>Plantillas!$AA$557</f>
        <v>0</v>
      </c>
      <c r="K17" s="3053"/>
      <c r="L17" s="3050"/>
      <c r="M17" s="3058">
        <f>Plantillas!$AA$561</f>
        <v>11</v>
      </c>
      <c r="N17" s="3053"/>
      <c r="O17" s="3050"/>
      <c r="P17" s="3058">
        <f>Plantillas!$AA$562</f>
        <v>0</v>
      </c>
      <c r="Q17" s="3053"/>
      <c r="R17" s="3050"/>
      <c r="S17" s="3058">
        <f>Plantillas!$AA$563</f>
        <v>0</v>
      </c>
      <c r="T17" s="3053"/>
      <c r="U17" s="3050"/>
      <c r="V17" s="3080">
        <f t="shared" si="0"/>
        <v>39</v>
      </c>
      <c r="W17" s="3307">
        <f>V17*W3</f>
        <v>144.30000000000001</v>
      </c>
      <c r="X17" s="3308">
        <f>V17*X3</f>
        <v>195</v>
      </c>
      <c r="Y17" s="3307">
        <f>V17*Y3</f>
        <v>39</v>
      </c>
      <c r="Z17" s="3309">
        <f>V17*Z3</f>
        <v>23.4</v>
      </c>
      <c r="AA17" s="2655"/>
      <c r="AB17" s="2975" t="s">
        <v>1955</v>
      </c>
    </row>
    <row r="18" spans="1:28" ht="16.5" customHeight="1">
      <c r="A18" s="2655"/>
      <c r="B18" s="3318">
        <v>15</v>
      </c>
      <c r="C18" s="3319" t="str">
        <f>'VISITA DE INSP.'!$AY$16</f>
        <v>COLEGIO KING DAVID</v>
      </c>
      <c r="D18" s="3048">
        <f>Plantillas!AA599</f>
        <v>14</v>
      </c>
      <c r="E18" s="3053"/>
      <c r="F18" s="3050"/>
      <c r="G18" s="3048">
        <f>Plantillas!AA600</f>
        <v>15</v>
      </c>
      <c r="H18" s="3053"/>
      <c r="I18" s="3050"/>
      <c r="J18" s="3048">
        <f>Plantillas!AA601</f>
        <v>13</v>
      </c>
      <c r="K18" s="3053"/>
      <c r="L18" s="3050"/>
      <c r="M18" s="3048">
        <f>Plantillas!AA602</f>
        <v>12</v>
      </c>
      <c r="N18" s="3049">
        <f>Plantillas!AA603</f>
        <v>23</v>
      </c>
      <c r="O18" s="3050"/>
      <c r="P18" s="3048">
        <f>Plantillas!AA597</f>
        <v>21</v>
      </c>
      <c r="Q18" s="3053"/>
      <c r="R18" s="3050"/>
      <c r="S18" s="3048">
        <f>Plantillas!AA598</f>
        <v>21</v>
      </c>
      <c r="T18" s="3053"/>
      <c r="U18" s="3050"/>
      <c r="V18" s="3080">
        <f t="shared" si="0"/>
        <v>119</v>
      </c>
      <c r="W18" s="3307">
        <f>V18*W3</f>
        <v>440.3</v>
      </c>
      <c r="X18" s="3308">
        <f>V18*X3</f>
        <v>595</v>
      </c>
      <c r="Y18" s="3307">
        <f>V18*Y4</f>
        <v>41650</v>
      </c>
      <c r="Z18" s="3309">
        <f>V18*Z3</f>
        <v>71.399999999999991</v>
      </c>
      <c r="AA18" s="2655"/>
      <c r="AB18" s="2975" t="s">
        <v>1955</v>
      </c>
    </row>
    <row r="19" spans="1:28" ht="16.5" customHeight="1" thickBot="1">
      <c r="A19" s="2655"/>
      <c r="B19" s="3320">
        <v>16</v>
      </c>
      <c r="C19" s="3321">
        <f>'VISITA DE INSP.'!$AY$17</f>
        <v>0</v>
      </c>
      <c r="D19" s="3060">
        <f>Plantillas!$AA$638</f>
        <v>0</v>
      </c>
      <c r="E19" s="3061"/>
      <c r="F19" s="3062"/>
      <c r="G19" s="3060">
        <f>Plantillas!$AA$637</f>
        <v>0</v>
      </c>
      <c r="H19" s="3061"/>
      <c r="I19" s="3062"/>
      <c r="J19" s="3060">
        <f>Plantillas!$AA$639</f>
        <v>0</v>
      </c>
      <c r="K19" s="3061"/>
      <c r="L19" s="3062"/>
      <c r="M19" s="3060">
        <f>Plantillas!$AA$640</f>
        <v>0</v>
      </c>
      <c r="N19" s="3061">
        <f>Plantillas!$AA$641</f>
        <v>0</v>
      </c>
      <c r="O19" s="3062"/>
      <c r="P19" s="3060">
        <f>Plantillas!$AA$642</f>
        <v>0</v>
      </c>
      <c r="Q19" s="3061"/>
      <c r="R19" s="3062"/>
      <c r="S19" s="3069">
        <f>Plantillas!$AA$643</f>
        <v>0</v>
      </c>
      <c r="T19" s="3061"/>
      <c r="U19" s="3062"/>
      <c r="V19" s="3081">
        <f>SUM(D19:U19)</f>
        <v>0</v>
      </c>
      <c r="W19" s="3310">
        <f>V19*W3</f>
        <v>0</v>
      </c>
      <c r="X19" s="3311">
        <f>V19*X3</f>
        <v>0</v>
      </c>
      <c r="Y19" s="3310">
        <f>V19*Y3</f>
        <v>0</v>
      </c>
      <c r="Z19" s="3312">
        <f>V19*Z3</f>
        <v>0</v>
      </c>
      <c r="AA19" s="2655"/>
      <c r="AB19" s="2976" t="s">
        <v>1955</v>
      </c>
    </row>
    <row r="20" spans="1:28" s="2657" customFormat="1" ht="21" customHeight="1" thickBot="1">
      <c r="A20" s="2656"/>
      <c r="B20" s="5564" t="s">
        <v>1232</v>
      </c>
      <c r="C20" s="5565"/>
      <c r="D20" s="3070">
        <f>SUM(D4:D19)</f>
        <v>310</v>
      </c>
      <c r="E20" s="3071">
        <f t="shared" ref="E20:Z20" si="1">SUM(E4:E19)</f>
        <v>166</v>
      </c>
      <c r="F20" s="3072">
        <f>SUM(F4:F19)</f>
        <v>0</v>
      </c>
      <c r="G20" s="3070">
        <f t="shared" si="1"/>
        <v>348</v>
      </c>
      <c r="H20" s="3071">
        <f t="shared" si="1"/>
        <v>182</v>
      </c>
      <c r="I20" s="3073">
        <f>SUM(I4:I19)</f>
        <v>0</v>
      </c>
      <c r="J20" s="3070">
        <f t="shared" si="1"/>
        <v>302</v>
      </c>
      <c r="K20" s="3071">
        <f t="shared" si="1"/>
        <v>145</v>
      </c>
      <c r="L20" s="3074">
        <f t="shared" si="1"/>
        <v>31</v>
      </c>
      <c r="M20" s="3070">
        <f t="shared" si="1"/>
        <v>352</v>
      </c>
      <c r="N20" s="3071">
        <f>SUM(N4:N19)</f>
        <v>222</v>
      </c>
      <c r="O20" s="3072">
        <f t="shared" si="1"/>
        <v>0</v>
      </c>
      <c r="P20" s="3070">
        <f>SUM(P4:P19)</f>
        <v>324</v>
      </c>
      <c r="Q20" s="3071">
        <f t="shared" si="1"/>
        <v>220</v>
      </c>
      <c r="R20" s="3074">
        <f t="shared" si="1"/>
        <v>31</v>
      </c>
      <c r="S20" s="3070">
        <f t="shared" si="1"/>
        <v>287</v>
      </c>
      <c r="T20" s="3071">
        <f t="shared" si="1"/>
        <v>162</v>
      </c>
      <c r="U20" s="3074">
        <f t="shared" si="1"/>
        <v>69</v>
      </c>
      <c r="V20" s="3043">
        <f>SUM(V4:V19)</f>
        <v>3151</v>
      </c>
      <c r="W20" s="3313">
        <f>SUM(W4:W19)</f>
        <v>11658.7</v>
      </c>
      <c r="X20" s="3314">
        <f>SUM(X4:X19)</f>
        <v>15755</v>
      </c>
      <c r="Y20" s="3313">
        <f>SUM(Y4:Y19)</f>
        <v>44682</v>
      </c>
      <c r="Z20" s="3315">
        <f t="shared" si="1"/>
        <v>1890.6</v>
      </c>
      <c r="AA20" s="2656"/>
      <c r="AB20" s="3044"/>
    </row>
    <row r="21" spans="1:28" s="2657" customFormat="1" ht="12.75">
      <c r="A21" s="2656"/>
      <c r="B21" s="2667"/>
      <c r="C21" s="2667" t="s">
        <v>1951</v>
      </c>
      <c r="D21" s="2669" t="str">
        <f>'VISITA DE INSP.'!K9</f>
        <v>042</v>
      </c>
      <c r="E21" s="2667"/>
      <c r="F21" s="2667" t="s">
        <v>491</v>
      </c>
      <c r="G21" s="2667" t="str">
        <f>'VISITA DE INSP.'!AS9</f>
        <v>2012</v>
      </c>
      <c r="H21" s="2667" t="s">
        <v>493</v>
      </c>
      <c r="I21" s="2667">
        <f>G21+1</f>
        <v>2013</v>
      </c>
      <c r="J21" s="2667"/>
      <c r="K21" s="2667"/>
      <c r="L21" s="2667"/>
      <c r="M21" s="2668"/>
      <c r="N21" s="2668"/>
      <c r="O21" s="2668"/>
      <c r="P21" s="2668"/>
      <c r="Q21" s="2668"/>
      <c r="R21" s="2668"/>
      <c r="S21" s="2668"/>
      <c r="T21" s="2668"/>
      <c r="U21" s="2668"/>
      <c r="V21" s="3330">
        <f>V20-V12</f>
        <v>2811</v>
      </c>
      <c r="W21" s="2668"/>
      <c r="X21" s="2668"/>
      <c r="Y21" s="2668"/>
      <c r="Z21" s="2668"/>
      <c r="AA21" s="2656"/>
    </row>
    <row r="25" spans="1:28">
      <c r="L25" s="2659"/>
    </row>
    <row r="27" spans="1:28">
      <c r="Q27" t="s">
        <v>389</v>
      </c>
    </row>
  </sheetData>
  <mergeCells count="9">
    <mergeCell ref="B20:C20"/>
    <mergeCell ref="B1:Z1"/>
    <mergeCell ref="D2:F2"/>
    <mergeCell ref="G2:I2"/>
    <mergeCell ref="J2:L2"/>
    <mergeCell ref="M2:O2"/>
    <mergeCell ref="P2:R2"/>
    <mergeCell ref="S2:U2"/>
    <mergeCell ref="W2:Z2"/>
  </mergeCells>
  <conditionalFormatting sqref="D4:Z4 D5:H5 J5:Q5 S5:Z5 D6:J6 L6:U6 D12:U12 D9:Q9 S9:U9 G10:U10 D11:I11 M11:U11 D13:J13 L13:U13 D20:Z20 T19:Z19 D19:R19 O14:U14 D14:I14 K14:M14 D7:U8 D15:U18 V6:Z18">
    <cfRule type="cellIs" dxfId="9" priority="7" operator="equal">
      <formula>0</formula>
    </cfRule>
  </conditionalFormatting>
  <conditionalFormatting sqref="C4:C19">
    <cfRule type="cellIs" dxfId="8" priority="6" operator="equal">
      <formula>0</formula>
    </cfRule>
  </conditionalFormatting>
  <conditionalFormatting sqref="S19">
    <cfRule type="cellIs" dxfId="7" priority="5" operator="equal">
      <formula>0</formula>
    </cfRule>
  </conditionalFormatting>
  <conditionalFormatting sqref="D19 G19 J19 M19:N19 P19 S19">
    <cfRule type="cellIs" dxfId="6" priority="4" operator="equal">
      <formula>0</formula>
    </cfRule>
  </conditionalFormatting>
  <conditionalFormatting sqref="F20 I20 O20">
    <cfRule type="cellIs" dxfId="5" priority="3" operator="equal">
      <formula>0</formula>
    </cfRule>
  </conditionalFormatting>
  <conditionalFormatting sqref="C19">
    <cfRule type="cellIs" dxfId="4" priority="2" operator="equal">
      <formula>0</formula>
    </cfRule>
  </conditionalFormatting>
  <conditionalFormatting sqref="M17 P17 S17">
    <cfRule type="cellIs" dxfId="3" priority="1" operator="equal">
      <formula>0</formula>
    </cfRule>
  </conditionalFormatting>
  <pageMargins left="0.51181102362204722" right="0.31496062992125984" top="0.55118110236220474" bottom="0.35433070866141736" header="0.31496062992125984" footer="0.31496062992125984"/>
  <pageSetup scale="103"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O23"/>
  <sheetViews>
    <sheetView workbookViewId="0">
      <selection activeCell="A2" sqref="A2:C2"/>
    </sheetView>
  </sheetViews>
  <sheetFormatPr baseColWidth="10" defaultRowHeight="12.75"/>
  <cols>
    <col min="1" max="2" width="4" style="1466" customWidth="1"/>
    <col min="3" max="3" width="36.85546875" style="1466" customWidth="1"/>
    <col min="4" max="8" width="4.85546875" style="1466" customWidth="1"/>
    <col min="9" max="9" width="24" style="1466" customWidth="1"/>
    <col min="10" max="10" width="0.5703125" style="778" customWidth="1"/>
    <col min="11" max="15" width="4.28515625" style="778" hidden="1" customWidth="1"/>
    <col min="16" max="16" width="3.5703125" style="778" hidden="1" customWidth="1"/>
    <col min="17" max="90" width="3.42578125" style="778" hidden="1" customWidth="1"/>
    <col min="91" max="92" width="4.85546875" style="778" hidden="1" customWidth="1"/>
    <col min="93" max="93" width="0.7109375" style="778" customWidth="1"/>
    <col min="94" max="16384" width="11.42578125" style="1466"/>
  </cols>
  <sheetData>
    <row r="1" spans="1:92" s="1466" customFormat="1" ht="15.75">
      <c r="A1" s="3088">
        <v>1</v>
      </c>
      <c r="B1" s="3089">
        <f>VLOOKUP(A1,CM2:CN23,2,2)</f>
        <v>1</v>
      </c>
      <c r="C1" s="5585" t="s">
        <v>2399</v>
      </c>
      <c r="D1" s="5586"/>
      <c r="E1" s="5586"/>
      <c r="F1" s="5586"/>
      <c r="G1" s="5586"/>
      <c r="H1" s="5586"/>
      <c r="I1" s="5587"/>
      <c r="J1" s="778"/>
      <c r="K1" s="5588" t="str">
        <f>A2</f>
        <v>KABAH</v>
      </c>
      <c r="L1" s="5589"/>
      <c r="M1" s="5589"/>
      <c r="N1" s="5589"/>
      <c r="O1" s="5589"/>
      <c r="P1" s="5574" t="s">
        <v>2318</v>
      </c>
      <c r="Q1" s="5575"/>
      <c r="R1" s="5575"/>
      <c r="S1" s="5575"/>
      <c r="T1" s="5576"/>
      <c r="U1" s="5577" t="s">
        <v>2312</v>
      </c>
      <c r="V1" s="5575"/>
      <c r="W1" s="5575"/>
      <c r="X1" s="5575"/>
      <c r="Y1" s="5578"/>
      <c r="Z1" s="5574" t="s">
        <v>2312</v>
      </c>
      <c r="AA1" s="5575"/>
      <c r="AB1" s="5575"/>
      <c r="AC1" s="5575"/>
      <c r="AD1" s="5576"/>
      <c r="AE1" s="5577" t="s">
        <v>2314</v>
      </c>
      <c r="AF1" s="5575"/>
      <c r="AG1" s="5575"/>
      <c r="AH1" s="5575"/>
      <c r="AI1" s="5578"/>
      <c r="AJ1" s="5574" t="s">
        <v>2314</v>
      </c>
      <c r="AK1" s="5575"/>
      <c r="AL1" s="5575"/>
      <c r="AM1" s="5575"/>
      <c r="AN1" s="5576"/>
      <c r="AO1" s="5577" t="s">
        <v>2316</v>
      </c>
      <c r="AP1" s="5575"/>
      <c r="AQ1" s="5575"/>
      <c r="AR1" s="5575"/>
      <c r="AS1" s="5578"/>
      <c r="AT1" s="5574" t="s">
        <v>2316</v>
      </c>
      <c r="AU1" s="5575"/>
      <c r="AV1" s="5575"/>
      <c r="AW1" s="5575"/>
      <c r="AX1" s="5576"/>
      <c r="AY1" s="5577" t="s">
        <v>2318</v>
      </c>
      <c r="AZ1" s="5575"/>
      <c r="BA1" s="5575"/>
      <c r="BB1" s="5575"/>
      <c r="BC1" s="5578"/>
      <c r="BD1" s="5574" t="s">
        <v>2319</v>
      </c>
      <c r="BE1" s="5575"/>
      <c r="BF1" s="5575"/>
      <c r="BG1" s="5575"/>
      <c r="BH1" s="5576"/>
      <c r="BI1" s="5574" t="s">
        <v>2320</v>
      </c>
      <c r="BJ1" s="5575"/>
      <c r="BK1" s="5575"/>
      <c r="BL1" s="5575"/>
      <c r="BM1" s="5576"/>
      <c r="BN1" s="5574" t="s">
        <v>2400</v>
      </c>
      <c r="BO1" s="5575"/>
      <c r="BP1" s="5575"/>
      <c r="BQ1" s="5575"/>
      <c r="BR1" s="5576"/>
      <c r="BS1" s="5577" t="s">
        <v>2401</v>
      </c>
      <c r="BT1" s="5575"/>
      <c r="BU1" s="5575"/>
      <c r="BV1" s="5575"/>
      <c r="BW1" s="5578"/>
      <c r="BX1" s="5574" t="s">
        <v>2402</v>
      </c>
      <c r="BY1" s="5575"/>
      <c r="BZ1" s="5575"/>
      <c r="CA1" s="5575"/>
      <c r="CB1" s="5576"/>
      <c r="CC1" s="5577" t="s">
        <v>2403</v>
      </c>
      <c r="CD1" s="5575"/>
      <c r="CE1" s="5575"/>
      <c r="CF1" s="5575"/>
      <c r="CG1" s="5578"/>
      <c r="CH1" s="5574" t="s">
        <v>2404</v>
      </c>
      <c r="CI1" s="5575"/>
      <c r="CJ1" s="5575"/>
      <c r="CK1" s="5575"/>
      <c r="CL1" s="5576"/>
      <c r="CM1" s="3090">
        <v>0</v>
      </c>
      <c r="CN1" s="3091">
        <v>0</v>
      </c>
    </row>
    <row r="2" spans="1:92" s="1466" customFormat="1" ht="15.75">
      <c r="A2" s="5579" t="str">
        <f>'VISITA DE INSP.'!E7</f>
        <v>KABAH</v>
      </c>
      <c r="B2" s="5580"/>
      <c r="C2" s="5581"/>
      <c r="D2" s="5582" t="s">
        <v>2405</v>
      </c>
      <c r="E2" s="5580"/>
      <c r="F2" s="5580"/>
      <c r="G2" s="5580"/>
      <c r="H2" s="5580"/>
      <c r="I2" s="5583" t="s">
        <v>270</v>
      </c>
      <c r="J2" s="778"/>
      <c r="K2" s="3092" t="s">
        <v>8</v>
      </c>
      <c r="L2" s="3093" t="s">
        <v>347</v>
      </c>
      <c r="M2" s="3093" t="s">
        <v>348</v>
      </c>
      <c r="N2" s="3093" t="s">
        <v>2062</v>
      </c>
      <c r="O2" s="3093" t="s">
        <v>2081</v>
      </c>
      <c r="P2" s="3094" t="s">
        <v>8</v>
      </c>
      <c r="Q2" s="3093" t="s">
        <v>347</v>
      </c>
      <c r="R2" s="3093" t="s">
        <v>348</v>
      </c>
      <c r="S2" s="3093" t="s">
        <v>2062</v>
      </c>
      <c r="T2" s="3095" t="s">
        <v>2081</v>
      </c>
      <c r="U2" s="3093" t="s">
        <v>8</v>
      </c>
      <c r="V2" s="3093" t="s">
        <v>347</v>
      </c>
      <c r="W2" s="3093" t="s">
        <v>348</v>
      </c>
      <c r="X2" s="3093" t="s">
        <v>2062</v>
      </c>
      <c r="Y2" s="3093" t="s">
        <v>2081</v>
      </c>
      <c r="Z2" s="3094" t="s">
        <v>8</v>
      </c>
      <c r="AA2" s="3093" t="s">
        <v>347</v>
      </c>
      <c r="AB2" s="3093" t="s">
        <v>348</v>
      </c>
      <c r="AC2" s="3093" t="s">
        <v>2062</v>
      </c>
      <c r="AD2" s="3095" t="s">
        <v>2081</v>
      </c>
      <c r="AE2" s="3093" t="s">
        <v>8</v>
      </c>
      <c r="AF2" s="3093" t="s">
        <v>347</v>
      </c>
      <c r="AG2" s="3093" t="s">
        <v>348</v>
      </c>
      <c r="AH2" s="3093" t="s">
        <v>2062</v>
      </c>
      <c r="AI2" s="3093" t="s">
        <v>2081</v>
      </c>
      <c r="AJ2" s="3094" t="s">
        <v>8</v>
      </c>
      <c r="AK2" s="3093" t="s">
        <v>347</v>
      </c>
      <c r="AL2" s="3093" t="s">
        <v>348</v>
      </c>
      <c r="AM2" s="3093" t="s">
        <v>2062</v>
      </c>
      <c r="AN2" s="3095" t="s">
        <v>2081</v>
      </c>
      <c r="AO2" s="3093" t="s">
        <v>8</v>
      </c>
      <c r="AP2" s="3093" t="s">
        <v>347</v>
      </c>
      <c r="AQ2" s="3093" t="s">
        <v>348</v>
      </c>
      <c r="AR2" s="3093" t="s">
        <v>2062</v>
      </c>
      <c r="AS2" s="3093" t="s">
        <v>2081</v>
      </c>
      <c r="AT2" s="3094" t="s">
        <v>8</v>
      </c>
      <c r="AU2" s="3093" t="s">
        <v>347</v>
      </c>
      <c r="AV2" s="3093" t="s">
        <v>348</v>
      </c>
      <c r="AW2" s="3093" t="s">
        <v>2062</v>
      </c>
      <c r="AX2" s="3095" t="s">
        <v>2081</v>
      </c>
      <c r="AY2" s="3093" t="s">
        <v>8</v>
      </c>
      <c r="AZ2" s="3093" t="s">
        <v>347</v>
      </c>
      <c r="BA2" s="3093" t="s">
        <v>348</v>
      </c>
      <c r="BB2" s="3093" t="s">
        <v>2062</v>
      </c>
      <c r="BC2" s="3093" t="s">
        <v>2081</v>
      </c>
      <c r="BD2" s="3094" t="s">
        <v>8</v>
      </c>
      <c r="BE2" s="3093" t="s">
        <v>347</v>
      </c>
      <c r="BF2" s="3093" t="s">
        <v>348</v>
      </c>
      <c r="BG2" s="3093" t="s">
        <v>2062</v>
      </c>
      <c r="BH2" s="3095" t="s">
        <v>2081</v>
      </c>
      <c r="BI2" s="3094" t="s">
        <v>8</v>
      </c>
      <c r="BJ2" s="3093" t="s">
        <v>347</v>
      </c>
      <c r="BK2" s="3093" t="s">
        <v>348</v>
      </c>
      <c r="BL2" s="3093" t="s">
        <v>2062</v>
      </c>
      <c r="BM2" s="3095" t="s">
        <v>2081</v>
      </c>
      <c r="BN2" s="3094" t="s">
        <v>8</v>
      </c>
      <c r="BO2" s="3093" t="s">
        <v>347</v>
      </c>
      <c r="BP2" s="3093" t="s">
        <v>348</v>
      </c>
      <c r="BQ2" s="3093" t="s">
        <v>2062</v>
      </c>
      <c r="BR2" s="3095" t="s">
        <v>2081</v>
      </c>
      <c r="BS2" s="3093" t="s">
        <v>8</v>
      </c>
      <c r="BT2" s="3093" t="s">
        <v>347</v>
      </c>
      <c r="BU2" s="3093" t="s">
        <v>348</v>
      </c>
      <c r="BV2" s="3093" t="s">
        <v>2062</v>
      </c>
      <c r="BW2" s="3093" t="s">
        <v>2081</v>
      </c>
      <c r="BX2" s="3094" t="s">
        <v>8</v>
      </c>
      <c r="BY2" s="3093" t="s">
        <v>347</v>
      </c>
      <c r="BZ2" s="3093" t="s">
        <v>348</v>
      </c>
      <c r="CA2" s="3093" t="s">
        <v>2062</v>
      </c>
      <c r="CB2" s="3095" t="s">
        <v>2081</v>
      </c>
      <c r="CC2" s="3093" t="s">
        <v>8</v>
      </c>
      <c r="CD2" s="3093" t="s">
        <v>347</v>
      </c>
      <c r="CE2" s="3093" t="s">
        <v>348</v>
      </c>
      <c r="CF2" s="3093" t="s">
        <v>2062</v>
      </c>
      <c r="CG2" s="3093" t="s">
        <v>2081</v>
      </c>
      <c r="CH2" s="3094" t="s">
        <v>8</v>
      </c>
      <c r="CI2" s="3093" t="s">
        <v>347</v>
      </c>
      <c r="CJ2" s="3093" t="s">
        <v>348</v>
      </c>
      <c r="CK2" s="3093" t="s">
        <v>2062</v>
      </c>
      <c r="CL2" s="3095" t="s">
        <v>2081</v>
      </c>
      <c r="CM2" s="3096">
        <v>1</v>
      </c>
      <c r="CN2" s="3097">
        <v>1</v>
      </c>
    </row>
    <row r="3" spans="1:92" s="1466" customFormat="1">
      <c r="A3" s="3098" t="s">
        <v>2406</v>
      </c>
      <c r="B3" s="3099" t="s">
        <v>2407</v>
      </c>
      <c r="C3" s="3100" t="s">
        <v>2408</v>
      </c>
      <c r="D3" s="3100" t="s">
        <v>8</v>
      </c>
      <c r="E3" s="3100" t="s">
        <v>347</v>
      </c>
      <c r="F3" s="3100" t="s">
        <v>348</v>
      </c>
      <c r="G3" s="3100" t="s">
        <v>2062</v>
      </c>
      <c r="H3" s="3100" t="s">
        <v>2081</v>
      </c>
      <c r="I3" s="5584"/>
      <c r="J3" s="778"/>
      <c r="K3" s="3085">
        <f>B1</f>
        <v>1</v>
      </c>
      <c r="L3" s="3085">
        <f>K3+1</f>
        <v>2</v>
      </c>
      <c r="M3" s="3085">
        <f t="shared" ref="M3:O3" si="0">L3+1</f>
        <v>3</v>
      </c>
      <c r="N3" s="3085">
        <f t="shared" si="0"/>
        <v>4</v>
      </c>
      <c r="O3" s="2236">
        <f t="shared" si="0"/>
        <v>5</v>
      </c>
      <c r="P3" s="3101">
        <v>1</v>
      </c>
      <c r="Q3" s="3085">
        <v>2</v>
      </c>
      <c r="R3" s="3085">
        <v>3</v>
      </c>
      <c r="S3" s="3085">
        <v>4</v>
      </c>
      <c r="T3" s="3102">
        <v>5</v>
      </c>
      <c r="U3" s="3086">
        <v>6</v>
      </c>
      <c r="V3" s="3085">
        <v>7</v>
      </c>
      <c r="W3" s="3085">
        <v>8</v>
      </c>
      <c r="X3" s="3085">
        <v>9</v>
      </c>
      <c r="Y3" s="2236">
        <v>10</v>
      </c>
      <c r="Z3" s="3101">
        <v>11</v>
      </c>
      <c r="AA3" s="3085">
        <v>12</v>
      </c>
      <c r="AB3" s="3085">
        <v>13</v>
      </c>
      <c r="AC3" s="3085">
        <v>14</v>
      </c>
      <c r="AD3" s="3102">
        <v>15</v>
      </c>
      <c r="AE3" s="3086">
        <v>16</v>
      </c>
      <c r="AF3" s="3085">
        <v>17</v>
      </c>
      <c r="AG3" s="3085">
        <v>18</v>
      </c>
      <c r="AH3" s="3085">
        <v>19</v>
      </c>
      <c r="AI3" s="2236">
        <v>20</v>
      </c>
      <c r="AJ3" s="3101">
        <v>21</v>
      </c>
      <c r="AK3" s="3085">
        <v>22</v>
      </c>
      <c r="AL3" s="3085">
        <v>23</v>
      </c>
      <c r="AM3" s="3085">
        <v>24</v>
      </c>
      <c r="AN3" s="3102">
        <v>25</v>
      </c>
      <c r="AO3" s="3086">
        <v>26</v>
      </c>
      <c r="AP3" s="3085">
        <v>27</v>
      </c>
      <c r="AQ3" s="3085">
        <v>28</v>
      </c>
      <c r="AR3" s="3085">
        <v>29</v>
      </c>
      <c r="AS3" s="2236">
        <v>30</v>
      </c>
      <c r="AT3" s="3101">
        <v>31</v>
      </c>
      <c r="AU3" s="3085">
        <v>32</v>
      </c>
      <c r="AV3" s="3085">
        <v>33</v>
      </c>
      <c r="AW3" s="3085">
        <v>34</v>
      </c>
      <c r="AX3" s="3102">
        <v>35</v>
      </c>
      <c r="AY3" s="3086">
        <v>36</v>
      </c>
      <c r="AZ3" s="3085">
        <v>37</v>
      </c>
      <c r="BA3" s="3085">
        <v>38</v>
      </c>
      <c r="BB3" s="3085">
        <v>39</v>
      </c>
      <c r="BC3" s="2236">
        <v>40</v>
      </c>
      <c r="BD3" s="3101">
        <v>41</v>
      </c>
      <c r="BE3" s="3085">
        <v>42</v>
      </c>
      <c r="BF3" s="3085">
        <v>43</v>
      </c>
      <c r="BG3" s="3085">
        <v>44</v>
      </c>
      <c r="BH3" s="3102">
        <v>45</v>
      </c>
      <c r="BI3" s="3101">
        <v>46</v>
      </c>
      <c r="BJ3" s="3085">
        <v>47</v>
      </c>
      <c r="BK3" s="3085">
        <v>48</v>
      </c>
      <c r="BL3" s="3085">
        <v>49</v>
      </c>
      <c r="BM3" s="3102">
        <v>50</v>
      </c>
      <c r="BN3" s="3101">
        <v>51</v>
      </c>
      <c r="BO3" s="3085">
        <v>52</v>
      </c>
      <c r="BP3" s="3085">
        <v>53</v>
      </c>
      <c r="BQ3" s="3085">
        <v>54</v>
      </c>
      <c r="BR3" s="3102">
        <v>55</v>
      </c>
      <c r="BS3" s="3086">
        <v>56</v>
      </c>
      <c r="BT3" s="3085">
        <v>57</v>
      </c>
      <c r="BU3" s="3085">
        <v>58</v>
      </c>
      <c r="BV3" s="3085">
        <v>59</v>
      </c>
      <c r="BW3" s="2236">
        <v>60</v>
      </c>
      <c r="BX3" s="3101">
        <v>61</v>
      </c>
      <c r="BY3" s="3085">
        <v>62</v>
      </c>
      <c r="BZ3" s="3085">
        <v>63</v>
      </c>
      <c r="CA3" s="3085">
        <v>64</v>
      </c>
      <c r="CB3" s="3102">
        <v>65</v>
      </c>
      <c r="CC3" s="3086">
        <v>66</v>
      </c>
      <c r="CD3" s="3085">
        <v>67</v>
      </c>
      <c r="CE3" s="3085">
        <v>68</v>
      </c>
      <c r="CF3" s="3085">
        <v>69</v>
      </c>
      <c r="CG3" s="2236">
        <v>70</v>
      </c>
      <c r="CH3" s="3101">
        <v>71</v>
      </c>
      <c r="CI3" s="3085">
        <v>72</v>
      </c>
      <c r="CJ3" s="3085">
        <v>73</v>
      </c>
      <c r="CK3" s="3085">
        <v>74</v>
      </c>
      <c r="CL3" s="3102">
        <v>75</v>
      </c>
      <c r="CM3" s="3096">
        <v>2</v>
      </c>
      <c r="CN3" s="3097">
        <f>CN2+5</f>
        <v>6</v>
      </c>
    </row>
    <row r="4" spans="1:92" s="1466" customFormat="1">
      <c r="A4" s="3103">
        <f>'VISITA DE INSP.'!B17</f>
        <v>0</v>
      </c>
      <c r="B4" s="3104">
        <f>'VISITA DE INSP.'!C17</f>
        <v>0</v>
      </c>
      <c r="C4" s="3105" t="str">
        <f>'VISITA DE INSP.'!D17</f>
        <v>CERVANTES BENITEZ * ANTONIA</v>
      </c>
      <c r="D4" s="3104">
        <f>K4</f>
        <v>0</v>
      </c>
      <c r="E4" s="3104">
        <f>L4</f>
        <v>0</v>
      </c>
      <c r="F4" s="3104">
        <f t="shared" ref="F4:H19" si="1">M4</f>
        <v>0</v>
      </c>
      <c r="G4" s="3104">
        <f t="shared" si="1"/>
        <v>0</v>
      </c>
      <c r="H4" s="3104">
        <f>O4</f>
        <v>0</v>
      </c>
      <c r="I4" s="3106"/>
      <c r="J4" s="778"/>
      <c r="K4" s="3085">
        <f>HLOOKUP(K3,P3:CL23,2,70)</f>
        <v>0</v>
      </c>
      <c r="L4" s="3085">
        <f>HLOOKUP(L3,P3:CL23,2,70)</f>
        <v>0</v>
      </c>
      <c r="M4" s="3085">
        <f>HLOOKUP(M3,P3:CL23,2,70)</f>
        <v>0</v>
      </c>
      <c r="N4" s="3085">
        <f>HLOOKUP(N3,P3:CL23,2,70)</f>
        <v>0</v>
      </c>
      <c r="O4" s="2236">
        <f>HLOOKUP(O3,P3:CL23,2,70)</f>
        <v>0</v>
      </c>
      <c r="P4" s="3107"/>
      <c r="Q4" s="3085"/>
      <c r="R4" s="3085"/>
      <c r="S4" s="3085"/>
      <c r="T4" s="3102"/>
      <c r="U4" s="2238"/>
      <c r="V4" s="3085"/>
      <c r="W4" s="3085"/>
      <c r="X4" s="3085"/>
      <c r="Y4" s="2236"/>
      <c r="Z4" s="3107"/>
      <c r="AA4" s="3085"/>
      <c r="AB4" s="3085"/>
      <c r="AC4" s="3085"/>
      <c r="AD4" s="3102"/>
      <c r="AE4" s="2238"/>
      <c r="AF4" s="3085"/>
      <c r="AG4" s="3085"/>
      <c r="AH4" s="3085"/>
      <c r="AI4" s="2236"/>
      <c r="AJ4" s="3107"/>
      <c r="AK4" s="3085"/>
      <c r="AL4" s="3085"/>
      <c r="AM4" s="3085"/>
      <c r="AN4" s="3102"/>
      <c r="AO4" s="2238"/>
      <c r="AP4" s="3085"/>
      <c r="AQ4" s="3085"/>
      <c r="AR4" s="3085"/>
      <c r="AS4" s="2236"/>
      <c r="AT4" s="3107"/>
      <c r="AU4" s="3085"/>
      <c r="AV4" s="3085"/>
      <c r="AW4" s="3085"/>
      <c r="AX4" s="3102"/>
      <c r="AY4" s="2238"/>
      <c r="AZ4" s="3085"/>
      <c r="BA4" s="3085"/>
      <c r="BB4" s="3085"/>
      <c r="BC4" s="2236"/>
      <c r="BD4" s="3107"/>
      <c r="BE4" s="3085"/>
      <c r="BF4" s="3085"/>
      <c r="BG4" s="3085"/>
      <c r="BH4" s="3102"/>
      <c r="BI4" s="3107"/>
      <c r="BJ4" s="3085"/>
      <c r="BK4" s="3085"/>
      <c r="BL4" s="3085"/>
      <c r="BM4" s="3102"/>
      <c r="BN4" s="3107">
        <v>8</v>
      </c>
      <c r="BO4" s="3085">
        <v>6</v>
      </c>
      <c r="BP4" s="3085"/>
      <c r="BQ4" s="3085"/>
      <c r="BR4" s="3102"/>
      <c r="BS4" s="2238">
        <v>4</v>
      </c>
      <c r="BT4" s="3085">
        <v>2</v>
      </c>
      <c r="BU4" s="3085"/>
      <c r="BV4" s="3085"/>
      <c r="BW4" s="2236"/>
      <c r="BX4" s="3107"/>
      <c r="BY4" s="3085"/>
      <c r="BZ4" s="3085"/>
      <c r="CA4" s="3085"/>
      <c r="CB4" s="3102"/>
      <c r="CC4" s="2238">
        <v>1</v>
      </c>
      <c r="CD4" s="3085">
        <v>1</v>
      </c>
      <c r="CE4" s="3085"/>
      <c r="CF4" s="3085"/>
      <c r="CG4" s="2236"/>
      <c r="CH4" s="3107"/>
      <c r="CI4" s="3085"/>
      <c r="CJ4" s="3085"/>
      <c r="CK4" s="3085"/>
      <c r="CL4" s="3102"/>
      <c r="CM4" s="3096">
        <v>3</v>
      </c>
      <c r="CN4" s="3097">
        <f t="shared" ref="CN4:CN17" si="2">CN3+5</f>
        <v>11</v>
      </c>
    </row>
    <row r="5" spans="1:92" s="1466" customFormat="1">
      <c r="A5" s="3103" t="str">
        <f>'VISITA DE INSP.'!B18</f>
        <v>1º</v>
      </c>
      <c r="B5" s="3104" t="str">
        <f>'VISITA DE INSP.'!C18</f>
        <v>A</v>
      </c>
      <c r="C5" s="3105" t="str">
        <f>'VISITA DE INSP.'!D18</f>
        <v>ARANDA ESCALANTE * ARELI GUADALUPE</v>
      </c>
      <c r="D5" s="3104">
        <f t="shared" ref="D5:H23" si="3">K5</f>
        <v>1</v>
      </c>
      <c r="E5" s="3104">
        <f>L5</f>
        <v>2</v>
      </c>
      <c r="F5" s="3104">
        <f t="shared" si="1"/>
        <v>0</v>
      </c>
      <c r="G5" s="3104">
        <f t="shared" si="1"/>
        <v>0</v>
      </c>
      <c r="H5" s="3104">
        <f t="shared" si="1"/>
        <v>0</v>
      </c>
      <c r="I5" s="3106"/>
      <c r="J5" s="778"/>
      <c r="K5" s="3085">
        <f>HLOOKUP(K3,P3:CL23,3,70)</f>
        <v>1</v>
      </c>
      <c r="L5" s="3085">
        <f>HLOOKUP(L3,P3:CL23,3,70)</f>
        <v>2</v>
      </c>
      <c r="M5" s="3085">
        <f>HLOOKUP(M3,P3:CL23,3,70)</f>
        <v>0</v>
      </c>
      <c r="N5" s="3085">
        <f>HLOOKUP(N3,P3:CL23,3,70)</f>
        <v>0</v>
      </c>
      <c r="O5" s="2236">
        <f>HLOOKUP(O3,P3:CL23,3,70)</f>
        <v>0</v>
      </c>
      <c r="P5" s="3107">
        <v>1</v>
      </c>
      <c r="Q5" s="3085">
        <v>2</v>
      </c>
      <c r="R5" s="3085"/>
      <c r="S5" s="3085"/>
      <c r="T5" s="3102"/>
      <c r="U5" s="2238" t="s">
        <v>2409</v>
      </c>
      <c r="V5" s="3085">
        <v>9</v>
      </c>
      <c r="W5" s="3085"/>
      <c r="X5" s="3085"/>
      <c r="Y5" s="2236"/>
      <c r="Z5" s="3107">
        <v>14</v>
      </c>
      <c r="AA5" s="3085">
        <v>10</v>
      </c>
      <c r="AB5" s="3085"/>
      <c r="AC5" s="3085"/>
      <c r="AD5" s="3102"/>
      <c r="AE5" s="2238" t="s">
        <v>2410</v>
      </c>
      <c r="AF5" s="3085" t="s">
        <v>2410</v>
      </c>
      <c r="AG5" s="3085"/>
      <c r="AH5" s="3085"/>
      <c r="AI5" s="2236"/>
      <c r="AJ5" s="3107">
        <v>10</v>
      </c>
      <c r="AK5" s="3085" t="s">
        <v>2411</v>
      </c>
      <c r="AL5" s="3085"/>
      <c r="AM5" s="3085"/>
      <c r="AN5" s="3102"/>
      <c r="AO5" s="2238">
        <v>1</v>
      </c>
      <c r="AP5" s="3085"/>
      <c r="AQ5" s="3085"/>
      <c r="AR5" s="3085"/>
      <c r="AS5" s="2236"/>
      <c r="AT5" s="3107"/>
      <c r="AU5" s="3085"/>
      <c r="AV5" s="3085"/>
      <c r="AW5" s="3085"/>
      <c r="AX5" s="3102"/>
      <c r="AY5" s="2238" t="s">
        <v>2412</v>
      </c>
      <c r="AZ5" s="3085" t="s">
        <v>2412</v>
      </c>
      <c r="BA5" s="3085"/>
      <c r="BB5" s="3085"/>
      <c r="BC5" s="2236"/>
      <c r="BD5" s="3107" t="s">
        <v>2413</v>
      </c>
      <c r="BE5" s="3085" t="s">
        <v>2414</v>
      </c>
      <c r="BF5" s="3085"/>
      <c r="BG5" s="3085"/>
      <c r="BH5" s="3102"/>
      <c r="BI5" s="3107"/>
      <c r="BJ5" s="3085"/>
      <c r="BK5" s="3085"/>
      <c r="BL5" s="3085"/>
      <c r="BM5" s="3102"/>
      <c r="BN5" s="3107">
        <v>11</v>
      </c>
      <c r="BO5" s="3085">
        <v>11</v>
      </c>
      <c r="BP5" s="3085"/>
      <c r="BQ5" s="3085"/>
      <c r="BR5" s="3102"/>
      <c r="BS5" s="2238">
        <v>6</v>
      </c>
      <c r="BT5" s="3085">
        <v>8</v>
      </c>
      <c r="BU5" s="3085"/>
      <c r="BV5" s="3085"/>
      <c r="BW5" s="2236"/>
      <c r="BX5" s="3107"/>
      <c r="BY5" s="3085" t="s">
        <v>2410</v>
      </c>
      <c r="BZ5" s="3085"/>
      <c r="CA5" s="3085"/>
      <c r="CB5" s="3102"/>
      <c r="CC5" s="2238"/>
      <c r="CD5" s="3085"/>
      <c r="CE5" s="3085"/>
      <c r="CF5" s="3085"/>
      <c r="CG5" s="2236"/>
      <c r="CH5" s="3107"/>
      <c r="CI5" s="3085"/>
      <c r="CJ5" s="3085"/>
      <c r="CK5" s="3085"/>
      <c r="CL5" s="3102"/>
      <c r="CM5" s="3096">
        <v>4</v>
      </c>
      <c r="CN5" s="3097">
        <f t="shared" si="2"/>
        <v>16</v>
      </c>
    </row>
    <row r="6" spans="1:92" s="1466" customFormat="1">
      <c r="A6" s="3103" t="str">
        <f>'VISITA DE INSP.'!B19</f>
        <v>1º</v>
      </c>
      <c r="B6" s="3104" t="str">
        <f>'VISITA DE INSP.'!C19</f>
        <v>B</v>
      </c>
      <c r="C6" s="3105" t="str">
        <f>'VISITA DE INSP.'!D19</f>
        <v>AKE QUEB * MARIANA DEL CONSUELO</v>
      </c>
      <c r="D6" s="3104">
        <f t="shared" si="3"/>
        <v>9</v>
      </c>
      <c r="E6" s="3104">
        <f t="shared" si="3"/>
        <v>1</v>
      </c>
      <c r="F6" s="3104">
        <f t="shared" si="1"/>
        <v>0</v>
      </c>
      <c r="G6" s="3104">
        <f t="shared" si="1"/>
        <v>0</v>
      </c>
      <c r="H6" s="3104">
        <f t="shared" si="1"/>
        <v>0</v>
      </c>
      <c r="I6" s="3106"/>
      <c r="J6" s="778"/>
      <c r="K6" s="3085">
        <f>HLOOKUP(K3,P3:CL23,4,70)</f>
        <v>9</v>
      </c>
      <c r="L6" s="3085">
        <f>HLOOKUP(L3,P3:CL23,4,70)</f>
        <v>1</v>
      </c>
      <c r="M6" s="3085">
        <f>HLOOKUP(M3,P3:CL23,4,70)</f>
        <v>0</v>
      </c>
      <c r="N6" s="3085">
        <f>HLOOKUP(N3,P3:CL23,4,70)</f>
        <v>0</v>
      </c>
      <c r="O6" s="2236">
        <f>HLOOKUP(O3,P3:CL23,4,70)</f>
        <v>0</v>
      </c>
      <c r="P6" s="3107">
        <v>9</v>
      </c>
      <c r="Q6" s="3085">
        <v>1</v>
      </c>
      <c r="R6" s="3085"/>
      <c r="S6" s="3085"/>
      <c r="T6" s="3102"/>
      <c r="U6" s="2238"/>
      <c r="V6" s="3085"/>
      <c r="W6" s="3085"/>
      <c r="X6" s="3085"/>
      <c r="Y6" s="2236"/>
      <c r="Z6" s="3107" t="s">
        <v>2413</v>
      </c>
      <c r="AA6" s="3085" t="s">
        <v>2410</v>
      </c>
      <c r="AB6" s="3085"/>
      <c r="AC6" s="3085"/>
      <c r="AD6" s="3102"/>
      <c r="AE6" s="2238"/>
      <c r="AF6" s="3085"/>
      <c r="AG6" s="3085"/>
      <c r="AH6" s="3085"/>
      <c r="AI6" s="2236"/>
      <c r="AJ6" s="3107"/>
      <c r="AK6" s="3085"/>
      <c r="AL6" s="3085"/>
      <c r="AM6" s="3085"/>
      <c r="AN6" s="3102"/>
      <c r="AO6" s="2238">
        <v>1</v>
      </c>
      <c r="AP6" s="3085">
        <v>1</v>
      </c>
      <c r="AQ6" s="3085"/>
      <c r="AR6" s="3085"/>
      <c r="AS6" s="2236"/>
      <c r="AT6" s="3107"/>
      <c r="AU6" s="3085"/>
      <c r="AV6" s="3085"/>
      <c r="AW6" s="3085"/>
      <c r="AX6" s="3102"/>
      <c r="AY6" s="2238"/>
      <c r="AZ6" s="3085"/>
      <c r="BA6" s="3085"/>
      <c r="BB6" s="3085"/>
      <c r="BC6" s="2236"/>
      <c r="BD6" s="3107" t="s">
        <v>2415</v>
      </c>
      <c r="BE6" s="3085" t="s">
        <v>2416</v>
      </c>
      <c r="BF6" s="3085"/>
      <c r="BG6" s="3085"/>
      <c r="BH6" s="3102"/>
      <c r="BI6" s="3107">
        <v>6</v>
      </c>
      <c r="BJ6" s="3085">
        <v>10</v>
      </c>
      <c r="BK6" s="3085"/>
      <c r="BL6" s="3085"/>
      <c r="BM6" s="3102"/>
      <c r="BN6" s="3107">
        <v>1</v>
      </c>
      <c r="BO6" s="3085">
        <v>6</v>
      </c>
      <c r="BP6" s="3085"/>
      <c r="BQ6" s="3085"/>
      <c r="BR6" s="3102"/>
      <c r="BS6" s="2238">
        <v>10</v>
      </c>
      <c r="BT6" s="3085">
        <v>6</v>
      </c>
      <c r="BU6" s="3085"/>
      <c r="BV6" s="3085"/>
      <c r="BW6" s="2236"/>
      <c r="BX6" s="3107">
        <v>1</v>
      </c>
      <c r="BY6" s="3085" t="s">
        <v>2417</v>
      </c>
      <c r="BZ6" s="3085"/>
      <c r="CA6" s="3085"/>
      <c r="CB6" s="3102"/>
      <c r="CC6" s="2238">
        <v>1</v>
      </c>
      <c r="CD6" s="3085">
        <v>1</v>
      </c>
      <c r="CE6" s="3085"/>
      <c r="CF6" s="3085"/>
      <c r="CG6" s="2236"/>
      <c r="CH6" s="3107"/>
      <c r="CI6" s="3085"/>
      <c r="CJ6" s="3085"/>
      <c r="CK6" s="3085"/>
      <c r="CL6" s="3102"/>
      <c r="CM6" s="3096">
        <v>5</v>
      </c>
      <c r="CN6" s="3097">
        <f t="shared" si="2"/>
        <v>21</v>
      </c>
    </row>
    <row r="7" spans="1:92" s="1466" customFormat="1">
      <c r="A7" s="3103" t="str">
        <f>'VISITA DE INSP.'!B20</f>
        <v>2º</v>
      </c>
      <c r="B7" s="3104" t="str">
        <f>'VISITA DE INSP.'!C20</f>
        <v>A</v>
      </c>
      <c r="C7" s="3105" t="str">
        <f>'VISITA DE INSP.'!D20</f>
        <v>MORENO CARDENAS * IGNACIA</v>
      </c>
      <c r="D7" s="3104">
        <f t="shared" si="3"/>
        <v>4</v>
      </c>
      <c r="E7" s="3104">
        <f t="shared" si="3"/>
        <v>9</v>
      </c>
      <c r="F7" s="3104">
        <f t="shared" si="1"/>
        <v>0</v>
      </c>
      <c r="G7" s="3104">
        <f t="shared" si="1"/>
        <v>0</v>
      </c>
      <c r="H7" s="3104">
        <f t="shared" si="1"/>
        <v>0</v>
      </c>
      <c r="I7" s="3106"/>
      <c r="J7" s="778"/>
      <c r="K7" s="3085">
        <f>HLOOKUP(K3,P3:CL23,5,70)</f>
        <v>4</v>
      </c>
      <c r="L7" s="3085">
        <f>HLOOKUP(L3,P3:CL23,5,70)</f>
        <v>9</v>
      </c>
      <c r="M7" s="3085">
        <f>HLOOKUP(M3,P3:CL23,5,70)</f>
        <v>0</v>
      </c>
      <c r="N7" s="3085">
        <f>HLOOKUP(N3,P3:CL23,5,70)</f>
        <v>0</v>
      </c>
      <c r="O7" s="2236">
        <f>HLOOKUP(O3,P3:CL23,5,70)</f>
        <v>0</v>
      </c>
      <c r="P7" s="3107">
        <v>4</v>
      </c>
      <c r="Q7" s="3085">
        <v>9</v>
      </c>
      <c r="R7" s="3085"/>
      <c r="S7" s="3085"/>
      <c r="T7" s="3102"/>
      <c r="U7" s="2238">
        <v>5</v>
      </c>
      <c r="V7" s="3085">
        <v>3</v>
      </c>
      <c r="W7" s="3085"/>
      <c r="X7" s="3085"/>
      <c r="Y7" s="2236"/>
      <c r="Z7" s="3107" t="s">
        <v>2415</v>
      </c>
      <c r="AA7" s="3085" t="s">
        <v>2410</v>
      </c>
      <c r="AB7" s="3085"/>
      <c r="AC7" s="3085"/>
      <c r="AD7" s="3102"/>
      <c r="AE7" s="2238">
        <v>1</v>
      </c>
      <c r="AF7" s="3085"/>
      <c r="AG7" s="3085"/>
      <c r="AH7" s="3085"/>
      <c r="AI7" s="2236"/>
      <c r="AJ7" s="3107">
        <v>3</v>
      </c>
      <c r="AK7" s="3085">
        <v>2</v>
      </c>
      <c r="AL7" s="3085"/>
      <c r="AM7" s="3085"/>
      <c r="AN7" s="3102"/>
      <c r="AO7" s="2238"/>
      <c r="AP7" s="3085"/>
      <c r="AQ7" s="3085"/>
      <c r="AR7" s="3085"/>
      <c r="AS7" s="2236"/>
      <c r="AT7" s="3107"/>
      <c r="AU7" s="3085"/>
      <c r="AV7" s="3085"/>
      <c r="AW7" s="3085"/>
      <c r="AX7" s="3102"/>
      <c r="AY7" s="2238"/>
      <c r="AZ7" s="3085"/>
      <c r="BA7" s="3085"/>
      <c r="BB7" s="3085"/>
      <c r="BC7" s="2236"/>
      <c r="BD7" s="3107">
        <v>3</v>
      </c>
      <c r="BE7" s="3085">
        <v>2</v>
      </c>
      <c r="BF7" s="3085"/>
      <c r="BG7" s="3085"/>
      <c r="BH7" s="3102"/>
      <c r="BI7" s="3107">
        <v>4</v>
      </c>
      <c r="BJ7" s="3085">
        <v>4</v>
      </c>
      <c r="BK7" s="3085"/>
      <c r="BL7" s="3085"/>
      <c r="BM7" s="3102"/>
      <c r="BN7" s="3107">
        <v>1</v>
      </c>
      <c r="BO7" s="3085">
        <v>1</v>
      </c>
      <c r="BP7" s="3085"/>
      <c r="BQ7" s="3085"/>
      <c r="BR7" s="3102"/>
      <c r="BS7" s="2238">
        <v>4</v>
      </c>
      <c r="BT7" s="3085">
        <v>1</v>
      </c>
      <c r="BU7" s="3085"/>
      <c r="BV7" s="3085"/>
      <c r="BW7" s="2236"/>
      <c r="BX7" s="3107"/>
      <c r="BY7" s="3085" t="s">
        <v>2417</v>
      </c>
      <c r="BZ7" s="3085"/>
      <c r="CA7" s="3085"/>
      <c r="CB7" s="3102"/>
      <c r="CC7" s="2238"/>
      <c r="CD7" s="3085"/>
      <c r="CE7" s="3085"/>
      <c r="CF7" s="3085"/>
      <c r="CG7" s="2236"/>
      <c r="CH7" s="3107" t="s">
        <v>2416</v>
      </c>
      <c r="CI7" s="3085" t="s">
        <v>2416</v>
      </c>
      <c r="CJ7" s="3085"/>
      <c r="CK7" s="3085"/>
      <c r="CL7" s="3102"/>
      <c r="CM7" s="3096">
        <v>6</v>
      </c>
      <c r="CN7" s="3097">
        <f t="shared" si="2"/>
        <v>26</v>
      </c>
    </row>
    <row r="8" spans="1:92" s="1466" customFormat="1">
      <c r="A8" s="3103" t="str">
        <f>'VISITA DE INSP.'!B21</f>
        <v>2º</v>
      </c>
      <c r="B8" s="3104" t="str">
        <f>'VISITA DE INSP.'!C21</f>
        <v>B</v>
      </c>
      <c r="C8" s="3105" t="str">
        <f>'VISITA DE INSP.'!D21</f>
        <v>GONGORA SANTOS * GRACIELA</v>
      </c>
      <c r="D8" s="3104">
        <f t="shared" si="3"/>
        <v>9</v>
      </c>
      <c r="E8" s="3104">
        <f t="shared" si="3"/>
        <v>6</v>
      </c>
      <c r="F8" s="3104">
        <f t="shared" si="1"/>
        <v>0</v>
      </c>
      <c r="G8" s="3104">
        <f t="shared" si="1"/>
        <v>0</v>
      </c>
      <c r="H8" s="3104">
        <f t="shared" si="1"/>
        <v>0</v>
      </c>
      <c r="I8" s="3106"/>
      <c r="J8" s="778"/>
      <c r="K8" s="3085">
        <f>HLOOKUP(K3,P3:CL23,6,70)</f>
        <v>9</v>
      </c>
      <c r="L8" s="3085">
        <f>HLOOKUP(L3,P3:CL23,6,70)</f>
        <v>6</v>
      </c>
      <c r="M8" s="3085">
        <f>HLOOKUP(M3,P3:CL23,6,70)</f>
        <v>0</v>
      </c>
      <c r="N8" s="3085">
        <f>HLOOKUP(N3,P3:CL23,6,70)</f>
        <v>0</v>
      </c>
      <c r="O8" s="2236">
        <f>HLOOKUP(O3,P3:CL23,6,70)</f>
        <v>0</v>
      </c>
      <c r="P8" s="3107">
        <v>9</v>
      </c>
      <c r="Q8" s="3085">
        <v>6</v>
      </c>
      <c r="R8" s="3085"/>
      <c r="S8" s="3085"/>
      <c r="T8" s="3102"/>
      <c r="U8" s="2238">
        <v>6</v>
      </c>
      <c r="V8" s="3085"/>
      <c r="W8" s="3085"/>
      <c r="X8" s="3085"/>
      <c r="Y8" s="2236"/>
      <c r="Z8" s="3107">
        <v>6</v>
      </c>
      <c r="AA8" s="3085">
        <v>2</v>
      </c>
      <c r="AB8" s="3085"/>
      <c r="AC8" s="3085"/>
      <c r="AD8" s="3102"/>
      <c r="AE8" s="2238">
        <v>1</v>
      </c>
      <c r="AF8" s="3085">
        <v>1</v>
      </c>
      <c r="AG8" s="3085"/>
      <c r="AH8" s="3085"/>
      <c r="AI8" s="2236"/>
      <c r="AJ8" s="3107">
        <v>1</v>
      </c>
      <c r="AK8" s="3085">
        <v>1</v>
      </c>
      <c r="AL8" s="3085"/>
      <c r="AM8" s="3085"/>
      <c r="AN8" s="3102"/>
      <c r="AO8" s="2238"/>
      <c r="AP8" s="3085"/>
      <c r="AQ8" s="3085"/>
      <c r="AR8" s="3085"/>
      <c r="AS8" s="2236"/>
      <c r="AT8" s="3107"/>
      <c r="AU8" s="3085"/>
      <c r="AV8" s="3085"/>
      <c r="AW8" s="3085"/>
      <c r="AX8" s="3102"/>
      <c r="AY8" s="2238"/>
      <c r="AZ8" s="3085"/>
      <c r="BA8" s="3085"/>
      <c r="BB8" s="3085"/>
      <c r="BC8" s="2236"/>
      <c r="BD8" s="3107">
        <v>6</v>
      </c>
      <c r="BE8" s="3085">
        <v>6</v>
      </c>
      <c r="BF8" s="3085"/>
      <c r="BG8" s="3085"/>
      <c r="BH8" s="3102"/>
      <c r="BI8" s="3107">
        <v>2</v>
      </c>
      <c r="BJ8" s="3085">
        <v>1</v>
      </c>
      <c r="BK8" s="3085"/>
      <c r="BL8" s="3085"/>
      <c r="BM8" s="3102"/>
      <c r="BN8" s="3107">
        <v>3</v>
      </c>
      <c r="BO8" s="3085">
        <v>3</v>
      </c>
      <c r="BP8" s="3085"/>
      <c r="BQ8" s="3085"/>
      <c r="BR8" s="3102"/>
      <c r="BS8" s="2238"/>
      <c r="BT8" s="3085">
        <v>1</v>
      </c>
      <c r="BU8" s="3085"/>
      <c r="BV8" s="3085"/>
      <c r="BW8" s="2236"/>
      <c r="BX8" s="3107"/>
      <c r="BY8" s="3085" t="s">
        <v>2417</v>
      </c>
      <c r="BZ8" s="3085"/>
      <c r="CA8" s="3085"/>
      <c r="CB8" s="3102"/>
      <c r="CC8" s="2238"/>
      <c r="CD8" s="3085"/>
      <c r="CE8" s="3085"/>
      <c r="CF8" s="3085"/>
      <c r="CG8" s="2236"/>
      <c r="CH8" s="3107"/>
      <c r="CI8" s="3085"/>
      <c r="CJ8" s="3085"/>
      <c r="CK8" s="3085"/>
      <c r="CL8" s="3102"/>
      <c r="CM8" s="3096">
        <v>7</v>
      </c>
      <c r="CN8" s="3097">
        <f t="shared" si="2"/>
        <v>31</v>
      </c>
    </row>
    <row r="9" spans="1:92" s="1466" customFormat="1">
      <c r="A9" s="3103" t="str">
        <f>'VISITA DE INSP.'!B22</f>
        <v>3º</v>
      </c>
      <c r="B9" s="3104" t="str">
        <f>'VISITA DE INSP.'!C22</f>
        <v>A</v>
      </c>
      <c r="C9" s="3105" t="str">
        <f>'VISITA DE INSP.'!D22</f>
        <v>VARGAS GARCIA * DEBRA DORIS DEL SAGRARIO</v>
      </c>
      <c r="D9" s="3104">
        <f t="shared" si="3"/>
        <v>0</v>
      </c>
      <c r="E9" s="3104">
        <f t="shared" si="3"/>
        <v>5</v>
      </c>
      <c r="F9" s="3104">
        <f t="shared" si="1"/>
        <v>0</v>
      </c>
      <c r="G9" s="3104">
        <f t="shared" si="1"/>
        <v>0</v>
      </c>
      <c r="H9" s="3104">
        <f t="shared" si="1"/>
        <v>0</v>
      </c>
      <c r="I9" s="3106"/>
      <c r="J9" s="778"/>
      <c r="K9" s="3085">
        <f>HLOOKUP(K3,P3:CL23,7,70)</f>
        <v>0</v>
      </c>
      <c r="L9" s="3085">
        <f>HLOOKUP(L3,P3:CL23,7,70)</f>
        <v>5</v>
      </c>
      <c r="M9" s="3085">
        <f>HLOOKUP(M3,P3:CL23,7,70)</f>
        <v>0</v>
      </c>
      <c r="N9" s="3085">
        <f>HLOOKUP(N3,P3:CL23,7,70)</f>
        <v>0</v>
      </c>
      <c r="O9" s="2236">
        <f>HLOOKUP(O3,P3:CL23,7,70)</f>
        <v>0</v>
      </c>
      <c r="P9" s="3107"/>
      <c r="Q9" s="3085">
        <v>5</v>
      </c>
      <c r="R9" s="3085"/>
      <c r="S9" s="3085"/>
      <c r="T9" s="3102"/>
      <c r="U9" s="2238"/>
      <c r="V9" s="3085">
        <v>1</v>
      </c>
      <c r="W9" s="3085"/>
      <c r="X9" s="3085"/>
      <c r="Y9" s="2236"/>
      <c r="Z9" s="3107">
        <v>12</v>
      </c>
      <c r="AA9" s="3085">
        <v>7</v>
      </c>
      <c r="AB9" s="3085"/>
      <c r="AC9" s="3085"/>
      <c r="AD9" s="3102"/>
      <c r="AE9" s="2238"/>
      <c r="AF9" s="3085"/>
      <c r="AG9" s="3085"/>
      <c r="AH9" s="3085"/>
      <c r="AI9" s="2236"/>
      <c r="AJ9" s="3107"/>
      <c r="AK9" s="3085"/>
      <c r="AL9" s="3085"/>
      <c r="AM9" s="3085"/>
      <c r="AN9" s="3102"/>
      <c r="AO9" s="2238"/>
      <c r="AP9" s="3085"/>
      <c r="AQ9" s="3085"/>
      <c r="AR9" s="3085"/>
      <c r="AS9" s="2236"/>
      <c r="AT9" s="3107"/>
      <c r="AU9" s="3085"/>
      <c r="AV9" s="3085"/>
      <c r="AW9" s="3085"/>
      <c r="AX9" s="3102"/>
      <c r="AY9" s="2238"/>
      <c r="AZ9" s="3085"/>
      <c r="BA9" s="3085"/>
      <c r="BB9" s="3085"/>
      <c r="BC9" s="2236"/>
      <c r="BD9" s="3107">
        <v>1</v>
      </c>
      <c r="BE9" s="3085">
        <v>8</v>
      </c>
      <c r="BF9" s="3085"/>
      <c r="BG9" s="3085"/>
      <c r="BH9" s="3102"/>
      <c r="BI9" s="3107"/>
      <c r="BJ9" s="3085">
        <v>1</v>
      </c>
      <c r="BK9" s="3085"/>
      <c r="BL9" s="3085"/>
      <c r="BM9" s="3102"/>
      <c r="BN9" s="3107">
        <v>7</v>
      </c>
      <c r="BO9" s="3085">
        <v>7</v>
      </c>
      <c r="BP9" s="3085"/>
      <c r="BQ9" s="3085"/>
      <c r="BR9" s="3102"/>
      <c r="BS9" s="2238">
        <v>1</v>
      </c>
      <c r="BT9" s="3085"/>
      <c r="BU9" s="3085"/>
      <c r="BV9" s="3085"/>
      <c r="BW9" s="2236"/>
      <c r="BX9" s="3107"/>
      <c r="BY9" s="3085" t="s">
        <v>2417</v>
      </c>
      <c r="BZ9" s="3085"/>
      <c r="CA9" s="3085"/>
      <c r="CB9" s="3102"/>
      <c r="CC9" s="2238"/>
      <c r="CD9" s="3085"/>
      <c r="CE9" s="3085"/>
      <c r="CF9" s="3085"/>
      <c r="CG9" s="2236"/>
      <c r="CH9" s="3107" t="s">
        <v>2416</v>
      </c>
      <c r="CI9" s="3085" t="s">
        <v>2416</v>
      </c>
      <c r="CJ9" s="3085"/>
      <c r="CK9" s="3085"/>
      <c r="CL9" s="3102"/>
      <c r="CM9" s="3096">
        <v>8</v>
      </c>
      <c r="CN9" s="3097">
        <f t="shared" si="2"/>
        <v>36</v>
      </c>
    </row>
    <row r="10" spans="1:92" s="1466" customFormat="1">
      <c r="A10" s="3103" t="str">
        <f>'VISITA DE INSP.'!B23</f>
        <v>3º</v>
      </c>
      <c r="B10" s="3104" t="str">
        <f>'VISITA DE INSP.'!C23</f>
        <v>B</v>
      </c>
      <c r="C10" s="3105" t="str">
        <f>'VISITA DE INSP.'!D23</f>
        <v>CASTRO LOPEZ * SOSIMA PETRA</v>
      </c>
      <c r="D10" s="3104">
        <f t="shared" si="3"/>
        <v>1</v>
      </c>
      <c r="E10" s="3104">
        <f t="shared" si="3"/>
        <v>0</v>
      </c>
      <c r="F10" s="3104">
        <f t="shared" si="1"/>
        <v>0</v>
      </c>
      <c r="G10" s="3104">
        <f t="shared" si="1"/>
        <v>0</v>
      </c>
      <c r="H10" s="3104">
        <f t="shared" si="1"/>
        <v>0</v>
      </c>
      <c r="I10" s="3106"/>
      <c r="J10" s="778"/>
      <c r="K10" s="3085">
        <f>HLOOKUP(K3,P3:CL23,8,70)</f>
        <v>1</v>
      </c>
      <c r="L10" s="3085">
        <f>HLOOKUP(L3,P3:CL23,8,70)</f>
        <v>0</v>
      </c>
      <c r="M10" s="3085">
        <f>HLOOKUP(M3,P3:CL23,8,70)</f>
        <v>0</v>
      </c>
      <c r="N10" s="3085">
        <f>HLOOKUP(N3,P3:CL23,8,70)</f>
        <v>0</v>
      </c>
      <c r="O10" s="2236">
        <f>HLOOKUP(O3,P3:CL23,8,70)</f>
        <v>0</v>
      </c>
      <c r="P10" s="3107">
        <v>1</v>
      </c>
      <c r="Q10" s="3085"/>
      <c r="R10" s="3085"/>
      <c r="S10" s="3085"/>
      <c r="T10" s="3102"/>
      <c r="U10" s="2238"/>
      <c r="V10" s="3085">
        <v>1</v>
      </c>
      <c r="W10" s="3085"/>
      <c r="X10" s="3085"/>
      <c r="Y10" s="2236"/>
      <c r="Z10" s="3107">
        <v>6</v>
      </c>
      <c r="AA10" s="3085" t="s">
        <v>2418</v>
      </c>
      <c r="AB10" s="3085"/>
      <c r="AC10" s="3085"/>
      <c r="AD10" s="3102"/>
      <c r="AE10" s="2238">
        <v>1</v>
      </c>
      <c r="AF10" s="3085"/>
      <c r="AG10" s="3085"/>
      <c r="AH10" s="3085"/>
      <c r="AI10" s="2236"/>
      <c r="AJ10" s="3107">
        <v>7</v>
      </c>
      <c r="AK10" s="3085">
        <v>14</v>
      </c>
      <c r="AL10" s="3085"/>
      <c r="AM10" s="3085"/>
      <c r="AN10" s="3102"/>
      <c r="AO10" s="2238"/>
      <c r="AP10" s="3085">
        <v>1</v>
      </c>
      <c r="AQ10" s="3085"/>
      <c r="AR10" s="3085"/>
      <c r="AS10" s="2236"/>
      <c r="AT10" s="3107"/>
      <c r="AU10" s="3085"/>
      <c r="AV10" s="3085"/>
      <c r="AW10" s="3085"/>
      <c r="AX10" s="3102"/>
      <c r="AY10" s="2238"/>
      <c r="AZ10" s="3085"/>
      <c r="BA10" s="3085"/>
      <c r="BB10" s="3085"/>
      <c r="BC10" s="2236"/>
      <c r="BD10" s="3107">
        <v>5</v>
      </c>
      <c r="BE10" s="3085">
        <v>4</v>
      </c>
      <c r="BF10" s="3085"/>
      <c r="BG10" s="3085"/>
      <c r="BH10" s="3102"/>
      <c r="BI10" s="3107">
        <v>2</v>
      </c>
      <c r="BJ10" s="3085">
        <v>2</v>
      </c>
      <c r="BK10" s="3085"/>
      <c r="BL10" s="3085"/>
      <c r="BM10" s="3102"/>
      <c r="BN10" s="3107"/>
      <c r="BO10" s="3085"/>
      <c r="BP10" s="3085"/>
      <c r="BQ10" s="3085"/>
      <c r="BR10" s="3102"/>
      <c r="BS10" s="2238"/>
      <c r="BT10" s="3085"/>
      <c r="BU10" s="3085"/>
      <c r="BV10" s="3085"/>
      <c r="BW10" s="2236"/>
      <c r="BX10" s="3107"/>
      <c r="BY10" s="3085" t="s">
        <v>2417</v>
      </c>
      <c r="BZ10" s="3085"/>
      <c r="CA10" s="3085"/>
      <c r="CB10" s="3102"/>
      <c r="CC10" s="2238"/>
      <c r="CD10" s="3085"/>
      <c r="CE10" s="3085"/>
      <c r="CF10" s="3085"/>
      <c r="CG10" s="2236"/>
      <c r="CH10" s="3107"/>
      <c r="CI10" s="3085"/>
      <c r="CJ10" s="3085"/>
      <c r="CK10" s="3085"/>
      <c r="CL10" s="3102"/>
      <c r="CM10" s="3096">
        <v>9</v>
      </c>
      <c r="CN10" s="3097">
        <f t="shared" si="2"/>
        <v>41</v>
      </c>
    </row>
    <row r="11" spans="1:92" s="1466" customFormat="1">
      <c r="A11" s="3103" t="str">
        <f>'VISITA DE INSP.'!B24</f>
        <v>4º</v>
      </c>
      <c r="B11" s="3104" t="str">
        <f>'VISITA DE INSP.'!C24</f>
        <v>A</v>
      </c>
      <c r="C11" s="3105" t="str">
        <f>'VISITA DE INSP.'!D24</f>
        <v>SANCHEZ BUSTAMANTE * CONCEPCION</v>
      </c>
      <c r="D11" s="3104">
        <f t="shared" si="3"/>
        <v>7</v>
      </c>
      <c r="E11" s="3104">
        <f t="shared" si="3"/>
        <v>5</v>
      </c>
      <c r="F11" s="3104">
        <f t="shared" si="1"/>
        <v>0</v>
      </c>
      <c r="G11" s="3104">
        <f t="shared" si="1"/>
        <v>0</v>
      </c>
      <c r="H11" s="3104">
        <f t="shared" si="1"/>
        <v>0</v>
      </c>
      <c r="I11" s="3106"/>
      <c r="J11" s="778"/>
      <c r="K11" s="3085">
        <f>HLOOKUP(K3,P3:CL23,9,70)</f>
        <v>7</v>
      </c>
      <c r="L11" s="3085">
        <f>HLOOKUP(L3,P3:CL23,9,70)</f>
        <v>5</v>
      </c>
      <c r="M11" s="3085">
        <f>HLOOKUP(M3,P3:CL23,9,70)</f>
        <v>0</v>
      </c>
      <c r="N11" s="3085">
        <f>HLOOKUP(N3,P3:CL23,9,70)</f>
        <v>0</v>
      </c>
      <c r="O11" s="2236">
        <f>HLOOKUP(O3,P3:CL23,9,70)</f>
        <v>0</v>
      </c>
      <c r="P11" s="3107">
        <v>7</v>
      </c>
      <c r="Q11" s="3085">
        <v>5</v>
      </c>
      <c r="R11" s="3085"/>
      <c r="S11" s="3085"/>
      <c r="T11" s="3102"/>
      <c r="U11" s="2238">
        <v>1</v>
      </c>
      <c r="V11" s="3085"/>
      <c r="W11" s="3085"/>
      <c r="X11" s="3085"/>
      <c r="Y11" s="2236"/>
      <c r="Z11" s="3107"/>
      <c r="AA11" s="3085"/>
      <c r="AB11" s="3085"/>
      <c r="AC11" s="3085"/>
      <c r="AD11" s="3102"/>
      <c r="AE11" s="2238"/>
      <c r="AF11" s="3085"/>
      <c r="AG11" s="3085"/>
      <c r="AH11" s="3085"/>
      <c r="AI11" s="2236"/>
      <c r="AJ11" s="3107">
        <v>7</v>
      </c>
      <c r="AK11" s="3085">
        <v>3</v>
      </c>
      <c r="AL11" s="3085"/>
      <c r="AM11" s="3085"/>
      <c r="AN11" s="3102"/>
      <c r="AO11" s="2238"/>
      <c r="AP11" s="3085"/>
      <c r="AQ11" s="3085"/>
      <c r="AR11" s="3085"/>
      <c r="AS11" s="2236"/>
      <c r="AT11" s="3107"/>
      <c r="AU11" s="3085"/>
      <c r="AV11" s="3085"/>
      <c r="AW11" s="3085"/>
      <c r="AX11" s="3102"/>
      <c r="AY11" s="2238"/>
      <c r="AZ11" s="3085"/>
      <c r="BA11" s="3085"/>
      <c r="BB11" s="3085"/>
      <c r="BC11" s="2236"/>
      <c r="BD11" s="3107">
        <v>9</v>
      </c>
      <c r="BE11" s="3085">
        <v>6</v>
      </c>
      <c r="BF11" s="3085"/>
      <c r="BG11" s="3085"/>
      <c r="BH11" s="3102"/>
      <c r="BI11" s="3107">
        <v>5</v>
      </c>
      <c r="BJ11" s="3085">
        <v>12</v>
      </c>
      <c r="BK11" s="3085"/>
      <c r="BL11" s="3085"/>
      <c r="BM11" s="3102"/>
      <c r="BN11" s="3107"/>
      <c r="BO11" s="3085"/>
      <c r="BP11" s="3085"/>
      <c r="BQ11" s="3085"/>
      <c r="BR11" s="3102"/>
      <c r="BS11" s="2238"/>
      <c r="BT11" s="3085"/>
      <c r="BU11" s="3085"/>
      <c r="BV11" s="3085"/>
      <c r="BW11" s="2236"/>
      <c r="BX11" s="3107"/>
      <c r="BY11" s="3085"/>
      <c r="BZ11" s="3085"/>
      <c r="CA11" s="3085"/>
      <c r="CB11" s="3102"/>
      <c r="CC11" s="2238"/>
      <c r="CD11" s="3085"/>
      <c r="CE11" s="3085"/>
      <c r="CF11" s="3085"/>
      <c r="CG11" s="2236"/>
      <c r="CH11" s="3107"/>
      <c r="CI11" s="3085"/>
      <c r="CJ11" s="3085"/>
      <c r="CK11" s="3085"/>
      <c r="CL11" s="3102"/>
      <c r="CM11" s="3096">
        <v>10</v>
      </c>
      <c r="CN11" s="3097">
        <f t="shared" si="2"/>
        <v>46</v>
      </c>
    </row>
    <row r="12" spans="1:92" s="1466" customFormat="1">
      <c r="A12" s="3103" t="str">
        <f>'VISITA DE INSP.'!B25</f>
        <v>4º</v>
      </c>
      <c r="B12" s="3104" t="str">
        <f>'VISITA DE INSP.'!C25</f>
        <v>B</v>
      </c>
      <c r="C12" s="3105" t="str">
        <f>'VISITA DE INSP.'!D25</f>
        <v>VIVEROS SALAZAR *NORA</v>
      </c>
      <c r="D12" s="3104">
        <f t="shared" si="3"/>
        <v>0</v>
      </c>
      <c r="E12" s="3104">
        <f t="shared" si="3"/>
        <v>0</v>
      </c>
      <c r="F12" s="3104">
        <f t="shared" si="1"/>
        <v>0</v>
      </c>
      <c r="G12" s="3104">
        <f t="shared" si="1"/>
        <v>0</v>
      </c>
      <c r="H12" s="3104">
        <f t="shared" si="1"/>
        <v>0</v>
      </c>
      <c r="I12" s="3106"/>
      <c r="J12" s="778"/>
      <c r="K12" s="3085">
        <f>HLOOKUP(K3,P3:CL23,10,70)</f>
        <v>0</v>
      </c>
      <c r="L12" s="3085">
        <f>HLOOKUP(L3,P3:CL23,10,70)</f>
        <v>0</v>
      </c>
      <c r="M12" s="3085">
        <f>HLOOKUP(M3,P3:CL23,10,70)</f>
        <v>0</v>
      </c>
      <c r="N12" s="3085">
        <f>HLOOKUP(N3,P3:CL23,10,70)</f>
        <v>0</v>
      </c>
      <c r="O12" s="2236">
        <f>HLOOKUP(O3,P3:CL23,10,70)</f>
        <v>0</v>
      </c>
      <c r="P12" s="3107"/>
      <c r="Q12" s="3085"/>
      <c r="R12" s="3085"/>
      <c r="S12" s="3085"/>
      <c r="T12" s="3102"/>
      <c r="U12" s="2238">
        <v>12</v>
      </c>
      <c r="V12" s="3085">
        <v>1</v>
      </c>
      <c r="W12" s="3085"/>
      <c r="X12" s="3085"/>
      <c r="Y12" s="2236"/>
      <c r="Z12" s="3107"/>
      <c r="AA12" s="3085"/>
      <c r="AB12" s="3085"/>
      <c r="AC12" s="3085"/>
      <c r="AD12" s="3102"/>
      <c r="AE12" s="2238"/>
      <c r="AF12" s="3085"/>
      <c r="AG12" s="3085"/>
      <c r="AH12" s="3085"/>
      <c r="AI12" s="2236"/>
      <c r="AJ12" s="3107">
        <v>1</v>
      </c>
      <c r="AK12" s="3085"/>
      <c r="AL12" s="3085"/>
      <c r="AM12" s="3085"/>
      <c r="AN12" s="3102"/>
      <c r="AO12" s="2238"/>
      <c r="AP12" s="3085"/>
      <c r="AQ12" s="3085"/>
      <c r="AR12" s="3085"/>
      <c r="AS12" s="2236"/>
      <c r="AT12" s="3107"/>
      <c r="AU12" s="3085"/>
      <c r="AV12" s="3085"/>
      <c r="AW12" s="3085"/>
      <c r="AX12" s="3102"/>
      <c r="AY12" s="2238"/>
      <c r="AZ12" s="3085"/>
      <c r="BA12" s="3085"/>
      <c r="BB12" s="3085"/>
      <c r="BC12" s="2236"/>
      <c r="BD12" s="3107">
        <v>18</v>
      </c>
      <c r="BE12" s="3085">
        <v>14</v>
      </c>
      <c r="BF12" s="3085"/>
      <c r="BG12" s="3085"/>
      <c r="BH12" s="3102"/>
      <c r="BI12" s="3107"/>
      <c r="BJ12" s="3085"/>
      <c r="BK12" s="3085"/>
      <c r="BL12" s="3085"/>
      <c r="BM12" s="3102"/>
      <c r="BN12" s="3107"/>
      <c r="BO12" s="3085"/>
      <c r="BP12" s="3085"/>
      <c r="BQ12" s="3085"/>
      <c r="BR12" s="3102"/>
      <c r="BS12" s="2238"/>
      <c r="BT12" s="3085"/>
      <c r="BU12" s="3085"/>
      <c r="BV12" s="3085"/>
      <c r="BW12" s="2236"/>
      <c r="BX12" s="3107"/>
      <c r="BY12" s="3085"/>
      <c r="BZ12" s="3085"/>
      <c r="CA12" s="3085"/>
      <c r="CB12" s="3102"/>
      <c r="CC12" s="2238"/>
      <c r="CD12" s="3085"/>
      <c r="CE12" s="3085"/>
      <c r="CF12" s="3085"/>
      <c r="CG12" s="2236"/>
      <c r="CH12" s="3107"/>
      <c r="CI12" s="3085"/>
      <c r="CJ12" s="3085"/>
      <c r="CK12" s="3085"/>
      <c r="CL12" s="3102"/>
      <c r="CM12" s="3096">
        <v>11</v>
      </c>
      <c r="CN12" s="3097">
        <f t="shared" si="2"/>
        <v>51</v>
      </c>
    </row>
    <row r="13" spans="1:92" s="1466" customFormat="1">
      <c r="A13" s="3103" t="str">
        <f>'VISITA DE INSP.'!B26</f>
        <v>5º</v>
      </c>
      <c r="B13" s="3104" t="str">
        <f>'VISITA DE INSP.'!C26</f>
        <v>A</v>
      </c>
      <c r="C13" s="3105" t="str">
        <f>'VISITA DE INSP.'!D26</f>
        <v>XIU VELAZQUEZ * JOSE MANUEL</v>
      </c>
      <c r="D13" s="3104">
        <f t="shared" si="3"/>
        <v>2</v>
      </c>
      <c r="E13" s="3104">
        <f t="shared" si="3"/>
        <v>2</v>
      </c>
      <c r="F13" s="3104">
        <f t="shared" si="1"/>
        <v>0</v>
      </c>
      <c r="G13" s="3104">
        <f t="shared" si="1"/>
        <v>0</v>
      </c>
      <c r="H13" s="3104">
        <f t="shared" si="1"/>
        <v>0</v>
      </c>
      <c r="I13" s="3106"/>
      <c r="J13" s="778">
        <v>2</v>
      </c>
      <c r="K13" s="3085">
        <f>HLOOKUP(K3,P3:CL23,11,70)</f>
        <v>2</v>
      </c>
      <c r="L13" s="3085">
        <f>HLOOKUP(L3,P3:CL23,11,70)</f>
        <v>2</v>
      </c>
      <c r="M13" s="3085">
        <f>HLOOKUP(M3,P3:CL23,11,70)</f>
        <v>0</v>
      </c>
      <c r="N13" s="3085">
        <f>HLOOKUP(N3,P3:CL23,11,70)</f>
        <v>0</v>
      </c>
      <c r="O13" s="2236">
        <f>HLOOKUP(O3,P3:CL23,11,70)</f>
        <v>0</v>
      </c>
      <c r="P13" s="3107">
        <v>2</v>
      </c>
      <c r="Q13" s="3085">
        <v>2</v>
      </c>
      <c r="R13" s="3085"/>
      <c r="S13" s="3085"/>
      <c r="T13" s="3102"/>
      <c r="U13" s="2238">
        <v>11</v>
      </c>
      <c r="V13" s="3085">
        <v>5</v>
      </c>
      <c r="W13" s="3085"/>
      <c r="X13" s="3085"/>
      <c r="Y13" s="2236"/>
      <c r="Z13" s="3107" t="s">
        <v>2419</v>
      </c>
      <c r="AA13" s="3085" t="s">
        <v>2420</v>
      </c>
      <c r="AB13" s="3085"/>
      <c r="AC13" s="3085"/>
      <c r="AD13" s="3102"/>
      <c r="AE13" s="2238"/>
      <c r="AF13" s="3085"/>
      <c r="AG13" s="3085"/>
      <c r="AH13" s="3085"/>
      <c r="AI13" s="2236"/>
      <c r="AJ13" s="3107">
        <v>2</v>
      </c>
      <c r="AK13" s="3085"/>
      <c r="AL13" s="3085"/>
      <c r="AM13" s="3085"/>
      <c r="AN13" s="3102"/>
      <c r="AO13" s="2238"/>
      <c r="AP13" s="3085"/>
      <c r="AQ13" s="3085"/>
      <c r="AR13" s="3085"/>
      <c r="AS13" s="2236"/>
      <c r="AT13" s="3107"/>
      <c r="AU13" s="3085"/>
      <c r="AV13" s="3085"/>
      <c r="AW13" s="3085"/>
      <c r="AX13" s="3102"/>
      <c r="AY13" s="2238"/>
      <c r="AZ13" s="3085"/>
      <c r="BA13" s="3085"/>
      <c r="BB13" s="3085"/>
      <c r="BC13" s="2236"/>
      <c r="BD13" s="3107">
        <v>14</v>
      </c>
      <c r="BE13" s="3085">
        <v>8</v>
      </c>
      <c r="BF13" s="3085"/>
      <c r="BG13" s="3085"/>
      <c r="BH13" s="3102"/>
      <c r="BI13" s="3107"/>
      <c r="BJ13" s="3085"/>
      <c r="BK13" s="3085"/>
      <c r="BL13" s="3085"/>
      <c r="BM13" s="3102"/>
      <c r="BN13" s="3107"/>
      <c r="BO13" s="3085"/>
      <c r="BP13" s="3085"/>
      <c r="BQ13" s="3085"/>
      <c r="BR13" s="3102"/>
      <c r="BS13" s="2238"/>
      <c r="BT13" s="3085"/>
      <c r="BU13" s="3085"/>
      <c r="BV13" s="3085"/>
      <c r="BW13" s="2236"/>
      <c r="BX13" s="3107"/>
      <c r="BY13" s="3085"/>
      <c r="BZ13" s="3085"/>
      <c r="CA13" s="3085"/>
      <c r="CB13" s="3102"/>
      <c r="CC13" s="2238"/>
      <c r="CD13" s="3085"/>
      <c r="CE13" s="3085"/>
      <c r="CF13" s="3085"/>
      <c r="CG13" s="2236"/>
      <c r="CH13" s="3107"/>
      <c r="CI13" s="3085"/>
      <c r="CJ13" s="3085"/>
      <c r="CK13" s="3085"/>
      <c r="CL13" s="3102"/>
      <c r="CM13" s="3096">
        <v>12</v>
      </c>
      <c r="CN13" s="3097">
        <f t="shared" si="2"/>
        <v>56</v>
      </c>
    </row>
    <row r="14" spans="1:92" s="1466" customFormat="1">
      <c r="A14" s="3103" t="str">
        <f>'VISITA DE INSP.'!B27</f>
        <v>5º</v>
      </c>
      <c r="B14" s="3104" t="str">
        <f>'VISITA DE INSP.'!C27</f>
        <v>B</v>
      </c>
      <c r="C14" s="3105" t="str">
        <f>'VISITA DE INSP.'!D27</f>
        <v>MARTIN QUINTAL * SIHARELI CONCEPCION</v>
      </c>
      <c r="D14" s="3104">
        <f t="shared" si="3"/>
        <v>1</v>
      </c>
      <c r="E14" s="3104">
        <f t="shared" si="3"/>
        <v>0</v>
      </c>
      <c r="F14" s="3104">
        <f t="shared" si="1"/>
        <v>0</v>
      </c>
      <c r="G14" s="3104">
        <f t="shared" si="1"/>
        <v>0</v>
      </c>
      <c r="H14" s="3104">
        <f t="shared" si="1"/>
        <v>0</v>
      </c>
      <c r="I14" s="3106"/>
      <c r="J14" s="778"/>
      <c r="K14" s="3085">
        <f>HLOOKUP(K3,P3:CL23,12,70)</f>
        <v>1</v>
      </c>
      <c r="L14" s="3085">
        <f>HLOOKUP(L3,P3:CL23,12,70)</f>
        <v>0</v>
      </c>
      <c r="M14" s="3085">
        <f>HLOOKUP(M3,P3:CL23,12,70)</f>
        <v>0</v>
      </c>
      <c r="N14" s="3085">
        <f>HLOOKUP(N3,P3:CL23,12,70)</f>
        <v>0</v>
      </c>
      <c r="O14" s="2236">
        <f>HLOOKUP(O3,P3:CL23,12,70)</f>
        <v>0</v>
      </c>
      <c r="P14" s="3107">
        <v>1</v>
      </c>
      <c r="Q14" s="3085"/>
      <c r="R14" s="3085"/>
      <c r="S14" s="3085"/>
      <c r="T14" s="3102"/>
      <c r="U14" s="2238">
        <v>17</v>
      </c>
      <c r="V14" s="3085">
        <v>5</v>
      </c>
      <c r="W14" s="3085"/>
      <c r="X14" s="3085"/>
      <c r="Y14" s="2236"/>
      <c r="Z14" s="3107">
        <v>1</v>
      </c>
      <c r="AA14" s="3085"/>
      <c r="AB14" s="3085"/>
      <c r="AC14" s="3085"/>
      <c r="AD14" s="3102"/>
      <c r="AE14" s="2238"/>
      <c r="AF14" s="3085"/>
      <c r="AG14" s="3085"/>
      <c r="AH14" s="3085"/>
      <c r="AI14" s="2236"/>
      <c r="AJ14" s="3107"/>
      <c r="AK14" s="3085"/>
      <c r="AL14" s="3085"/>
      <c r="AM14" s="3085"/>
      <c r="AN14" s="3102"/>
      <c r="AO14" s="2238"/>
      <c r="AP14" s="3085"/>
      <c r="AQ14" s="3085"/>
      <c r="AR14" s="3085"/>
      <c r="AS14" s="2236"/>
      <c r="AT14" s="3107"/>
      <c r="AU14" s="3085"/>
      <c r="AV14" s="3085"/>
      <c r="AW14" s="3085"/>
      <c r="AX14" s="3102"/>
      <c r="AY14" s="2238"/>
      <c r="AZ14" s="3085"/>
      <c r="BA14" s="3085"/>
      <c r="BB14" s="3085"/>
      <c r="BC14" s="2236"/>
      <c r="BD14" s="3107">
        <v>4</v>
      </c>
      <c r="BE14" s="3085">
        <v>11</v>
      </c>
      <c r="BF14" s="3085"/>
      <c r="BG14" s="3085"/>
      <c r="BH14" s="3102"/>
      <c r="BI14" s="3107"/>
      <c r="BJ14" s="3085"/>
      <c r="BK14" s="3085"/>
      <c r="BL14" s="3085"/>
      <c r="BM14" s="3102"/>
      <c r="BN14" s="3107"/>
      <c r="BO14" s="3085"/>
      <c r="BP14" s="3085"/>
      <c r="BQ14" s="3085"/>
      <c r="BR14" s="3102"/>
      <c r="BS14" s="2238"/>
      <c r="BT14" s="3085"/>
      <c r="BU14" s="3085"/>
      <c r="BV14" s="3085"/>
      <c r="BW14" s="2236"/>
      <c r="BX14" s="3107"/>
      <c r="BY14" s="3085"/>
      <c r="BZ14" s="3085"/>
      <c r="CA14" s="3085"/>
      <c r="CB14" s="3102"/>
      <c r="CC14" s="2238"/>
      <c r="CD14" s="3085"/>
      <c r="CE14" s="3085"/>
      <c r="CF14" s="3085"/>
      <c r="CG14" s="2236"/>
      <c r="CH14" s="3107"/>
      <c r="CI14" s="3085"/>
      <c r="CJ14" s="3085"/>
      <c r="CK14" s="3085"/>
      <c r="CL14" s="3102"/>
      <c r="CM14" s="3096">
        <v>13</v>
      </c>
      <c r="CN14" s="3097">
        <f t="shared" si="2"/>
        <v>61</v>
      </c>
    </row>
    <row r="15" spans="1:92" s="1466" customFormat="1">
      <c r="A15" s="3103" t="str">
        <f>'VISITA DE INSP.'!B28</f>
        <v>6º</v>
      </c>
      <c r="B15" s="3104" t="str">
        <f>'VISITA DE INSP.'!C28</f>
        <v>A</v>
      </c>
      <c r="C15" s="3105" t="str">
        <f>'VISITA DE INSP.'!D28</f>
        <v>ALEMAN SANTOS * MIRIAM</v>
      </c>
      <c r="D15" s="3104">
        <f t="shared" si="3"/>
        <v>0</v>
      </c>
      <c r="E15" s="3104">
        <f t="shared" si="3"/>
        <v>4</v>
      </c>
      <c r="F15" s="3104">
        <f t="shared" si="1"/>
        <v>0</v>
      </c>
      <c r="G15" s="3104">
        <f t="shared" si="1"/>
        <v>0</v>
      </c>
      <c r="H15" s="3104">
        <f t="shared" si="1"/>
        <v>0</v>
      </c>
      <c r="I15" s="3106"/>
      <c r="J15" s="778"/>
      <c r="K15" s="3085">
        <f>HLOOKUP(K3,P3:CL23,13,70)</f>
        <v>0</v>
      </c>
      <c r="L15" s="3085">
        <f>HLOOKUP(L3,P3:CL23,13,70)</f>
        <v>4</v>
      </c>
      <c r="M15" s="3085">
        <f>HLOOKUP(M3,P3:CL23,13,70)</f>
        <v>0</v>
      </c>
      <c r="N15" s="3085">
        <f>HLOOKUP(N3,P3:CL23,13,70)</f>
        <v>0</v>
      </c>
      <c r="O15" s="2236">
        <f>HLOOKUP(O3,P3:CL23,13,70)</f>
        <v>0</v>
      </c>
      <c r="P15" s="3107"/>
      <c r="Q15" s="3085">
        <v>4</v>
      </c>
      <c r="R15" s="3085"/>
      <c r="S15" s="3085"/>
      <c r="T15" s="3102"/>
      <c r="U15" s="2238">
        <v>2</v>
      </c>
      <c r="V15" s="3085"/>
      <c r="W15" s="3085"/>
      <c r="X15" s="3085"/>
      <c r="Y15" s="2236"/>
      <c r="Z15" s="3107">
        <v>14</v>
      </c>
      <c r="AA15" s="3085">
        <v>13</v>
      </c>
      <c r="AB15" s="3085"/>
      <c r="AC15" s="3085"/>
      <c r="AD15" s="3102"/>
      <c r="AE15" s="2238">
        <v>1</v>
      </c>
      <c r="AF15" s="3085">
        <v>1</v>
      </c>
      <c r="AG15" s="3085"/>
      <c r="AH15" s="3085"/>
      <c r="AI15" s="2236"/>
      <c r="AJ15" s="3107"/>
      <c r="AK15" s="3085"/>
      <c r="AL15" s="3085"/>
      <c r="AM15" s="3085"/>
      <c r="AN15" s="3102"/>
      <c r="AO15" s="2238"/>
      <c r="AP15" s="3085"/>
      <c r="AQ15" s="3085"/>
      <c r="AR15" s="3085"/>
      <c r="AS15" s="2236"/>
      <c r="AT15" s="3107"/>
      <c r="AU15" s="3085"/>
      <c r="AV15" s="3085"/>
      <c r="AW15" s="3085"/>
      <c r="AX15" s="3102"/>
      <c r="AY15" s="2238"/>
      <c r="AZ15" s="3085"/>
      <c r="BA15" s="3085"/>
      <c r="BB15" s="3085"/>
      <c r="BC15" s="2236"/>
      <c r="BD15" s="3107"/>
      <c r="BE15" s="3085"/>
      <c r="BF15" s="3085"/>
      <c r="BG15" s="3085"/>
      <c r="BH15" s="3102"/>
      <c r="BI15" s="3107"/>
      <c r="BJ15" s="3085"/>
      <c r="BK15" s="3085"/>
      <c r="BL15" s="3085"/>
      <c r="BM15" s="3102"/>
      <c r="BN15" s="3107"/>
      <c r="BO15" s="3085"/>
      <c r="BP15" s="3085"/>
      <c r="BQ15" s="3085"/>
      <c r="BR15" s="3102"/>
      <c r="BS15" s="2238"/>
      <c r="BT15" s="3085"/>
      <c r="BU15" s="3085"/>
      <c r="BV15" s="3085"/>
      <c r="BW15" s="2236"/>
      <c r="BX15" s="3107"/>
      <c r="BY15" s="3085"/>
      <c r="BZ15" s="3085"/>
      <c r="CA15" s="3085"/>
      <c r="CB15" s="3102"/>
      <c r="CC15" s="2238"/>
      <c r="CD15" s="3085"/>
      <c r="CE15" s="3085"/>
      <c r="CF15" s="3085"/>
      <c r="CG15" s="2236"/>
      <c r="CH15" s="3107"/>
      <c r="CI15" s="3085"/>
      <c r="CJ15" s="3085"/>
      <c r="CK15" s="3085"/>
      <c r="CL15" s="3102"/>
      <c r="CM15" s="3096">
        <v>14</v>
      </c>
      <c r="CN15" s="3097">
        <f t="shared" si="2"/>
        <v>66</v>
      </c>
    </row>
    <row r="16" spans="1:92" s="1466" customFormat="1">
      <c r="A16" s="3103" t="str">
        <f>'VISITA DE INSP.'!B29</f>
        <v>6º</v>
      </c>
      <c r="B16" s="3104" t="str">
        <f>'VISITA DE INSP.'!C29</f>
        <v>B</v>
      </c>
      <c r="C16" s="3105" t="str">
        <f>'VISITA DE INSP.'!D29</f>
        <v>CRUZ PEREZ * FRANCISCO</v>
      </c>
      <c r="D16" s="3104">
        <f t="shared" si="3"/>
        <v>4</v>
      </c>
      <c r="E16" s="3104">
        <f t="shared" si="3"/>
        <v>10</v>
      </c>
      <c r="F16" s="3104">
        <f t="shared" si="1"/>
        <v>0</v>
      </c>
      <c r="G16" s="3104">
        <f t="shared" si="1"/>
        <v>0</v>
      </c>
      <c r="H16" s="3104">
        <f t="shared" si="1"/>
        <v>0</v>
      </c>
      <c r="I16" s="3106"/>
      <c r="J16" s="778"/>
      <c r="K16" s="3085">
        <f>HLOOKUP(K3,P3:CL23,14,70)</f>
        <v>4</v>
      </c>
      <c r="L16" s="3085">
        <f>HLOOKUP(L3,P3:CL23,14,70)</f>
        <v>10</v>
      </c>
      <c r="M16" s="3085">
        <f>HLOOKUP(M3,P3:CL23,14,70)</f>
        <v>0</v>
      </c>
      <c r="N16" s="3085">
        <f>HLOOKUP(N3,P3:CL23,14,70)</f>
        <v>0</v>
      </c>
      <c r="O16" s="2236">
        <f>HLOOKUP(O3,P3:CL23,14,70)</f>
        <v>0</v>
      </c>
      <c r="P16" s="3107">
        <v>4</v>
      </c>
      <c r="Q16" s="3085">
        <v>10</v>
      </c>
      <c r="R16" s="3085"/>
      <c r="S16" s="3085"/>
      <c r="T16" s="3102"/>
      <c r="U16" s="2238">
        <v>3</v>
      </c>
      <c r="V16" s="3085">
        <v>7</v>
      </c>
      <c r="W16" s="3085"/>
      <c r="X16" s="3085"/>
      <c r="Y16" s="2236"/>
      <c r="Z16" s="3107"/>
      <c r="AA16" s="3085"/>
      <c r="AB16" s="3085"/>
      <c r="AC16" s="3085"/>
      <c r="AD16" s="3102"/>
      <c r="AE16" s="2238"/>
      <c r="AF16" s="3085"/>
      <c r="AG16" s="3085"/>
      <c r="AH16" s="3085"/>
      <c r="AI16" s="2236"/>
      <c r="AJ16" s="3107"/>
      <c r="AK16" s="3085"/>
      <c r="AL16" s="3085"/>
      <c r="AM16" s="3085"/>
      <c r="AN16" s="3102"/>
      <c r="AO16" s="2238"/>
      <c r="AP16" s="3085"/>
      <c r="AQ16" s="3085"/>
      <c r="AR16" s="3085"/>
      <c r="AS16" s="2236"/>
      <c r="AT16" s="3107"/>
      <c r="AU16" s="3085"/>
      <c r="AV16" s="3085"/>
      <c r="AW16" s="3085"/>
      <c r="AX16" s="3102"/>
      <c r="AY16" s="2238"/>
      <c r="AZ16" s="3085"/>
      <c r="BA16" s="3085"/>
      <c r="BB16" s="3085"/>
      <c r="BC16" s="2236"/>
      <c r="BD16" s="3107">
        <v>1</v>
      </c>
      <c r="BE16" s="3085">
        <v>4</v>
      </c>
      <c r="BF16" s="3085"/>
      <c r="BG16" s="3085"/>
      <c r="BH16" s="3102"/>
      <c r="BI16" s="3107"/>
      <c r="BJ16" s="3085"/>
      <c r="BK16" s="3085"/>
      <c r="BL16" s="3085"/>
      <c r="BM16" s="3102"/>
      <c r="BN16" s="3107"/>
      <c r="BO16" s="3085"/>
      <c r="BP16" s="3085"/>
      <c r="BQ16" s="3085"/>
      <c r="BR16" s="3102"/>
      <c r="BS16" s="2238"/>
      <c r="BT16" s="3085"/>
      <c r="BU16" s="3085"/>
      <c r="BV16" s="3085"/>
      <c r="BW16" s="2236"/>
      <c r="BX16" s="3107"/>
      <c r="BY16" s="3085"/>
      <c r="BZ16" s="3085"/>
      <c r="CA16" s="3085"/>
      <c r="CB16" s="3102"/>
      <c r="CC16" s="2238"/>
      <c r="CD16" s="3085"/>
      <c r="CE16" s="3085"/>
      <c r="CF16" s="3085"/>
      <c r="CG16" s="2236"/>
      <c r="CH16" s="3107"/>
      <c r="CI16" s="3085"/>
      <c r="CJ16" s="3085"/>
      <c r="CK16" s="3085"/>
      <c r="CL16" s="3102"/>
      <c r="CM16" s="3096">
        <v>15</v>
      </c>
      <c r="CN16" s="3097">
        <f t="shared" si="2"/>
        <v>71</v>
      </c>
    </row>
    <row r="17" spans="1:92" s="1466" customFormat="1">
      <c r="A17" s="3103">
        <f>'VISITA DE INSP.'!B30</f>
        <v>0</v>
      </c>
      <c r="B17" s="3104">
        <f>'VISITA DE INSP.'!C30</f>
        <v>0</v>
      </c>
      <c r="C17" s="3105" t="str">
        <f>'VISITA DE INSP.'!D30</f>
        <v>GONGORA * TERESITA DEL CARMEN</v>
      </c>
      <c r="D17" s="3104">
        <f t="shared" si="3"/>
        <v>0</v>
      </c>
      <c r="E17" s="3104">
        <f t="shared" si="3"/>
        <v>0</v>
      </c>
      <c r="F17" s="3104">
        <f t="shared" si="1"/>
        <v>0</v>
      </c>
      <c r="G17" s="3104">
        <f t="shared" si="1"/>
        <v>0</v>
      </c>
      <c r="H17" s="3104">
        <f t="shared" si="1"/>
        <v>0</v>
      </c>
      <c r="I17" s="3106"/>
      <c r="J17" s="778"/>
      <c r="K17" s="3085">
        <f>HLOOKUP(K3,P3:CL23,15,70)</f>
        <v>0</v>
      </c>
      <c r="L17" s="3085">
        <f>HLOOKUP(L3,P3:CL23,15,70)</f>
        <v>0</v>
      </c>
      <c r="M17" s="3085">
        <f>HLOOKUP(M3,P3:CL23,15,70)</f>
        <v>0</v>
      </c>
      <c r="N17" s="3085">
        <f>HLOOKUP(N3,P3:CL23,15,70)</f>
        <v>0</v>
      </c>
      <c r="O17" s="2236">
        <f>HLOOKUP(O3,P3:CL23,15,70)</f>
        <v>0</v>
      </c>
      <c r="P17" s="3107"/>
      <c r="Q17" s="3085"/>
      <c r="R17" s="3085"/>
      <c r="S17" s="3085"/>
      <c r="T17" s="3102"/>
      <c r="U17" s="2238"/>
      <c r="V17" s="3085"/>
      <c r="W17" s="3085"/>
      <c r="X17" s="3085"/>
      <c r="Y17" s="2236"/>
      <c r="Z17" s="3107"/>
      <c r="AA17" s="3085"/>
      <c r="AB17" s="3085"/>
      <c r="AC17" s="3085"/>
      <c r="AD17" s="3102"/>
      <c r="AE17" s="2238"/>
      <c r="AF17" s="3085"/>
      <c r="AG17" s="3085"/>
      <c r="AH17" s="3085"/>
      <c r="AI17" s="2236"/>
      <c r="AJ17" s="3107"/>
      <c r="AK17" s="3085"/>
      <c r="AL17" s="3085"/>
      <c r="AM17" s="3085"/>
      <c r="AN17" s="3102"/>
      <c r="AO17" s="2238"/>
      <c r="AP17" s="3085"/>
      <c r="AQ17" s="3085"/>
      <c r="AR17" s="3085"/>
      <c r="AS17" s="2236"/>
      <c r="AT17" s="3107"/>
      <c r="AU17" s="3085"/>
      <c r="AV17" s="3085"/>
      <c r="AW17" s="3085"/>
      <c r="AX17" s="3102"/>
      <c r="AY17" s="2238"/>
      <c r="AZ17" s="3085"/>
      <c r="BA17" s="3085"/>
      <c r="BB17" s="3085"/>
      <c r="BC17" s="2236"/>
      <c r="BD17" s="3107"/>
      <c r="BE17" s="3085"/>
      <c r="BF17" s="3085"/>
      <c r="BG17" s="3085"/>
      <c r="BH17" s="3102"/>
      <c r="BI17" s="3107"/>
      <c r="BJ17" s="3085"/>
      <c r="BK17" s="3085"/>
      <c r="BL17" s="3085"/>
      <c r="BM17" s="3102"/>
      <c r="BN17" s="3107"/>
      <c r="BO17" s="3085"/>
      <c r="BP17" s="3085"/>
      <c r="BQ17" s="3085"/>
      <c r="BR17" s="3102"/>
      <c r="BS17" s="2238"/>
      <c r="BT17" s="3085"/>
      <c r="BU17" s="3085"/>
      <c r="BV17" s="3085"/>
      <c r="BW17" s="2236"/>
      <c r="BX17" s="3107"/>
      <c r="BY17" s="3085"/>
      <c r="BZ17" s="3085"/>
      <c r="CA17" s="3085"/>
      <c r="CB17" s="3102"/>
      <c r="CC17" s="2238"/>
      <c r="CD17" s="3085"/>
      <c r="CE17" s="3085"/>
      <c r="CF17" s="3085"/>
      <c r="CG17" s="2236"/>
      <c r="CH17" s="3107"/>
      <c r="CI17" s="3085"/>
      <c r="CJ17" s="3085"/>
      <c r="CK17" s="3085"/>
      <c r="CL17" s="3102"/>
      <c r="CM17" s="3096">
        <v>16</v>
      </c>
      <c r="CN17" s="3097">
        <f t="shared" si="2"/>
        <v>76</v>
      </c>
    </row>
    <row r="18" spans="1:92" s="1466" customFormat="1">
      <c r="A18" s="3103">
        <f>'VISITA DE INSP.'!B31</f>
        <v>0</v>
      </c>
      <c r="B18" s="3104">
        <f>'VISITA DE INSP.'!C31</f>
        <v>0</v>
      </c>
      <c r="C18" s="3105" t="str">
        <f>'VISITA DE INSP.'!D31</f>
        <v>ARGUELLES GARCIA * MAYRA LUCELY</v>
      </c>
      <c r="D18" s="3104">
        <f t="shared" si="3"/>
        <v>0</v>
      </c>
      <c r="E18" s="3104">
        <f t="shared" si="3"/>
        <v>0</v>
      </c>
      <c r="F18" s="3104">
        <f t="shared" si="1"/>
        <v>0</v>
      </c>
      <c r="G18" s="3104">
        <f t="shared" si="1"/>
        <v>0</v>
      </c>
      <c r="H18" s="3104">
        <f t="shared" si="1"/>
        <v>0</v>
      </c>
      <c r="I18" s="3106"/>
      <c r="J18" s="778"/>
      <c r="K18" s="3085">
        <f>HLOOKUP(K3,P3:CL23,16,70)</f>
        <v>0</v>
      </c>
      <c r="L18" s="3085">
        <f>HLOOKUP(L3,P3:CL23,16,70)</f>
        <v>0</v>
      </c>
      <c r="M18" s="3085">
        <f>HLOOKUP(M3,P3:CL23,16,70)</f>
        <v>0</v>
      </c>
      <c r="N18" s="3085">
        <f>HLOOKUP(N3,P3:CL23,16,70)</f>
        <v>0</v>
      </c>
      <c r="O18" s="2236">
        <f>HLOOKUP(O3,P3:CL23,16,70)</f>
        <v>0</v>
      </c>
      <c r="P18" s="3107"/>
      <c r="Q18" s="3085"/>
      <c r="R18" s="3085"/>
      <c r="S18" s="3085"/>
      <c r="T18" s="3102"/>
      <c r="U18" s="2238"/>
      <c r="V18" s="3085"/>
      <c r="W18" s="3085"/>
      <c r="X18" s="3085"/>
      <c r="Y18" s="2236"/>
      <c r="Z18" s="3107"/>
      <c r="AA18" s="3085"/>
      <c r="AB18" s="3085"/>
      <c r="AC18" s="3085"/>
      <c r="AD18" s="3102"/>
      <c r="AE18" s="2238"/>
      <c r="AF18" s="3085"/>
      <c r="AG18" s="3085"/>
      <c r="AH18" s="3085"/>
      <c r="AI18" s="2236"/>
      <c r="AJ18" s="3107"/>
      <c r="AK18" s="3085"/>
      <c r="AL18" s="3085"/>
      <c r="AM18" s="3085"/>
      <c r="AN18" s="3102"/>
      <c r="AO18" s="2238"/>
      <c r="AP18" s="3085"/>
      <c r="AQ18" s="3085"/>
      <c r="AR18" s="3085"/>
      <c r="AS18" s="2236"/>
      <c r="AT18" s="3107"/>
      <c r="AU18" s="3085"/>
      <c r="AV18" s="3085"/>
      <c r="AW18" s="3085"/>
      <c r="AX18" s="3102"/>
      <c r="AY18" s="2238"/>
      <c r="AZ18" s="3085"/>
      <c r="BA18" s="3085"/>
      <c r="BB18" s="3085"/>
      <c r="BC18" s="2236"/>
      <c r="BD18" s="3107"/>
      <c r="BE18" s="3085"/>
      <c r="BF18" s="3085"/>
      <c r="BG18" s="3085"/>
      <c r="BH18" s="3102"/>
      <c r="BI18" s="3107"/>
      <c r="BJ18" s="3085"/>
      <c r="BK18" s="3085"/>
      <c r="BL18" s="3085"/>
      <c r="BM18" s="3102"/>
      <c r="BN18" s="3107"/>
      <c r="BO18" s="3085"/>
      <c r="BP18" s="3085"/>
      <c r="BQ18" s="3085"/>
      <c r="BR18" s="3102"/>
      <c r="BS18" s="2238"/>
      <c r="BT18" s="3085"/>
      <c r="BU18" s="3085"/>
      <c r="BV18" s="3085"/>
      <c r="BW18" s="2236"/>
      <c r="BX18" s="3107"/>
      <c r="BY18" s="3085"/>
      <c r="BZ18" s="3085"/>
      <c r="CA18" s="3085"/>
      <c r="CB18" s="3102"/>
      <c r="CC18" s="2238"/>
      <c r="CD18" s="3085"/>
      <c r="CE18" s="3085"/>
      <c r="CF18" s="3085"/>
      <c r="CG18" s="2236"/>
      <c r="CH18" s="3107"/>
      <c r="CI18" s="3085"/>
      <c r="CJ18" s="3085"/>
      <c r="CK18" s="3085"/>
      <c r="CL18" s="3102"/>
      <c r="CM18" s="3096"/>
      <c r="CN18" s="3097"/>
    </row>
    <row r="19" spans="1:92" s="1466" customFormat="1">
      <c r="A19" s="3103">
        <f>'VISITA DE INSP.'!B32</f>
        <v>0</v>
      </c>
      <c r="B19" s="3104">
        <f>'VISITA DE INSP.'!C32</f>
        <v>0</v>
      </c>
      <c r="C19" s="3105">
        <f>'VISITA DE INSP.'!D32</f>
        <v>0</v>
      </c>
      <c r="D19" s="3104">
        <f t="shared" si="3"/>
        <v>0</v>
      </c>
      <c r="E19" s="3104">
        <f t="shared" si="3"/>
        <v>0</v>
      </c>
      <c r="F19" s="3104">
        <f t="shared" si="1"/>
        <v>0</v>
      </c>
      <c r="G19" s="3104">
        <f t="shared" si="1"/>
        <v>0</v>
      </c>
      <c r="H19" s="3104">
        <f t="shared" si="1"/>
        <v>0</v>
      </c>
      <c r="I19" s="3106"/>
      <c r="J19" s="778"/>
      <c r="K19" s="3085">
        <f>HLOOKUP(K3,P3:CL23,17,70)</f>
        <v>0</v>
      </c>
      <c r="L19" s="3085">
        <f>HLOOKUP(L3,P3:CL23,17,70)</f>
        <v>0</v>
      </c>
      <c r="M19" s="3085">
        <f>HLOOKUP(M3,P3:CL23,17,70)</f>
        <v>0</v>
      </c>
      <c r="N19" s="3085">
        <f>HLOOKUP(N3,P3:CL23,17,70)</f>
        <v>0</v>
      </c>
      <c r="O19" s="2236">
        <f>HLOOKUP(O3,P3:CL23,17,70)</f>
        <v>0</v>
      </c>
      <c r="P19" s="3107"/>
      <c r="Q19" s="3085"/>
      <c r="R19" s="3085"/>
      <c r="S19" s="3085"/>
      <c r="T19" s="3102"/>
      <c r="U19" s="2238"/>
      <c r="V19" s="3085"/>
      <c r="W19" s="3085"/>
      <c r="X19" s="3085"/>
      <c r="Y19" s="2236"/>
      <c r="Z19" s="3107"/>
      <c r="AA19" s="3085"/>
      <c r="AB19" s="3085"/>
      <c r="AC19" s="3085"/>
      <c r="AD19" s="3102"/>
      <c r="AE19" s="2238"/>
      <c r="AF19" s="3085"/>
      <c r="AG19" s="3085"/>
      <c r="AH19" s="3085"/>
      <c r="AI19" s="2236"/>
      <c r="AJ19" s="3107"/>
      <c r="AK19" s="3085"/>
      <c r="AL19" s="3085"/>
      <c r="AM19" s="3085"/>
      <c r="AN19" s="3102"/>
      <c r="AO19" s="2238"/>
      <c r="AP19" s="3085"/>
      <c r="AQ19" s="3085"/>
      <c r="AR19" s="3085"/>
      <c r="AS19" s="2236"/>
      <c r="AT19" s="3107"/>
      <c r="AU19" s="3085"/>
      <c r="AV19" s="3085"/>
      <c r="AW19" s="3085"/>
      <c r="AX19" s="3102"/>
      <c r="AY19" s="2238"/>
      <c r="AZ19" s="3085"/>
      <c r="BA19" s="3085"/>
      <c r="BB19" s="3085"/>
      <c r="BC19" s="2236"/>
      <c r="BD19" s="3107"/>
      <c r="BE19" s="3085"/>
      <c r="BF19" s="3085"/>
      <c r="BG19" s="3085"/>
      <c r="BH19" s="3102"/>
      <c r="BI19" s="3107"/>
      <c r="BJ19" s="3085"/>
      <c r="BK19" s="3085"/>
      <c r="BL19" s="3085"/>
      <c r="BM19" s="3102"/>
      <c r="BN19" s="3107"/>
      <c r="BO19" s="3085"/>
      <c r="BP19" s="3085"/>
      <c r="BQ19" s="3085"/>
      <c r="BR19" s="3102"/>
      <c r="BS19" s="2238"/>
      <c r="BT19" s="3085"/>
      <c r="BU19" s="3085"/>
      <c r="BV19" s="3085"/>
      <c r="BW19" s="2236"/>
      <c r="BX19" s="3107"/>
      <c r="BY19" s="3085"/>
      <c r="BZ19" s="3085"/>
      <c r="CA19" s="3085"/>
      <c r="CB19" s="3102"/>
      <c r="CC19" s="2238"/>
      <c r="CD19" s="3085"/>
      <c r="CE19" s="3085"/>
      <c r="CF19" s="3085"/>
      <c r="CG19" s="2236"/>
      <c r="CH19" s="3107"/>
      <c r="CI19" s="3085"/>
      <c r="CJ19" s="3085"/>
      <c r="CK19" s="3085"/>
      <c r="CL19" s="3102"/>
      <c r="CM19" s="3096"/>
      <c r="CN19" s="3097"/>
    </row>
    <row r="20" spans="1:92" s="1466" customFormat="1">
      <c r="A20" s="3103">
        <f>'VISITA DE INSP.'!B33</f>
        <v>0</v>
      </c>
      <c r="B20" s="3104">
        <f>'VISITA DE INSP.'!C33</f>
        <v>0</v>
      </c>
      <c r="C20" s="3105">
        <f>'VISITA DE INSP.'!D33</f>
        <v>0</v>
      </c>
      <c r="D20" s="3104">
        <f t="shared" si="3"/>
        <v>0</v>
      </c>
      <c r="E20" s="3104">
        <f t="shared" si="3"/>
        <v>0</v>
      </c>
      <c r="F20" s="3104">
        <f t="shared" si="3"/>
        <v>0</v>
      </c>
      <c r="G20" s="3104">
        <f t="shared" si="3"/>
        <v>0</v>
      </c>
      <c r="H20" s="3104">
        <f t="shared" si="3"/>
        <v>0</v>
      </c>
      <c r="I20" s="3106"/>
      <c r="J20" s="778"/>
      <c r="K20" s="3085">
        <f>HLOOKUP(K3,P3:CL23,18,70)</f>
        <v>0</v>
      </c>
      <c r="L20" s="3085">
        <f>HLOOKUP(L3,P3:CL23,18,70)</f>
        <v>0</v>
      </c>
      <c r="M20" s="3085">
        <f>HLOOKUP(M3,P3:CL23,18,70)</f>
        <v>0</v>
      </c>
      <c r="N20" s="3085">
        <f>HLOOKUP(N3,P3:CL23,18,70)</f>
        <v>0</v>
      </c>
      <c r="O20" s="2236">
        <f>HLOOKUP(O3,P3:CL23,18,70)</f>
        <v>0</v>
      </c>
      <c r="P20" s="3107"/>
      <c r="Q20" s="3085"/>
      <c r="R20" s="3085"/>
      <c r="S20" s="3085"/>
      <c r="T20" s="3102"/>
      <c r="U20" s="2238"/>
      <c r="V20" s="3085"/>
      <c r="W20" s="3085"/>
      <c r="X20" s="3085"/>
      <c r="Y20" s="2236"/>
      <c r="Z20" s="3107"/>
      <c r="AA20" s="3085"/>
      <c r="AB20" s="3085"/>
      <c r="AC20" s="3085"/>
      <c r="AD20" s="3102"/>
      <c r="AE20" s="2238"/>
      <c r="AF20" s="3085"/>
      <c r="AG20" s="3085"/>
      <c r="AH20" s="3085"/>
      <c r="AI20" s="2236"/>
      <c r="AJ20" s="3107"/>
      <c r="AK20" s="3085"/>
      <c r="AL20" s="3085"/>
      <c r="AM20" s="3085"/>
      <c r="AN20" s="3102"/>
      <c r="AO20" s="2238"/>
      <c r="AP20" s="3085"/>
      <c r="AQ20" s="3085"/>
      <c r="AR20" s="3085"/>
      <c r="AS20" s="2236"/>
      <c r="AT20" s="3107"/>
      <c r="AU20" s="3085"/>
      <c r="AV20" s="3085"/>
      <c r="AW20" s="3085"/>
      <c r="AX20" s="3102"/>
      <c r="AY20" s="2238"/>
      <c r="AZ20" s="3085"/>
      <c r="BA20" s="3085"/>
      <c r="BB20" s="3085"/>
      <c r="BC20" s="2236"/>
      <c r="BD20" s="3107"/>
      <c r="BE20" s="3085"/>
      <c r="BF20" s="3085"/>
      <c r="BG20" s="3085"/>
      <c r="BH20" s="3102"/>
      <c r="BI20" s="3107"/>
      <c r="BJ20" s="3085"/>
      <c r="BK20" s="3085"/>
      <c r="BL20" s="3085"/>
      <c r="BM20" s="3102"/>
      <c r="BN20" s="3107"/>
      <c r="BO20" s="3085"/>
      <c r="BP20" s="3085"/>
      <c r="BQ20" s="3085"/>
      <c r="BR20" s="3102"/>
      <c r="BS20" s="2238"/>
      <c r="BT20" s="3085"/>
      <c r="BU20" s="3085"/>
      <c r="BV20" s="3085"/>
      <c r="BW20" s="2236"/>
      <c r="BX20" s="3107"/>
      <c r="BY20" s="3085"/>
      <c r="BZ20" s="3085"/>
      <c r="CA20" s="3085"/>
      <c r="CB20" s="3102"/>
      <c r="CC20" s="2238"/>
      <c r="CD20" s="3085"/>
      <c r="CE20" s="3085"/>
      <c r="CF20" s="3085"/>
      <c r="CG20" s="2236"/>
      <c r="CH20" s="3107"/>
      <c r="CI20" s="3085"/>
      <c r="CJ20" s="3085"/>
      <c r="CK20" s="3085"/>
      <c r="CL20" s="3102"/>
      <c r="CM20" s="3096"/>
      <c r="CN20" s="3097"/>
    </row>
    <row r="21" spans="1:92" s="1466" customFormat="1">
      <c r="A21" s="3103">
        <f>'VISITA DE INSP.'!B34</f>
        <v>0</v>
      </c>
      <c r="B21" s="3104">
        <f>'VISITA DE INSP.'!C34</f>
        <v>0</v>
      </c>
      <c r="C21" s="3105" t="str">
        <f>'VISITA DE INSP.'!D34</f>
        <v>GARDUÑO CASTILLO * MERLI ROCIO</v>
      </c>
      <c r="D21" s="3104">
        <f t="shared" si="3"/>
        <v>0</v>
      </c>
      <c r="E21" s="3104">
        <f t="shared" si="3"/>
        <v>0</v>
      </c>
      <c r="F21" s="3104">
        <f t="shared" si="3"/>
        <v>0</v>
      </c>
      <c r="G21" s="3104">
        <f t="shared" si="3"/>
        <v>0</v>
      </c>
      <c r="H21" s="3104">
        <f t="shared" si="3"/>
        <v>0</v>
      </c>
      <c r="I21" s="3106"/>
      <c r="J21" s="778"/>
      <c r="K21" s="3085">
        <f>HLOOKUP(K3,P3:CL23,19,70)</f>
        <v>0</v>
      </c>
      <c r="L21" s="3085">
        <f>HLOOKUP(L3,P3:CL23,19,70)</f>
        <v>0</v>
      </c>
      <c r="M21" s="3085">
        <f>HLOOKUP(M3,P3:CL23,19,70)</f>
        <v>0</v>
      </c>
      <c r="N21" s="3085">
        <f>HLOOKUP(N3,P3:CL23,19,70)</f>
        <v>0</v>
      </c>
      <c r="O21" s="2236">
        <f>HLOOKUP(O3,P3:CL23,19,70)</f>
        <v>0</v>
      </c>
      <c r="P21" s="3107"/>
      <c r="Q21" s="3085"/>
      <c r="R21" s="3085"/>
      <c r="S21" s="3085"/>
      <c r="T21" s="3102"/>
      <c r="U21" s="2238"/>
      <c r="V21" s="3085"/>
      <c r="W21" s="3085"/>
      <c r="X21" s="3085"/>
      <c r="Y21" s="2236"/>
      <c r="Z21" s="3107"/>
      <c r="AA21" s="3085"/>
      <c r="AB21" s="3085"/>
      <c r="AC21" s="3085"/>
      <c r="AD21" s="3102"/>
      <c r="AE21" s="2238"/>
      <c r="AF21" s="3085"/>
      <c r="AG21" s="3085"/>
      <c r="AH21" s="3085"/>
      <c r="AI21" s="2236"/>
      <c r="AJ21" s="3107"/>
      <c r="AK21" s="3085"/>
      <c r="AL21" s="3085"/>
      <c r="AM21" s="3085"/>
      <c r="AN21" s="3102"/>
      <c r="AO21" s="2238"/>
      <c r="AP21" s="3085"/>
      <c r="AQ21" s="3085"/>
      <c r="AR21" s="3085"/>
      <c r="AS21" s="2236"/>
      <c r="AT21" s="3107"/>
      <c r="AU21" s="3085"/>
      <c r="AV21" s="3085"/>
      <c r="AW21" s="3085"/>
      <c r="AX21" s="3102"/>
      <c r="AY21" s="2238"/>
      <c r="AZ21" s="3085"/>
      <c r="BA21" s="3085"/>
      <c r="BB21" s="3085"/>
      <c r="BC21" s="2236"/>
      <c r="BD21" s="3107"/>
      <c r="BE21" s="3085"/>
      <c r="BF21" s="3085"/>
      <c r="BG21" s="3085"/>
      <c r="BH21" s="3102"/>
      <c r="BI21" s="3107"/>
      <c r="BJ21" s="3085"/>
      <c r="BK21" s="3085"/>
      <c r="BL21" s="3085"/>
      <c r="BM21" s="3102"/>
      <c r="BN21" s="3107"/>
      <c r="BO21" s="3085"/>
      <c r="BP21" s="3085"/>
      <c r="BQ21" s="3085"/>
      <c r="BR21" s="3102"/>
      <c r="BS21" s="2238"/>
      <c r="BT21" s="3085"/>
      <c r="BU21" s="3085"/>
      <c r="BV21" s="3085"/>
      <c r="BW21" s="2236"/>
      <c r="BX21" s="3107"/>
      <c r="BY21" s="3085"/>
      <c r="BZ21" s="3085"/>
      <c r="CA21" s="3085"/>
      <c r="CB21" s="3102"/>
      <c r="CC21" s="2238"/>
      <c r="CD21" s="3085"/>
      <c r="CE21" s="3085"/>
      <c r="CF21" s="3085"/>
      <c r="CG21" s="2236"/>
      <c r="CH21" s="3107"/>
      <c r="CI21" s="3085"/>
      <c r="CJ21" s="3085"/>
      <c r="CK21" s="3085"/>
      <c r="CL21" s="3102"/>
      <c r="CM21" s="3096"/>
      <c r="CN21" s="3097"/>
    </row>
    <row r="22" spans="1:92" s="1466" customFormat="1">
      <c r="A22" s="3103">
        <f>'VISITA DE INSP.'!B35</f>
        <v>0</v>
      </c>
      <c r="B22" s="3104">
        <f>'VISITA DE INSP.'!C35</f>
        <v>0</v>
      </c>
      <c r="C22" s="3105" t="str">
        <f>'VISITA DE INSP.'!D35</f>
        <v>POOT QUEB *LUIS ARMANDO</v>
      </c>
      <c r="D22" s="3104">
        <f t="shared" si="3"/>
        <v>0</v>
      </c>
      <c r="E22" s="3104">
        <f t="shared" si="3"/>
        <v>0</v>
      </c>
      <c r="F22" s="3104">
        <f t="shared" si="3"/>
        <v>0</v>
      </c>
      <c r="G22" s="3104">
        <f t="shared" si="3"/>
        <v>0</v>
      </c>
      <c r="H22" s="3104">
        <f t="shared" si="3"/>
        <v>0</v>
      </c>
      <c r="I22" s="3106"/>
      <c r="J22" s="778"/>
      <c r="K22" s="3085">
        <f>HLOOKUP(K3,P3:CL23,20,70)</f>
        <v>0</v>
      </c>
      <c r="L22" s="3085">
        <f>HLOOKUP(L3,P3:CL23,20,70)</f>
        <v>0</v>
      </c>
      <c r="M22" s="3085">
        <f>HLOOKUP(M3,P3:CL23,20,70)</f>
        <v>0</v>
      </c>
      <c r="N22" s="3085">
        <f>HLOOKUP(N3,P3:CL23,20,70)</f>
        <v>0</v>
      </c>
      <c r="O22" s="2236">
        <f>HLOOKUP(O3,P3:CL23,20,70)</f>
        <v>0</v>
      </c>
      <c r="P22" s="3107"/>
      <c r="Q22" s="3085"/>
      <c r="R22" s="3085"/>
      <c r="S22" s="3085"/>
      <c r="T22" s="3102"/>
      <c r="U22" s="2238"/>
      <c r="V22" s="3085"/>
      <c r="W22" s="3085"/>
      <c r="X22" s="3085"/>
      <c r="Y22" s="2236"/>
      <c r="Z22" s="3107"/>
      <c r="AA22" s="3085"/>
      <c r="AB22" s="3085"/>
      <c r="AC22" s="3085"/>
      <c r="AD22" s="3102"/>
      <c r="AE22" s="2238"/>
      <c r="AF22" s="3085"/>
      <c r="AG22" s="3085"/>
      <c r="AH22" s="3085"/>
      <c r="AI22" s="2236"/>
      <c r="AJ22" s="3107"/>
      <c r="AK22" s="3085"/>
      <c r="AL22" s="3085"/>
      <c r="AM22" s="3085"/>
      <c r="AN22" s="3102"/>
      <c r="AO22" s="2238"/>
      <c r="AP22" s="3085"/>
      <c r="AQ22" s="3085"/>
      <c r="AR22" s="3085"/>
      <c r="AS22" s="2236"/>
      <c r="AT22" s="3107"/>
      <c r="AU22" s="3085"/>
      <c r="AV22" s="3085"/>
      <c r="AW22" s="3085"/>
      <c r="AX22" s="3102"/>
      <c r="AY22" s="2238"/>
      <c r="AZ22" s="3085"/>
      <c r="BA22" s="3085"/>
      <c r="BB22" s="3085"/>
      <c r="BC22" s="2236"/>
      <c r="BD22" s="3107"/>
      <c r="BE22" s="3085"/>
      <c r="BF22" s="3085"/>
      <c r="BG22" s="3085"/>
      <c r="BH22" s="3102"/>
      <c r="BI22" s="3107"/>
      <c r="BJ22" s="3085"/>
      <c r="BK22" s="3085"/>
      <c r="BL22" s="3085"/>
      <c r="BM22" s="3102"/>
      <c r="BN22" s="3107"/>
      <c r="BO22" s="3085"/>
      <c r="BP22" s="3085"/>
      <c r="BQ22" s="3085"/>
      <c r="BR22" s="3102"/>
      <c r="BS22" s="2238"/>
      <c r="BT22" s="3085"/>
      <c r="BU22" s="3085"/>
      <c r="BV22" s="3085"/>
      <c r="BW22" s="2236"/>
      <c r="BX22" s="3107"/>
      <c r="BY22" s="3085"/>
      <c r="BZ22" s="3085"/>
      <c r="CA22" s="3085"/>
      <c r="CB22" s="3102"/>
      <c r="CC22" s="2238"/>
      <c r="CD22" s="3085"/>
      <c r="CE22" s="3085"/>
      <c r="CF22" s="3085"/>
      <c r="CG22" s="2236"/>
      <c r="CH22" s="3107"/>
      <c r="CI22" s="3085"/>
      <c r="CJ22" s="3085"/>
      <c r="CK22" s="3085"/>
      <c r="CL22" s="3102"/>
      <c r="CM22" s="3096"/>
      <c r="CN22" s="3097"/>
    </row>
    <row r="23" spans="1:92" s="1466" customFormat="1" ht="13.5" thickBot="1">
      <c r="A23" s="3108">
        <f>'VISITA DE INSP.'!B36</f>
        <v>0</v>
      </c>
      <c r="B23" s="3109">
        <f>'VISITA DE INSP.'!C36</f>
        <v>0</v>
      </c>
      <c r="C23" s="3110">
        <f>'VISITA DE INSP.'!D36</f>
        <v>0</v>
      </c>
      <c r="D23" s="3109">
        <f t="shared" si="3"/>
        <v>0</v>
      </c>
      <c r="E23" s="3109">
        <f t="shared" si="3"/>
        <v>0</v>
      </c>
      <c r="F23" s="3109">
        <f t="shared" si="3"/>
        <v>0</v>
      </c>
      <c r="G23" s="3109">
        <f t="shared" si="3"/>
        <v>0</v>
      </c>
      <c r="H23" s="3109">
        <f t="shared" si="3"/>
        <v>0</v>
      </c>
      <c r="I23" s="3111"/>
      <c r="J23" s="778"/>
      <c r="K23" s="3085">
        <f>HLOOKUP(K3,P3:CL23,21,70)</f>
        <v>0</v>
      </c>
      <c r="L23" s="3085">
        <f>HLOOKUP(L3,P3:CL23,21,70)</f>
        <v>0</v>
      </c>
      <c r="M23" s="3085">
        <f>HLOOKUP(M3,P3:CL23,21,70)</f>
        <v>0</v>
      </c>
      <c r="N23" s="3085">
        <f>HLOOKUP(N3,P3:CL23,21,70)</f>
        <v>0</v>
      </c>
      <c r="O23" s="2236">
        <f>HLOOKUP(O3,P3:CL23,21,70)</f>
        <v>0</v>
      </c>
      <c r="P23" s="3112"/>
      <c r="Q23" s="3113"/>
      <c r="R23" s="3113"/>
      <c r="S23" s="3113"/>
      <c r="T23" s="3114"/>
      <c r="U23" s="3115"/>
      <c r="V23" s="3113"/>
      <c r="W23" s="3113"/>
      <c r="X23" s="3113"/>
      <c r="Y23" s="3116"/>
      <c r="Z23" s="3112"/>
      <c r="AA23" s="3113"/>
      <c r="AB23" s="3113"/>
      <c r="AC23" s="3113"/>
      <c r="AD23" s="3114"/>
      <c r="AE23" s="3115"/>
      <c r="AF23" s="3113"/>
      <c r="AG23" s="3113"/>
      <c r="AH23" s="3113"/>
      <c r="AI23" s="3116"/>
      <c r="AJ23" s="3112"/>
      <c r="AK23" s="3113"/>
      <c r="AL23" s="3113"/>
      <c r="AM23" s="3113"/>
      <c r="AN23" s="3114"/>
      <c r="AO23" s="3115"/>
      <c r="AP23" s="3113"/>
      <c r="AQ23" s="3113"/>
      <c r="AR23" s="3113"/>
      <c r="AS23" s="3116"/>
      <c r="AT23" s="3112"/>
      <c r="AU23" s="3113"/>
      <c r="AV23" s="3113"/>
      <c r="AW23" s="3113"/>
      <c r="AX23" s="3114"/>
      <c r="AY23" s="3115"/>
      <c r="AZ23" s="3113"/>
      <c r="BA23" s="3113"/>
      <c r="BB23" s="3113"/>
      <c r="BC23" s="3116"/>
      <c r="BD23" s="3112"/>
      <c r="BE23" s="3113"/>
      <c r="BF23" s="3113"/>
      <c r="BG23" s="3113"/>
      <c r="BH23" s="3114"/>
      <c r="BI23" s="3112"/>
      <c r="BJ23" s="3113"/>
      <c r="BK23" s="3113"/>
      <c r="BL23" s="3113"/>
      <c r="BM23" s="3114"/>
      <c r="BN23" s="3112"/>
      <c r="BO23" s="3113"/>
      <c r="BP23" s="3113"/>
      <c r="BQ23" s="3113"/>
      <c r="BR23" s="3114"/>
      <c r="BS23" s="3115"/>
      <c r="BT23" s="3113"/>
      <c r="BU23" s="3113"/>
      <c r="BV23" s="3113"/>
      <c r="BW23" s="3116"/>
      <c r="BX23" s="3112"/>
      <c r="BY23" s="3113"/>
      <c r="BZ23" s="3113"/>
      <c r="CA23" s="3113"/>
      <c r="CB23" s="3114"/>
      <c r="CC23" s="3115"/>
      <c r="CD23" s="3113"/>
      <c r="CE23" s="3113"/>
      <c r="CF23" s="3113"/>
      <c r="CG23" s="3116"/>
      <c r="CH23" s="3112"/>
      <c r="CI23" s="3113"/>
      <c r="CJ23" s="3113"/>
      <c r="CK23" s="3113"/>
      <c r="CL23" s="3114"/>
      <c r="CM23" s="3117"/>
      <c r="CN23" s="3118"/>
    </row>
  </sheetData>
  <mergeCells count="20">
    <mergeCell ref="AT1:AX1"/>
    <mergeCell ref="AY1:BC1"/>
    <mergeCell ref="BD1:BH1"/>
    <mergeCell ref="BI1:BM1"/>
    <mergeCell ref="C1:I1"/>
    <mergeCell ref="K1:O1"/>
    <mergeCell ref="P1:T1"/>
    <mergeCell ref="U1:Y1"/>
    <mergeCell ref="Z1:AD1"/>
    <mergeCell ref="AE1:AI1"/>
    <mergeCell ref="A2:C2"/>
    <mergeCell ref="D2:H2"/>
    <mergeCell ref="I2:I3"/>
    <mergeCell ref="AJ1:AN1"/>
    <mergeCell ref="AO1:AS1"/>
    <mergeCell ref="BN1:BR1"/>
    <mergeCell ref="BS1:BW1"/>
    <mergeCell ref="BX1:CB1"/>
    <mergeCell ref="CC1:CG1"/>
    <mergeCell ref="CH1:CL1"/>
  </mergeCells>
  <conditionalFormatting sqref="A1:XFD1048576">
    <cfRule type="cellIs" dxfId="2" priority="1" operator="equal">
      <formula>0</formula>
    </cfRule>
  </conditionalFormatting>
  <pageMargins left="0.7" right="0.7" top="0.75" bottom="0.75" header="0.3" footer="0.3"/>
  <pageSetup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0.89999084444715716"/>
  </sheetPr>
  <dimension ref="B1:AP24"/>
  <sheetViews>
    <sheetView view="pageBreakPreview" zoomScale="60" zoomScaleNormal="90" workbookViewId="0">
      <selection activeCell="E19" sqref="E19:AJ20"/>
    </sheetView>
  </sheetViews>
  <sheetFormatPr baseColWidth="10" defaultRowHeight="12.75"/>
  <cols>
    <col min="1" max="1" width="0.7109375" style="2584" customWidth="1"/>
    <col min="2" max="2" width="15.85546875" style="2584" customWidth="1"/>
    <col min="3" max="42" width="4" style="2584" customWidth="1"/>
    <col min="43" max="43" width="0.5703125" style="2584" customWidth="1"/>
    <col min="44" max="16384" width="11.42578125" style="2584"/>
  </cols>
  <sheetData>
    <row r="1" spans="2:42" ht="38.25" customHeight="1"/>
    <row r="2" spans="2:42" ht="31.5" customHeight="1"/>
    <row r="3" spans="2:42" ht="31.5" customHeight="1"/>
    <row r="4" spans="2:42" ht="23.25" customHeight="1">
      <c r="B4" s="3322" t="s">
        <v>1145</v>
      </c>
      <c r="C4" s="5543" t="s">
        <v>2494</v>
      </c>
      <c r="D4" s="5543"/>
      <c r="E4" s="5543"/>
      <c r="F4" s="5543"/>
      <c r="G4" s="5543" t="s">
        <v>1783</v>
      </c>
      <c r="H4" s="5543"/>
      <c r="I4" s="5543"/>
      <c r="J4" s="5543"/>
      <c r="K4" s="5543" t="s">
        <v>2495</v>
      </c>
      <c r="L4" s="5543"/>
      <c r="M4" s="5543"/>
      <c r="N4" s="5543"/>
      <c r="O4" s="5543" t="s">
        <v>1785</v>
      </c>
      <c r="P4" s="5543"/>
      <c r="Q4" s="5543"/>
      <c r="R4" s="5543"/>
      <c r="S4" s="5543" t="s">
        <v>1786</v>
      </c>
      <c r="T4" s="5543"/>
      <c r="U4" s="5543"/>
      <c r="V4" s="5543"/>
      <c r="W4" s="5543" t="s">
        <v>1787</v>
      </c>
      <c r="X4" s="5543"/>
      <c r="Y4" s="5543"/>
      <c r="Z4" s="5543"/>
      <c r="AA4" s="5543" t="s">
        <v>1744</v>
      </c>
      <c r="AB4" s="5543"/>
      <c r="AC4" s="5543"/>
      <c r="AD4" s="5543"/>
      <c r="AE4" s="5543" t="s">
        <v>1788</v>
      </c>
      <c r="AF4" s="5543"/>
      <c r="AG4" s="5543"/>
      <c r="AH4" s="5543"/>
      <c r="AI4" s="5543" t="s">
        <v>1789</v>
      </c>
      <c r="AJ4" s="5543"/>
      <c r="AK4" s="5543"/>
      <c r="AL4" s="5543"/>
      <c r="AM4" s="5543" t="s">
        <v>1790</v>
      </c>
      <c r="AN4" s="5543"/>
      <c r="AO4" s="5543"/>
      <c r="AP4" s="5543"/>
    </row>
    <row r="5" spans="2:42" ht="23.25" customHeight="1">
      <c r="B5" s="3322" t="s">
        <v>1791</v>
      </c>
      <c r="C5" s="2586">
        <v>1</v>
      </c>
      <c r="D5" s="2586">
        <v>2</v>
      </c>
      <c r="E5" s="2587">
        <v>3</v>
      </c>
      <c r="F5" s="2588">
        <v>4</v>
      </c>
      <c r="G5" s="2589">
        <v>1</v>
      </c>
      <c r="H5" s="2586">
        <v>2</v>
      </c>
      <c r="I5" s="2586">
        <v>3</v>
      </c>
      <c r="J5" s="2586">
        <v>4</v>
      </c>
      <c r="K5" s="2586">
        <v>1</v>
      </c>
      <c r="L5" s="2589">
        <v>2</v>
      </c>
      <c r="M5" s="2586">
        <v>3</v>
      </c>
      <c r="N5" s="2588">
        <v>4</v>
      </c>
      <c r="O5" s="2586">
        <v>1</v>
      </c>
      <c r="P5" s="2586">
        <v>2</v>
      </c>
      <c r="Q5" s="2586">
        <v>3</v>
      </c>
      <c r="R5" s="2586">
        <v>4</v>
      </c>
      <c r="S5" s="2586">
        <v>1</v>
      </c>
      <c r="T5" s="2586">
        <v>2</v>
      </c>
      <c r="U5" s="2586">
        <v>3</v>
      </c>
      <c r="V5" s="2586">
        <v>4</v>
      </c>
      <c r="W5" s="2586">
        <v>1</v>
      </c>
      <c r="X5" s="2586">
        <v>2</v>
      </c>
      <c r="Y5" s="2589">
        <v>3</v>
      </c>
      <c r="Z5" s="2586">
        <v>4</v>
      </c>
      <c r="AA5" s="2586">
        <v>1</v>
      </c>
      <c r="AB5" s="2586">
        <v>2</v>
      </c>
      <c r="AC5" s="2586">
        <v>3</v>
      </c>
      <c r="AD5" s="2586">
        <v>4</v>
      </c>
      <c r="AE5" s="2586">
        <v>1</v>
      </c>
      <c r="AF5" s="2586">
        <v>2</v>
      </c>
      <c r="AG5" s="2586">
        <v>3</v>
      </c>
      <c r="AH5" s="2586">
        <v>4</v>
      </c>
      <c r="AI5" s="2586">
        <v>1</v>
      </c>
      <c r="AJ5" s="2586">
        <v>2</v>
      </c>
      <c r="AK5" s="2586">
        <v>3</v>
      </c>
      <c r="AL5" s="2586">
        <v>4</v>
      </c>
      <c r="AM5" s="2589">
        <v>1</v>
      </c>
      <c r="AN5" s="2586">
        <v>2</v>
      </c>
      <c r="AO5" s="2586">
        <v>3</v>
      </c>
      <c r="AP5" s="2588">
        <v>4</v>
      </c>
    </row>
    <row r="6" spans="2:42" ht="42" customHeight="1">
      <c r="B6" s="5544" t="s">
        <v>1792</v>
      </c>
      <c r="C6" s="5545" t="s">
        <v>1793</v>
      </c>
      <c r="D6" s="5545"/>
      <c r="E6" s="5545"/>
      <c r="F6" s="5545"/>
      <c r="G6" s="5538" t="s">
        <v>1794</v>
      </c>
      <c r="H6" s="5538"/>
      <c r="I6" s="5538"/>
      <c r="J6" s="5538"/>
      <c r="K6" s="5538" t="s">
        <v>1795</v>
      </c>
      <c r="L6" s="5538"/>
      <c r="M6" s="5538"/>
      <c r="N6" s="5538"/>
      <c r="S6" s="2729"/>
      <c r="T6" s="3325"/>
      <c r="U6" s="3325"/>
      <c r="V6" s="3326"/>
      <c r="W6" s="5538" t="s">
        <v>1798</v>
      </c>
      <c r="X6" s="5538"/>
      <c r="Y6" s="5538"/>
      <c r="Z6" s="5538"/>
      <c r="AA6" s="2729"/>
      <c r="AB6" s="3325"/>
      <c r="AC6" s="3325"/>
      <c r="AD6" s="3326"/>
      <c r="AE6" s="2730"/>
      <c r="AF6" s="2731"/>
      <c r="AG6" s="2731"/>
      <c r="AH6" s="2732"/>
      <c r="AI6" s="5590"/>
      <c r="AJ6" s="5591"/>
      <c r="AK6" s="5591"/>
      <c r="AL6" s="5592"/>
      <c r="AM6" s="5538" t="s">
        <v>1800</v>
      </c>
      <c r="AN6" s="5538"/>
      <c r="AO6" s="5538"/>
      <c r="AP6" s="5538"/>
    </row>
    <row r="7" spans="2:42" ht="42" customHeight="1">
      <c r="B7" s="5544"/>
      <c r="C7" s="5541" t="s">
        <v>1801</v>
      </c>
      <c r="D7" s="5541"/>
      <c r="E7" s="5541"/>
      <c r="F7" s="5541"/>
      <c r="G7" s="5593" t="s">
        <v>1802</v>
      </c>
      <c r="H7" s="5539"/>
      <c r="I7" s="5539"/>
      <c r="J7" s="5539"/>
      <c r="K7" s="5540" t="s">
        <v>1803</v>
      </c>
      <c r="L7" s="5540"/>
      <c r="M7" s="5540"/>
      <c r="N7" s="5540"/>
      <c r="O7" s="5542" t="s">
        <v>1797</v>
      </c>
      <c r="P7" s="5539"/>
      <c r="Q7" s="5539"/>
      <c r="R7" s="5539"/>
      <c r="S7" s="5542" t="s">
        <v>1799</v>
      </c>
      <c r="T7" s="5539"/>
      <c r="U7" s="5539"/>
      <c r="V7" s="5539"/>
      <c r="W7" s="2730"/>
      <c r="X7" s="2731"/>
      <c r="Y7" s="2731"/>
      <c r="Z7" s="2732"/>
      <c r="AE7" s="2730"/>
      <c r="AF7" s="2731"/>
      <c r="AG7" s="2731"/>
      <c r="AH7" s="2732"/>
      <c r="AI7" s="5542" t="s">
        <v>1796</v>
      </c>
      <c r="AJ7" s="5539"/>
      <c r="AK7" s="5539"/>
      <c r="AL7" s="5539"/>
      <c r="AM7" s="5540" t="s">
        <v>1804</v>
      </c>
      <c r="AN7" s="5540"/>
      <c r="AO7" s="5540"/>
      <c r="AP7" s="5540"/>
    </row>
    <row r="8" spans="2:42" ht="19.5" customHeight="1">
      <c r="B8" s="2590" t="str">
        <f>'VISITA DE INSP.'!AZ2</f>
        <v>23DPR0055K</v>
      </c>
      <c r="C8" s="2591" t="s">
        <v>1329</v>
      </c>
      <c r="D8" s="2592" t="s">
        <v>1805</v>
      </c>
      <c r="E8" s="2593" t="s">
        <v>1806</v>
      </c>
      <c r="F8" s="2594" t="s">
        <v>1806</v>
      </c>
      <c r="G8" s="2595" t="s">
        <v>1806</v>
      </c>
      <c r="H8" s="2596"/>
      <c r="I8" s="2596"/>
      <c r="J8" s="2596"/>
      <c r="K8" s="2596"/>
      <c r="L8" s="2595" t="s">
        <v>1806</v>
      </c>
      <c r="M8" s="2596"/>
      <c r="N8" s="2594" t="s">
        <v>1806</v>
      </c>
      <c r="O8" s="2596"/>
      <c r="P8" s="2596"/>
      <c r="Q8" s="2596"/>
      <c r="R8" s="2596"/>
      <c r="S8" s="2596"/>
      <c r="T8" s="2596"/>
      <c r="U8" s="2596"/>
      <c r="V8" s="2596"/>
      <c r="W8" s="2596"/>
      <c r="X8" s="2596"/>
      <c r="Y8" s="2595" t="s">
        <v>1806</v>
      </c>
      <c r="Z8" s="2596"/>
      <c r="AA8" s="2596"/>
      <c r="AB8" s="2596"/>
      <c r="AC8" s="2596"/>
      <c r="AD8" s="2596"/>
      <c r="AE8" s="2596"/>
      <c r="AF8" s="2596"/>
      <c r="AG8" s="2596"/>
      <c r="AH8" s="2596"/>
      <c r="AI8" s="2596"/>
      <c r="AJ8" s="2596"/>
      <c r="AK8" s="2596"/>
      <c r="AL8" s="2596"/>
      <c r="AM8" s="2595" t="s">
        <v>1806</v>
      </c>
      <c r="AN8" s="2596"/>
      <c r="AO8" s="2596"/>
      <c r="AP8" s="2594" t="s">
        <v>1806</v>
      </c>
    </row>
    <row r="9" spans="2:42" ht="19.5" customHeight="1">
      <c r="B9" s="2590" t="str">
        <f>'VISITA DE INSP.'!AZ3</f>
        <v>23DPR0491L</v>
      </c>
      <c r="C9" s="2591" t="s">
        <v>1269</v>
      </c>
      <c r="D9" s="2592" t="s">
        <v>1807</v>
      </c>
      <c r="E9" s="2593" t="s">
        <v>1806</v>
      </c>
      <c r="F9" s="2594" t="s">
        <v>1806</v>
      </c>
      <c r="G9" s="2595" t="s">
        <v>1806</v>
      </c>
      <c r="H9" s="2596"/>
      <c r="I9" s="2596"/>
      <c r="J9" s="2596"/>
      <c r="K9" s="2596"/>
      <c r="L9" s="2595" t="s">
        <v>1806</v>
      </c>
      <c r="M9" s="2596"/>
      <c r="N9" s="2594" t="s">
        <v>1806</v>
      </c>
      <c r="O9" s="2596"/>
      <c r="P9" s="2596"/>
      <c r="Q9" s="2596"/>
      <c r="R9" s="2596"/>
      <c r="S9" s="2596"/>
      <c r="T9" s="2596"/>
      <c r="U9" s="2596"/>
      <c r="V9" s="2596"/>
      <c r="W9" s="2596"/>
      <c r="X9" s="2596"/>
      <c r="Y9" s="2595" t="s">
        <v>1806</v>
      </c>
      <c r="Z9" s="2596"/>
      <c r="AA9" s="2596"/>
      <c r="AB9" s="2596"/>
      <c r="AC9" s="2596"/>
      <c r="AD9" s="2596"/>
      <c r="AE9" s="2596"/>
      <c r="AF9" s="2596"/>
      <c r="AG9" s="2596"/>
      <c r="AH9" s="2596"/>
      <c r="AI9" s="2596"/>
      <c r="AJ9" s="2596"/>
      <c r="AK9" s="2596"/>
      <c r="AL9" s="2596"/>
      <c r="AM9" s="2595" t="s">
        <v>1806</v>
      </c>
      <c r="AN9" s="2596"/>
      <c r="AO9" s="2596"/>
      <c r="AP9" s="2594" t="s">
        <v>1806</v>
      </c>
    </row>
    <row r="10" spans="2:42" ht="19.5" customHeight="1">
      <c r="B10" s="2590" t="str">
        <f>'VISITA DE INSP.'!AZ4</f>
        <v>23DPR0492K</v>
      </c>
      <c r="C10" s="2591" t="s">
        <v>1237</v>
      </c>
      <c r="D10" s="2592" t="s">
        <v>1808</v>
      </c>
      <c r="E10" s="2593" t="s">
        <v>1806</v>
      </c>
      <c r="F10" s="2594" t="s">
        <v>1806</v>
      </c>
      <c r="G10" s="2595" t="s">
        <v>1806</v>
      </c>
      <c r="H10" s="2596"/>
      <c r="I10" s="2596"/>
      <c r="J10" s="2596"/>
      <c r="K10" s="2596"/>
      <c r="L10" s="2595" t="s">
        <v>1806</v>
      </c>
      <c r="M10" s="2596"/>
      <c r="N10" s="2594" t="s">
        <v>1806</v>
      </c>
      <c r="O10" s="2596"/>
      <c r="P10" s="2596"/>
      <c r="Q10" s="2596"/>
      <c r="R10" s="2596"/>
      <c r="S10" s="2596"/>
      <c r="T10" s="2596"/>
      <c r="U10" s="2596"/>
      <c r="V10" s="2596"/>
      <c r="W10" s="2596"/>
      <c r="X10" s="2596"/>
      <c r="Y10" s="2595" t="s">
        <v>1806</v>
      </c>
      <c r="Z10" s="2596"/>
      <c r="AA10" s="2596"/>
      <c r="AB10" s="2596"/>
      <c r="AC10" s="2596"/>
      <c r="AD10" s="2596"/>
      <c r="AE10" s="2596"/>
      <c r="AF10" s="2596"/>
      <c r="AG10" s="2596"/>
      <c r="AH10" s="2596"/>
      <c r="AI10" s="2596"/>
      <c r="AJ10" s="2596"/>
      <c r="AK10" s="2596"/>
      <c r="AL10" s="2596"/>
      <c r="AM10" s="2595" t="s">
        <v>1806</v>
      </c>
      <c r="AN10" s="2596"/>
      <c r="AO10" s="2596"/>
      <c r="AP10" s="2594" t="s">
        <v>1806</v>
      </c>
    </row>
    <row r="11" spans="2:42" ht="19.5" customHeight="1">
      <c r="B11" s="2590" t="str">
        <f>'VISITA DE INSP.'!AZ5</f>
        <v>23DPR0564N</v>
      </c>
      <c r="C11" s="2591" t="s">
        <v>1277</v>
      </c>
      <c r="D11" s="2592" t="s">
        <v>1809</v>
      </c>
      <c r="E11" s="2593" t="s">
        <v>1806</v>
      </c>
      <c r="F11" s="2594" t="s">
        <v>1806</v>
      </c>
      <c r="G11" s="2595" t="s">
        <v>1806</v>
      </c>
      <c r="H11" s="2596"/>
      <c r="I11" s="2596"/>
      <c r="J11" s="2596"/>
      <c r="K11" s="2596"/>
      <c r="L11" s="2595" t="s">
        <v>1806</v>
      </c>
      <c r="M11" s="2596"/>
      <c r="N11" s="2594" t="s">
        <v>1806</v>
      </c>
      <c r="O11" s="2596"/>
      <c r="P11" s="2596"/>
      <c r="Q11" s="2596"/>
      <c r="R11" s="2596"/>
      <c r="S11" s="2596"/>
      <c r="T11" s="2596"/>
      <c r="U11" s="2596"/>
      <c r="V11" s="2596"/>
      <c r="W11" s="2596"/>
      <c r="X11" s="2596"/>
      <c r="Y11" s="2595" t="s">
        <v>1806</v>
      </c>
      <c r="Z11" s="2596"/>
      <c r="AA11" s="2596"/>
      <c r="AB11" s="2596"/>
      <c r="AC11" s="2596"/>
      <c r="AD11" s="2596"/>
      <c r="AE11" s="2596"/>
      <c r="AF11" s="2596"/>
      <c r="AG11" s="2596"/>
      <c r="AH11" s="2596"/>
      <c r="AI11" s="2596"/>
      <c r="AJ11" s="2596"/>
      <c r="AK11" s="2596"/>
      <c r="AL11" s="2596"/>
      <c r="AM11" s="2595" t="s">
        <v>1806</v>
      </c>
      <c r="AN11" s="2596"/>
      <c r="AO11" s="2596"/>
      <c r="AP11" s="2594" t="s">
        <v>1806</v>
      </c>
    </row>
    <row r="12" spans="2:42" ht="19.5" customHeight="1">
      <c r="B12" s="2590" t="str">
        <f>'VISITA DE INSP.'!AZ6</f>
        <v>23DPR0570Y</v>
      </c>
      <c r="C12" s="2591" t="s">
        <v>1253</v>
      </c>
      <c r="D12" s="2592" t="s">
        <v>1810</v>
      </c>
      <c r="E12" s="2593" t="s">
        <v>1806</v>
      </c>
      <c r="F12" s="2594" t="s">
        <v>1806</v>
      </c>
      <c r="G12" s="2595" t="s">
        <v>1806</v>
      </c>
      <c r="H12" s="2596"/>
      <c r="I12" s="2596"/>
      <c r="J12" s="2596"/>
      <c r="K12" s="2596"/>
      <c r="L12" s="2595" t="s">
        <v>1806</v>
      </c>
      <c r="M12" s="2596"/>
      <c r="N12" s="2594" t="s">
        <v>1806</v>
      </c>
      <c r="O12" s="2596"/>
      <c r="P12" s="2596"/>
      <c r="Q12" s="2596"/>
      <c r="R12" s="2596"/>
      <c r="S12" s="2596"/>
      <c r="T12" s="2596"/>
      <c r="U12" s="2596"/>
      <c r="V12" s="2596"/>
      <c r="W12" s="2596"/>
      <c r="X12" s="2596"/>
      <c r="Y12" s="2595" t="s">
        <v>1806</v>
      </c>
      <c r="Z12" s="2596"/>
      <c r="AA12" s="2596"/>
      <c r="AB12" s="2596"/>
      <c r="AC12" s="2596"/>
      <c r="AD12" s="2596"/>
      <c r="AE12" s="2596"/>
      <c r="AF12" s="2596"/>
      <c r="AG12" s="2596"/>
      <c r="AH12" s="2596"/>
      <c r="AI12" s="2596"/>
      <c r="AJ12" s="2596"/>
      <c r="AK12" s="2596"/>
      <c r="AL12" s="2596"/>
      <c r="AM12" s="2595" t="s">
        <v>1806</v>
      </c>
      <c r="AN12" s="2596"/>
      <c r="AO12" s="2596"/>
      <c r="AP12" s="2594" t="s">
        <v>1806</v>
      </c>
    </row>
    <row r="13" spans="2:42" ht="19.5" customHeight="1">
      <c r="B13" s="2590" t="str">
        <f>'VISITA DE INSP.'!AZ7</f>
        <v>23DPR572W</v>
      </c>
      <c r="C13" s="2591" t="s">
        <v>1281</v>
      </c>
      <c r="D13" s="2592" t="s">
        <v>1811</v>
      </c>
      <c r="E13" s="2593" t="s">
        <v>1806</v>
      </c>
      <c r="F13" s="2594" t="s">
        <v>1806</v>
      </c>
      <c r="G13" s="2595" t="s">
        <v>1806</v>
      </c>
      <c r="H13" s="2596"/>
      <c r="I13" s="2596"/>
      <c r="J13" s="2596"/>
      <c r="K13" s="2596"/>
      <c r="L13" s="2595" t="s">
        <v>1806</v>
      </c>
      <c r="M13" s="2596"/>
      <c r="N13" s="2594" t="s">
        <v>1806</v>
      </c>
      <c r="O13" s="2596"/>
      <c r="P13" s="2596"/>
      <c r="Q13" s="2596"/>
      <c r="R13" s="2596"/>
      <c r="S13" s="2596"/>
      <c r="T13" s="2596"/>
      <c r="U13" s="2596"/>
      <c r="V13" s="2596"/>
      <c r="W13" s="2596"/>
      <c r="X13" s="2596"/>
      <c r="Y13" s="2595" t="s">
        <v>1806</v>
      </c>
      <c r="Z13" s="2596"/>
      <c r="AA13" s="2596"/>
      <c r="AB13" s="2596"/>
      <c r="AC13" s="2596"/>
      <c r="AD13" s="2596"/>
      <c r="AE13" s="2596"/>
      <c r="AF13" s="2596"/>
      <c r="AG13" s="2596"/>
      <c r="AH13" s="2596"/>
      <c r="AI13" s="2596"/>
      <c r="AJ13" s="2596"/>
      <c r="AK13" s="2596"/>
      <c r="AL13" s="2596"/>
      <c r="AM13" s="2595" t="s">
        <v>1806</v>
      </c>
      <c r="AN13" s="2596"/>
      <c r="AO13" s="2596"/>
      <c r="AP13" s="2594" t="s">
        <v>1806</v>
      </c>
    </row>
    <row r="14" spans="2:42" ht="19.5" customHeight="1">
      <c r="B14" s="2590" t="str">
        <f>'VISITA DE INSP.'!AZ8</f>
        <v>23DPR0581D</v>
      </c>
      <c r="C14" s="2591" t="s">
        <v>1245</v>
      </c>
      <c r="D14" s="2592" t="s">
        <v>1812</v>
      </c>
      <c r="E14" s="2593" t="s">
        <v>1806</v>
      </c>
      <c r="F14" s="2594" t="s">
        <v>1806</v>
      </c>
      <c r="G14" s="2595" t="s">
        <v>1806</v>
      </c>
      <c r="H14" s="2596"/>
      <c r="I14" s="2596"/>
      <c r="J14" s="2596"/>
      <c r="K14" s="2596"/>
      <c r="L14" s="2595" t="s">
        <v>1806</v>
      </c>
      <c r="M14" s="2596"/>
      <c r="N14" s="2594" t="s">
        <v>1806</v>
      </c>
      <c r="O14" s="2596"/>
      <c r="P14" s="2596"/>
      <c r="Q14" s="2596"/>
      <c r="R14" s="2596"/>
      <c r="S14" s="2596"/>
      <c r="T14" s="2596"/>
      <c r="U14" s="2596"/>
      <c r="V14" s="2596"/>
      <c r="W14" s="2596"/>
      <c r="X14" s="2596"/>
      <c r="Y14" s="2595" t="s">
        <v>1806</v>
      </c>
      <c r="Z14" s="2596"/>
      <c r="AA14" s="2596"/>
      <c r="AB14" s="2596"/>
      <c r="AC14" s="2596"/>
      <c r="AD14" s="2596"/>
      <c r="AE14" s="2596"/>
      <c r="AF14" s="2596"/>
      <c r="AG14" s="2596"/>
      <c r="AH14" s="2596"/>
      <c r="AI14" s="2596"/>
      <c r="AJ14" s="2596"/>
      <c r="AK14" s="2596"/>
      <c r="AL14" s="2596"/>
      <c r="AM14" s="2595" t="s">
        <v>1806</v>
      </c>
      <c r="AN14" s="2596"/>
      <c r="AO14" s="2596"/>
      <c r="AP14" s="2594" t="s">
        <v>1806</v>
      </c>
    </row>
    <row r="15" spans="2:42" ht="19.5" customHeight="1">
      <c r="B15" s="2590" t="str">
        <f>'VISITA DE INSP.'!AZ9</f>
        <v>23DPR0593I</v>
      </c>
      <c r="C15" s="2591" t="s">
        <v>1201</v>
      </c>
      <c r="D15" s="2592" t="s">
        <v>1813</v>
      </c>
      <c r="E15" s="2593" t="s">
        <v>1806</v>
      </c>
      <c r="F15" s="2594" t="s">
        <v>1806</v>
      </c>
      <c r="G15" s="2595" t="s">
        <v>1806</v>
      </c>
      <c r="H15" s="2596"/>
      <c r="I15" s="2596"/>
      <c r="J15" s="2596"/>
      <c r="K15" s="2596"/>
      <c r="L15" s="2595" t="s">
        <v>1806</v>
      </c>
      <c r="M15" s="2596"/>
      <c r="N15" s="2594" t="s">
        <v>1806</v>
      </c>
      <c r="O15" s="2596"/>
      <c r="P15" s="2596"/>
      <c r="Q15" s="2596"/>
      <c r="R15" s="2596"/>
      <c r="S15" s="2596"/>
      <c r="T15" s="2596"/>
      <c r="U15" s="2596"/>
      <c r="V15" s="2596"/>
      <c r="W15" s="2596"/>
      <c r="X15" s="2596"/>
      <c r="Y15" s="2595" t="s">
        <v>1806</v>
      </c>
      <c r="Z15" s="2596"/>
      <c r="AA15" s="2596"/>
      <c r="AB15" s="2596"/>
      <c r="AC15" s="2596"/>
      <c r="AD15" s="2596"/>
      <c r="AE15" s="2596"/>
      <c r="AF15" s="2596"/>
      <c r="AG15" s="2596"/>
      <c r="AH15" s="2596"/>
      <c r="AI15" s="2596"/>
      <c r="AJ15" s="2596"/>
      <c r="AK15" s="2596"/>
      <c r="AL15" s="2596"/>
      <c r="AM15" s="2595" t="s">
        <v>1806</v>
      </c>
      <c r="AN15" s="2596"/>
      <c r="AO15" s="2596"/>
      <c r="AP15" s="2594" t="s">
        <v>1806</v>
      </c>
    </row>
    <row r="16" spans="2:42" ht="19.5" customHeight="1">
      <c r="B16" s="2590" t="str">
        <f>'VISITA DE INSP.'!AZ10</f>
        <v>23DPR0640C</v>
      </c>
      <c r="C16" s="2591" t="s">
        <v>1271</v>
      </c>
      <c r="D16" s="2592" t="s">
        <v>1814</v>
      </c>
      <c r="E16" s="2593" t="s">
        <v>1806</v>
      </c>
      <c r="F16" s="2594" t="s">
        <v>1806</v>
      </c>
      <c r="G16" s="2595" t="s">
        <v>1806</v>
      </c>
      <c r="H16" s="2596"/>
      <c r="I16" s="2596"/>
      <c r="J16" s="2596"/>
      <c r="K16" s="2596"/>
      <c r="L16" s="2595" t="s">
        <v>1806</v>
      </c>
      <c r="M16" s="2596"/>
      <c r="N16" s="2594" t="s">
        <v>1806</v>
      </c>
      <c r="O16" s="2596"/>
      <c r="P16" s="2596"/>
      <c r="Q16" s="2596"/>
      <c r="R16" s="2596"/>
      <c r="S16" s="2596"/>
      <c r="T16" s="2596"/>
      <c r="U16" s="2596"/>
      <c r="V16" s="2596"/>
      <c r="W16" s="2596"/>
      <c r="X16" s="2596"/>
      <c r="Y16" s="2595" t="s">
        <v>1806</v>
      </c>
      <c r="Z16" s="2596"/>
      <c r="AA16" s="2596"/>
      <c r="AB16" s="2596"/>
      <c r="AC16" s="2596"/>
      <c r="AD16" s="2596"/>
      <c r="AE16" s="2596"/>
      <c r="AF16" s="2596"/>
      <c r="AG16" s="2596"/>
      <c r="AH16" s="2596"/>
      <c r="AI16" s="2596"/>
      <c r="AJ16" s="2596"/>
      <c r="AK16" s="2596"/>
      <c r="AL16" s="2596"/>
      <c r="AM16" s="2595" t="s">
        <v>1806</v>
      </c>
      <c r="AN16" s="2596"/>
      <c r="AO16" s="2596"/>
      <c r="AP16" s="2594" t="s">
        <v>1806</v>
      </c>
    </row>
    <row r="17" spans="2:42" ht="19.5" customHeight="1">
      <c r="B17" s="2590" t="str">
        <f>'VISITA DE INSP.'!AZ11</f>
        <v>23DPR0681C</v>
      </c>
      <c r="C17" s="2591" t="s">
        <v>1815</v>
      </c>
      <c r="D17" s="2592" t="s">
        <v>1816</v>
      </c>
      <c r="E17" s="2593" t="s">
        <v>1806</v>
      </c>
      <c r="F17" s="2594" t="s">
        <v>1806</v>
      </c>
      <c r="G17" s="2595" t="s">
        <v>1806</v>
      </c>
      <c r="H17" s="2596"/>
      <c r="I17" s="2596"/>
      <c r="J17" s="2596"/>
      <c r="K17" s="2596"/>
      <c r="L17" s="2595" t="s">
        <v>1806</v>
      </c>
      <c r="M17" s="2596"/>
      <c r="N17" s="2594" t="s">
        <v>1806</v>
      </c>
      <c r="O17" s="2596"/>
      <c r="P17" s="2596"/>
      <c r="Q17" s="2596"/>
      <c r="R17" s="2596"/>
      <c r="S17" s="2596"/>
      <c r="T17" s="2596"/>
      <c r="U17" s="2596"/>
      <c r="V17" s="2596"/>
      <c r="W17" s="2596"/>
      <c r="X17" s="2596"/>
      <c r="Y17" s="2595" t="s">
        <v>1806</v>
      </c>
      <c r="Z17" s="2596"/>
      <c r="AA17" s="2596"/>
      <c r="AB17" s="2596"/>
      <c r="AC17" s="2596"/>
      <c r="AD17" s="2596"/>
      <c r="AE17" s="2596"/>
      <c r="AF17" s="2596"/>
      <c r="AG17" s="2596"/>
      <c r="AH17" s="2596"/>
      <c r="AI17" s="2596"/>
      <c r="AJ17" s="2596"/>
      <c r="AK17" s="2596"/>
      <c r="AL17" s="2596"/>
      <c r="AM17" s="2595" t="s">
        <v>1806</v>
      </c>
      <c r="AN17" s="2596"/>
      <c r="AO17" s="2596"/>
      <c r="AP17" s="2594" t="s">
        <v>1806</v>
      </c>
    </row>
    <row r="18" spans="2:42" ht="19.5" customHeight="1">
      <c r="B18" s="2590" t="str">
        <f>'VISITA DE INSP.'!AZ12</f>
        <v>23PPR0099M</v>
      </c>
      <c r="C18" s="2591" t="s">
        <v>1198</v>
      </c>
      <c r="D18" s="2592" t="s">
        <v>1817</v>
      </c>
      <c r="E18" s="2593" t="s">
        <v>1806</v>
      </c>
      <c r="F18" s="2594" t="s">
        <v>1806</v>
      </c>
      <c r="G18" s="2595" t="s">
        <v>1806</v>
      </c>
      <c r="H18" s="2596"/>
      <c r="I18" s="2596"/>
      <c r="J18" s="2596"/>
      <c r="K18" s="2596"/>
      <c r="L18" s="2595" t="s">
        <v>1806</v>
      </c>
      <c r="M18" s="2596"/>
      <c r="N18" s="2594" t="s">
        <v>1806</v>
      </c>
      <c r="O18" s="2596"/>
      <c r="P18" s="2596"/>
      <c r="Q18" s="2596"/>
      <c r="R18" s="2596"/>
      <c r="S18" s="2596"/>
      <c r="T18" s="2596"/>
      <c r="U18" s="2596"/>
      <c r="V18" s="2596"/>
      <c r="W18" s="2596"/>
      <c r="X18" s="2596"/>
      <c r="Y18" s="2595" t="s">
        <v>1806</v>
      </c>
      <c r="Z18" s="2596"/>
      <c r="AA18" s="2596"/>
      <c r="AB18" s="2596"/>
      <c r="AC18" s="2596"/>
      <c r="AD18" s="2596"/>
      <c r="AE18" s="2596"/>
      <c r="AF18" s="2596"/>
      <c r="AG18" s="2596"/>
      <c r="AH18" s="2596"/>
      <c r="AI18" s="2596"/>
      <c r="AJ18" s="2596"/>
      <c r="AK18" s="2596"/>
      <c r="AL18" s="2596"/>
      <c r="AM18" s="2595" t="s">
        <v>1806</v>
      </c>
      <c r="AN18" s="2596"/>
      <c r="AO18" s="2596"/>
      <c r="AP18" s="2594" t="s">
        <v>1806</v>
      </c>
    </row>
    <row r="19" spans="2:42" ht="19.5" customHeight="1">
      <c r="B19" s="2590" t="str">
        <f>'VISITA DE INSP.'!AZ13</f>
        <v>23PPR0100L</v>
      </c>
      <c r="C19" s="2591" t="s">
        <v>1818</v>
      </c>
      <c r="D19" s="2592" t="s">
        <v>1819</v>
      </c>
      <c r="E19" s="2593" t="s">
        <v>1806</v>
      </c>
      <c r="F19" s="2594" t="s">
        <v>1806</v>
      </c>
      <c r="G19" s="2595" t="s">
        <v>1806</v>
      </c>
      <c r="H19" s="2596"/>
      <c r="I19" s="2596"/>
      <c r="J19" s="2596"/>
      <c r="K19" s="2596"/>
      <c r="L19" s="2595" t="s">
        <v>1806</v>
      </c>
      <c r="M19" s="2596"/>
      <c r="N19" s="2594" t="s">
        <v>1806</v>
      </c>
      <c r="O19" s="2596"/>
      <c r="P19" s="2596"/>
      <c r="Q19" s="2596"/>
      <c r="R19" s="2596"/>
      <c r="S19" s="2596"/>
      <c r="T19" s="2596"/>
      <c r="U19" s="2596"/>
      <c r="V19" s="2596"/>
      <c r="W19" s="2596"/>
      <c r="X19" s="2596"/>
      <c r="Y19" s="2595" t="s">
        <v>1806</v>
      </c>
      <c r="Z19" s="2596"/>
      <c r="AA19" s="2596"/>
      <c r="AB19" s="2596"/>
      <c r="AC19" s="2596"/>
      <c r="AD19" s="2596"/>
      <c r="AE19" s="2596"/>
      <c r="AF19" s="2596"/>
      <c r="AG19" s="2596"/>
      <c r="AH19" s="2596"/>
      <c r="AI19" s="2596"/>
      <c r="AJ19" s="2596"/>
      <c r="AK19" s="2596"/>
      <c r="AL19" s="2596"/>
      <c r="AM19" s="2595" t="s">
        <v>1806</v>
      </c>
      <c r="AN19" s="2596"/>
      <c r="AO19" s="2596"/>
      <c r="AP19" s="2594" t="s">
        <v>1806</v>
      </c>
    </row>
    <row r="20" spans="2:42" ht="19.5" customHeight="1">
      <c r="B20" s="2590" t="str">
        <f>'VISITA DE INSP.'!AZ14</f>
        <v>23PPR0125U</v>
      </c>
      <c r="C20" s="2591" t="s">
        <v>1820</v>
      </c>
      <c r="D20" s="2592" t="s">
        <v>1821</v>
      </c>
      <c r="E20" s="2593" t="s">
        <v>1806</v>
      </c>
      <c r="F20" s="2594" t="s">
        <v>1806</v>
      </c>
      <c r="G20" s="2595" t="s">
        <v>1806</v>
      </c>
      <c r="H20" s="2596"/>
      <c r="I20" s="2596"/>
      <c r="J20" s="2596"/>
      <c r="K20" s="2596"/>
      <c r="L20" s="2595" t="s">
        <v>1806</v>
      </c>
      <c r="M20" s="2596"/>
      <c r="N20" s="2594" t="s">
        <v>1806</v>
      </c>
      <c r="O20" s="2596"/>
      <c r="P20" s="2596"/>
      <c r="Q20" s="2596"/>
      <c r="R20" s="2596"/>
      <c r="S20" s="2596"/>
      <c r="T20" s="2596"/>
      <c r="U20" s="2596"/>
      <c r="V20" s="2596"/>
      <c r="W20" s="2596"/>
      <c r="X20" s="2596"/>
      <c r="Y20" s="2595" t="s">
        <v>1806</v>
      </c>
      <c r="Z20" s="2596"/>
      <c r="AA20" s="2596"/>
      <c r="AB20" s="2596"/>
      <c r="AC20" s="2596"/>
      <c r="AD20" s="2596"/>
      <c r="AE20" s="2596"/>
      <c r="AF20" s="2596"/>
      <c r="AG20" s="2596"/>
      <c r="AH20" s="2596"/>
      <c r="AI20" s="2596"/>
      <c r="AJ20" s="2596"/>
      <c r="AK20" s="2596"/>
      <c r="AL20" s="2596"/>
      <c r="AM20" s="2595" t="s">
        <v>1806</v>
      </c>
      <c r="AN20" s="2596"/>
      <c r="AO20" s="2596"/>
      <c r="AP20" s="2594" t="s">
        <v>1806</v>
      </c>
    </row>
    <row r="21" spans="2:42" ht="19.5" customHeight="1">
      <c r="B21" s="2590" t="str">
        <f>'VISITA DE INSP.'!AZ15</f>
        <v>23PPR0156N</v>
      </c>
      <c r="C21" s="2591" t="s">
        <v>1822</v>
      </c>
      <c r="D21" s="2592" t="s">
        <v>1823</v>
      </c>
      <c r="E21" s="2593" t="s">
        <v>1806</v>
      </c>
      <c r="F21" s="2594" t="s">
        <v>1806</v>
      </c>
      <c r="G21" s="2595" t="s">
        <v>1806</v>
      </c>
      <c r="H21" s="2596"/>
      <c r="I21" s="2596"/>
      <c r="J21" s="2596"/>
      <c r="K21" s="2596"/>
      <c r="L21" s="2595" t="s">
        <v>1806</v>
      </c>
      <c r="M21" s="2596"/>
      <c r="N21" s="2594" t="s">
        <v>1806</v>
      </c>
      <c r="O21" s="2596"/>
      <c r="P21" s="2596"/>
      <c r="Q21" s="2596"/>
      <c r="R21" s="2596"/>
      <c r="S21" s="2596"/>
      <c r="T21" s="2596"/>
      <c r="U21" s="2596"/>
      <c r="V21" s="2596"/>
      <c r="W21" s="2596"/>
      <c r="X21" s="2596"/>
      <c r="Y21" s="2595" t="s">
        <v>1806</v>
      </c>
      <c r="Z21" s="2596"/>
      <c r="AA21" s="2596"/>
      <c r="AB21" s="2596"/>
      <c r="AC21" s="2596"/>
      <c r="AD21" s="2596"/>
      <c r="AE21" s="2596"/>
      <c r="AF21" s="2596"/>
      <c r="AG21" s="2596"/>
      <c r="AH21" s="2596"/>
      <c r="AI21" s="2596"/>
      <c r="AJ21" s="2596"/>
      <c r="AK21" s="2596"/>
      <c r="AL21" s="2596"/>
      <c r="AM21" s="2595" t="s">
        <v>1806</v>
      </c>
      <c r="AN21" s="2596"/>
      <c r="AO21" s="2596"/>
      <c r="AP21" s="2594" t="s">
        <v>1806</v>
      </c>
    </row>
    <row r="22" spans="2:42" ht="19.5" customHeight="1">
      <c r="B22" s="2590" t="str">
        <f>'VISITA DE INSP.'!AZ16</f>
        <v>23PPR0163X</v>
      </c>
      <c r="C22" s="2591" t="s">
        <v>1824</v>
      </c>
      <c r="D22" s="2592"/>
      <c r="E22" s="2593"/>
      <c r="F22" s="2594" t="s">
        <v>1806</v>
      </c>
      <c r="G22" s="2595" t="s">
        <v>1806</v>
      </c>
      <c r="H22" s="2596"/>
      <c r="I22" s="2596"/>
      <c r="J22" s="2596"/>
      <c r="K22" s="2596"/>
      <c r="L22" s="2595" t="s">
        <v>1806</v>
      </c>
      <c r="M22" s="2596"/>
      <c r="N22" s="2594"/>
      <c r="O22" s="2596"/>
      <c r="P22" s="2596"/>
      <c r="Q22" s="2596"/>
      <c r="R22" s="2596"/>
      <c r="S22" s="2596"/>
      <c r="T22" s="2596"/>
      <c r="U22" s="2596"/>
      <c r="V22" s="2596"/>
      <c r="W22" s="2596"/>
      <c r="X22" s="2596"/>
      <c r="Y22" s="2595" t="s">
        <v>1806</v>
      </c>
      <c r="Z22" s="2596"/>
      <c r="AA22" s="2596"/>
      <c r="AB22" s="2596"/>
      <c r="AC22" s="2596"/>
      <c r="AD22" s="2596"/>
      <c r="AE22" s="2596"/>
      <c r="AF22" s="2596"/>
      <c r="AG22" s="2596"/>
      <c r="AH22" s="2596"/>
      <c r="AI22" s="2596"/>
      <c r="AJ22" s="2596"/>
      <c r="AK22" s="2596"/>
      <c r="AL22" s="2596"/>
      <c r="AM22" s="2595" t="s">
        <v>1806</v>
      </c>
      <c r="AN22" s="2596"/>
      <c r="AO22" s="2596"/>
      <c r="AP22" s="2594" t="s">
        <v>1806</v>
      </c>
    </row>
    <row r="23" spans="2:42" ht="19.5" customHeight="1">
      <c r="B23" s="2590">
        <f>'VISITA DE INSP.'!AZ17</f>
        <v>0</v>
      </c>
      <c r="C23" s="2591" t="s">
        <v>1825</v>
      </c>
      <c r="D23" s="2592"/>
      <c r="E23" s="2593" t="s">
        <v>1806</v>
      </c>
      <c r="F23" s="2594" t="s">
        <v>1806</v>
      </c>
      <c r="G23" s="2595" t="s">
        <v>1806</v>
      </c>
      <c r="H23" s="2596"/>
      <c r="I23" s="2596"/>
      <c r="J23" s="2596"/>
      <c r="K23" s="2596"/>
      <c r="L23" s="2595" t="s">
        <v>1806</v>
      </c>
      <c r="M23" s="2596"/>
      <c r="N23" s="2594" t="s">
        <v>1806</v>
      </c>
      <c r="O23" s="2596"/>
      <c r="P23" s="2596"/>
      <c r="Q23" s="2596"/>
      <c r="R23" s="2596"/>
      <c r="S23" s="2596"/>
      <c r="T23" s="2596"/>
      <c r="U23" s="2596"/>
      <c r="V23" s="2596"/>
      <c r="W23" s="2596"/>
      <c r="X23" s="2596"/>
      <c r="Y23" s="2595" t="s">
        <v>1806</v>
      </c>
      <c r="Z23" s="2596"/>
      <c r="AA23" s="2596"/>
      <c r="AB23" s="2596"/>
      <c r="AC23" s="2596"/>
      <c r="AD23" s="2596"/>
      <c r="AE23" s="2596"/>
      <c r="AF23" s="2596"/>
      <c r="AG23" s="2596"/>
      <c r="AH23" s="2596"/>
      <c r="AI23" s="2596"/>
      <c r="AJ23" s="2596"/>
      <c r="AK23" s="2596"/>
      <c r="AL23" s="2596"/>
      <c r="AM23" s="2595" t="s">
        <v>1806</v>
      </c>
      <c r="AN23" s="2596"/>
      <c r="AO23" s="2596"/>
      <c r="AP23" s="2594" t="s">
        <v>1806</v>
      </c>
    </row>
    <row r="24" spans="2:42" ht="40.5" customHeight="1">
      <c r="B24" s="3327" t="s">
        <v>2491</v>
      </c>
      <c r="C24" s="3327" t="s">
        <v>2492</v>
      </c>
      <c r="D24" s="3327" t="s">
        <v>2493</v>
      </c>
    </row>
  </sheetData>
  <mergeCells count="24">
    <mergeCell ref="AM6:AP6"/>
    <mergeCell ref="C7:F7"/>
    <mergeCell ref="G7:J7"/>
    <mergeCell ref="K7:N7"/>
    <mergeCell ref="O7:R7"/>
    <mergeCell ref="S7:V7"/>
    <mergeCell ref="AI7:AL7"/>
    <mergeCell ref="AM7:AP7"/>
    <mergeCell ref="AA4:AD4"/>
    <mergeCell ref="AE4:AH4"/>
    <mergeCell ref="AI4:AL4"/>
    <mergeCell ref="AM4:AP4"/>
    <mergeCell ref="B6:B7"/>
    <mergeCell ref="C6:F6"/>
    <mergeCell ref="G6:J6"/>
    <mergeCell ref="K6:N6"/>
    <mergeCell ref="W6:Z6"/>
    <mergeCell ref="AI6:AL6"/>
    <mergeCell ref="C4:F4"/>
    <mergeCell ref="G4:J4"/>
    <mergeCell ref="K4:N4"/>
    <mergeCell ref="O4:R4"/>
    <mergeCell ref="S4:V4"/>
    <mergeCell ref="W4:Z4"/>
  </mergeCells>
  <conditionalFormatting sqref="B8:B23">
    <cfRule type="cellIs" dxfId="1" priority="1" operator="equal">
      <formula>0</formula>
    </cfRule>
  </conditionalFormatting>
  <hyperlinks>
    <hyperlink ref="G7" r:id="rId1"/>
    <hyperlink ref="AI7" r:id="rId2"/>
    <hyperlink ref="O7" r:id="rId3"/>
    <hyperlink ref="S7" r:id="rId4"/>
  </hyperlinks>
  <pageMargins left="0" right="0" top="0.55118110236220474" bottom="0.35433070866141736" header="0" footer="0"/>
  <pageSetup paperSize="9" scale="84" orientation="landscape" r:id="rId5"/>
  <drawing r:id="rId6"/>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Q29"/>
  <sheetViews>
    <sheetView topLeftCell="A3" zoomScale="85" zoomScaleNormal="85" workbookViewId="0">
      <selection activeCell="A29" sqref="A29:AD29"/>
    </sheetView>
  </sheetViews>
  <sheetFormatPr baseColWidth="10" defaultRowHeight="12.75"/>
  <cols>
    <col min="1" max="1" width="7" style="3496" customWidth="1"/>
    <col min="2" max="2" width="5.28515625" style="3496" customWidth="1"/>
    <col min="3" max="3" width="5.7109375" style="17" customWidth="1"/>
    <col min="4" max="4" width="5.7109375" style="1466" customWidth="1"/>
    <col min="5" max="21" width="5.7109375" style="17" customWidth="1"/>
    <col min="22" max="25" width="6" style="17" customWidth="1"/>
    <col min="26" max="26" width="6" style="3497" customWidth="1"/>
    <col min="27" max="27" width="3.7109375" style="74" customWidth="1"/>
    <col min="28" max="28" width="3.7109375" style="3498" customWidth="1"/>
    <col min="29" max="29" width="4" style="3499" customWidth="1"/>
    <col min="30" max="30" width="5.85546875" style="74" customWidth="1"/>
    <col min="31" max="31" width="5" style="74" hidden="1" customWidth="1"/>
    <col min="32" max="41" width="7.42578125" style="74" hidden="1" customWidth="1"/>
    <col min="42" max="43" width="7.42578125" style="17" hidden="1" customWidth="1"/>
    <col min="44" max="16384" width="11.42578125" style="17"/>
  </cols>
  <sheetData>
    <row r="1" spans="1:43">
      <c r="A1" s="3490"/>
      <c r="B1" s="3490"/>
      <c r="C1" s="3490"/>
      <c r="D1" s="3491"/>
      <c r="E1" s="3490"/>
      <c r="F1" s="3490"/>
      <c r="G1" s="3490"/>
      <c r="H1" s="3490"/>
      <c r="I1" s="3490"/>
      <c r="J1" s="3490"/>
      <c r="K1" s="3490"/>
      <c r="L1" s="3490"/>
      <c r="M1" s="3490"/>
      <c r="N1" s="3490"/>
      <c r="O1" s="3490"/>
      <c r="P1" s="3490"/>
      <c r="Q1" s="3490"/>
      <c r="R1" s="3490"/>
      <c r="S1" s="3490"/>
      <c r="T1" s="3490"/>
      <c r="U1" s="3490"/>
      <c r="V1" s="3490"/>
      <c r="W1" s="3490"/>
      <c r="X1" s="3490"/>
      <c r="Y1" s="3490"/>
      <c r="Z1" s="3492"/>
      <c r="AA1" s="3655">
        <v>20</v>
      </c>
      <c r="AB1" s="3655">
        <v>20</v>
      </c>
      <c r="AC1" s="3656">
        <f>A28</f>
        <v>2</v>
      </c>
      <c r="AD1" s="3656">
        <f>AC1</f>
        <v>2</v>
      </c>
      <c r="AE1" s="3493">
        <v>0</v>
      </c>
      <c r="AF1" s="3504">
        <v>1</v>
      </c>
      <c r="AG1" s="3504">
        <v>2</v>
      </c>
      <c r="AH1" s="3504">
        <v>3</v>
      </c>
      <c r="AI1" s="3504">
        <v>4</v>
      </c>
      <c r="AJ1" s="3504">
        <v>5</v>
      </c>
      <c r="AK1" s="3504">
        <v>6</v>
      </c>
      <c r="AL1" s="3505">
        <v>1</v>
      </c>
      <c r="AM1" s="3504">
        <v>2</v>
      </c>
      <c r="AN1" s="3505">
        <v>3</v>
      </c>
      <c r="AO1" s="3504">
        <v>4</v>
      </c>
      <c r="AP1" s="3505">
        <v>5</v>
      </c>
      <c r="AQ1" s="3504">
        <v>6</v>
      </c>
    </row>
    <row r="2" spans="1:43">
      <c r="A2" s="3490"/>
      <c r="B2" s="3490"/>
      <c r="C2" s="3490"/>
      <c r="D2" s="3491"/>
      <c r="E2" s="3490"/>
      <c r="F2" s="3490"/>
      <c r="G2" s="3490"/>
      <c r="H2" s="3490"/>
      <c r="I2" s="3490"/>
      <c r="J2" s="3490"/>
      <c r="K2" s="3490"/>
      <c r="L2" s="3490"/>
      <c r="M2" s="3490"/>
      <c r="N2" s="3490"/>
      <c r="O2" s="3490"/>
      <c r="P2" s="3490"/>
      <c r="Q2" s="3490"/>
      <c r="R2" s="3490"/>
      <c r="S2" s="3490"/>
      <c r="T2" s="3490"/>
      <c r="U2" s="3490"/>
      <c r="V2" s="3490"/>
      <c r="W2" s="3490"/>
      <c r="X2" s="3490"/>
      <c r="Y2" s="3490"/>
      <c r="Z2" s="3655">
        <v>1</v>
      </c>
      <c r="AA2" s="3655">
        <v>20</v>
      </c>
      <c r="AB2" s="3655">
        <v>20</v>
      </c>
      <c r="AC2" s="3657" t="str">
        <f>HLOOKUP(AC1,AF1:AK26,2,20)</f>
        <v>MORENO CARDENAS * IGNACIA</v>
      </c>
      <c r="AD2" s="3658">
        <f>HLOOKUP(AD1,AL1:AQ26,2,20)</f>
        <v>7.2</v>
      </c>
      <c r="AE2" s="3493">
        <v>1</v>
      </c>
      <c r="AF2" s="3520" t="str">
        <f>Plantillas!B38</f>
        <v>ARANDA ESCALANTE * ARELI GUADALUPE</v>
      </c>
      <c r="AG2" s="3520" t="str">
        <f>Plantillas!B40</f>
        <v>MORENO CARDENAS * IGNACIA</v>
      </c>
      <c r="AH2" s="3520" t="str">
        <f>Plantillas!B42</f>
        <v>VARGAS GARCIA * DEBRA DORIS DEL SAGRARIO</v>
      </c>
      <c r="AI2" s="3520" t="str">
        <f>Plantillas!B44</f>
        <v>SANCHEZ BUSTAMANTE * CONCEPCION</v>
      </c>
      <c r="AJ2" s="3520" t="str">
        <f>Plantillas!B46</f>
        <v>XIU VELAZQUEZ * JOSE MANUEL</v>
      </c>
      <c r="AK2" s="3520" t="str">
        <f>Plantillas!B48</f>
        <v>ALEMAN SANTOS * MIRIAM</v>
      </c>
      <c r="AL2" s="3521">
        <f>Plantillas!AR38</f>
        <v>6.5</v>
      </c>
      <c r="AM2" s="3521">
        <f>Plantillas!AR40</f>
        <v>7.2</v>
      </c>
      <c r="AN2" s="3521">
        <f>Plantillas!AR42</f>
        <v>6.2</v>
      </c>
      <c r="AO2" s="3521">
        <f>Plantillas!AR44</f>
        <v>6.1</v>
      </c>
      <c r="AP2" s="3521">
        <f>Plantillas!AR46</f>
        <v>6.5</v>
      </c>
      <c r="AQ2" s="3521">
        <f>Plantillas!AR48</f>
        <v>6.3</v>
      </c>
    </row>
    <row r="3" spans="1:43">
      <c r="A3" s="3490"/>
      <c r="B3" s="3490"/>
      <c r="C3" s="3490"/>
      <c r="D3" s="3491"/>
      <c r="E3" s="3490"/>
      <c r="F3" s="3490"/>
      <c r="G3" s="3490"/>
      <c r="H3" s="3490"/>
      <c r="I3" s="3490"/>
      <c r="J3" s="3490"/>
      <c r="K3" s="3490"/>
      <c r="L3" s="3490"/>
      <c r="M3" s="3490"/>
      <c r="N3" s="3490"/>
      <c r="O3" s="3490"/>
      <c r="P3" s="3490"/>
      <c r="Q3" s="3490"/>
      <c r="R3" s="3490"/>
      <c r="S3" s="3490"/>
      <c r="T3" s="3490"/>
      <c r="U3" s="3490"/>
      <c r="V3" s="3490"/>
      <c r="W3" s="3490"/>
      <c r="X3" s="3490"/>
      <c r="Y3" s="3490"/>
      <c r="Z3" s="3655">
        <v>2</v>
      </c>
      <c r="AA3" s="3655">
        <v>20</v>
      </c>
      <c r="AB3" s="3655">
        <v>20</v>
      </c>
      <c r="AC3" s="3657" t="str">
        <f>HLOOKUP(AC1,AF1:AK26,3,20)</f>
        <v>GONGORA SANTOS * GRACIELA</v>
      </c>
      <c r="AD3" s="3658">
        <f>HLOOKUP(AD1,AL1:AQ26,3,20)</f>
        <v>6.8</v>
      </c>
      <c r="AE3" s="3493">
        <v>2</v>
      </c>
      <c r="AF3" s="3520" t="str">
        <f>Plantillas!B39</f>
        <v>AKE QUEB * MARIANA DEL CONSUELO</v>
      </c>
      <c r="AG3" s="3520" t="str">
        <f>Plantillas!B41</f>
        <v>GONGORA SANTOS * GRACIELA</v>
      </c>
      <c r="AH3" s="3520" t="str">
        <f>Plantillas!B43</f>
        <v>CASTRO LOPEZ * SOSIMA PETRA</v>
      </c>
      <c r="AI3" s="3520" t="str">
        <f>Plantillas!B45</f>
        <v>VIVEROS SALAZAR *NORA</v>
      </c>
      <c r="AJ3" s="3520" t="str">
        <f>Plantillas!B47</f>
        <v>MARTIN QUINTAL * SIHARELI CONCEPCION</v>
      </c>
      <c r="AK3" s="3520" t="str">
        <f>Plantillas!B49</f>
        <v>CRUZ PEREZ * FRANCISCO</v>
      </c>
      <c r="AL3" s="3521">
        <f>Plantillas!AR39</f>
        <v>6.5</v>
      </c>
      <c r="AM3" s="3521">
        <f>Plantillas!AR41</f>
        <v>6.8</v>
      </c>
      <c r="AN3" s="3521">
        <f>Plantillas!AR43</f>
        <v>6</v>
      </c>
      <c r="AO3" s="3521">
        <f>Plantillas!AR45</f>
        <v>6.9</v>
      </c>
      <c r="AP3" s="3521">
        <f>Plantillas!AR47</f>
        <v>7</v>
      </c>
      <c r="AQ3" s="3521">
        <f>Plantillas!AR49</f>
        <v>6</v>
      </c>
    </row>
    <row r="4" spans="1:43">
      <c r="A4" s="3490"/>
      <c r="B4" s="3490"/>
      <c r="C4" s="3490"/>
      <c r="D4" s="3491"/>
      <c r="E4" s="3490"/>
      <c r="F4" s="3490"/>
      <c r="G4" s="3490"/>
      <c r="H4" s="3490"/>
      <c r="I4" s="3490"/>
      <c r="J4" s="3490"/>
      <c r="K4" s="3490"/>
      <c r="L4" s="3490"/>
      <c r="M4" s="3490"/>
      <c r="N4" s="3490"/>
      <c r="O4" s="3490"/>
      <c r="P4" s="3490"/>
      <c r="Q4" s="3490"/>
      <c r="R4" s="3490"/>
      <c r="S4" s="3490"/>
      <c r="T4" s="3490"/>
      <c r="U4" s="3490"/>
      <c r="V4" s="3490"/>
      <c r="W4" s="3490"/>
      <c r="X4" s="3490"/>
      <c r="Y4" s="3490"/>
      <c r="Z4" s="3655">
        <v>3</v>
      </c>
      <c r="AA4" s="3655">
        <v>20</v>
      </c>
      <c r="AB4" s="3655">
        <v>20</v>
      </c>
      <c r="AC4" s="3657" t="str">
        <f>HLOOKUP(AC1,AF1:AK26,4,20)</f>
        <v>HERNANDEZ JIMENEZ * LUCERO</v>
      </c>
      <c r="AD4" s="3658">
        <f>HLOOKUP(AD1,AL1:AQ26,4,20)</f>
        <v>6.9</v>
      </c>
      <c r="AE4" s="3493">
        <v>3</v>
      </c>
      <c r="AF4" s="3522" t="str">
        <f>Plantillas!B78</f>
        <v>SOSA QUEB * IVONNE GUADALUPE</v>
      </c>
      <c r="AG4" s="3522" t="str">
        <f>Plantillas!B80</f>
        <v>HERNANDEZ JIMENEZ * LUCERO</v>
      </c>
      <c r="AH4" s="3522" t="str">
        <f>Plantillas!B82</f>
        <v>ZALDIVAR CORAL * LORENA DEL ROCIO</v>
      </c>
      <c r="AI4" s="3522" t="str">
        <f>Plantillas!B85</f>
        <v>SIERRA FLORES * MARITZA ILEN</v>
      </c>
      <c r="AJ4" s="3522" t="str">
        <f>Plantillas!B87</f>
        <v>TUN CAUICH * EVA DEL JESUS</v>
      </c>
      <c r="AK4" s="3522" t="str">
        <f>Plantillas!B89</f>
        <v>CANUL DE LA O * MIGUEL ANGEL</v>
      </c>
      <c r="AL4" s="3523">
        <f>Plantillas!AR78</f>
        <v>7.5</v>
      </c>
      <c r="AM4" s="3523">
        <f>Plantillas!AR80</f>
        <v>6.9</v>
      </c>
      <c r="AN4" s="3523">
        <f>Plantillas!AR82</f>
        <v>7.1</v>
      </c>
      <c r="AO4" s="3523">
        <f>Plantillas!AR85</f>
        <v>6.1</v>
      </c>
      <c r="AP4" s="3523">
        <f>Plantillas!AR87</f>
        <v>7.1</v>
      </c>
      <c r="AQ4" s="3523">
        <f>Plantillas!AR89</f>
        <v>7.3</v>
      </c>
    </row>
    <row r="5" spans="1:43">
      <c r="A5" s="3490"/>
      <c r="B5" s="3490"/>
      <c r="C5" s="3490"/>
      <c r="D5" s="3491"/>
      <c r="E5" s="3490"/>
      <c r="F5" s="3490"/>
      <c r="G5" s="3490"/>
      <c r="H5" s="3490"/>
      <c r="I5" s="3490"/>
      <c r="J5" s="3490"/>
      <c r="K5" s="3490"/>
      <c r="L5" s="3490"/>
      <c r="M5" s="3490"/>
      <c r="N5" s="3490"/>
      <c r="O5" s="3490"/>
      <c r="P5" s="3490"/>
      <c r="Q5" s="3490"/>
      <c r="R5" s="3490"/>
      <c r="S5" s="3490"/>
      <c r="T5" s="3490"/>
      <c r="U5" s="3490"/>
      <c r="V5" s="3490"/>
      <c r="W5" s="3490"/>
      <c r="X5" s="3490"/>
      <c r="Y5" s="3490"/>
      <c r="Z5" s="3655">
        <v>4</v>
      </c>
      <c r="AA5" s="3655">
        <v>20</v>
      </c>
      <c r="AB5" s="3655">
        <v>20</v>
      </c>
      <c r="AC5" s="3657" t="str">
        <f>HLOOKUP(AC1,AF1:AK26,5,20)</f>
        <v>LANDEROS LOPEZ * ALVINA</v>
      </c>
      <c r="AD5" s="3658">
        <f>HLOOKUP(AD1,AL1:AQ26,5,20)</f>
        <v>7.6</v>
      </c>
      <c r="AE5" s="3493">
        <v>4</v>
      </c>
      <c r="AF5" s="3522" t="str">
        <f>Plantillas!B79</f>
        <v>GARCIA POLANCO MANUEL JESUS DE ATOCHA</v>
      </c>
      <c r="AG5" s="3522" t="str">
        <f>Plantillas!B81</f>
        <v>LANDEROS LOPEZ * ALVINA</v>
      </c>
      <c r="AH5" s="3522" t="str">
        <f>Plantillas!B83</f>
        <v>ARANDA TINAH * BARBARA ISABEL</v>
      </c>
      <c r="AI5" s="3522" t="str">
        <f>Plantillas!B86</f>
        <v>CARDENA BENITEZ * LIDIA ESMERALDA</v>
      </c>
      <c r="AJ5" s="3522" t="str">
        <f>Plantillas!B88</f>
        <v>SALAS ALCOCER * JOSE ARIMAEL</v>
      </c>
      <c r="AK5" s="3522" t="str">
        <f>Plantillas!B90</f>
        <v>SANGUINO TREJO * JUAN CARLOS</v>
      </c>
      <c r="AL5" s="3523">
        <f>Plantillas!AR79</f>
        <v>7.8</v>
      </c>
      <c r="AM5" s="3523">
        <f>Plantillas!AR81</f>
        <v>7.6</v>
      </c>
      <c r="AN5" s="3523">
        <f>Plantillas!AR83</f>
        <v>6.8</v>
      </c>
      <c r="AO5" s="3523">
        <f>Plantillas!AR86</f>
        <v>7</v>
      </c>
      <c r="AP5" s="3523">
        <f>Plantillas!AR88</f>
        <v>7.2</v>
      </c>
      <c r="AQ5" s="3523">
        <f>Plantillas!AR90</f>
        <v>7</v>
      </c>
    </row>
    <row r="6" spans="1:43">
      <c r="A6" s="3490"/>
      <c r="B6" s="3490"/>
      <c r="C6" s="3490"/>
      <c r="D6" s="3491"/>
      <c r="E6" s="3490"/>
      <c r="F6" s="3490"/>
      <c r="G6" s="3490"/>
      <c r="H6" s="3490"/>
      <c r="I6" s="3490"/>
      <c r="J6" s="3490"/>
      <c r="K6" s="3490"/>
      <c r="L6" s="3490"/>
      <c r="M6" s="3490"/>
      <c r="N6" s="3490"/>
      <c r="O6" s="3490"/>
      <c r="P6" s="3490"/>
      <c r="Q6" s="3490"/>
      <c r="R6" s="3490"/>
      <c r="S6" s="3490"/>
      <c r="T6" s="3490"/>
      <c r="U6" s="3490"/>
      <c r="V6" s="3490"/>
      <c r="W6" s="3490"/>
      <c r="X6" s="3490"/>
      <c r="Y6" s="3490"/>
      <c r="Z6" s="3655">
        <v>5</v>
      </c>
      <c r="AA6" s="3655">
        <v>20</v>
      </c>
      <c r="AB6" s="3655">
        <v>20</v>
      </c>
      <c r="AC6" s="3657" t="str">
        <f>HLOOKUP(AC1,AF1:AK26,6,20)</f>
        <v>TUN CAUICH * EVA DEL JESUS</v>
      </c>
      <c r="AD6" s="3658">
        <f>HLOOKUP(AD1,AL1:AQ26,6,20)</f>
        <v>6.1</v>
      </c>
      <c r="AE6" s="3493">
        <v>5</v>
      </c>
      <c r="AF6" s="3506" t="str">
        <f>Plantillas!B118</f>
        <v>ALEMAN SANTOS MIRIAN</v>
      </c>
      <c r="AG6" s="3506" t="str">
        <f>Plantillas!B120</f>
        <v>TUN CAUICH * EVA DEL JESUS</v>
      </c>
      <c r="AH6" s="3522" t="str">
        <f>Plantillas!B84</f>
        <v>AVILES KOYOC * LAURA GUADALUPE</v>
      </c>
      <c r="AI6" s="3506" t="str">
        <f>Plantillas!B123</f>
        <v>TAMAY UICAB * JUAN BAUTISTA</v>
      </c>
      <c r="AJ6" s="3506" t="str">
        <f>Plantillas!B125</f>
        <v>VIVAS ESTRADA * ISMAEL</v>
      </c>
      <c r="AK6" s="3522" t="str">
        <f>Plantillas!B91</f>
        <v>PEREZ DZUL * ZACARIAS</v>
      </c>
      <c r="AL6" s="3507">
        <f>Plantillas!AR118</f>
        <v>6.2</v>
      </c>
      <c r="AM6" s="3507">
        <f>Plantillas!AR120</f>
        <v>6.1</v>
      </c>
      <c r="AN6" s="3523">
        <f>Plantillas!AR84</f>
        <v>6.5</v>
      </c>
      <c r="AO6" s="3507">
        <f>Plantillas!AR123</f>
        <v>5.8</v>
      </c>
      <c r="AP6" s="3507">
        <f>Plantillas!AR125</f>
        <v>6.2</v>
      </c>
      <c r="AQ6" s="3523">
        <f>Plantillas!AR91</f>
        <v>6.38</v>
      </c>
    </row>
    <row r="7" spans="1:43">
      <c r="A7" s="3490"/>
      <c r="B7" s="3490"/>
      <c r="C7" s="3490"/>
      <c r="D7" s="3491"/>
      <c r="E7" s="3490"/>
      <c r="F7" s="3490"/>
      <c r="G7" s="3490"/>
      <c r="H7" s="3490"/>
      <c r="I7" s="3490"/>
      <c r="J7" s="3490"/>
      <c r="K7" s="3490"/>
      <c r="L7" s="3490"/>
      <c r="M7" s="3490"/>
      <c r="N7" s="3490"/>
      <c r="O7" s="3490"/>
      <c r="P7" s="3490"/>
      <c r="Q7" s="3490"/>
      <c r="R7" s="3490"/>
      <c r="S7" s="3490"/>
      <c r="T7" s="3490"/>
      <c r="U7" s="3490"/>
      <c r="V7" s="3490"/>
      <c r="W7" s="3490"/>
      <c r="X7" s="3490"/>
      <c r="Y7" s="3490"/>
      <c r="Z7" s="3655">
        <v>6</v>
      </c>
      <c r="AA7" s="3655">
        <v>20</v>
      </c>
      <c r="AB7" s="3655">
        <v>20</v>
      </c>
      <c r="AC7" s="3657" t="str">
        <f>HLOOKUP(AC1,AF1:AK26,7,20)</f>
        <v>DZUL SANTIAGO * IVAN ARIEL</v>
      </c>
      <c r="AD7" s="3658">
        <f>HLOOKUP(AD1,AL1:AQ26,7,20)</f>
        <v>6.8</v>
      </c>
      <c r="AE7" s="3493">
        <v>6</v>
      </c>
      <c r="AF7" s="3506" t="str">
        <f>Plantillas!B119</f>
        <v>GONZALEZ PEREZ * FILOMENA</v>
      </c>
      <c r="AG7" s="3506" t="str">
        <f>Plantillas!B121</f>
        <v>DZUL SANTIAGO * IVAN ARIEL</v>
      </c>
      <c r="AH7" s="3506" t="str">
        <f>Plantillas!B122</f>
        <v>PACHECO COUOH * WILBERTH ALEJANDRO</v>
      </c>
      <c r="AI7" s="3506" t="str">
        <f>Plantillas!B124</f>
        <v>ZALDIVAR CORAL * LORENA DEL ROCIO</v>
      </c>
      <c r="AJ7" s="3506" t="str">
        <f>Plantillas!B126</f>
        <v>BARRERA AGUILAR * BLANCA ROSA</v>
      </c>
      <c r="AK7" s="3506" t="str">
        <f>Plantillas!B127</f>
        <v>BALAN XIU * MANUEL JESUS</v>
      </c>
      <c r="AL7" s="3507">
        <f>Plantillas!AR119</f>
        <v>6</v>
      </c>
      <c r="AM7" s="3507">
        <f>Plantillas!AR121</f>
        <v>6.8</v>
      </c>
      <c r="AN7" s="3507">
        <f>Plantillas!AR122</f>
        <v>5.9</v>
      </c>
      <c r="AO7" s="3507">
        <f>Plantillas!AR124</f>
        <v>6.1</v>
      </c>
      <c r="AP7" s="3507">
        <f>Plantillas!AR126</f>
        <v>6</v>
      </c>
      <c r="AQ7" s="3507">
        <f>Plantillas!AR127</f>
        <v>6.8</v>
      </c>
    </row>
    <row r="8" spans="1:43">
      <c r="A8" s="3490"/>
      <c r="B8" s="3490"/>
      <c r="C8" s="3490"/>
      <c r="D8" s="3491"/>
      <c r="E8" s="3490"/>
      <c r="F8" s="3490"/>
      <c r="G8" s="3490"/>
      <c r="H8" s="3490"/>
      <c r="I8" s="3490"/>
      <c r="J8" s="3490"/>
      <c r="K8" s="3490"/>
      <c r="L8" s="3490"/>
      <c r="M8" s="3490"/>
      <c r="N8" s="3490"/>
      <c r="O8" s="3490"/>
      <c r="P8" s="3490"/>
      <c r="Q8" s="3490"/>
      <c r="R8" s="3490"/>
      <c r="S8" s="3490"/>
      <c r="T8" s="3490"/>
      <c r="U8" s="3490"/>
      <c r="V8" s="3490"/>
      <c r="W8" s="3490"/>
      <c r="X8" s="3490"/>
      <c r="Y8" s="3490"/>
      <c r="Z8" s="3655">
        <v>7</v>
      </c>
      <c r="AA8" s="3655">
        <v>20</v>
      </c>
      <c r="AB8" s="3655">
        <v>20</v>
      </c>
      <c r="AC8" s="3657" t="str">
        <f>HLOOKUP(AC1,AF1:AK26,7,20)</f>
        <v>DZUL SANTIAGO * IVAN ARIEL</v>
      </c>
      <c r="AD8" s="3658">
        <f>HLOOKUP(AD1,AL1:AQ26,7,20)</f>
        <v>6.8</v>
      </c>
      <c r="AE8" s="3493">
        <v>7</v>
      </c>
      <c r="AF8" s="3524" t="str">
        <f>Plantillas!B158</f>
        <v>GOMEZ CASTILLO * SAIDETH MARI</v>
      </c>
      <c r="AG8" s="3524" t="str">
        <f>Plantillas!B160</f>
        <v>ESTRADA PALMA * MARIA SOLEDAD</v>
      </c>
      <c r="AH8" s="3524" t="str">
        <f>Plantillas!B162</f>
        <v>CANCHE PECH * NIDIA ROBSANA</v>
      </c>
      <c r="AI8" s="3524" t="str">
        <f>Plantillas!B164</f>
        <v>SANCHEZ DURAN * EDSSON MANUEL</v>
      </c>
      <c r="AJ8" s="3524" t="str">
        <f>Plantillas!B166</f>
        <v>PAT XULUC *MARIA ANTONIA</v>
      </c>
      <c r="AK8" s="3506" t="str">
        <f>Plantillas!B128</f>
        <v>SOLIS RAMIREZ * TITA</v>
      </c>
      <c r="AL8" s="3525">
        <f>Plantillas!AR158</f>
        <v>6.2</v>
      </c>
      <c r="AM8" s="3525">
        <f>Plantillas!AR160</f>
        <v>6.6</v>
      </c>
      <c r="AN8" s="3525">
        <f>Plantillas!AR162</f>
        <v>6</v>
      </c>
      <c r="AO8" s="3525">
        <f>Plantillas!AR164</f>
        <v>7</v>
      </c>
      <c r="AP8" s="3525">
        <f>Plantillas!AR166</f>
        <v>6.5</v>
      </c>
      <c r="AQ8" s="3507" t="e">
        <f>Plantillas!AR128</f>
        <v>#DIV/0!</v>
      </c>
    </row>
    <row r="9" spans="1:43">
      <c r="A9" s="3490"/>
      <c r="B9" s="3490"/>
      <c r="C9" s="3490"/>
      <c r="D9" s="3491"/>
      <c r="E9" s="3490"/>
      <c r="F9" s="3490"/>
      <c r="G9" s="3490"/>
      <c r="H9" s="3490"/>
      <c r="I9" s="3490"/>
      <c r="J9" s="3490"/>
      <c r="K9" s="3490"/>
      <c r="L9" s="3490"/>
      <c r="M9" s="3490"/>
      <c r="N9" s="3490"/>
      <c r="O9" s="3490"/>
      <c r="P9" s="3490"/>
      <c r="Q9" s="3490"/>
      <c r="R9" s="3490"/>
      <c r="S9" s="3490"/>
      <c r="T9" s="3490"/>
      <c r="U9" s="3490"/>
      <c r="V9" s="3490"/>
      <c r="W9" s="3490"/>
      <c r="X9" s="3490"/>
      <c r="Y9" s="3490"/>
      <c r="Z9" s="3655">
        <v>8</v>
      </c>
      <c r="AA9" s="3655">
        <v>20</v>
      </c>
      <c r="AB9" s="3655">
        <v>20</v>
      </c>
      <c r="AC9" s="3657" t="str">
        <f>HLOOKUP(AC1,AF1:AK26,9,20)</f>
        <v>BARRERA AGUILAR * BLANCA ROSA</v>
      </c>
      <c r="AD9" s="3658">
        <f>HLOOKUP(AD1,AL1:AQ26,9,20)</f>
        <v>6.2</v>
      </c>
      <c r="AE9" s="3493">
        <v>8</v>
      </c>
      <c r="AF9" s="3524" t="str">
        <f>Plantillas!B159</f>
        <v>GARCIA CASTRO * GUADALUPE</v>
      </c>
      <c r="AG9" s="3524" t="str">
        <f>Plantillas!B161</f>
        <v>BARRERA AGUILAR * BLANCA ROSA</v>
      </c>
      <c r="AH9" s="3524" t="str">
        <f>Plantillas!B163</f>
        <v>CHAVES MARTIN * JUAN MANUEL</v>
      </c>
      <c r="AI9" s="3524" t="str">
        <f>Plantillas!B165</f>
        <v>BUITRON SANCHEZ * ISMAEL ALEJANDRO</v>
      </c>
      <c r="AJ9" s="3524" t="str">
        <f>Plantillas!B167</f>
        <v>VALLEJO PIÑA * GILBERTO VIDAL</v>
      </c>
      <c r="AK9" s="3524" t="str">
        <f>Plantillas!B168</f>
        <v>ZAPATA AGUAYO * JULIO CESAR</v>
      </c>
      <c r="AL9" s="3525">
        <f>Plantillas!AR159</f>
        <v>7</v>
      </c>
      <c r="AM9" s="3525">
        <f>Plantillas!AR161</f>
        <v>6.2</v>
      </c>
      <c r="AN9" s="3525">
        <f>Plantillas!AR163</f>
        <v>6.8</v>
      </c>
      <c r="AO9" s="3525">
        <f>Plantillas!AR165</f>
        <v>6.8</v>
      </c>
      <c r="AP9" s="3525">
        <f>Plantillas!AR167</f>
        <v>6</v>
      </c>
      <c r="AQ9" s="3525">
        <f>Plantillas!AR168</f>
        <v>5.8</v>
      </c>
    </row>
    <row r="10" spans="1:43">
      <c r="A10" s="3490"/>
      <c r="B10" s="3490"/>
      <c r="C10" s="3490"/>
      <c r="D10" s="3491"/>
      <c r="E10" s="3490"/>
      <c r="F10" s="3490"/>
      <c r="G10" s="3490"/>
      <c r="H10" s="3490"/>
      <c r="I10" s="3490"/>
      <c r="J10" s="3490"/>
      <c r="K10" s="3490"/>
      <c r="L10" s="3490"/>
      <c r="M10" s="3490"/>
      <c r="N10" s="3490"/>
      <c r="O10" s="3490"/>
      <c r="P10" s="3490"/>
      <c r="Q10" s="3490"/>
      <c r="R10" s="3490"/>
      <c r="S10" s="3490"/>
      <c r="T10" s="3490"/>
      <c r="U10" s="3490"/>
      <c r="V10" s="3490"/>
      <c r="W10" s="3490"/>
      <c r="X10" s="3490"/>
      <c r="Y10" s="3490"/>
      <c r="Z10" s="3655">
        <v>9</v>
      </c>
      <c r="AA10" s="3655">
        <v>20</v>
      </c>
      <c r="AB10" s="3655">
        <v>20</v>
      </c>
      <c r="AC10" s="3657" t="str">
        <f>HLOOKUP(AC1,AF1:AK26,10,20)</f>
        <v>ESTRADA PALMA * MARIA SOLEDAD</v>
      </c>
      <c r="AD10" s="3658">
        <f>HLOOKUP(AD1,AL1:AQ26,10,20)</f>
        <v>6</v>
      </c>
      <c r="AE10" s="3493">
        <v>9</v>
      </c>
      <c r="AF10" s="3526" t="str">
        <f>Plantillas!B198</f>
        <v>NAHUAT DZIB * VIRGINIA</v>
      </c>
      <c r="AG10" s="3526" t="str">
        <f>Plantillas!B199</f>
        <v>ESTRADA PALMA * MARIA SOLEDAD</v>
      </c>
      <c r="AH10" s="3526" t="str">
        <f>Plantillas!B200</f>
        <v>BUITRON SANCHEZ * ISMAEL ALEJANDRO</v>
      </c>
      <c r="AI10" s="3526" t="str">
        <f>Plantillas!B201</f>
        <v>VALLEJO PIÑA * GILBERTO VIDAL</v>
      </c>
      <c r="AJ10" s="3526" t="str">
        <f>Plantillas!B202</f>
        <v>PAT XULUC * MARIA ANTONIA</v>
      </c>
      <c r="AK10" s="3524" t="str">
        <f>Plantillas!B169</f>
        <v>COLLI CARRILLO * CRISTHIAN YAIR</v>
      </c>
      <c r="AL10" s="3511">
        <f>Plantillas!AR198</f>
        <v>7</v>
      </c>
      <c r="AM10" s="3511">
        <f>Plantillas!AR199</f>
        <v>6</v>
      </c>
      <c r="AN10" s="3511">
        <f>Plantillas!AR200</f>
        <v>6.8</v>
      </c>
      <c r="AO10" s="3511">
        <f>Plantillas!AR201</f>
        <v>7.1</v>
      </c>
      <c r="AP10" s="3511">
        <f>Plantillas!AR202</f>
        <v>7.8</v>
      </c>
      <c r="AQ10" s="3525">
        <f>Plantillas!AR169</f>
        <v>6</v>
      </c>
    </row>
    <row r="11" spans="1:43">
      <c r="A11" s="3490"/>
      <c r="B11" s="3490"/>
      <c r="C11" s="3490"/>
      <c r="D11" s="3491"/>
      <c r="E11" s="3490"/>
      <c r="F11" s="3490"/>
      <c r="G11" s="3490"/>
      <c r="H11" s="3490"/>
      <c r="I11" s="3490"/>
      <c r="J11" s="3490"/>
      <c r="K11" s="3490"/>
      <c r="L11" s="3490"/>
      <c r="M11" s="3490"/>
      <c r="N11" s="3490"/>
      <c r="O11" s="3490"/>
      <c r="P11" s="3490"/>
      <c r="Q11" s="3490"/>
      <c r="R11" s="3490"/>
      <c r="S11" s="3490"/>
      <c r="T11" s="3490"/>
      <c r="U11" s="3490"/>
      <c r="V11" s="3490"/>
      <c r="W11" s="3490"/>
      <c r="X11" s="3490"/>
      <c r="Y11" s="3490"/>
      <c r="Z11" s="3655">
        <v>10</v>
      </c>
      <c r="AA11" s="3655">
        <v>20</v>
      </c>
      <c r="AB11" s="3655">
        <v>20</v>
      </c>
      <c r="AC11" s="3657" t="str">
        <f>HLOOKUP(AC1,AF1:AK26,11,20)</f>
        <v>CEN CHIN * RITA ANGELICA</v>
      </c>
      <c r="AD11" s="3658">
        <f>HLOOKUP(AD1,AL1:AQ26,11,20)</f>
        <v>6</v>
      </c>
      <c r="AE11" s="3493">
        <v>10</v>
      </c>
      <c r="AF11" s="3527" t="str">
        <f>Plantillas!B238</f>
        <v>SOSA NAVARRETE * DANIELA</v>
      </c>
      <c r="AG11" s="3527" t="str">
        <f>Plantillas!B240</f>
        <v>CEN CHIN * RITA ANGELICA</v>
      </c>
      <c r="AH11" s="3527" t="str">
        <f>Plantillas!B242</f>
        <v>HAAS CHE * MARIA EDELMIRA ALICIA</v>
      </c>
      <c r="AI11" s="3528" t="str">
        <f>Plantillas!B244</f>
        <v>GONZALEZ PEREZ * MARIA ISABEL</v>
      </c>
      <c r="AJ11" s="3526" t="str">
        <f>Plantillas!B203</f>
        <v>ZAPATA AGUAYO * JULIO CESAR</v>
      </c>
      <c r="AK11" s="3526" t="str">
        <f>Plantillas!B205</f>
        <v>ALBORNOZ NUÑEZ * IVAN GEOVANI</v>
      </c>
      <c r="AL11" s="3529">
        <f>Plantillas!AR238</f>
        <v>7</v>
      </c>
      <c r="AM11" s="3529">
        <f>Plantillas!AR240</f>
        <v>6</v>
      </c>
      <c r="AN11" s="3529">
        <f>Plantillas!AR242</f>
        <v>7.1</v>
      </c>
      <c r="AO11" s="3529">
        <f>Plantillas!AR244</f>
        <v>7.3</v>
      </c>
      <c r="AP11" s="3511">
        <f>Plantillas!AR203</f>
        <v>6</v>
      </c>
      <c r="AQ11" s="3511" t="e">
        <f>Plantillas!AR205</f>
        <v>#DIV/0!</v>
      </c>
    </row>
    <row r="12" spans="1:43">
      <c r="A12" s="3490"/>
      <c r="B12" s="3490"/>
      <c r="C12" s="3490"/>
      <c r="D12" s="3491"/>
      <c r="E12" s="3490"/>
      <c r="F12" s="3490"/>
      <c r="G12" s="3490"/>
      <c r="H12" s="3490"/>
      <c r="I12" s="3490"/>
      <c r="J12" s="3490"/>
      <c r="K12" s="3490"/>
      <c r="L12" s="3490"/>
      <c r="M12" s="3490"/>
      <c r="N12" s="3490"/>
      <c r="O12" s="3490"/>
      <c r="P12" s="3490"/>
      <c r="Q12" s="3490"/>
      <c r="R12" s="3490"/>
      <c r="S12" s="3490"/>
      <c r="T12" s="3490"/>
      <c r="U12" s="3490"/>
      <c r="V12" s="3490"/>
      <c r="W12" s="3490"/>
      <c r="X12" s="3490"/>
      <c r="Y12" s="3490"/>
      <c r="Z12" s="3655">
        <v>11</v>
      </c>
      <c r="AA12" s="3655">
        <v>20</v>
      </c>
      <c r="AB12" s="3655">
        <v>20</v>
      </c>
      <c r="AC12" s="3657" t="str">
        <f>HLOOKUP(AC1,AF1:AK26,12,20)</f>
        <v>PAT CHIN * MARIA JOSE</v>
      </c>
      <c r="AD12" s="3658">
        <f>HLOOKUP(AD1,AL1:AQ26,12,20)</f>
        <v>6.9</v>
      </c>
      <c r="AE12" s="3493">
        <v>11</v>
      </c>
      <c r="AF12" s="3527" t="str">
        <f>Plantillas!B239</f>
        <v>CITUK CHULIN * ROSA ISELA</v>
      </c>
      <c r="AG12" s="3527" t="str">
        <f>Plantillas!B241</f>
        <v>PAT CHIN * MARIA JOSE</v>
      </c>
      <c r="AH12" s="3527" t="str">
        <f>Plantillas!B243</f>
        <v>COHUO CAUICH * MARIA GUADALUPE</v>
      </c>
      <c r="AI12" s="3527" t="str">
        <f>Plantillas!B245</f>
        <v>BALAN KU * JANET GUADALUPE</v>
      </c>
      <c r="AJ12" s="3526" t="str">
        <f>Plantillas!B204</f>
        <v>BUENFIL ESCOBEDO * GILMER DE JESUS</v>
      </c>
      <c r="AK12" s="3526" t="str">
        <f>Plantillas!B206</f>
        <v>NAVARRETE PANTOJA * MIGUEL ANGEL</v>
      </c>
      <c r="AL12" s="3529">
        <f>Plantillas!AR239</f>
        <v>6.8</v>
      </c>
      <c r="AM12" s="3529">
        <f>Plantillas!AR241</f>
        <v>6.9</v>
      </c>
      <c r="AN12" s="3529">
        <f>Plantillas!AR243</f>
        <v>7</v>
      </c>
      <c r="AO12" s="3529">
        <f>Plantillas!AR245</f>
        <v>6.8</v>
      </c>
      <c r="AP12" s="3511">
        <f>Plantillas!AR204</f>
        <v>6.9</v>
      </c>
      <c r="AQ12" s="3511" t="e">
        <f>Plantillas!AR206</f>
        <v>#DIV/0!</v>
      </c>
    </row>
    <row r="13" spans="1:43">
      <c r="A13" s="3490"/>
      <c r="B13" s="3490"/>
      <c r="C13" s="3490"/>
      <c r="D13" s="3491"/>
      <c r="E13" s="3490"/>
      <c r="F13" s="3490"/>
      <c r="G13" s="3490"/>
      <c r="H13" s="3490"/>
      <c r="I13" s="3490"/>
      <c r="J13" s="3490"/>
      <c r="K13" s="3490"/>
      <c r="L13" s="3490"/>
      <c r="M13" s="3490"/>
      <c r="N13" s="3490"/>
      <c r="O13" s="3490"/>
      <c r="P13" s="3490"/>
      <c r="Q13" s="3490"/>
      <c r="R13" s="3490"/>
      <c r="S13" s="3490"/>
      <c r="T13" s="3490"/>
      <c r="U13" s="3490"/>
      <c r="V13" s="3490"/>
      <c r="W13" s="3490"/>
      <c r="X13" s="3490"/>
      <c r="Y13" s="3490"/>
      <c r="Z13" s="3655">
        <v>12</v>
      </c>
      <c r="AA13" s="3655">
        <v>20</v>
      </c>
      <c r="AB13" s="3655">
        <v>20</v>
      </c>
      <c r="AC13" s="3657" t="str">
        <f>HLOOKUP(AC1,AF1:AK26,13,20)</f>
        <v>SOSA NAVARRETE * DANIELA</v>
      </c>
      <c r="AD13" s="3658">
        <f>HLOOKUP(AD1,AL1:AQ26,13,20)</f>
        <v>7</v>
      </c>
      <c r="AE13" s="3493">
        <v>12</v>
      </c>
      <c r="AF13" s="3533" t="str">
        <f>Plantillas!B358</f>
        <v>COOX YAH * CARLOS ENRIQUE</v>
      </c>
      <c r="AG13" s="3530" t="str">
        <f>Plantillas!B278</f>
        <v>SOSA NAVARRETE * DANIELA</v>
      </c>
      <c r="AH13" s="3530" t="str">
        <f>Plantillas!B279</f>
        <v>SIERRA  FLORES * MARITZA ILEN</v>
      </c>
      <c r="AI13" s="3530" t="str">
        <f>Plantillas!B280</f>
        <v>FRANCO MOO * VICTOR MANUEL</v>
      </c>
      <c r="AJ13" s="3527" t="str">
        <f>Plantillas!B246</f>
        <v>TZAB RODRIGUEZ * FABIOLA MARIA</v>
      </c>
      <c r="AK13" s="3527" t="str">
        <f>Plantillas!B248</f>
        <v>VIVAS ESTRADA * ISMAEL</v>
      </c>
      <c r="AL13" s="3534">
        <f>Plantillas!AR358</f>
        <v>7.1</v>
      </c>
      <c r="AM13" s="3531">
        <f>Plantillas!AR278</f>
        <v>7</v>
      </c>
      <c r="AN13" s="3531">
        <f>Plantillas!AR279</f>
        <v>7.1</v>
      </c>
      <c r="AO13" s="3531">
        <f>Plantillas!AR280</f>
        <v>7</v>
      </c>
      <c r="AP13" s="3529">
        <f>Plantillas!AR246</f>
        <v>6</v>
      </c>
      <c r="AQ13" s="3529">
        <f>Plantillas!AR248</f>
        <v>6.6</v>
      </c>
    </row>
    <row r="14" spans="1:43">
      <c r="A14" s="3490"/>
      <c r="B14" s="3490"/>
      <c r="C14" s="3490"/>
      <c r="D14" s="3491"/>
      <c r="E14" s="3490"/>
      <c r="F14" s="3490"/>
      <c r="G14" s="3490"/>
      <c r="H14" s="3490"/>
      <c r="I14" s="3490"/>
      <c r="J14" s="3490"/>
      <c r="K14" s="3490"/>
      <c r="L14" s="3490"/>
      <c r="M14" s="3490"/>
      <c r="N14" s="3490"/>
      <c r="O14" s="3490"/>
      <c r="P14" s="3490"/>
      <c r="Q14" s="3490"/>
      <c r="R14" s="3490"/>
      <c r="S14" s="3490"/>
      <c r="T14" s="3490"/>
      <c r="U14" s="3490"/>
      <c r="V14" s="3490"/>
      <c r="W14" s="3490"/>
      <c r="X14" s="3490"/>
      <c r="Y14" s="3490"/>
      <c r="Z14" s="3655">
        <v>13</v>
      </c>
      <c r="AA14" s="3655">
        <v>20</v>
      </c>
      <c r="AB14" s="3655">
        <v>20</v>
      </c>
      <c r="AC14" s="3657" t="str">
        <f>HLOOKUP(AC1,AF1:AK26,14,20)</f>
        <v>AVILEZ MEX * GABRIELA GEOVANA</v>
      </c>
      <c r="AD14" s="3658">
        <f>HLOOKUP(AD1,AL1:AQ26,14,20)</f>
        <v>6.69</v>
      </c>
      <c r="AE14" s="3493">
        <v>13</v>
      </c>
      <c r="AF14" s="3533" t="str">
        <f>Plantillas!B359</f>
        <v>LOPEZ ALVAREZ * GUADALUPE AURORA</v>
      </c>
      <c r="AG14" s="3533" t="str">
        <f>Plantillas!B360</f>
        <v>AVILEZ MEX * GABRIELA GEOVANA</v>
      </c>
      <c r="AH14" s="3533" t="str">
        <f>Plantillas!B362</f>
        <v>PECH PACHECO * DEYFILIA MARGOT</v>
      </c>
      <c r="AI14" s="3532" t="str">
        <f>Plantillas!B318</f>
        <v>AVILA MATIAS * OLINKA</v>
      </c>
      <c r="AJ14" s="3528" t="str">
        <f>Plantillas!B247</f>
        <v>RODRIGUEZ ESCOBEDO * JOSE EZEQUIEL</v>
      </c>
      <c r="AK14" s="3527" t="str">
        <f>Plantillas!B249</f>
        <v>ALARICH NOLTE * BLANQUET</v>
      </c>
      <c r="AL14" s="3534">
        <f>Plantillas!AR359</f>
        <v>8</v>
      </c>
      <c r="AM14" s="3534">
        <f>Plantillas!AR360</f>
        <v>6.69</v>
      </c>
      <c r="AN14" s="3534">
        <f>Plantillas!AR362</f>
        <v>6.8</v>
      </c>
      <c r="AO14" s="3510">
        <f>Plantillas!AR364</f>
        <v>7.1</v>
      </c>
      <c r="AP14" s="3529">
        <f>Plantillas!AR247</f>
        <v>6.1</v>
      </c>
      <c r="AQ14" s="3529">
        <f>Plantillas!AR249</f>
        <v>6.2</v>
      </c>
    </row>
    <row r="15" spans="1:43">
      <c r="A15" s="3490"/>
      <c r="B15" s="3490"/>
      <c r="C15" s="3490"/>
      <c r="D15" s="3491"/>
      <c r="E15" s="3490"/>
      <c r="F15" s="3490"/>
      <c r="G15" s="3490"/>
      <c r="H15" s="3490"/>
      <c r="I15" s="3490"/>
      <c r="J15" s="3490"/>
      <c r="K15" s="3490"/>
      <c r="L15" s="3490"/>
      <c r="M15" s="3490"/>
      <c r="N15" s="3490"/>
      <c r="O15" s="3490"/>
      <c r="P15" s="3490"/>
      <c r="Q15" s="3490"/>
      <c r="R15" s="3490"/>
      <c r="S15" s="3490"/>
      <c r="T15" s="3490"/>
      <c r="U15" s="3490"/>
      <c r="V15" s="3490"/>
      <c r="W15" s="3490"/>
      <c r="X15" s="3490"/>
      <c r="Y15" s="3490"/>
      <c r="Z15" s="3655">
        <v>14</v>
      </c>
      <c r="AA15" s="3655">
        <v>20</v>
      </c>
      <c r="AB15" s="3655">
        <v>20</v>
      </c>
      <c r="AC15" s="3657" t="str">
        <f>HLOOKUP(AC1,AF1:AK26,15,20)</f>
        <v>TUN DOMINGUEZ * ANA ROSA</v>
      </c>
      <c r="AD15" s="3658">
        <f>HLOOKUP(AD1,AL1:AQ26,15,20)</f>
        <v>6.4</v>
      </c>
      <c r="AE15" s="3493">
        <v>14</v>
      </c>
      <c r="AF15" s="3500" t="str">
        <f>Plantillas!B398</f>
        <v>FIELDS MAZA * WILBERT</v>
      </c>
      <c r="AG15" s="3533" t="str">
        <f>Plantillas!B361</f>
        <v>TUN DOMINGUEZ * ANA ROSA</v>
      </c>
      <c r="AH15" s="3533" t="str">
        <f>Plantillas!B363</f>
        <v>CHI NAAL * ELENA MARGARITA</v>
      </c>
      <c r="AI15" s="3533" t="str">
        <f>Plantillas!B364</f>
        <v>AVILA MATIAS * OLINKA</v>
      </c>
      <c r="AJ15" s="3530" t="str">
        <f>Plantillas!B281</f>
        <v>XIU VELAZQUEZ * JOSE MANUEL</v>
      </c>
      <c r="AK15" s="3527" t="str">
        <f>Plantillas!B250</f>
        <v>CANTO CANCHE * JOSE DOLORES</v>
      </c>
      <c r="AL15" s="3501" t="e">
        <f>Plantillas!AR398</f>
        <v>#DIV/0!</v>
      </c>
      <c r="AM15" s="3534">
        <f>Plantillas!AR361</f>
        <v>6.4</v>
      </c>
      <c r="AN15" s="3534">
        <f>Plantillas!AR363</f>
        <v>6.9</v>
      </c>
      <c r="AO15" s="3534">
        <f>Plantillas!AR365</f>
        <v>6</v>
      </c>
      <c r="AP15" s="3531">
        <f>Plantillas!AR281</f>
        <v>7.2</v>
      </c>
      <c r="AQ15" s="3529">
        <f>Plantillas!AR250</f>
        <v>6</v>
      </c>
    </row>
    <row r="16" spans="1:43">
      <c r="A16" s="3490"/>
      <c r="B16" s="3490"/>
      <c r="C16" s="3490"/>
      <c r="D16" s="3491"/>
      <c r="E16" s="3490"/>
      <c r="F16" s="3490"/>
      <c r="G16" s="3490"/>
      <c r="H16" s="3490"/>
      <c r="I16" s="3490"/>
      <c r="J16" s="3490"/>
      <c r="K16" s="3490"/>
      <c r="L16" s="3490"/>
      <c r="M16" s="3490"/>
      <c r="N16" s="3490"/>
      <c r="O16" s="3490"/>
      <c r="P16" s="3490"/>
      <c r="Q16" s="3490"/>
      <c r="R16" s="3490"/>
      <c r="S16" s="3490"/>
      <c r="T16" s="3490"/>
      <c r="U16" s="3490"/>
      <c r="V16" s="3490"/>
      <c r="W16" s="3490"/>
      <c r="X16" s="3490"/>
      <c r="Y16" s="3490"/>
      <c r="Z16" s="3655">
        <v>15</v>
      </c>
      <c r="AA16" s="3655">
        <v>20</v>
      </c>
      <c r="AB16" s="3655">
        <v>20</v>
      </c>
      <c r="AC16" s="3657" t="str">
        <f>HLOOKUP(AC1,AF1:AK26,16,20)</f>
        <v>RIVERO NUÑEZ * LANDY GRACIELA</v>
      </c>
      <c r="AD16" s="3658" t="e">
        <f>HLOOKUP(AD1,AL1:AQ26,16,20)</f>
        <v>#DIV/0!</v>
      </c>
      <c r="AE16" s="3493">
        <v>15</v>
      </c>
      <c r="AF16" s="3508" t="str">
        <f>Plantillas!B438</f>
        <v>HERNANDEZ SANCHEZ * LOYDA</v>
      </c>
      <c r="AG16" s="3500" t="str">
        <f>Plantillas!B399</f>
        <v>RIVERO NUÑEZ * LANDY GRACIELA</v>
      </c>
      <c r="AH16" s="3500" t="str">
        <f>Plantillas!B400</f>
        <v xml:space="preserve">GOMEZ CORTEZ * MIRNA LUZ </v>
      </c>
      <c r="AI16" s="3533" t="str">
        <f>Plantillas!B365</f>
        <v>GONZALEZ PEREZ * FILOMENA</v>
      </c>
      <c r="AJ16" s="3530" t="str">
        <f>Plantillas!B282</f>
        <v>CORDOBA CAN * JORGE ANTONIO</v>
      </c>
      <c r="AK16" s="3530" t="str">
        <f>Plantillas!B283</f>
        <v>MIS VELEZ * JUAN SILVESTRE</v>
      </c>
      <c r="AL16" s="3509" t="e">
        <f>Plantillas!AR438</f>
        <v>#DIV/0!</v>
      </c>
      <c r="AM16" s="3501" t="e">
        <f>Plantillas!AR399</f>
        <v>#DIV/0!</v>
      </c>
      <c r="AN16" s="3501" t="e">
        <f>Plantillas!AR400</f>
        <v>#DIV/0!</v>
      </c>
      <c r="AO16" s="3534" t="e">
        <f>Plantillas!AR401</f>
        <v>#DIV/0!</v>
      </c>
      <c r="AP16" s="3531">
        <f>Plantillas!AR282</f>
        <v>6.8</v>
      </c>
      <c r="AQ16" s="3531" t="e">
        <f>Plantillas!AR283</f>
        <v>#DIV/0!</v>
      </c>
    </row>
    <row r="17" spans="1:43">
      <c r="A17" s="3490"/>
      <c r="B17" s="3490"/>
      <c r="C17" s="3490"/>
      <c r="D17" s="3491"/>
      <c r="E17" s="3490"/>
      <c r="F17" s="3490"/>
      <c r="G17" s="3490"/>
      <c r="H17" s="3490"/>
      <c r="I17" s="3490"/>
      <c r="J17" s="3490"/>
      <c r="K17" s="3490"/>
      <c r="L17" s="3490"/>
      <c r="M17" s="3490"/>
      <c r="N17" s="3490"/>
      <c r="O17" s="3490"/>
      <c r="P17" s="3490"/>
      <c r="Q17" s="3490"/>
      <c r="R17" s="3490"/>
      <c r="S17" s="3490"/>
      <c r="T17" s="3490"/>
      <c r="U17" s="3490"/>
      <c r="V17" s="3490"/>
      <c r="W17" s="3490"/>
      <c r="X17" s="3490"/>
      <c r="Y17" s="3490"/>
      <c r="Z17" s="3655">
        <v>16</v>
      </c>
      <c r="AA17" s="3655">
        <v>20</v>
      </c>
      <c r="AB17" s="3655">
        <v>20</v>
      </c>
      <c r="AC17" s="3657">
        <f>HLOOKUP(AC1,AF1:AK26,17,20)</f>
        <v>0</v>
      </c>
      <c r="AD17" s="3658" t="e">
        <f>HLOOKUP(AD1,AL1:AQ26,17,20)</f>
        <v>#DIV/0!</v>
      </c>
      <c r="AE17" s="3493">
        <v>16</v>
      </c>
      <c r="AF17" s="3512">
        <f>Plantillas!B478</f>
        <v>0</v>
      </c>
      <c r="AG17" s="3508">
        <f>Plantillas!B439</f>
        <v>0</v>
      </c>
      <c r="AH17" s="3508" t="str">
        <f>Plantillas!B440</f>
        <v>PAAT KOO OSCAR * ALEJANDRO</v>
      </c>
      <c r="AI17" s="3500" t="str">
        <f>Plantillas!B401</f>
        <v>PADILLA DIAZ * LANDY DEL ROSARIO</v>
      </c>
      <c r="AJ17" s="3532" t="str">
        <f>Plantillas!B319</f>
        <v>DIAZ SANCHEZ * ANGEL</v>
      </c>
      <c r="AK17" s="3532" t="str">
        <f>Plantillas!B320</f>
        <v>CERVERA TAPIA * NORMA</v>
      </c>
      <c r="AL17" s="3513" t="e">
        <f>Plantillas!AR478</f>
        <v>#DIV/0!</v>
      </c>
      <c r="AM17" s="3509" t="e">
        <f>Plantillas!AR439</f>
        <v>#DIV/0!</v>
      </c>
      <c r="AN17" s="3509" t="e">
        <f>Plantillas!AR440</f>
        <v>#DIV/0!</v>
      </c>
      <c r="AO17" s="3501" t="e">
        <f>Plantillas!AR401</f>
        <v>#DIV/0!</v>
      </c>
      <c r="AP17" s="3510">
        <f>Plantillas!AR366</f>
        <v>7.2</v>
      </c>
      <c r="AQ17" s="3510">
        <f>Plantillas!AR368</f>
        <v>6.2</v>
      </c>
    </row>
    <row r="18" spans="1:43">
      <c r="A18" s="3490"/>
      <c r="B18" s="3490"/>
      <c r="C18" s="3490"/>
      <c r="D18" s="3491"/>
      <c r="E18" s="3490"/>
      <c r="F18" s="3490"/>
      <c r="G18" s="3490"/>
      <c r="H18" s="3490"/>
      <c r="I18" s="3490"/>
      <c r="J18" s="3490"/>
      <c r="K18" s="3490"/>
      <c r="L18" s="3490"/>
      <c r="M18" s="3490"/>
      <c r="N18" s="3490"/>
      <c r="O18" s="3490"/>
      <c r="P18" s="3490"/>
      <c r="Q18" s="3490"/>
      <c r="R18" s="3490"/>
      <c r="S18" s="3490"/>
      <c r="T18" s="3490"/>
      <c r="U18" s="3490"/>
      <c r="V18" s="3490"/>
      <c r="W18" s="3490"/>
      <c r="X18" s="3490"/>
      <c r="Y18" s="3490"/>
      <c r="Z18" s="3655">
        <v>17</v>
      </c>
      <c r="AA18" s="3655">
        <v>20</v>
      </c>
      <c r="AB18" s="3655">
        <v>20</v>
      </c>
      <c r="AC18" s="3657" t="str">
        <f>HLOOKUP(AC1,AF1:AK26,18,20)</f>
        <v>CAN BASTO * CRISHTY</v>
      </c>
      <c r="AD18" s="3658" t="e">
        <f>HLOOKUP(AD1,AL1:AQ26,18,20)</f>
        <v>#DIV/0!</v>
      </c>
      <c r="AE18" s="3493">
        <v>17</v>
      </c>
      <c r="AF18" s="3515" t="str">
        <f>Plantillas!B518</f>
        <v>C HALE HERRERA * LUZMY MIGANGELY</v>
      </c>
      <c r="AG18" s="3512" t="str">
        <f>Plantillas!B479</f>
        <v>CAN BASTO * CRISHTY</v>
      </c>
      <c r="AH18" s="3512" t="str">
        <f>Plantillas!B477</f>
        <v>CRUZ MARTINEZ * BELEM</v>
      </c>
      <c r="AI18" s="3500" t="str">
        <f>Plantillas!B402</f>
        <v>HERNANDEZ CARDEÑA * ALEX KARIN</v>
      </c>
      <c r="AJ18" s="3533" t="str">
        <f>Plantillas!B366</f>
        <v>ALARCON ALARCON * MARTHA LILIANA</v>
      </c>
      <c r="AK18" s="3533" t="str">
        <f>Plantillas!B368</f>
        <v>DZUL SANTIAGO * IVAN ARIEL</v>
      </c>
      <c r="AL18" s="3516" t="e">
        <f>Plantillas!AR518</f>
        <v>#DIV/0!</v>
      </c>
      <c r="AM18" s="3513" t="e">
        <f>Plantillas!AR479</f>
        <v>#DIV/0!</v>
      </c>
      <c r="AN18" s="3513" t="e">
        <f>Plantillas!AR477</f>
        <v>#DIV/0!</v>
      </c>
      <c r="AO18" s="3501" t="e">
        <f>Plantillas!AR402</f>
        <v>#DIV/0!</v>
      </c>
      <c r="AP18" s="3534">
        <f>Plantillas!AR367</f>
        <v>6.4</v>
      </c>
      <c r="AQ18" s="3534">
        <f>Plantillas!AR369</f>
        <v>6.5</v>
      </c>
    </row>
    <row r="19" spans="1:43">
      <c r="A19" s="3490"/>
      <c r="B19" s="3490"/>
      <c r="C19" s="3490"/>
      <c r="D19" s="3491"/>
      <c r="E19" s="3490"/>
      <c r="F19" s="3490"/>
      <c r="G19" s="3490"/>
      <c r="H19" s="3490"/>
      <c r="I19" s="3490"/>
      <c r="J19" s="3490"/>
      <c r="K19" s="3490"/>
      <c r="L19" s="3490"/>
      <c r="M19" s="3490"/>
      <c r="N19" s="3490"/>
      <c r="O19" s="3490"/>
      <c r="P19" s="3490"/>
      <c r="Q19" s="3490"/>
      <c r="R19" s="3490"/>
      <c r="S19" s="3490"/>
      <c r="T19" s="3490"/>
      <c r="U19" s="3490"/>
      <c r="V19" s="3490"/>
      <c r="W19" s="3490"/>
      <c r="X19" s="3490"/>
      <c r="Y19" s="3490"/>
      <c r="Z19" s="3655">
        <v>18</v>
      </c>
      <c r="AA19" s="3655">
        <v>20</v>
      </c>
      <c r="AB19" s="3655">
        <v>20</v>
      </c>
      <c r="AC19" s="3657">
        <f>HLOOKUP(AC1,AF1:AK26,19,20)</f>
        <v>0</v>
      </c>
      <c r="AD19" s="3658" t="e">
        <f>HLOOKUP(AD1,AL1:AQ26,19,20)</f>
        <v>#DIV/0!</v>
      </c>
      <c r="AE19" s="3493">
        <v>18</v>
      </c>
      <c r="AF19" s="3517" t="str">
        <f>Plantillas!B557</f>
        <v>G.CANTON PUERTO * REBECA</v>
      </c>
      <c r="AG19" s="3515">
        <f>Plantillas!B519</f>
        <v>0</v>
      </c>
      <c r="AH19" s="3515" t="str">
        <f>Plantillas!B520</f>
        <v>CABALLERO CHAN * AMPARO ISABEL</v>
      </c>
      <c r="AI19" s="3508">
        <f>Plantillas!B441</f>
        <v>0</v>
      </c>
      <c r="AJ19" s="3533" t="str">
        <f>Plantillas!B367</f>
        <v>DELGADO CRUZ * ANTONIA CAROLINA</v>
      </c>
      <c r="AK19" s="3533" t="str">
        <f>Plantillas!B369</f>
        <v>MAY CHUC * FELICIANO</v>
      </c>
      <c r="AL19" s="3518" t="e">
        <f>Plantillas!AR557</f>
        <v>#DIV/0!</v>
      </c>
      <c r="AM19" s="3516" t="e">
        <f>Plantillas!AR519</f>
        <v>#DIV/0!</v>
      </c>
      <c r="AN19" s="3516" t="e">
        <f>Plantillas!AR520</f>
        <v>#DIV/0!</v>
      </c>
      <c r="AO19" s="3509" t="e">
        <f>Plantillas!AR441</f>
        <v>#DIV/0!</v>
      </c>
      <c r="AP19" s="3534" t="e">
        <f>Plantillas!AR403</f>
        <v>#DIV/0!</v>
      </c>
      <c r="AQ19" s="3534">
        <f>Plantillas!AR369</f>
        <v>6.5</v>
      </c>
    </row>
    <row r="20" spans="1:43">
      <c r="A20" s="3490"/>
      <c r="B20" s="3490"/>
      <c r="C20" s="3490"/>
      <c r="D20" s="3491"/>
      <c r="E20" s="3490"/>
      <c r="F20" s="3490"/>
      <c r="G20" s="3490"/>
      <c r="H20" s="3490"/>
      <c r="I20" s="3490"/>
      <c r="J20" s="3490"/>
      <c r="K20" s="3490"/>
      <c r="L20" s="3490"/>
      <c r="M20" s="3490"/>
      <c r="N20" s="3490"/>
      <c r="O20" s="3490"/>
      <c r="P20" s="3490"/>
      <c r="Q20" s="3490"/>
      <c r="R20" s="3490"/>
      <c r="S20" s="3490"/>
      <c r="T20" s="3490"/>
      <c r="U20" s="3490"/>
      <c r="V20" s="3490"/>
      <c r="W20" s="3490"/>
      <c r="X20" s="3490"/>
      <c r="Y20" s="3490"/>
      <c r="Z20" s="3655">
        <v>19</v>
      </c>
      <c r="AA20" s="3655">
        <v>20</v>
      </c>
      <c r="AB20" s="3655">
        <v>20</v>
      </c>
      <c r="AC20" s="3657" t="str">
        <f>HLOOKUP(AC1,AF1:AK26,20,20)</f>
        <v>VALENZUELA GOMEZ * MARLEN</v>
      </c>
      <c r="AD20" s="3658" t="e">
        <f>HLOOKUP(AD1,AL1:AQ26,20,20)</f>
        <v>#DIV/0!</v>
      </c>
      <c r="AE20" s="3493">
        <v>19</v>
      </c>
      <c r="AF20" s="3514" t="str">
        <f>Plantillas!B599</f>
        <v>BONFIL YAM * WENDY KARINA</v>
      </c>
      <c r="AG20" s="3517" t="str">
        <f>Plantillas!B558</f>
        <v>VALENZUELA GOMEZ * MARLEN</v>
      </c>
      <c r="AH20" s="3517">
        <f>Plantillas!B559</f>
        <v>0</v>
      </c>
      <c r="AI20" s="3512" t="str">
        <f>Plantillas!B480</f>
        <v>MONTAÑO CASTILLO * MARIANA</v>
      </c>
      <c r="AJ20" s="3500" t="str">
        <f>Plantillas!B403</f>
        <v>COLLI CARRILLO * ROBERTO ALAN</v>
      </c>
      <c r="AK20" s="3500" t="str">
        <f>Plantillas!B404</f>
        <v>MATU CRUZ * LAURA SOFIA</v>
      </c>
      <c r="AL20" s="3519" t="e">
        <f>Plantillas!AR599</f>
        <v>#DIV/0!</v>
      </c>
      <c r="AM20" s="3518" t="e">
        <f>Plantillas!AR558</f>
        <v>#DIV/0!</v>
      </c>
      <c r="AN20" s="3518" t="e">
        <f>Plantillas!AR559</f>
        <v>#DIV/0!</v>
      </c>
      <c r="AO20" s="3513" t="e">
        <f>Plantillas!AR480</f>
        <v>#DIV/0!</v>
      </c>
      <c r="AP20" s="3501" t="e">
        <f>Plantillas!AR403</f>
        <v>#DIV/0!</v>
      </c>
      <c r="AQ20" s="3501" t="e">
        <f>Plantillas!AR404</f>
        <v>#DIV/0!</v>
      </c>
    </row>
    <row r="21" spans="1:43">
      <c r="A21" s="3490"/>
      <c r="B21" s="3490"/>
      <c r="C21" s="3490"/>
      <c r="D21" s="3491"/>
      <c r="E21" s="3490"/>
      <c r="F21" s="3490"/>
      <c r="G21" s="3490"/>
      <c r="H21" s="3490"/>
      <c r="I21" s="3490"/>
      <c r="J21" s="3490"/>
      <c r="K21" s="3490"/>
      <c r="L21" s="3490"/>
      <c r="M21" s="3490"/>
      <c r="N21" s="3490"/>
      <c r="O21" s="3490"/>
      <c r="P21" s="3490"/>
      <c r="Q21" s="3490"/>
      <c r="R21" s="3490"/>
      <c r="S21" s="3490"/>
      <c r="T21" s="3490"/>
      <c r="U21" s="3490"/>
      <c r="V21" s="3490"/>
      <c r="W21" s="3490"/>
      <c r="X21" s="3490"/>
      <c r="Y21" s="3490"/>
      <c r="Z21" s="3655">
        <v>20</v>
      </c>
      <c r="AA21" s="3655">
        <v>20</v>
      </c>
      <c r="AB21" s="3655">
        <v>20</v>
      </c>
      <c r="AC21" s="3657" t="str">
        <f>HLOOKUP(AC1,AF1:AK26,21,20)</f>
        <v>JIMENEZ ALVAREZ * MIRNA ZULMY</v>
      </c>
      <c r="AD21" s="3658" t="e">
        <f>HLOOKUP(AD1,AL1:AQ26,21,20)</f>
        <v>#DIV/0!</v>
      </c>
      <c r="AE21" s="3493">
        <v>20</v>
      </c>
      <c r="AF21" s="3503" t="s">
        <v>228</v>
      </c>
      <c r="AG21" s="3514" t="str">
        <f>Plantillas!B600</f>
        <v>JIMENEZ ALVAREZ * MIRNA ZULMY</v>
      </c>
      <c r="AH21" s="3514" t="str">
        <f>Plantillas!B601</f>
        <v>CERVANTES MANRIQUEZ * GEORGINA</v>
      </c>
      <c r="AI21" s="3515" t="str">
        <f>Plantillas!B521</f>
        <v>MARTINEZ TORRES * SONIA CRISTHELL</v>
      </c>
      <c r="AJ21" s="3508" t="str">
        <f>Plantillas!B442</f>
        <v>CANUL BORGES * FATIMA DEL CARMEN</v>
      </c>
      <c r="AK21" s="3508" t="str">
        <f>Plantillas!B437</f>
        <v>TUCUCH SANTOS * AURORA LETICIA</v>
      </c>
      <c r="AL21" s="3565">
        <v>0</v>
      </c>
      <c r="AM21" s="3519" t="e">
        <f>Plantillas!AR600</f>
        <v>#DIV/0!</v>
      </c>
      <c r="AN21" s="3519" t="e">
        <f>Plantillas!AR601</f>
        <v>#DIV/0!</v>
      </c>
      <c r="AO21" s="3516" t="e">
        <f>Plantillas!AR521</f>
        <v>#DIV/0!</v>
      </c>
      <c r="AP21" s="3509" t="e">
        <f>Plantillas!AR442</f>
        <v>#DIV/0!</v>
      </c>
      <c r="AQ21" s="3509" t="e">
        <f>Plantillas!AR437</f>
        <v>#DIV/0!</v>
      </c>
    </row>
    <row r="22" spans="1:43">
      <c r="A22" s="3490"/>
      <c r="B22" s="3490"/>
      <c r="C22" s="3490"/>
      <c r="D22" s="3491"/>
      <c r="E22" s="3490"/>
      <c r="F22" s="3490"/>
      <c r="G22" s="3490"/>
      <c r="H22" s="3490"/>
      <c r="I22" s="3490"/>
      <c r="J22" s="3490"/>
      <c r="K22" s="3490"/>
      <c r="L22" s="3490"/>
      <c r="M22" s="3490"/>
      <c r="N22" s="3490"/>
      <c r="O22" s="3490"/>
      <c r="P22" s="3490"/>
      <c r="Q22" s="3490"/>
      <c r="R22" s="3490"/>
      <c r="S22" s="3490"/>
      <c r="T22" s="3490"/>
      <c r="U22" s="3490"/>
      <c r="V22" s="3490"/>
      <c r="W22" s="3490"/>
      <c r="X22" s="3490"/>
      <c r="Y22" s="3490"/>
      <c r="Z22" s="3655">
        <v>21</v>
      </c>
      <c r="AA22" s="3655">
        <v>20</v>
      </c>
      <c r="AB22" s="3655">
        <v>20</v>
      </c>
      <c r="AC22" s="3657">
        <f>HLOOKUP(AC1,AF1:AK26,22,20)</f>
        <v>0</v>
      </c>
      <c r="AD22" s="3658">
        <f>HLOOKUP(AD1,AL1:AQ26,22,20)</f>
        <v>0</v>
      </c>
      <c r="AE22" s="3493">
        <v>21</v>
      </c>
      <c r="AF22" s="3503" t="s">
        <v>230</v>
      </c>
      <c r="AG22" s="3503">
        <v>0</v>
      </c>
      <c r="AH22" s="3503">
        <v>0</v>
      </c>
      <c r="AI22" s="3514" t="str">
        <f>Plantillas!B602</f>
        <v>BARRIGA PARADA * MARIA DEL ROSARIO</v>
      </c>
      <c r="AJ22" s="3512" t="str">
        <f>Plantillas!B481</f>
        <v>GOMEZ RIVERA *  SULEMA</v>
      </c>
      <c r="AK22" s="3512" t="str">
        <f>Plantillas!B482</f>
        <v>SANCHEZ DE LA CRUZ * ADELA DEL CARMEN</v>
      </c>
      <c r="AL22" s="3565">
        <v>0</v>
      </c>
      <c r="AM22" s="3565">
        <v>0</v>
      </c>
      <c r="AN22" s="3565">
        <v>0</v>
      </c>
      <c r="AO22" s="3519" t="e">
        <f>Plantillas!AR602</f>
        <v>#DIV/0!</v>
      </c>
      <c r="AP22" s="3513" t="e">
        <f>Plantillas!AR481</f>
        <v>#DIV/0!</v>
      </c>
      <c r="AQ22" s="3513" t="e">
        <f>Plantillas!AR482</f>
        <v>#DIV/0!</v>
      </c>
    </row>
    <row r="23" spans="1:43">
      <c r="A23" s="3490"/>
      <c r="B23" s="3490"/>
      <c r="C23" s="3490"/>
      <c r="D23" s="3491"/>
      <c r="E23" s="3490"/>
      <c r="F23" s="3490"/>
      <c r="G23" s="3490"/>
      <c r="H23" s="3490"/>
      <c r="I23" s="3490"/>
      <c r="J23" s="3490"/>
      <c r="K23" s="3490"/>
      <c r="L23" s="3490"/>
      <c r="M23" s="3490"/>
      <c r="N23" s="3490"/>
      <c r="O23" s="3490"/>
      <c r="P23" s="3490"/>
      <c r="Q23" s="3490"/>
      <c r="R23" s="3490"/>
      <c r="S23" s="3490"/>
      <c r="T23" s="3490"/>
      <c r="U23" s="3490"/>
      <c r="V23" s="3490"/>
      <c r="W23" s="3490"/>
      <c r="X23" s="3490"/>
      <c r="Y23" s="3490"/>
      <c r="Z23" s="3492">
        <v>22</v>
      </c>
      <c r="AA23" s="3655">
        <v>20</v>
      </c>
      <c r="AB23" s="3655">
        <v>20</v>
      </c>
      <c r="AC23" s="3657">
        <f>HLOOKUP(AC1,AF1:AK26,23,20)</f>
        <v>0</v>
      </c>
      <c r="AD23" s="3658">
        <f>HLOOKUP(AD1,AL1:AQ26,23,20)</f>
        <v>0</v>
      </c>
      <c r="AE23" s="3493">
        <v>22</v>
      </c>
      <c r="AF23" s="3503" t="s">
        <v>7</v>
      </c>
      <c r="AG23" s="3503">
        <v>0</v>
      </c>
      <c r="AH23" s="3503">
        <v>0</v>
      </c>
      <c r="AI23" s="3514" t="str">
        <f>Plantillas!B603</f>
        <v>MIRANDA VALDEZ * MARIA ALMA</v>
      </c>
      <c r="AJ23" s="3515" t="str">
        <f>Plantillas!B522</f>
        <v>CETINA EK * ADDY ISABELINA</v>
      </c>
      <c r="AK23" s="3515">
        <f>Plantillas!B523</f>
        <v>0</v>
      </c>
      <c r="AL23" s="3565">
        <v>0</v>
      </c>
      <c r="AM23" s="3565">
        <v>0</v>
      </c>
      <c r="AN23" s="3565">
        <v>0</v>
      </c>
      <c r="AO23" s="3519" t="e">
        <f>Plantillas!AR603</f>
        <v>#DIV/0!</v>
      </c>
      <c r="AP23" s="3516" t="e">
        <f>Plantillas!AR522</f>
        <v>#DIV/0!</v>
      </c>
      <c r="AQ23" s="3516" t="e">
        <f>Plantillas!AR523</f>
        <v>#DIV/0!</v>
      </c>
    </row>
    <row r="24" spans="1:43">
      <c r="A24" s="3490"/>
      <c r="B24" s="3490"/>
      <c r="C24" s="3490"/>
      <c r="D24" s="3491"/>
      <c r="E24" s="3490"/>
      <c r="F24" s="3490"/>
      <c r="G24" s="3490"/>
      <c r="H24" s="3490"/>
      <c r="I24" s="3490"/>
      <c r="J24" s="3490"/>
      <c r="K24" s="3490"/>
      <c r="L24" s="3490"/>
      <c r="M24" s="3490"/>
      <c r="N24" s="3490"/>
      <c r="O24" s="3490"/>
      <c r="P24" s="3490"/>
      <c r="Q24" s="3490"/>
      <c r="R24" s="3490"/>
      <c r="S24" s="3490"/>
      <c r="T24" s="3490"/>
      <c r="U24" s="3490"/>
      <c r="V24" s="3490"/>
      <c r="W24" s="3490"/>
      <c r="X24" s="3490"/>
      <c r="Y24" s="3490"/>
      <c r="Z24" s="3655">
        <v>23</v>
      </c>
      <c r="AA24" s="3655">
        <v>20</v>
      </c>
      <c r="AB24" s="3655">
        <v>20</v>
      </c>
      <c r="AC24" s="3657">
        <f>HLOOKUP(AC1,AF1:AK26,24,20)</f>
        <v>0</v>
      </c>
      <c r="AD24" s="3658">
        <f>HLOOKUP(AD1,AL1:AQ26,24,20)</f>
        <v>0</v>
      </c>
      <c r="AE24" s="3493">
        <v>23</v>
      </c>
      <c r="AF24" s="3503" t="s">
        <v>393</v>
      </c>
      <c r="AG24" s="3503">
        <v>0</v>
      </c>
      <c r="AH24" s="3503">
        <v>0</v>
      </c>
      <c r="AI24" s="3503">
        <v>0</v>
      </c>
      <c r="AJ24" s="3514" t="str">
        <f>Plantillas!B597</f>
        <v>JUAREZ ESPINOSA * BELINDA</v>
      </c>
      <c r="AK24" s="3514" t="str">
        <f>Plantillas!B598</f>
        <v>ABRAJAN HERNANDEZ * MAXIMA GUADALUPE</v>
      </c>
      <c r="AL24" s="3565">
        <v>0</v>
      </c>
      <c r="AM24" s="3565">
        <v>0</v>
      </c>
      <c r="AN24" s="3565">
        <v>0</v>
      </c>
      <c r="AO24" s="3565">
        <v>0</v>
      </c>
      <c r="AP24" s="3519" t="e">
        <f>Plantillas!AR597</f>
        <v>#DIV/0!</v>
      </c>
      <c r="AQ24" s="3519" t="e">
        <f>Plantillas!AR598</f>
        <v>#DIV/0!</v>
      </c>
    </row>
    <row r="25" spans="1:43">
      <c r="A25" s="3490"/>
      <c r="B25" s="3490"/>
      <c r="C25" s="3490"/>
      <c r="D25" s="3491"/>
      <c r="E25" s="3490"/>
      <c r="F25" s="3490"/>
      <c r="G25" s="3490"/>
      <c r="H25" s="3490"/>
      <c r="I25" s="3490"/>
      <c r="J25" s="3490"/>
      <c r="K25" s="3490"/>
      <c r="L25" s="3490"/>
      <c r="M25" s="3490"/>
      <c r="N25" s="3490"/>
      <c r="O25" s="3490"/>
      <c r="P25" s="3490"/>
      <c r="Q25" s="3490"/>
      <c r="R25" s="3490"/>
      <c r="S25" s="3490"/>
      <c r="T25" s="3490"/>
      <c r="U25" s="3490"/>
      <c r="V25" s="3490"/>
      <c r="W25" s="3490"/>
      <c r="X25" s="3490"/>
      <c r="Y25" s="3490"/>
      <c r="Z25" s="3492">
        <v>24</v>
      </c>
      <c r="AA25" s="3655">
        <v>20</v>
      </c>
      <c r="AB25" s="3655">
        <v>20</v>
      </c>
      <c r="AC25" s="3657">
        <f>HLOOKUP(AC1,AF1:AK26,25,20)</f>
        <v>0</v>
      </c>
      <c r="AD25" s="3658">
        <f>HLOOKUP(AD1,AL1:AQ26,25,20)</f>
        <v>0</v>
      </c>
      <c r="AE25" s="3493">
        <v>24</v>
      </c>
      <c r="AF25" s="3503" t="s">
        <v>399</v>
      </c>
      <c r="AG25" s="3503">
        <v>0</v>
      </c>
      <c r="AH25" s="3503">
        <v>0</v>
      </c>
      <c r="AI25" s="3503">
        <v>0</v>
      </c>
      <c r="AJ25" s="3503">
        <v>0</v>
      </c>
      <c r="AK25" s="3503">
        <v>0</v>
      </c>
      <c r="AL25" s="3565">
        <v>0</v>
      </c>
      <c r="AM25" s="3565">
        <v>0</v>
      </c>
      <c r="AN25" s="3565">
        <v>0</v>
      </c>
      <c r="AO25" s="3565">
        <v>0</v>
      </c>
      <c r="AP25" s="3565">
        <v>0</v>
      </c>
      <c r="AQ25" s="3565">
        <v>0</v>
      </c>
    </row>
    <row r="26" spans="1:43">
      <c r="A26" s="3490"/>
      <c r="B26" s="3490"/>
      <c r="C26" s="3490"/>
      <c r="D26" s="3491"/>
      <c r="E26" s="3490"/>
      <c r="F26" s="3490"/>
      <c r="G26" s="3490"/>
      <c r="H26" s="3490"/>
      <c r="I26" s="3490"/>
      <c r="J26" s="3490"/>
      <c r="K26" s="3490"/>
      <c r="L26" s="3490"/>
      <c r="M26" s="3490"/>
      <c r="N26" s="3490"/>
      <c r="O26" s="3490"/>
      <c r="P26" s="3490"/>
      <c r="Q26" s="3490"/>
      <c r="R26" s="3490"/>
      <c r="S26" s="3490"/>
      <c r="T26" s="3490"/>
      <c r="U26" s="3490"/>
      <c r="V26" s="3490"/>
      <c r="W26" s="3490"/>
      <c r="X26" s="3490"/>
      <c r="Y26" s="3490"/>
      <c r="Z26" s="3655">
        <v>25</v>
      </c>
      <c r="AA26" s="3655">
        <v>20</v>
      </c>
      <c r="AB26" s="3655">
        <v>20</v>
      </c>
      <c r="AC26" s="3657">
        <f>HLOOKUP(AC1,AF1:AK26,26,20)</f>
        <v>0</v>
      </c>
      <c r="AD26" s="3658">
        <f>HLOOKUP(AD1,AL1:AQ26,26,20)</f>
        <v>0</v>
      </c>
      <c r="AE26" s="3493">
        <v>25</v>
      </c>
      <c r="AF26" s="3503" t="s">
        <v>403</v>
      </c>
      <c r="AG26" s="3503">
        <v>0</v>
      </c>
      <c r="AH26" s="3503">
        <v>0</v>
      </c>
      <c r="AI26" s="3503">
        <v>0</v>
      </c>
      <c r="AJ26" s="3503">
        <v>0</v>
      </c>
      <c r="AK26" s="3503">
        <v>0</v>
      </c>
      <c r="AL26" s="3565">
        <v>0</v>
      </c>
      <c r="AM26" s="3565">
        <v>0</v>
      </c>
      <c r="AN26" s="3565">
        <v>0</v>
      </c>
      <c r="AO26" s="3565">
        <v>0</v>
      </c>
      <c r="AP26" s="3565">
        <v>0</v>
      </c>
      <c r="AQ26" s="3565">
        <v>0</v>
      </c>
    </row>
    <row r="27" spans="1:43" ht="6" customHeight="1">
      <c r="A27" s="3490"/>
      <c r="B27" s="3490"/>
      <c r="C27" s="3494"/>
      <c r="D27" s="3495"/>
      <c r="E27" s="3490"/>
      <c r="F27" s="3490"/>
      <c r="G27" s="3490"/>
      <c r="H27" s="3490"/>
      <c r="I27" s="3490"/>
      <c r="J27" s="3490"/>
      <c r="K27" s="3490"/>
      <c r="L27" s="3490"/>
      <c r="M27" s="3490"/>
      <c r="N27" s="3490"/>
      <c r="O27" s="3490"/>
      <c r="P27" s="3490"/>
      <c r="Q27" s="3490"/>
      <c r="R27" s="3490"/>
      <c r="S27" s="3490"/>
      <c r="T27" s="3490"/>
      <c r="U27" s="3490"/>
      <c r="V27" s="3490"/>
      <c r="W27" s="3490"/>
      <c r="X27" s="3490"/>
      <c r="Y27" s="3490"/>
      <c r="Z27" s="3655"/>
      <c r="AA27" s="3655">
        <v>20</v>
      </c>
      <c r="AB27" s="3655">
        <v>20</v>
      </c>
      <c r="AC27" s="3659"/>
      <c r="AD27" s="3660"/>
      <c r="AQ27" s="3502"/>
    </row>
    <row r="28" spans="1:43" ht="135" customHeight="1">
      <c r="A28" s="3489">
        <v>2</v>
      </c>
      <c r="B28" s="3553" t="str">
        <f>AC2</f>
        <v>MORENO CARDENAS * IGNACIA</v>
      </c>
      <c r="C28" s="3553" t="str">
        <f>AC3</f>
        <v>GONGORA SANTOS * GRACIELA</v>
      </c>
      <c r="D28" s="3553" t="str">
        <f>AC4</f>
        <v>HERNANDEZ JIMENEZ * LUCERO</v>
      </c>
      <c r="E28" s="3553" t="str">
        <f>AC5</f>
        <v>LANDEROS LOPEZ * ALVINA</v>
      </c>
      <c r="F28" s="3553" t="str">
        <f>AC6</f>
        <v>TUN CAUICH * EVA DEL JESUS</v>
      </c>
      <c r="G28" s="3553" t="str">
        <f>AC7</f>
        <v>DZUL SANTIAGO * IVAN ARIEL</v>
      </c>
      <c r="H28" s="3553" t="str">
        <f>AC8</f>
        <v>DZUL SANTIAGO * IVAN ARIEL</v>
      </c>
      <c r="I28" s="3553" t="str">
        <f>AC9</f>
        <v>BARRERA AGUILAR * BLANCA ROSA</v>
      </c>
      <c r="J28" s="3553" t="str">
        <f>AC10</f>
        <v>ESTRADA PALMA * MARIA SOLEDAD</v>
      </c>
      <c r="K28" s="3553" t="str">
        <f>AC11</f>
        <v>CEN CHIN * RITA ANGELICA</v>
      </c>
      <c r="L28" s="3553" t="str">
        <f>AC12</f>
        <v>PAT CHIN * MARIA JOSE</v>
      </c>
      <c r="M28" s="3553" t="str">
        <f>AC13</f>
        <v>SOSA NAVARRETE * DANIELA</v>
      </c>
      <c r="N28" s="3553" t="str">
        <f>AC14</f>
        <v>AVILEZ MEX * GABRIELA GEOVANA</v>
      </c>
      <c r="O28" s="3553" t="str">
        <f>AC15</f>
        <v>TUN DOMINGUEZ * ANA ROSA</v>
      </c>
      <c r="P28" s="3553" t="str">
        <f>AC16</f>
        <v>RIVERO NUÑEZ * LANDY GRACIELA</v>
      </c>
      <c r="Q28" s="3553">
        <f>AC17</f>
        <v>0</v>
      </c>
      <c r="R28" s="3553" t="str">
        <f>AC18</f>
        <v>CAN BASTO * CRISHTY</v>
      </c>
      <c r="S28" s="3553">
        <f>AC19</f>
        <v>0</v>
      </c>
      <c r="T28" s="3553" t="str">
        <f>AC20</f>
        <v>VALENZUELA GOMEZ * MARLEN</v>
      </c>
      <c r="U28" s="3553" t="str">
        <f>AC21</f>
        <v>JIMENEZ ALVAREZ * MIRNA ZULMY</v>
      </c>
      <c r="V28" s="3553">
        <f>AC22</f>
        <v>0</v>
      </c>
      <c r="W28" s="3553">
        <f>AC23</f>
        <v>0</v>
      </c>
      <c r="X28" s="3553">
        <f>AC24</f>
        <v>0</v>
      </c>
      <c r="Y28" s="3553">
        <f>AC25</f>
        <v>0</v>
      </c>
      <c r="Z28" s="3661">
        <f>AC26</f>
        <v>0</v>
      </c>
      <c r="AA28" s="3655">
        <v>20</v>
      </c>
      <c r="AB28" s="3655">
        <v>20</v>
      </c>
      <c r="AC28" s="3659"/>
      <c r="AD28" s="3660"/>
    </row>
    <row r="29" spans="1:43" ht="15">
      <c r="A29" s="5594">
        <v>6</v>
      </c>
      <c r="B29" s="5594"/>
      <c r="C29" s="5594"/>
      <c r="D29" s="5594"/>
      <c r="E29" s="5594"/>
      <c r="F29" s="5594"/>
      <c r="G29" s="5594"/>
      <c r="H29" s="5594"/>
      <c r="I29" s="5594"/>
      <c r="J29" s="5594"/>
      <c r="K29" s="5594"/>
      <c r="L29" s="5594"/>
      <c r="M29" s="5594"/>
      <c r="N29" s="5594"/>
      <c r="O29" s="5594"/>
      <c r="P29" s="5594"/>
      <c r="Q29" s="5594"/>
      <c r="R29" s="5594"/>
      <c r="S29" s="5594"/>
      <c r="T29" s="5594"/>
      <c r="U29" s="5594"/>
      <c r="V29" s="5594"/>
      <c r="W29" s="5594"/>
      <c r="X29" s="5594"/>
      <c r="Y29" s="5594"/>
      <c r="Z29" s="5594"/>
      <c r="AA29" s="5594"/>
      <c r="AB29" s="5594"/>
      <c r="AC29" s="5594"/>
      <c r="AD29" s="5594"/>
    </row>
  </sheetData>
  <mergeCells count="1">
    <mergeCell ref="A29:AD29"/>
  </mergeCells>
  <conditionalFormatting sqref="B28:Z28">
    <cfRule type="cellIs" dxfId="0" priority="1" operator="equal">
      <formula>0</formula>
    </cfRule>
  </conditionalFormatting>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E48"/>
  <sheetViews>
    <sheetView view="pageBreakPreview" topLeftCell="A5" zoomScale="89" zoomScaleSheetLayoutView="89" workbookViewId="0">
      <selection activeCell="E19" sqref="E19:AJ20"/>
    </sheetView>
  </sheetViews>
  <sheetFormatPr baseColWidth="10" defaultRowHeight="12.75"/>
  <cols>
    <col min="1" max="1" width="0.5703125" style="17" customWidth="1"/>
    <col min="2" max="2" width="3.7109375" style="17" customWidth="1"/>
    <col min="3" max="5" width="6" style="17" customWidth="1"/>
    <col min="6" max="6" width="8.28515625" style="17" customWidth="1"/>
    <col min="7" max="7" width="8.42578125" style="17" customWidth="1"/>
    <col min="8" max="8" width="6" style="17" customWidth="1"/>
    <col min="9" max="10" width="5.85546875" style="17" customWidth="1"/>
    <col min="11" max="12" width="5.42578125" style="417" customWidth="1"/>
    <col min="13" max="14" width="5.42578125" style="17" customWidth="1"/>
    <col min="15" max="15" width="5.7109375" style="17" customWidth="1"/>
    <col min="16" max="16" width="1.140625" style="17" customWidth="1"/>
    <col min="17" max="17" width="5.7109375" style="17" customWidth="1"/>
    <col min="18" max="18" width="1.28515625" style="17" customWidth="1"/>
    <col min="19" max="19" width="8.140625" style="17" customWidth="1"/>
    <col min="20" max="20" width="6.42578125" style="17" hidden="1" customWidth="1"/>
    <col min="21" max="21" width="8.140625" style="17" customWidth="1"/>
    <col min="22" max="22" width="6.42578125" style="17" hidden="1" customWidth="1"/>
    <col min="23" max="23" width="8.140625" style="17" customWidth="1"/>
    <col min="24" max="24" width="1.85546875" style="17" customWidth="1"/>
    <col min="25" max="26" width="2.42578125" style="17" customWidth="1"/>
    <col min="27" max="28" width="4.42578125" style="17" customWidth="1"/>
    <col min="29" max="29" width="4.85546875" style="17" customWidth="1"/>
    <col min="30" max="30" width="3.28515625" style="17" customWidth="1"/>
    <col min="31" max="31" width="0.7109375" style="17" customWidth="1"/>
    <col min="32" max="16384" width="11.42578125" style="17"/>
  </cols>
  <sheetData>
    <row r="1" spans="1:31" ht="2.25" customHeight="1">
      <c r="A1" s="44"/>
      <c r="B1" s="4134"/>
      <c r="C1" s="4135"/>
      <c r="D1" s="4135"/>
      <c r="E1" s="4135"/>
      <c r="F1" s="4135"/>
      <c r="G1" s="4135"/>
      <c r="H1" s="4135"/>
      <c r="I1" s="4135"/>
      <c r="J1" s="4135"/>
      <c r="K1" s="4135"/>
      <c r="L1" s="4135"/>
      <c r="M1" s="4135"/>
      <c r="N1" s="4135"/>
      <c r="O1" s="4135"/>
      <c r="P1" s="4135"/>
      <c r="Q1" s="4135"/>
      <c r="R1" s="4135"/>
      <c r="S1" s="324"/>
      <c r="T1" s="862"/>
      <c r="U1" s="862" t="s">
        <v>834</v>
      </c>
      <c r="V1" s="863"/>
      <c r="W1" s="864"/>
      <c r="X1" s="863"/>
      <c r="Y1" s="863"/>
      <c r="Z1" s="863"/>
      <c r="AA1" s="863"/>
      <c r="AB1" s="863"/>
      <c r="AC1" s="865"/>
      <c r="AD1" s="1180"/>
      <c r="AE1" s="44"/>
    </row>
    <row r="2" spans="1:31" ht="15.75">
      <c r="A2" s="44"/>
      <c r="B2" s="866"/>
      <c r="C2" s="324"/>
      <c r="D2" s="324"/>
      <c r="E2" s="324"/>
      <c r="F2" s="324"/>
      <c r="G2" s="867"/>
      <c r="H2" s="867"/>
      <c r="I2" s="796"/>
      <c r="J2" s="1876" t="s">
        <v>196</v>
      </c>
      <c r="K2" s="962"/>
      <c r="L2" s="962"/>
      <c r="M2" s="796"/>
      <c r="O2" s="867"/>
      <c r="P2" s="867"/>
      <c r="Q2" s="867"/>
      <c r="R2" s="867"/>
      <c r="S2" s="807"/>
      <c r="T2" s="954"/>
      <c r="U2" s="796"/>
      <c r="V2" s="796"/>
      <c r="W2" s="995" t="s">
        <v>835</v>
      </c>
      <c r="X2" s="955"/>
      <c r="Y2" s="956"/>
      <c r="Z2" s="794"/>
      <c r="AA2" s="795"/>
      <c r="AB2" s="796"/>
      <c r="AC2" s="796"/>
      <c r="AD2" s="2576" t="s">
        <v>1780</v>
      </c>
      <c r="AE2" s="44"/>
    </row>
    <row r="3" spans="1:31" ht="15">
      <c r="A3" s="44"/>
      <c r="B3" s="43"/>
      <c r="C3" s="44"/>
      <c r="D3" s="44"/>
      <c r="E3" s="44"/>
      <c r="F3" s="44"/>
      <c r="G3" s="868"/>
      <c r="H3" s="868"/>
      <c r="I3" s="796"/>
      <c r="J3" s="1877" t="s">
        <v>837</v>
      </c>
      <c r="K3" s="799"/>
      <c r="L3" s="799"/>
      <c r="M3" s="796"/>
      <c r="O3" s="868"/>
      <c r="P3" s="868"/>
      <c r="Q3" s="868"/>
      <c r="R3" s="868"/>
      <c r="S3" s="794"/>
      <c r="T3" s="958"/>
      <c r="U3" s="796"/>
      <c r="V3" s="796"/>
      <c r="W3" s="996" t="s">
        <v>838</v>
      </c>
      <c r="X3" s="955"/>
      <c r="Y3" s="956"/>
      <c r="Z3" s="2574"/>
      <c r="AA3" s="2575"/>
      <c r="AB3" s="796"/>
      <c r="AC3" s="956" t="s">
        <v>836</v>
      </c>
      <c r="AD3" s="957"/>
      <c r="AE3" s="44"/>
    </row>
    <row r="4" spans="1:31" ht="15">
      <c r="A4" s="44"/>
      <c r="B4" s="43"/>
      <c r="C4" s="44"/>
      <c r="D4" s="44"/>
      <c r="E4" s="44"/>
      <c r="F4" s="44"/>
      <c r="G4" s="868"/>
      <c r="H4" s="868"/>
      <c r="I4" s="796"/>
      <c r="J4" s="1877" t="s">
        <v>840</v>
      </c>
      <c r="K4" s="799"/>
      <c r="L4" s="799"/>
      <c r="M4" s="796"/>
      <c r="N4" s="796"/>
      <c r="O4" s="795"/>
      <c r="P4" s="868"/>
      <c r="Q4" s="868"/>
      <c r="R4" s="868"/>
      <c r="S4" s="794"/>
      <c r="T4" s="958"/>
      <c r="U4" s="796"/>
      <c r="V4" s="796"/>
      <c r="W4" s="996" t="s">
        <v>841</v>
      </c>
      <c r="X4" s="955"/>
      <c r="Y4" s="956"/>
      <c r="Z4" s="2574"/>
      <c r="AA4" s="2575"/>
      <c r="AB4" s="796"/>
      <c r="AC4" s="2577" t="s">
        <v>839</v>
      </c>
      <c r="AD4" s="1182"/>
      <c r="AE4" s="44"/>
    </row>
    <row r="5" spans="1:31" ht="15.75" customHeight="1">
      <c r="A5" s="44"/>
      <c r="B5" s="43"/>
      <c r="C5" s="44"/>
      <c r="D5" s="44"/>
      <c r="E5" s="44"/>
      <c r="F5" s="44"/>
      <c r="G5" s="868"/>
      <c r="H5" s="868"/>
      <c r="I5" s="796"/>
      <c r="J5" s="1878" t="s">
        <v>843</v>
      </c>
      <c r="K5" s="965"/>
      <c r="L5" s="965"/>
      <c r="M5" s="796"/>
      <c r="N5" s="796"/>
      <c r="O5" s="2105">
        <v>2012</v>
      </c>
      <c r="P5" s="953"/>
      <c r="Q5" s="343">
        <f>O5+1</f>
        <v>2013</v>
      </c>
      <c r="S5" s="796"/>
      <c r="T5" s="809"/>
      <c r="U5" s="794"/>
      <c r="V5" s="794"/>
      <c r="W5" s="959"/>
      <c r="X5" s="795"/>
      <c r="Y5" s="809"/>
      <c r="Z5" s="794"/>
      <c r="AA5" s="795"/>
      <c r="AB5" s="796"/>
      <c r="AC5" s="2577" t="s">
        <v>842</v>
      </c>
      <c r="AD5" s="1182"/>
      <c r="AE5" s="44"/>
    </row>
    <row r="6" spans="1:31" ht="11.25" customHeight="1">
      <c r="A6" s="44"/>
      <c r="B6" s="43"/>
      <c r="C6" s="44"/>
      <c r="D6" s="44"/>
      <c r="E6" s="44"/>
      <c r="F6" s="44"/>
      <c r="G6" s="868"/>
      <c r="H6" s="868"/>
      <c r="I6" s="868"/>
      <c r="J6" s="868"/>
      <c r="K6" s="163"/>
      <c r="L6" s="163"/>
      <c r="M6" s="392"/>
      <c r="N6" s="868"/>
      <c r="O6" s="868"/>
      <c r="P6" s="868"/>
      <c r="Q6" s="868"/>
      <c r="R6" s="868"/>
      <c r="S6" s="44"/>
      <c r="T6" s="55"/>
      <c r="U6" s="44"/>
      <c r="V6" s="44"/>
      <c r="W6" s="868"/>
      <c r="X6" s="868"/>
      <c r="Y6" s="869"/>
      <c r="Z6" s="870"/>
      <c r="AA6" s="870" t="s">
        <v>844</v>
      </c>
      <c r="AB6" s="44"/>
      <c r="AC6" s="871" t="s">
        <v>100</v>
      </c>
      <c r="AD6" s="1182"/>
      <c r="AE6" s="44"/>
    </row>
    <row r="7" spans="1:31" ht="3.95" customHeight="1">
      <c r="A7" s="44"/>
      <c r="B7" s="872"/>
      <c r="C7" s="873"/>
      <c r="D7" s="873"/>
      <c r="E7" s="873"/>
      <c r="F7" s="873"/>
      <c r="G7" s="873"/>
      <c r="H7" s="873"/>
      <c r="I7" s="873"/>
      <c r="J7" s="873"/>
      <c r="K7" s="963"/>
      <c r="L7" s="963"/>
      <c r="M7" s="873"/>
      <c r="N7" s="873"/>
      <c r="O7" s="873"/>
      <c r="P7" s="873"/>
      <c r="Q7" s="873"/>
      <c r="R7" s="873"/>
      <c r="S7" s="874"/>
      <c r="T7" s="873"/>
      <c r="U7" s="874"/>
      <c r="V7" s="873"/>
      <c r="W7" s="873"/>
      <c r="X7" s="875"/>
      <c r="Y7" s="873"/>
      <c r="Z7" s="873"/>
      <c r="AA7" s="873"/>
      <c r="AB7" s="874"/>
      <c r="AC7" s="876"/>
      <c r="AD7" s="1181"/>
      <c r="AE7" s="44"/>
    </row>
    <row r="8" spans="1:31" ht="14.25" customHeight="1">
      <c r="A8" s="45"/>
      <c r="B8" s="4119" t="s">
        <v>845</v>
      </c>
      <c r="C8" s="4121" t="s">
        <v>846</v>
      </c>
      <c r="D8" s="4122"/>
      <c r="E8" s="4122"/>
      <c r="F8" s="4122"/>
      <c r="G8" s="4122"/>
      <c r="H8" s="4123"/>
      <c r="I8" s="4121" t="s">
        <v>453</v>
      </c>
      <c r="J8" s="4123"/>
      <c r="K8" s="4140" t="s">
        <v>373</v>
      </c>
      <c r="L8" s="4141"/>
      <c r="M8" s="4122" t="s">
        <v>847</v>
      </c>
      <c r="N8" s="4123"/>
      <c r="O8" s="4121" t="s">
        <v>867</v>
      </c>
      <c r="P8" s="4122"/>
      <c r="Q8" s="4122"/>
      <c r="R8" s="4123"/>
      <c r="S8" s="4132" t="s">
        <v>848</v>
      </c>
      <c r="T8" s="4133"/>
      <c r="U8" s="4132" t="s">
        <v>849</v>
      </c>
      <c r="V8" s="4133"/>
      <c r="W8" s="4119" t="s">
        <v>850</v>
      </c>
      <c r="X8" s="4121" t="s">
        <v>270</v>
      </c>
      <c r="Y8" s="4122"/>
      <c r="Z8" s="4122"/>
      <c r="AA8" s="4122"/>
      <c r="AB8" s="4122"/>
      <c r="AC8" s="4122"/>
      <c r="AD8" s="4123"/>
      <c r="AE8" s="877"/>
    </row>
    <row r="9" spans="1:31" ht="14.25" customHeight="1">
      <c r="A9" s="45"/>
      <c r="B9" s="4136"/>
      <c r="C9" s="4137"/>
      <c r="D9" s="4138"/>
      <c r="E9" s="4138"/>
      <c r="F9" s="4138"/>
      <c r="G9" s="4138"/>
      <c r="H9" s="4139"/>
      <c r="I9" s="4124"/>
      <c r="J9" s="4126"/>
      <c r="K9" s="4142"/>
      <c r="L9" s="4143"/>
      <c r="M9" s="4125"/>
      <c r="N9" s="4126"/>
      <c r="O9" s="4137"/>
      <c r="P9" s="4138"/>
      <c r="Q9" s="4138"/>
      <c r="R9" s="4139"/>
      <c r="S9" s="960" t="s">
        <v>851</v>
      </c>
      <c r="T9" s="960" t="s">
        <v>852</v>
      </c>
      <c r="U9" s="960" t="s">
        <v>851</v>
      </c>
      <c r="V9" s="961" t="s">
        <v>852</v>
      </c>
      <c r="W9" s="4120"/>
      <c r="X9" s="4124"/>
      <c r="Y9" s="4125"/>
      <c r="Z9" s="4125"/>
      <c r="AA9" s="4125"/>
      <c r="AB9" s="4125"/>
      <c r="AC9" s="4125"/>
      <c r="AD9" s="4126"/>
      <c r="AE9" s="877"/>
    </row>
    <row r="10" spans="1:31" ht="15" customHeight="1">
      <c r="A10" s="45"/>
      <c r="B10" s="1025">
        <v>1</v>
      </c>
      <c r="C10" s="1026" t="str">
        <f>'VISITA DE INSP.'!AY2</f>
        <v>KABAH</v>
      </c>
      <c r="D10" s="1027"/>
      <c r="E10" s="1027"/>
      <c r="F10" s="1027"/>
      <c r="G10" s="1027"/>
      <c r="H10" s="1028"/>
      <c r="I10" s="1026" t="str">
        <f>'VISITA DE INSP.'!AZ2</f>
        <v>23DPR0055K</v>
      </c>
      <c r="J10" s="1029"/>
      <c r="K10" s="1030" t="str">
        <f>'VISITA DE INSP.'!BA2</f>
        <v>MATUTINO</v>
      </c>
      <c r="L10" s="1031"/>
      <c r="M10" s="1026" t="str">
        <f>'VISITA DE INSP.'!HM3</f>
        <v>CANCÚN</v>
      </c>
      <c r="N10" s="1031"/>
      <c r="O10" s="1026" t="str">
        <f>'VISITA DE INSP.'!HN3</f>
        <v>BENITO JUAREZ</v>
      </c>
      <c r="P10" s="1032"/>
      <c r="Q10" s="1032"/>
      <c r="R10" s="1031"/>
      <c r="S10" s="1033">
        <f>'VISITA DE INSP.'!GD2</f>
        <v>56</v>
      </c>
      <c r="T10" s="1034"/>
      <c r="U10" s="1033">
        <f>'VISITA DE INSP.'!GK2</f>
        <v>0</v>
      </c>
      <c r="V10" s="1034"/>
      <c r="W10" s="1035">
        <f t="shared" ref="W10:W25" si="0">U10-S10+V10-T10</f>
        <v>-56</v>
      </c>
      <c r="X10" s="1036"/>
      <c r="Y10" s="1037"/>
      <c r="Z10" s="1037"/>
      <c r="AA10" s="1037"/>
      <c r="AB10" s="1037"/>
      <c r="AC10" s="1037"/>
      <c r="AD10" s="1038"/>
      <c r="AE10" s="877"/>
    </row>
    <row r="11" spans="1:31" ht="15" customHeight="1">
      <c r="A11" s="45"/>
      <c r="B11" s="1025">
        <v>2</v>
      </c>
      <c r="C11" s="1026" t="str">
        <f>'VISITA DE INSP.'!AY3</f>
        <v>8 DE OCTUBRE</v>
      </c>
      <c r="D11" s="1027"/>
      <c r="E11" s="1027"/>
      <c r="F11" s="1027"/>
      <c r="G11" s="1027"/>
      <c r="H11" s="1028"/>
      <c r="I11" s="1026" t="str">
        <f>'VISITA DE INSP.'!AZ3</f>
        <v>23DPR0491L</v>
      </c>
      <c r="J11" s="1029"/>
      <c r="K11" s="1030" t="str">
        <f>'VISITA DE INSP.'!BA3</f>
        <v>MATUTINO</v>
      </c>
      <c r="L11" s="1031"/>
      <c r="M11" s="1026" t="str">
        <f>'VISITA DE INSP.'!HM4</f>
        <v>CANCUN</v>
      </c>
      <c r="N11" s="1031"/>
      <c r="O11" s="1026" t="str">
        <f>'VISITA DE INSP.'!HN4</f>
        <v>BENITO JUAREZ</v>
      </c>
      <c r="P11" s="1032"/>
      <c r="Q11" s="1032"/>
      <c r="R11" s="1031"/>
      <c r="S11" s="1033">
        <f>'VISITA DE INSP.'!GD3</f>
        <v>87</v>
      </c>
      <c r="T11" s="1034"/>
      <c r="U11" s="1033">
        <f>'VISITA DE INSP.'!GK3</f>
        <v>68</v>
      </c>
      <c r="V11" s="1034"/>
      <c r="W11" s="1035">
        <f t="shared" si="0"/>
        <v>-19</v>
      </c>
      <c r="X11" s="1036"/>
      <c r="Y11" s="1037"/>
      <c r="Z11" s="1037"/>
      <c r="AA11" s="1037"/>
      <c r="AB11" s="1037"/>
      <c r="AC11" s="1037"/>
      <c r="AD11" s="1038"/>
      <c r="AE11" s="877"/>
    </row>
    <row r="12" spans="1:31" ht="15" customHeight="1">
      <c r="A12" s="45"/>
      <c r="B12" s="1025">
        <v>3</v>
      </c>
      <c r="C12" s="1026" t="str">
        <f>'VISITA DE INSP.'!AY4</f>
        <v>8 DE OCTUBRE</v>
      </c>
      <c r="D12" s="1027"/>
      <c r="E12" s="1027"/>
      <c r="F12" s="1027"/>
      <c r="G12" s="1027"/>
      <c r="H12" s="1028"/>
      <c r="I12" s="1026" t="str">
        <f>'VISITA DE INSP.'!AZ4</f>
        <v>23DPR0492K</v>
      </c>
      <c r="J12" s="1029"/>
      <c r="K12" s="1030" t="str">
        <f>'VISITA DE INSP.'!BA4</f>
        <v>VESPERTINO</v>
      </c>
      <c r="L12" s="1031"/>
      <c r="M12" s="1026" t="str">
        <f>'VISITA DE INSP.'!HM5</f>
        <v>CANCUN</v>
      </c>
      <c r="N12" s="1031"/>
      <c r="O12" s="1026" t="str">
        <f>'VISITA DE INSP.'!HN5</f>
        <v>BENITO JUAREZ</v>
      </c>
      <c r="P12" s="1032"/>
      <c r="Q12" s="1032"/>
      <c r="R12" s="1031"/>
      <c r="S12" s="1033">
        <f>'VISITA DE INSP.'!GD4</f>
        <v>32</v>
      </c>
      <c r="T12" s="1034"/>
      <c r="U12" s="1033">
        <f>'VISITA DE INSP.'!GK4</f>
        <v>0</v>
      </c>
      <c r="V12" s="1034"/>
      <c r="W12" s="1035">
        <f t="shared" si="0"/>
        <v>-32</v>
      </c>
      <c r="X12" s="1036"/>
      <c r="Y12" s="1037"/>
      <c r="Z12" s="1037"/>
      <c r="AA12" s="1037"/>
      <c r="AB12" s="1037"/>
      <c r="AC12" s="1037"/>
      <c r="AD12" s="1038"/>
      <c r="AE12" s="877"/>
    </row>
    <row r="13" spans="1:31" ht="15" customHeight="1">
      <c r="A13" s="45"/>
      <c r="B13" s="1025">
        <v>4</v>
      </c>
      <c r="C13" s="1026" t="str">
        <f>'VISITA DE INSP.'!AY5</f>
        <v>DERECHOS DEL NIÑO</v>
      </c>
      <c r="D13" s="1027"/>
      <c r="E13" s="1027"/>
      <c r="F13" s="1027"/>
      <c r="G13" s="1027"/>
      <c r="H13" s="1028"/>
      <c r="I13" s="1026" t="str">
        <f>'VISITA DE INSP.'!AZ5</f>
        <v>23DPR0564N</v>
      </c>
      <c r="J13" s="1029"/>
      <c r="K13" s="1030" t="str">
        <f>'VISITA DE INSP.'!BA5</f>
        <v>MATUTINO</v>
      </c>
      <c r="L13" s="1031"/>
      <c r="M13" s="1026" t="str">
        <f>'VISITA DE INSP.'!HM6</f>
        <v>CANCUN</v>
      </c>
      <c r="N13" s="1031"/>
      <c r="O13" s="1026" t="str">
        <f>'VISITA DE INSP.'!HN6</f>
        <v>BENITO JUAREZ</v>
      </c>
      <c r="P13" s="1032"/>
      <c r="Q13" s="1032"/>
      <c r="R13" s="1031"/>
      <c r="S13" s="1033">
        <f>'VISITA DE INSP.'!GD5</f>
        <v>62</v>
      </c>
      <c r="T13" s="1034"/>
      <c r="U13" s="1033">
        <f>'VISITA DE INSP.'!GK5</f>
        <v>0</v>
      </c>
      <c r="V13" s="1034"/>
      <c r="W13" s="1035">
        <f t="shared" si="0"/>
        <v>-62</v>
      </c>
      <c r="X13" s="1036"/>
      <c r="Y13" s="1037"/>
      <c r="Z13" s="1037"/>
      <c r="AA13" s="1037"/>
      <c r="AB13" s="1037"/>
      <c r="AC13" s="1037"/>
      <c r="AD13" s="1038"/>
      <c r="AE13" s="877"/>
    </row>
    <row r="14" spans="1:31" ht="15" customHeight="1">
      <c r="A14" s="45"/>
      <c r="B14" s="1025">
        <v>5</v>
      </c>
      <c r="C14" s="1026" t="str">
        <f>'VISITA DE INSP.'!AY6</f>
        <v>DERECHOS DEL NIÑO</v>
      </c>
      <c r="D14" s="1027"/>
      <c r="E14" s="1027"/>
      <c r="F14" s="1027"/>
      <c r="G14" s="1027"/>
      <c r="H14" s="1028"/>
      <c r="I14" s="1026" t="str">
        <f>'VISITA DE INSP.'!AZ6</f>
        <v>23DPR0570Y</v>
      </c>
      <c r="J14" s="1029"/>
      <c r="K14" s="1030" t="str">
        <f>'VISITA DE INSP.'!BA6</f>
        <v>VESPERTINO</v>
      </c>
      <c r="L14" s="1031"/>
      <c r="M14" s="1026" t="str">
        <f>'VISITA DE INSP.'!HM7</f>
        <v>CANCUN</v>
      </c>
      <c r="N14" s="1031"/>
      <c r="O14" s="1026" t="str">
        <f>'VISITA DE INSP.'!HN7</f>
        <v>BENITO JUAREZ</v>
      </c>
      <c r="P14" s="1032"/>
      <c r="Q14" s="1032"/>
      <c r="R14" s="1031"/>
      <c r="S14" s="1033">
        <f>'VISITA DE INSP.'!GD6</f>
        <v>28</v>
      </c>
      <c r="T14" s="1034"/>
      <c r="U14" s="1033">
        <f>'VISITA DE INSP.'!GK6</f>
        <v>0</v>
      </c>
      <c r="V14" s="1034"/>
      <c r="W14" s="1035">
        <f>U14-S14+V14-T14</f>
        <v>-28</v>
      </c>
      <c r="X14" s="1036"/>
      <c r="Y14" s="1037"/>
      <c r="Z14" s="1037"/>
      <c r="AA14" s="1037"/>
      <c r="AB14" s="1037"/>
      <c r="AC14" s="1037"/>
      <c r="AD14" s="1038"/>
      <c r="AE14" s="877"/>
    </row>
    <row r="15" spans="1:31" ht="15" customHeight="1">
      <c r="A15" s="45"/>
      <c r="B15" s="1025">
        <v>6</v>
      </c>
      <c r="C15" s="1026" t="str">
        <f>'VISITA DE INSP.'!AY7</f>
        <v>CUITLAHUAC</v>
      </c>
      <c r="D15" s="1027"/>
      <c r="E15" s="1027"/>
      <c r="F15" s="1027"/>
      <c r="G15" s="1027"/>
      <c r="H15" s="1028"/>
      <c r="I15" s="1026" t="str">
        <f>'VISITA DE INSP.'!AZ7</f>
        <v>23DPR572W</v>
      </c>
      <c r="J15" s="1029"/>
      <c r="K15" s="1030" t="str">
        <f>'VISITA DE INSP.'!BA7</f>
        <v>MATUTINO</v>
      </c>
      <c r="L15" s="1031"/>
      <c r="M15" s="1026" t="str">
        <f>'VISITA DE INSP.'!HM8</f>
        <v>CANCUN</v>
      </c>
      <c r="N15" s="1031"/>
      <c r="O15" s="1026" t="str">
        <f>'VISITA DE INSP.'!HN8</f>
        <v>BENITO JUAREZ</v>
      </c>
      <c r="P15" s="1032"/>
      <c r="Q15" s="1032"/>
      <c r="R15" s="1031"/>
      <c r="S15" s="1033">
        <f>'VISITA DE INSP.'!GD7</f>
        <v>95</v>
      </c>
      <c r="T15" s="1034"/>
      <c r="U15" s="1033">
        <f>'VISITA DE INSP.'!GK7</f>
        <v>68</v>
      </c>
      <c r="V15" s="1034"/>
      <c r="W15" s="1035">
        <f t="shared" si="0"/>
        <v>-27</v>
      </c>
      <c r="X15" s="1036"/>
      <c r="Y15" s="1037"/>
      <c r="Z15" s="1037"/>
      <c r="AA15" s="1037"/>
      <c r="AB15" s="1037"/>
      <c r="AC15" s="1037"/>
      <c r="AD15" s="1038"/>
      <c r="AE15" s="877"/>
    </row>
    <row r="16" spans="1:31" ht="15" customHeight="1">
      <c r="A16" s="45"/>
      <c r="B16" s="1025">
        <v>7</v>
      </c>
      <c r="C16" s="1026" t="str">
        <f>'VISITA DE INSP.'!AY8</f>
        <v>CUITLAHUAC</v>
      </c>
      <c r="D16" s="1027"/>
      <c r="E16" s="1027"/>
      <c r="F16" s="1027"/>
      <c r="G16" s="1027"/>
      <c r="H16" s="1028"/>
      <c r="I16" s="1026" t="str">
        <f>'VISITA DE INSP.'!AZ8</f>
        <v>23DPR0581D</v>
      </c>
      <c r="J16" s="1029"/>
      <c r="K16" s="1030" t="str">
        <f>'VISITA DE INSP.'!BA8</f>
        <v>VESPERTINO</v>
      </c>
      <c r="L16" s="1031"/>
      <c r="M16" s="1026" t="str">
        <f>'VISITA DE INSP.'!HM9</f>
        <v>CANCUN</v>
      </c>
      <c r="N16" s="1031"/>
      <c r="O16" s="1026" t="str">
        <f>'VISITA DE INSP.'!HN9</f>
        <v>BENITO JUAREZ</v>
      </c>
      <c r="P16" s="1032"/>
      <c r="Q16" s="1032"/>
      <c r="R16" s="1031"/>
      <c r="S16" s="1033">
        <f>'VISITA DE INSP.'!GD8</f>
        <v>0</v>
      </c>
      <c r="T16" s="1034"/>
      <c r="U16" s="1033">
        <f>'VISITA DE INSP.'!GK8</f>
        <v>0</v>
      </c>
      <c r="V16" s="1034"/>
      <c r="W16" s="1035">
        <f t="shared" si="0"/>
        <v>0</v>
      </c>
      <c r="X16" s="1036"/>
      <c r="Y16" s="1037"/>
      <c r="Z16" s="1037"/>
      <c r="AA16" s="1037"/>
      <c r="AB16" s="1037"/>
      <c r="AC16" s="1037"/>
      <c r="AD16" s="1038"/>
      <c r="AE16" s="877"/>
    </row>
    <row r="17" spans="1:31" ht="15" customHeight="1">
      <c r="A17" s="45"/>
      <c r="B17" s="1025">
        <v>8</v>
      </c>
      <c r="C17" s="1026" t="str">
        <f>'VISITA DE INSP.'!AY9</f>
        <v>KABAH</v>
      </c>
      <c r="D17" s="1027"/>
      <c r="E17" s="1027"/>
      <c r="F17" s="1027"/>
      <c r="G17" s="1027"/>
      <c r="H17" s="1028"/>
      <c r="I17" s="1026" t="str">
        <f>'VISITA DE INSP.'!AZ9</f>
        <v>23DPR0593I</v>
      </c>
      <c r="J17" s="1029"/>
      <c r="K17" s="1030" t="str">
        <f>'VISITA DE INSP.'!BA9</f>
        <v>VESPERTINO</v>
      </c>
      <c r="L17" s="1031"/>
      <c r="M17" s="1026" t="str">
        <f>'VISITA DE INSP.'!HM10</f>
        <v>CANCUN</v>
      </c>
      <c r="N17" s="1031"/>
      <c r="O17" s="1026" t="str">
        <f>'VISITA DE INSP.'!HN10</f>
        <v>BENITO JUAREZ</v>
      </c>
      <c r="P17" s="1032"/>
      <c r="Q17" s="1032"/>
      <c r="R17" s="1031"/>
      <c r="S17" s="1033">
        <f>'VISITA DE INSP.'!GD9</f>
        <v>0</v>
      </c>
      <c r="T17" s="1034"/>
      <c r="U17" s="1033">
        <f>'VISITA DE INSP.'!GK9</f>
        <v>0</v>
      </c>
      <c r="V17" s="1034"/>
      <c r="W17" s="1035">
        <f t="shared" si="0"/>
        <v>0</v>
      </c>
      <c r="X17" s="1036"/>
      <c r="Y17" s="1037"/>
      <c r="Z17" s="1037"/>
      <c r="AA17" s="1037"/>
      <c r="AB17" s="1037"/>
      <c r="AC17" s="1037"/>
      <c r="AD17" s="1038"/>
      <c r="AE17" s="877"/>
    </row>
    <row r="18" spans="1:31" ht="15" customHeight="1">
      <c r="A18" s="45"/>
      <c r="B18" s="1025">
        <v>9</v>
      </c>
      <c r="C18" s="1026" t="str">
        <f>'VISITA DE INSP.'!AY10</f>
        <v>ANTONIO MEDIZ BOLIO</v>
      </c>
      <c r="D18" s="1027"/>
      <c r="E18" s="1027"/>
      <c r="F18" s="1027"/>
      <c r="G18" s="1027"/>
      <c r="H18" s="1028"/>
      <c r="I18" s="1026" t="str">
        <f>'VISITA DE INSP.'!AZ10</f>
        <v>23DPR0640C</v>
      </c>
      <c r="J18" s="1029"/>
      <c r="K18" s="1030" t="str">
        <f>'VISITA DE INSP.'!BA10</f>
        <v>MATUTINO</v>
      </c>
      <c r="L18" s="1031"/>
      <c r="M18" s="1026" t="str">
        <f>'VISITA DE INSP.'!HM11</f>
        <v>CANCUN</v>
      </c>
      <c r="N18" s="1031"/>
      <c r="O18" s="1026" t="str">
        <f>'VISITA DE INSP.'!HN11</f>
        <v>BENITO JUAREZ</v>
      </c>
      <c r="P18" s="1032"/>
      <c r="Q18" s="1032"/>
      <c r="R18" s="1031"/>
      <c r="S18" s="1033">
        <f>'VISITA DE INSP.'!GD10</f>
        <v>51</v>
      </c>
      <c r="T18" s="1034"/>
      <c r="U18" s="1033">
        <f>'VISITA DE INSP.'!GK10</f>
        <v>42</v>
      </c>
      <c r="V18" s="1034"/>
      <c r="W18" s="1035">
        <f t="shared" si="0"/>
        <v>-9</v>
      </c>
      <c r="X18" s="1036"/>
      <c r="Y18" s="1037"/>
      <c r="Z18" s="1037"/>
      <c r="AA18" s="1037"/>
      <c r="AB18" s="1037"/>
      <c r="AC18" s="1037"/>
      <c r="AD18" s="1038"/>
      <c r="AE18" s="877"/>
    </row>
    <row r="19" spans="1:31" ht="15" customHeight="1">
      <c r="A19" s="45"/>
      <c r="B19" s="1025">
        <v>10</v>
      </c>
      <c r="C19" s="1026" t="str">
        <f>'VISITA DE INSP.'!AY11</f>
        <v>MANUEL CRESCENCIO REJON</v>
      </c>
      <c r="D19" s="1027"/>
      <c r="E19" s="1027"/>
      <c r="F19" s="1027"/>
      <c r="G19" s="1027"/>
      <c r="H19" s="1028"/>
      <c r="I19" s="1026" t="str">
        <f>'VISITA DE INSP.'!AZ11</f>
        <v>23DPR0681C</v>
      </c>
      <c r="J19" s="1029"/>
      <c r="K19" s="1030" t="str">
        <f>'VISITA DE INSP.'!BA11</f>
        <v>MATUTINO</v>
      </c>
      <c r="L19" s="1031"/>
      <c r="M19" s="1026" t="str">
        <f>'VISITA DE INSP.'!HM12</f>
        <v>CANCUN</v>
      </c>
      <c r="N19" s="1031"/>
      <c r="O19" s="1026" t="str">
        <f>'VISITA DE INSP.'!HN12</f>
        <v>BENITO JUAREZ</v>
      </c>
      <c r="P19" s="1032"/>
      <c r="Q19" s="1032"/>
      <c r="R19" s="1031"/>
      <c r="S19" s="1033">
        <f>'VISITA DE INSP.'!GD11</f>
        <v>35</v>
      </c>
      <c r="T19" s="1034"/>
      <c r="U19" s="1033">
        <f>'VISITA DE INSP.'!GK11</f>
        <v>34</v>
      </c>
      <c r="V19" s="1034"/>
      <c r="W19" s="1035">
        <f t="shared" si="0"/>
        <v>-1</v>
      </c>
      <c r="X19" s="1036"/>
      <c r="Y19" s="1037"/>
      <c r="Z19" s="1037"/>
      <c r="AA19" s="1037"/>
      <c r="AB19" s="1037"/>
      <c r="AC19" s="1037"/>
      <c r="AD19" s="1038"/>
      <c r="AE19" s="877"/>
    </row>
    <row r="20" spans="1:31" ht="15" customHeight="1">
      <c r="A20" s="45"/>
      <c r="B20" s="1025">
        <v>11</v>
      </c>
      <c r="C20" s="1026" t="str">
        <f>'VISITA DE INSP.'!AY12</f>
        <v>CENTRO EDUCATIVO EL MANANTIAL</v>
      </c>
      <c r="D20" s="1027"/>
      <c r="E20" s="1027"/>
      <c r="F20" s="1027"/>
      <c r="G20" s="1027"/>
      <c r="H20" s="1028"/>
      <c r="I20" s="1026" t="str">
        <f>'VISITA DE INSP.'!AZ12</f>
        <v>23PPR0099M</v>
      </c>
      <c r="J20" s="1029"/>
      <c r="K20" s="1030" t="str">
        <f>'VISITA DE INSP.'!BA12</f>
        <v>MATUTINO</v>
      </c>
      <c r="L20" s="1031"/>
      <c r="M20" s="1026">
        <f>'VISITA DE INSP.'!HM13</f>
        <v>0</v>
      </c>
      <c r="N20" s="1031"/>
      <c r="O20" s="1026">
        <f>'VISITA DE INSP.'!HN13</f>
        <v>0</v>
      </c>
      <c r="P20" s="1032"/>
      <c r="Q20" s="1032"/>
      <c r="R20" s="1031"/>
      <c r="S20" s="1033">
        <f>'VISITA DE INSP.'!GD12</f>
        <v>9</v>
      </c>
      <c r="T20" s="1034"/>
      <c r="U20" s="1033">
        <f>'VISITA DE INSP.'!GK12</f>
        <v>15</v>
      </c>
      <c r="V20" s="1034"/>
      <c r="W20" s="1035">
        <f t="shared" si="0"/>
        <v>6</v>
      </c>
      <c r="X20" s="1036"/>
      <c r="Y20" s="1037"/>
      <c r="Z20" s="1037"/>
      <c r="AA20" s="1037"/>
      <c r="AB20" s="1037"/>
      <c r="AC20" s="1037"/>
      <c r="AD20" s="1038"/>
      <c r="AE20" s="877"/>
    </row>
    <row r="21" spans="1:31" ht="15" customHeight="1">
      <c r="A21" s="45"/>
      <c r="B21" s="1025">
        <v>12</v>
      </c>
      <c r="C21" s="1026" t="str">
        <f>'VISITA DE INSP.'!AY13</f>
        <v>COLEGIO HISPANOAMERICANO LA LUNA</v>
      </c>
      <c r="D21" s="1027"/>
      <c r="E21" s="1027"/>
      <c r="F21" s="1027"/>
      <c r="G21" s="1027"/>
      <c r="H21" s="1028"/>
      <c r="I21" s="1026" t="str">
        <f>'VISITA DE INSP.'!AZ13</f>
        <v>23PPR0100L</v>
      </c>
      <c r="J21" s="1029"/>
      <c r="K21" s="1030" t="str">
        <f>'VISITA DE INSP.'!BA13</f>
        <v>MATUTINO</v>
      </c>
      <c r="L21" s="1031"/>
      <c r="M21" s="1026" t="str">
        <f>'VISITA DE INSP.'!HM14</f>
        <v>CANCUN</v>
      </c>
      <c r="N21" s="1031"/>
      <c r="O21" s="1026" t="str">
        <f>'VISITA DE INSP.'!HN14</f>
        <v>BENITO JUAREZ</v>
      </c>
      <c r="P21" s="1032"/>
      <c r="Q21" s="1032"/>
      <c r="R21" s="1031"/>
      <c r="S21" s="1033">
        <f>'VISITA DE INSP.'!GD13</f>
        <v>17</v>
      </c>
      <c r="T21" s="1034"/>
      <c r="U21" s="1033">
        <f>'VISITA DE INSP.'!GK13</f>
        <v>23</v>
      </c>
      <c r="V21" s="1034"/>
      <c r="W21" s="1035">
        <f t="shared" si="0"/>
        <v>6</v>
      </c>
      <c r="X21" s="1036"/>
      <c r="Y21" s="1037"/>
      <c r="Z21" s="1037"/>
      <c r="AA21" s="1037"/>
      <c r="AB21" s="1037"/>
      <c r="AC21" s="1037"/>
      <c r="AD21" s="1038"/>
      <c r="AE21" s="877"/>
    </row>
    <row r="22" spans="1:31" ht="15" customHeight="1">
      <c r="A22" s="45"/>
      <c r="B22" s="1025">
        <v>13</v>
      </c>
      <c r="C22" s="1026" t="str">
        <f>'VISITA DE INSP.'!AY14</f>
        <v>JOSE VASCONCELOS</v>
      </c>
      <c r="D22" s="1027"/>
      <c r="E22" s="1027"/>
      <c r="F22" s="1027"/>
      <c r="G22" s="1027"/>
      <c r="H22" s="1028"/>
      <c r="I22" s="1026" t="str">
        <f>'VISITA DE INSP.'!AZ14</f>
        <v>23PPR0125U</v>
      </c>
      <c r="J22" s="1029"/>
      <c r="K22" s="1030" t="str">
        <f>'VISITA DE INSP.'!BA14</f>
        <v>MATUTINO</v>
      </c>
      <c r="L22" s="1031"/>
      <c r="M22" s="1026" t="str">
        <f>'VISITA DE INSP.'!HM15</f>
        <v>CANCUN</v>
      </c>
      <c r="N22" s="1031"/>
      <c r="O22" s="1026" t="str">
        <f>'VISITA DE INSP.'!HN15</f>
        <v>BENITO JUAREZ</v>
      </c>
      <c r="P22" s="1032"/>
      <c r="Q22" s="1032"/>
      <c r="R22" s="1031"/>
      <c r="S22" s="1033">
        <f>'VISITA DE INSP.'!GD14</f>
        <v>8</v>
      </c>
      <c r="T22" s="1034"/>
      <c r="U22" s="1033">
        <f>'VISITA DE INSP.'!GK14</f>
        <v>13</v>
      </c>
      <c r="V22" s="1034"/>
      <c r="W22" s="1035">
        <f t="shared" si="0"/>
        <v>5</v>
      </c>
      <c r="X22" s="1036"/>
      <c r="Y22" s="1037"/>
      <c r="Z22" s="1037"/>
      <c r="AA22" s="1037"/>
      <c r="AB22" s="1037"/>
      <c r="AC22" s="1037"/>
      <c r="AD22" s="1038"/>
      <c r="AE22" s="43"/>
    </row>
    <row r="23" spans="1:31" ht="15" customHeight="1">
      <c r="A23" s="45"/>
      <c r="B23" s="1025">
        <v>14</v>
      </c>
      <c r="C23" s="1026" t="str">
        <f>'VISITA DE INSP.'!AY15</f>
        <v>CENTRO INFANTIL LATINOAMERICANO</v>
      </c>
      <c r="D23" s="1027"/>
      <c r="E23" s="1027"/>
      <c r="F23" s="1027"/>
      <c r="G23" s="1027"/>
      <c r="H23" s="1028"/>
      <c r="I23" s="1026" t="str">
        <f>'VISITA DE INSP.'!AZ15</f>
        <v>23PPR0156N</v>
      </c>
      <c r="J23" s="1029"/>
      <c r="K23" s="1030" t="str">
        <f>'VISITA DE INSP.'!BA15</f>
        <v>MATUTINO</v>
      </c>
      <c r="L23" s="1031"/>
      <c r="M23" s="1026" t="str">
        <f>'VISITA DE INSP.'!HM16</f>
        <v>CANCUN</v>
      </c>
      <c r="N23" s="1031"/>
      <c r="O23" s="1026" t="str">
        <f>'VISITA DE INSP.'!HN16</f>
        <v>BANITO JUAREZ</v>
      </c>
      <c r="P23" s="1032"/>
      <c r="Q23" s="1032"/>
      <c r="R23" s="1031"/>
      <c r="S23" s="1033">
        <f>'VISITA DE INSP.'!GD15</f>
        <v>15</v>
      </c>
      <c r="T23" s="1034"/>
      <c r="U23" s="1033">
        <f>'VISITA DE INSP.'!GK15</f>
        <v>18</v>
      </c>
      <c r="V23" s="1034"/>
      <c r="W23" s="1035">
        <f t="shared" si="0"/>
        <v>3</v>
      </c>
      <c r="X23" s="1036"/>
      <c r="Y23" s="1037"/>
      <c r="Z23" s="1037"/>
      <c r="AA23" s="1037"/>
      <c r="AB23" s="1037"/>
      <c r="AC23" s="1037"/>
      <c r="AD23" s="1038"/>
      <c r="AE23" s="43"/>
    </row>
    <row r="24" spans="1:31" ht="15" customHeight="1">
      <c r="A24" s="45"/>
      <c r="B24" s="1025">
        <v>15</v>
      </c>
      <c r="C24" s="1026" t="str">
        <f>'VISITA DE INSP.'!AY16</f>
        <v>COLEGIO KING DAVID</v>
      </c>
      <c r="D24" s="1027"/>
      <c r="E24" s="1027"/>
      <c r="F24" s="1027"/>
      <c r="G24" s="1027"/>
      <c r="H24" s="1028"/>
      <c r="I24" s="1026" t="str">
        <f>'VISITA DE INSP.'!AZ16</f>
        <v>23PPR0163X</v>
      </c>
      <c r="J24" s="1029"/>
      <c r="K24" s="1030" t="str">
        <f>'VISITA DE INSP.'!BA16</f>
        <v>MATUTINO</v>
      </c>
      <c r="L24" s="1031"/>
      <c r="M24" s="1026" t="str">
        <f>'VISITA DE INSP.'!HM17</f>
        <v>CANCUN</v>
      </c>
      <c r="N24" s="1031"/>
      <c r="O24" s="1026" t="str">
        <f>'VISITA DE INSP.'!HN17</f>
        <v>BENITO JUAREZ</v>
      </c>
      <c r="P24" s="1032"/>
      <c r="Q24" s="1032"/>
      <c r="R24" s="1031"/>
      <c r="S24" s="1033">
        <f>'VISITA DE INSP.'!GD16</f>
        <v>42</v>
      </c>
      <c r="T24" s="1034"/>
      <c r="U24" s="1033">
        <f>'VISITA DE INSP.'!GK16</f>
        <v>28</v>
      </c>
      <c r="V24" s="1034"/>
      <c r="W24" s="1035">
        <f t="shared" si="0"/>
        <v>-14</v>
      </c>
      <c r="X24" s="1036"/>
      <c r="Y24" s="1037"/>
      <c r="Z24" s="1037"/>
      <c r="AA24" s="1037"/>
      <c r="AB24" s="1037"/>
      <c r="AC24" s="1037"/>
      <c r="AD24" s="1038"/>
      <c r="AE24" s="43"/>
    </row>
    <row r="25" spans="1:31" ht="15" customHeight="1">
      <c r="A25" s="45"/>
      <c r="B25" s="1025">
        <v>16</v>
      </c>
      <c r="C25" s="1026">
        <f>'VISITA DE INSP.'!AY17</f>
        <v>0</v>
      </c>
      <c r="D25" s="1027"/>
      <c r="E25" s="1027"/>
      <c r="F25" s="1027"/>
      <c r="G25" s="1027"/>
      <c r="H25" s="1028"/>
      <c r="I25" s="1026">
        <f>'VISITA DE INSP.'!AZ17</f>
        <v>0</v>
      </c>
      <c r="J25" s="1029"/>
      <c r="K25" s="1030">
        <f>'VISITA DE INSP.'!BA17</f>
        <v>0</v>
      </c>
      <c r="L25" s="1031"/>
      <c r="M25" s="1026" t="str">
        <f>'VISITA DE INSP.'!HM18</f>
        <v xml:space="preserve">CANCUN  </v>
      </c>
      <c r="N25" s="1031"/>
      <c r="O25" s="1026" t="str">
        <f>'VISITA DE INSP.'!HN18</f>
        <v>BENITO JUAREZ</v>
      </c>
      <c r="P25" s="1032"/>
      <c r="Q25" s="1032"/>
      <c r="R25" s="1031"/>
      <c r="S25" s="1033">
        <f>'VISITA DE INSP.'!GD17</f>
        <v>42</v>
      </c>
      <c r="T25" s="1034"/>
      <c r="U25" s="1033">
        <f>'VISITA DE INSP.'!GK17</f>
        <v>28</v>
      </c>
      <c r="V25" s="1034"/>
      <c r="W25" s="1035">
        <f t="shared" si="0"/>
        <v>-14</v>
      </c>
      <c r="X25" s="1036"/>
      <c r="Y25" s="1037"/>
      <c r="Z25" s="1037"/>
      <c r="AA25" s="1037"/>
      <c r="AB25" s="1037"/>
      <c r="AC25" s="1037"/>
      <c r="AD25" s="1038"/>
      <c r="AE25" s="43"/>
    </row>
    <row r="26" spans="1:31" ht="15" customHeight="1">
      <c r="A26" s="45"/>
      <c r="B26" s="1039">
        <v>17</v>
      </c>
      <c r="C26" s="1026">
        <f>'VISITA DE INSP.'!AY18</f>
        <v>0</v>
      </c>
      <c r="D26" s="1043"/>
      <c r="E26" s="1043"/>
      <c r="F26" s="1043"/>
      <c r="G26" s="1043"/>
      <c r="H26" s="1044"/>
      <c r="I26" s="1026">
        <f>'VISITA DE INSP.'!AZ18</f>
        <v>0</v>
      </c>
      <c r="J26" s="1045"/>
      <c r="K26" s="1030">
        <f>'VISITA DE INSP.'!BA18</f>
        <v>0</v>
      </c>
      <c r="L26" s="1031"/>
      <c r="M26" s="1026">
        <f>'VISITA DE INSP.'!HM19</f>
        <v>0</v>
      </c>
      <c r="N26" s="1031"/>
      <c r="O26" s="1026">
        <f>'VISITA DE INSP.'!HN19</f>
        <v>0</v>
      </c>
      <c r="P26" s="1032"/>
      <c r="Q26" s="1032"/>
      <c r="R26" s="1031"/>
      <c r="S26" s="1040">
        <f>'VISITA DE INSP.'!GD18</f>
        <v>0</v>
      </c>
      <c r="T26" s="1041"/>
      <c r="U26" s="1040">
        <f>'VISITA DE INSP.'!GK18</f>
        <v>0</v>
      </c>
      <c r="V26" s="1041"/>
      <c r="W26" s="1042">
        <f>U26-S26+V26-T26</f>
        <v>0</v>
      </c>
      <c r="X26" s="1036"/>
      <c r="Y26" s="1037"/>
      <c r="Z26" s="1037"/>
      <c r="AA26" s="1037"/>
      <c r="AB26" s="1037"/>
      <c r="AC26" s="1037"/>
      <c r="AD26" s="1038"/>
      <c r="AE26" s="43"/>
    </row>
    <row r="27" spans="1:31" ht="15" customHeight="1">
      <c r="A27" s="45"/>
      <c r="B27" s="1039">
        <v>18</v>
      </c>
      <c r="C27" s="1026">
        <f>'VISITA DE INSP.'!AY19</f>
        <v>0</v>
      </c>
      <c r="D27" s="1043"/>
      <c r="E27" s="1043"/>
      <c r="F27" s="1043"/>
      <c r="G27" s="1043"/>
      <c r="H27" s="1044"/>
      <c r="I27" s="1026">
        <f>'VISITA DE INSP.'!AZ19</f>
        <v>0</v>
      </c>
      <c r="J27" s="1045"/>
      <c r="K27" s="1030">
        <f>'VISITA DE INSP.'!BA19</f>
        <v>0</v>
      </c>
      <c r="L27" s="1031"/>
      <c r="M27" s="1026">
        <f>'VISITA DE INSP.'!HM20</f>
        <v>0</v>
      </c>
      <c r="N27" s="1031"/>
      <c r="O27" s="1026">
        <f>'VISITA DE INSP.'!HN20</f>
        <v>0</v>
      </c>
      <c r="P27" s="1032"/>
      <c r="Q27" s="1032"/>
      <c r="R27" s="1031"/>
      <c r="S27" s="1040">
        <f>'VISITA DE INSP.'!GD19</f>
        <v>0</v>
      </c>
      <c r="T27" s="1041"/>
      <c r="U27" s="1040">
        <f>'VISITA DE INSP.'!GK19</f>
        <v>0</v>
      </c>
      <c r="V27" s="1041"/>
      <c r="W27" s="1042">
        <f>U27-S27+V27-T27</f>
        <v>0</v>
      </c>
      <c r="X27" s="1036"/>
      <c r="Y27" s="1037"/>
      <c r="Z27" s="1037"/>
      <c r="AA27" s="1037"/>
      <c r="AB27" s="1037"/>
      <c r="AC27" s="1037"/>
      <c r="AD27" s="1038"/>
      <c r="AE27" s="43"/>
    </row>
    <row r="28" spans="1:31" ht="15" customHeight="1">
      <c r="A28" s="45"/>
      <c r="B28" s="1039">
        <v>19</v>
      </c>
      <c r="C28" s="1026">
        <f>'VISITA DE INSP.'!AY20</f>
        <v>0</v>
      </c>
      <c r="D28" s="1043"/>
      <c r="E28" s="1043"/>
      <c r="F28" s="1043"/>
      <c r="G28" s="1043"/>
      <c r="H28" s="1044"/>
      <c r="I28" s="1026">
        <f>'VISITA DE INSP.'!AZ20</f>
        <v>0</v>
      </c>
      <c r="J28" s="1045"/>
      <c r="K28" s="2097">
        <f>'VISITA DE INSP.'!BA20</f>
        <v>0</v>
      </c>
      <c r="L28" s="1031"/>
      <c r="M28" s="1026">
        <f>'VISITA DE INSP.'!HM21</f>
        <v>0</v>
      </c>
      <c r="N28" s="1031"/>
      <c r="O28" s="1026">
        <f>'VISITA DE INSP.'!HN21</f>
        <v>0</v>
      </c>
      <c r="P28" s="1032"/>
      <c r="Q28" s="1032"/>
      <c r="R28" s="1031"/>
      <c r="S28" s="1040">
        <f>'VISITA DE INSP.'!GD20</f>
        <v>0</v>
      </c>
      <c r="T28" s="1041"/>
      <c r="U28" s="1040">
        <f>'VISITA DE INSP.'!GK20</f>
        <v>0</v>
      </c>
      <c r="V28" s="1041"/>
      <c r="W28" s="1042">
        <f>U28-S28+V28-T28</f>
        <v>0</v>
      </c>
      <c r="X28" s="1036"/>
      <c r="Y28" s="1037"/>
      <c r="Z28" s="1037"/>
      <c r="AA28" s="1037"/>
      <c r="AB28" s="1037"/>
      <c r="AC28" s="1037"/>
      <c r="AD28" s="1038"/>
      <c r="AE28" s="43"/>
    </row>
    <row r="29" spans="1:31" ht="15" customHeight="1">
      <c r="A29" s="45"/>
      <c r="B29" s="1039">
        <v>20</v>
      </c>
      <c r="C29" s="2098" t="str">
        <f>'VISITA DE INSP.'!AY21</f>
        <v>INSPECCION ESCOLAR</v>
      </c>
      <c r="D29" s="2099"/>
      <c r="E29" s="2099"/>
      <c r="F29" s="2099"/>
      <c r="G29" s="2099"/>
      <c r="H29" s="2100"/>
      <c r="I29" s="2098" t="str">
        <f>'VISITA DE INSP.'!AZ21</f>
        <v>23FIZ0042D</v>
      </c>
      <c r="J29" s="2101"/>
      <c r="K29" s="2102" t="str">
        <f>'VISITA DE INSP.'!BA21</f>
        <v>DISCONTINUO</v>
      </c>
      <c r="L29" s="2103"/>
      <c r="M29" s="2098">
        <f>'VISITA DE INSP.'!HM22</f>
        <v>16</v>
      </c>
      <c r="N29" s="2103"/>
      <c r="O29" s="2098">
        <f>'VISITA DE INSP.'!HN22</f>
        <v>16</v>
      </c>
      <c r="P29" s="2104"/>
      <c r="Q29" s="2104"/>
      <c r="R29" s="2103"/>
      <c r="S29" s="1040">
        <f>'VISITA DE INSP.'!GD21</f>
        <v>0</v>
      </c>
      <c r="T29" s="1041"/>
      <c r="U29" s="1040">
        <f>'VISITA DE INSP.'!GK21</f>
        <v>0</v>
      </c>
      <c r="V29" s="1041"/>
      <c r="W29" s="1872">
        <f>U29-S29+V29-T29</f>
        <v>0</v>
      </c>
      <c r="X29" s="1036"/>
      <c r="Y29" s="1037"/>
      <c r="Z29" s="1037"/>
      <c r="AA29" s="1037"/>
      <c r="AB29" s="1037"/>
      <c r="AC29" s="1037"/>
      <c r="AD29" s="1038"/>
      <c r="AE29" s="43"/>
    </row>
    <row r="30" spans="1:31" ht="15.95" customHeight="1">
      <c r="A30" s="44"/>
      <c r="B30" s="878"/>
      <c r="C30" s="878"/>
      <c r="D30" s="878"/>
      <c r="E30" s="878"/>
      <c r="F30" s="878"/>
      <c r="G30" s="4127"/>
      <c r="H30" s="4127"/>
      <c r="I30" s="879"/>
      <c r="J30" s="878"/>
      <c r="K30" s="4127"/>
      <c r="L30" s="4127"/>
      <c r="M30" s="4127"/>
      <c r="N30" s="4127"/>
      <c r="O30" s="879"/>
      <c r="P30" s="879"/>
      <c r="Q30" s="4128" t="s">
        <v>408</v>
      </c>
      <c r="R30" s="4129"/>
      <c r="S30" s="4130">
        <f>SUM(S10:T29)</f>
        <v>579</v>
      </c>
      <c r="T30" s="4131"/>
      <c r="U30" s="4130">
        <f>SUM(U10:V29)</f>
        <v>337</v>
      </c>
      <c r="V30" s="4131"/>
      <c r="W30" s="1875">
        <f>U30-S30</f>
        <v>-242</v>
      </c>
      <c r="X30" s="1873"/>
      <c r="Y30" s="1874"/>
      <c r="Z30" s="880"/>
      <c r="AA30" s="880"/>
      <c r="AB30" s="878"/>
      <c r="AC30" s="878"/>
      <c r="AD30" s="878"/>
      <c r="AE30" s="44"/>
    </row>
    <row r="31" spans="1:31" ht="3.95" customHeight="1">
      <c r="A31" s="44"/>
      <c r="B31" s="881"/>
      <c r="C31" s="882"/>
      <c r="D31" s="882"/>
      <c r="E31" s="882"/>
      <c r="F31" s="882"/>
      <c r="G31" s="883"/>
      <c r="H31" s="883"/>
      <c r="I31" s="883"/>
      <c r="J31" s="882"/>
      <c r="K31" s="966"/>
      <c r="L31" s="966"/>
      <c r="M31" s="883"/>
      <c r="N31" s="883"/>
      <c r="O31" s="883"/>
      <c r="P31" s="883"/>
      <c r="Q31" s="883"/>
      <c r="R31" s="884"/>
      <c r="S31" s="885"/>
      <c r="T31" s="885"/>
      <c r="U31" s="885"/>
      <c r="V31" s="885"/>
      <c r="W31" s="1871"/>
      <c r="X31" s="887"/>
      <c r="Y31" s="888"/>
      <c r="Z31" s="888"/>
      <c r="AA31" s="888"/>
      <c r="AB31" s="882"/>
      <c r="AC31" s="882"/>
      <c r="AD31" s="881"/>
      <c r="AE31" s="44"/>
    </row>
    <row r="32" spans="1:31" ht="15.95" customHeight="1">
      <c r="A32" s="44"/>
      <c r="B32" s="889"/>
      <c r="C32" s="4095" t="s">
        <v>1660</v>
      </c>
      <c r="D32" s="4096"/>
      <c r="E32" s="4096"/>
      <c r="F32" s="4096"/>
      <c r="G32" s="4096"/>
      <c r="H32" s="4096"/>
      <c r="I32" s="4096"/>
      <c r="J32" s="4096"/>
      <c r="K32" s="4096"/>
      <c r="L32" s="4096"/>
      <c r="M32" s="4096"/>
      <c r="N32" s="4096"/>
      <c r="O32" s="4096"/>
      <c r="P32" s="4096"/>
      <c r="Q32" s="4096"/>
      <c r="R32" s="4096"/>
      <c r="S32" s="4096"/>
      <c r="T32" s="4096"/>
      <c r="U32" s="4096"/>
      <c r="V32" s="4096"/>
      <c r="W32" s="4096"/>
      <c r="X32" s="4096"/>
      <c r="Y32" s="4096"/>
      <c r="Z32" s="4096"/>
      <c r="AA32" s="4096"/>
      <c r="AB32" s="4096"/>
      <c r="AC32" s="4097"/>
      <c r="AD32" s="890"/>
      <c r="AE32" s="44"/>
    </row>
    <row r="33" spans="1:31" ht="15.95" customHeight="1">
      <c r="A33" s="44"/>
      <c r="B33" s="889"/>
      <c r="C33" s="4098" t="s">
        <v>1661</v>
      </c>
      <c r="D33" s="4099"/>
      <c r="E33" s="4099"/>
      <c r="F33" s="4099"/>
      <c r="G33" s="4099"/>
      <c r="H33" s="4099"/>
      <c r="I33" s="4099"/>
      <c r="J33" s="4099"/>
      <c r="K33" s="4099"/>
      <c r="L33" s="4099"/>
      <c r="M33" s="4099"/>
      <c r="N33" s="4099"/>
      <c r="O33" s="4099"/>
      <c r="P33" s="4099"/>
      <c r="Q33" s="4099"/>
      <c r="R33" s="4099"/>
      <c r="S33" s="4099"/>
      <c r="T33" s="4099"/>
      <c r="U33" s="4099"/>
      <c r="V33" s="4099"/>
      <c r="W33" s="4099"/>
      <c r="X33" s="4099"/>
      <c r="Y33" s="4099"/>
      <c r="Z33" s="4099"/>
      <c r="AA33" s="4099"/>
      <c r="AB33" s="4099"/>
      <c r="AC33" s="4100"/>
      <c r="AD33" s="890"/>
      <c r="AE33" s="44"/>
    </row>
    <row r="34" spans="1:31" ht="2.25" customHeight="1">
      <c r="A34" s="44"/>
      <c r="B34" s="889"/>
      <c r="C34" s="4101"/>
      <c r="D34" s="4102"/>
      <c r="E34" s="4102"/>
      <c r="F34" s="4102"/>
      <c r="G34" s="4102"/>
      <c r="H34" s="4102"/>
      <c r="I34" s="4102"/>
      <c r="J34" s="4102"/>
      <c r="K34" s="4102"/>
      <c r="L34" s="4102"/>
      <c r="M34" s="4102"/>
      <c r="N34" s="4102"/>
      <c r="O34" s="4102"/>
      <c r="P34" s="4102"/>
      <c r="Q34" s="4102"/>
      <c r="R34" s="4102"/>
      <c r="S34" s="4102"/>
      <c r="T34" s="4102"/>
      <c r="U34" s="4102"/>
      <c r="V34" s="4102"/>
      <c r="W34" s="4102"/>
      <c r="X34" s="4102"/>
      <c r="Y34" s="4102"/>
      <c r="Z34" s="4102"/>
      <c r="AA34" s="4102"/>
      <c r="AB34" s="4102"/>
      <c r="AC34" s="4103"/>
      <c r="AD34" s="890"/>
      <c r="AE34" s="44"/>
    </row>
    <row r="35" spans="1:31" ht="3.95" customHeight="1">
      <c r="A35" s="44"/>
      <c r="B35" s="889"/>
      <c r="C35" s="891"/>
      <c r="D35" s="891"/>
      <c r="E35" s="891"/>
      <c r="F35" s="891"/>
      <c r="G35" s="892"/>
      <c r="H35" s="893"/>
      <c r="I35" s="893"/>
      <c r="J35" s="894"/>
      <c r="K35" s="967"/>
      <c r="L35" s="967"/>
      <c r="M35" s="895"/>
      <c r="N35" s="895"/>
      <c r="O35" s="895"/>
      <c r="P35" s="895"/>
      <c r="Q35" s="895"/>
      <c r="R35" s="896"/>
      <c r="S35" s="897"/>
      <c r="T35" s="898"/>
      <c r="U35" s="885"/>
      <c r="V35" s="885"/>
      <c r="W35" s="886"/>
      <c r="X35" s="886"/>
      <c r="Y35" s="886"/>
      <c r="Z35" s="886"/>
      <c r="AA35" s="886"/>
      <c r="AB35" s="891"/>
      <c r="AC35" s="891"/>
      <c r="AD35" s="890"/>
      <c r="AE35" s="44"/>
    </row>
    <row r="36" spans="1:31" ht="14.45" customHeight="1">
      <c r="A36" s="44"/>
      <c r="B36" s="889"/>
      <c r="C36" s="4104" t="s">
        <v>241</v>
      </c>
      <c r="D36" s="4105"/>
      <c r="E36" s="4105"/>
      <c r="F36" s="4105"/>
      <c r="G36" s="4106"/>
      <c r="H36" s="890"/>
      <c r="I36" s="890"/>
      <c r="J36" s="881"/>
      <c r="K36" s="968"/>
      <c r="L36" s="968"/>
      <c r="M36" s="881"/>
      <c r="N36" s="881"/>
      <c r="O36" s="881"/>
      <c r="P36" s="881"/>
      <c r="Q36" s="881"/>
      <c r="R36" s="881"/>
      <c r="S36" s="881"/>
      <c r="T36" s="889"/>
      <c r="U36" s="4104" t="s">
        <v>853</v>
      </c>
      <c r="V36" s="4105"/>
      <c r="W36" s="4105"/>
      <c r="X36" s="4105"/>
      <c r="Y36" s="4105"/>
      <c r="Z36" s="4105"/>
      <c r="AA36" s="4105"/>
      <c r="AB36" s="4105"/>
      <c r="AC36" s="4106"/>
      <c r="AD36" s="890"/>
      <c r="AE36" s="44"/>
    </row>
    <row r="37" spans="1:31" ht="18" customHeight="1">
      <c r="A37" s="44"/>
      <c r="B37" s="889"/>
      <c r="C37" s="4107"/>
      <c r="D37" s="4108"/>
      <c r="E37" s="4108"/>
      <c r="F37" s="4108"/>
      <c r="G37" s="4109"/>
      <c r="H37" s="890"/>
      <c r="I37" s="890"/>
      <c r="J37" s="881"/>
      <c r="K37" s="968"/>
      <c r="L37" s="968"/>
      <c r="M37" s="881"/>
      <c r="N37" s="881"/>
      <c r="O37" s="881"/>
      <c r="P37" s="881"/>
      <c r="Q37" s="881"/>
      <c r="R37" s="881"/>
      <c r="S37" s="881"/>
      <c r="T37" s="889"/>
      <c r="U37" s="4107"/>
      <c r="V37" s="4108"/>
      <c r="W37" s="4108"/>
      <c r="X37" s="4108"/>
      <c r="Y37" s="4108"/>
      <c r="Z37" s="4108"/>
      <c r="AA37" s="4108"/>
      <c r="AB37" s="4108"/>
      <c r="AC37" s="4109"/>
      <c r="AD37" s="890"/>
      <c r="AE37" s="44"/>
    </row>
    <row r="38" spans="1:31" ht="18" customHeight="1">
      <c r="A38" s="44"/>
      <c r="B38" s="889"/>
      <c r="C38" s="4110"/>
      <c r="D38" s="4111"/>
      <c r="E38" s="4111"/>
      <c r="F38" s="4111"/>
      <c r="G38" s="4112"/>
      <c r="H38" s="890"/>
      <c r="I38" s="890"/>
      <c r="J38" s="881"/>
      <c r="K38" s="968"/>
      <c r="L38" s="968"/>
      <c r="M38" s="881"/>
      <c r="N38" s="881"/>
      <c r="O38" s="881"/>
      <c r="P38" s="881"/>
      <c r="Q38" s="881"/>
      <c r="R38" s="881"/>
      <c r="S38" s="881"/>
      <c r="T38" s="889"/>
      <c r="U38" s="4110"/>
      <c r="V38" s="4111"/>
      <c r="W38" s="4111"/>
      <c r="X38" s="4111"/>
      <c r="Y38" s="4111"/>
      <c r="Z38" s="4111"/>
      <c r="AA38" s="4111"/>
      <c r="AB38" s="4111"/>
      <c r="AC38" s="4112"/>
      <c r="AD38" s="890"/>
      <c r="AE38" s="44"/>
    </row>
    <row r="39" spans="1:31" ht="18" customHeight="1">
      <c r="A39" s="44"/>
      <c r="B39" s="889"/>
      <c r="C39" s="4110"/>
      <c r="D39" s="4111"/>
      <c r="E39" s="4111"/>
      <c r="F39" s="4111"/>
      <c r="G39" s="4112"/>
      <c r="H39" s="890"/>
      <c r="I39" s="890"/>
      <c r="J39" s="881"/>
      <c r="K39" s="968"/>
      <c r="L39" s="968"/>
      <c r="M39" s="881"/>
      <c r="N39" s="881"/>
      <c r="O39" s="881"/>
      <c r="P39" s="881"/>
      <c r="Q39" s="881"/>
      <c r="R39" s="881"/>
      <c r="S39" s="881"/>
      <c r="T39" s="889"/>
      <c r="U39" s="4110"/>
      <c r="V39" s="4111"/>
      <c r="W39" s="4111"/>
      <c r="X39" s="4111"/>
      <c r="Y39" s="4111"/>
      <c r="Z39" s="4111"/>
      <c r="AA39" s="4111"/>
      <c r="AB39" s="4111"/>
      <c r="AC39" s="4112"/>
      <c r="AD39" s="890"/>
      <c r="AE39" s="44"/>
    </row>
    <row r="40" spans="1:31" ht="18" customHeight="1">
      <c r="A40" s="44"/>
      <c r="B40" s="889"/>
      <c r="C40" s="4110"/>
      <c r="D40" s="4111"/>
      <c r="E40" s="4111"/>
      <c r="F40" s="4111"/>
      <c r="G40" s="4112"/>
      <c r="H40" s="890"/>
      <c r="I40" s="899"/>
      <c r="J40" s="900"/>
      <c r="K40" s="964"/>
      <c r="L40" s="964"/>
      <c r="M40" s="900"/>
      <c r="N40" s="900"/>
      <c r="O40" s="900"/>
      <c r="P40" s="900"/>
      <c r="Q40" s="900"/>
      <c r="R40" s="900"/>
      <c r="S40" s="881"/>
      <c r="T40" s="889"/>
      <c r="U40" s="4110"/>
      <c r="V40" s="4111"/>
      <c r="W40" s="4111"/>
      <c r="X40" s="4111"/>
      <c r="Y40" s="4111"/>
      <c r="Z40" s="4111"/>
      <c r="AA40" s="4111"/>
      <c r="AB40" s="4111"/>
      <c r="AC40" s="4112"/>
      <c r="AD40" s="890"/>
      <c r="AE40" s="44"/>
    </row>
    <row r="41" spans="1:31" ht="14.45" customHeight="1">
      <c r="A41" s="44"/>
      <c r="B41" s="889"/>
      <c r="C41" s="4110"/>
      <c r="D41" s="4111"/>
      <c r="E41" s="4111"/>
      <c r="F41" s="4111"/>
      <c r="G41" s="4112"/>
      <c r="H41" s="901"/>
      <c r="I41" s="4104" t="s">
        <v>239</v>
      </c>
      <c r="J41" s="4105"/>
      <c r="K41" s="4105"/>
      <c r="L41" s="4105"/>
      <c r="M41" s="4105"/>
      <c r="N41" s="4105"/>
      <c r="O41" s="4105"/>
      <c r="P41" s="4105"/>
      <c r="Q41" s="4105"/>
      <c r="R41" s="4106"/>
      <c r="S41" s="890"/>
      <c r="T41" s="901"/>
      <c r="U41" s="4116"/>
      <c r="V41" s="4117"/>
      <c r="W41" s="4117"/>
      <c r="X41" s="4117"/>
      <c r="Y41" s="4117"/>
      <c r="Z41" s="4117"/>
      <c r="AA41" s="4117"/>
      <c r="AB41" s="4117"/>
      <c r="AC41" s="4118"/>
      <c r="AD41" s="890"/>
      <c r="AE41" s="44"/>
    </row>
    <row r="42" spans="1:31" ht="14.45" customHeight="1">
      <c r="A42" s="44"/>
      <c r="B42" s="889"/>
      <c r="C42" s="4113"/>
      <c r="D42" s="4114"/>
      <c r="E42" s="4114"/>
      <c r="F42" s="4114"/>
      <c r="G42" s="4115"/>
      <c r="H42" s="901"/>
      <c r="I42" s="4086" t="s">
        <v>868</v>
      </c>
      <c r="J42" s="4087"/>
      <c r="K42" s="4087"/>
      <c r="L42" s="4087"/>
      <c r="M42" s="4087"/>
      <c r="N42" s="4087"/>
      <c r="O42" s="4087"/>
      <c r="P42" s="4087"/>
      <c r="Q42" s="4087"/>
      <c r="R42" s="4088"/>
      <c r="S42" s="890"/>
      <c r="T42" s="901"/>
      <c r="U42" s="4089" t="s">
        <v>58</v>
      </c>
      <c r="V42" s="4090"/>
      <c r="W42" s="4091" t="s">
        <v>26</v>
      </c>
      <c r="X42" s="4092"/>
      <c r="Y42" s="4092"/>
      <c r="Z42" s="4092"/>
      <c r="AA42" s="4092"/>
      <c r="AB42" s="4092"/>
      <c r="AC42" s="4093"/>
      <c r="AD42" s="890"/>
      <c r="AE42" s="44"/>
    </row>
    <row r="43" spans="1:31" ht="3.75" customHeight="1">
      <c r="A43" s="44"/>
      <c r="B43" s="882"/>
      <c r="C43" s="902"/>
      <c r="D43" s="902"/>
      <c r="E43" s="902"/>
      <c r="F43" s="902"/>
      <c r="G43" s="902"/>
      <c r="H43" s="882"/>
      <c r="I43" s="902"/>
      <c r="J43" s="902"/>
      <c r="K43" s="969"/>
      <c r="L43" s="969"/>
      <c r="M43" s="902"/>
      <c r="N43" s="902"/>
      <c r="O43" s="902"/>
      <c r="P43" s="902"/>
      <c r="Q43" s="902"/>
      <c r="R43" s="902"/>
      <c r="S43" s="881"/>
      <c r="T43" s="882"/>
      <c r="U43" s="4094"/>
      <c r="V43" s="4094"/>
      <c r="W43" s="4094"/>
      <c r="X43" s="4094"/>
      <c r="Y43" s="4094"/>
      <c r="Z43" s="4094"/>
      <c r="AA43" s="4094"/>
      <c r="AB43" s="4094"/>
      <c r="AC43" s="902"/>
      <c r="AD43" s="882"/>
      <c r="AE43" s="44"/>
    </row>
    <row r="44" spans="1:31" ht="12" customHeight="1">
      <c r="A44" s="44"/>
      <c r="B44" s="903"/>
      <c r="C44" s="903"/>
      <c r="D44" s="903"/>
      <c r="E44" s="903"/>
      <c r="F44" s="903"/>
      <c r="G44" s="903"/>
      <c r="H44" s="903"/>
      <c r="I44" s="903"/>
      <c r="J44" s="903"/>
      <c r="K44" s="970"/>
      <c r="L44" s="970"/>
      <c r="M44" s="903"/>
      <c r="N44" s="903"/>
      <c r="O44" s="903"/>
      <c r="P44" s="903"/>
      <c r="Q44" s="903"/>
      <c r="R44" s="903"/>
      <c r="S44" s="903"/>
      <c r="T44" s="903"/>
      <c r="U44" s="903"/>
      <c r="V44" s="903"/>
      <c r="W44" s="903"/>
      <c r="X44" s="903"/>
      <c r="Y44" s="903"/>
      <c r="Z44" s="903"/>
      <c r="AA44" s="903"/>
      <c r="AB44" s="903"/>
      <c r="AC44" s="903"/>
      <c r="AD44" s="903"/>
      <c r="AE44" s="58"/>
    </row>
    <row r="45" spans="1:31">
      <c r="B45" s="112"/>
      <c r="C45" s="112"/>
      <c r="D45" s="112"/>
      <c r="E45" s="112"/>
      <c r="F45" s="112"/>
      <c r="G45" s="112"/>
      <c r="H45" s="112"/>
      <c r="I45" s="112"/>
      <c r="J45" s="112"/>
      <c r="K45" s="430"/>
      <c r="L45" s="430"/>
      <c r="M45" s="112"/>
      <c r="N45" s="112"/>
      <c r="O45" s="112"/>
      <c r="P45" s="112"/>
      <c r="Q45" s="112"/>
      <c r="R45" s="112"/>
      <c r="S45" s="112"/>
      <c r="T45" s="112"/>
      <c r="U45" s="112"/>
      <c r="V45" s="112"/>
      <c r="W45" s="112"/>
      <c r="X45" s="112"/>
      <c r="Y45" s="112"/>
      <c r="Z45" s="112"/>
      <c r="AA45" s="112"/>
      <c r="AB45" s="112"/>
      <c r="AC45" s="112"/>
      <c r="AD45" s="112"/>
    </row>
    <row r="46" spans="1:31">
      <c r="B46" s="112"/>
      <c r="C46" s="112"/>
      <c r="D46" s="112"/>
      <c r="E46" s="112"/>
      <c r="F46" s="112"/>
      <c r="G46" s="112"/>
      <c r="H46" s="112"/>
      <c r="I46" s="112"/>
      <c r="J46" s="112"/>
      <c r="K46" s="430"/>
      <c r="L46" s="430"/>
      <c r="M46" s="112"/>
      <c r="N46" s="112"/>
      <c r="O46" s="112"/>
      <c r="P46" s="112"/>
      <c r="Q46" s="112"/>
      <c r="R46" s="112"/>
      <c r="S46" s="112"/>
      <c r="T46" s="112"/>
      <c r="U46" s="112"/>
      <c r="V46" s="112"/>
      <c r="W46" s="112"/>
      <c r="X46" s="112"/>
      <c r="Y46" s="112"/>
      <c r="Z46" s="112"/>
      <c r="AA46" s="112"/>
      <c r="AB46" s="112"/>
      <c r="AC46" s="112"/>
      <c r="AD46" s="112"/>
    </row>
    <row r="47" spans="1:31">
      <c r="B47" s="112"/>
      <c r="C47" s="112"/>
      <c r="D47" s="112"/>
      <c r="E47" s="112"/>
      <c r="F47" s="112"/>
      <c r="G47" s="112"/>
      <c r="H47" s="112"/>
      <c r="I47" s="112"/>
      <c r="J47" s="112"/>
      <c r="K47" s="430"/>
      <c r="L47" s="430"/>
      <c r="M47" s="112"/>
      <c r="N47" s="112"/>
      <c r="O47" s="112"/>
      <c r="P47" s="112"/>
      <c r="Q47" s="112"/>
      <c r="R47" s="112"/>
      <c r="S47" s="112"/>
      <c r="T47" s="112"/>
      <c r="U47" s="112"/>
      <c r="V47" s="112"/>
      <c r="W47" s="112"/>
      <c r="X47" s="112"/>
      <c r="Y47" s="112"/>
      <c r="Z47" s="112"/>
      <c r="AA47" s="112"/>
      <c r="AB47" s="112"/>
      <c r="AC47" s="112"/>
      <c r="AD47" s="112"/>
    </row>
    <row r="48" spans="1:31">
      <c r="B48" s="112"/>
      <c r="C48" s="112"/>
      <c r="D48" s="112"/>
      <c r="E48" s="112"/>
      <c r="F48" s="112"/>
      <c r="G48" s="112"/>
      <c r="H48" s="112"/>
      <c r="I48" s="112"/>
      <c r="J48" s="112"/>
      <c r="K48" s="430"/>
      <c r="L48" s="430"/>
      <c r="M48" s="112"/>
      <c r="N48" s="112"/>
      <c r="O48" s="112"/>
      <c r="P48" s="112"/>
      <c r="Q48" s="112"/>
      <c r="R48" s="112"/>
      <c r="S48" s="112"/>
      <c r="T48" s="112"/>
      <c r="U48" s="112"/>
      <c r="V48" s="112"/>
      <c r="W48" s="112"/>
      <c r="X48" s="112"/>
      <c r="Y48" s="112"/>
      <c r="Z48" s="112"/>
      <c r="AA48" s="112"/>
      <c r="AB48" s="112"/>
      <c r="AC48" s="112"/>
      <c r="AD48" s="112"/>
    </row>
  </sheetData>
  <mergeCells count="28">
    <mergeCell ref="B1:R1"/>
    <mergeCell ref="B8:B9"/>
    <mergeCell ref="C8:H9"/>
    <mergeCell ref="I8:J9"/>
    <mergeCell ref="K8:L9"/>
    <mergeCell ref="M8:N9"/>
    <mergeCell ref="O8:R9"/>
    <mergeCell ref="W8:W9"/>
    <mergeCell ref="X8:AD9"/>
    <mergeCell ref="G30:H30"/>
    <mergeCell ref="K30:N30"/>
    <mergeCell ref="Q30:R30"/>
    <mergeCell ref="S30:T30"/>
    <mergeCell ref="U30:V30"/>
    <mergeCell ref="S8:T8"/>
    <mergeCell ref="U8:V8"/>
    <mergeCell ref="I42:R42"/>
    <mergeCell ref="U42:V42"/>
    <mergeCell ref="W42:AC42"/>
    <mergeCell ref="U43:AB43"/>
    <mergeCell ref="C32:AC32"/>
    <mergeCell ref="C33:AC33"/>
    <mergeCell ref="C34:AC34"/>
    <mergeCell ref="C36:G36"/>
    <mergeCell ref="U36:AC36"/>
    <mergeCell ref="C37:G42"/>
    <mergeCell ref="U37:AC41"/>
    <mergeCell ref="I41:R41"/>
  </mergeCells>
  <conditionalFormatting sqref="W10:W30 S24:S29 S30:V31 U24:U29">
    <cfRule type="cellIs" dxfId="847" priority="4" stopIfTrue="1" operator="equal">
      <formula>0</formula>
    </cfRule>
  </conditionalFormatting>
  <conditionalFormatting sqref="S10:U29 I10:L29 C10:C29">
    <cfRule type="cellIs" dxfId="846" priority="3" stopIfTrue="1" operator="equal">
      <formula>0</formula>
    </cfRule>
  </conditionalFormatting>
  <conditionalFormatting sqref="M10:R29">
    <cfRule type="cellIs" dxfId="845" priority="1" operator="equal">
      <formula>0</formula>
    </cfRule>
  </conditionalFormatting>
  <printOptions horizontalCentered="1"/>
  <pageMargins left="0.23622047244094491" right="0.23622047244094491" top="0.35433070866141736" bottom="0.35433070866141736" header="0.31496062992125984" footer="0.31496062992125984"/>
  <pageSetup scale="9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dimension ref="A1:AL59"/>
  <sheetViews>
    <sheetView view="pageBreakPreview" topLeftCell="A3" zoomScale="106" zoomScaleSheetLayoutView="106" workbookViewId="0">
      <selection activeCell="E19" sqref="E19:AJ20"/>
    </sheetView>
  </sheetViews>
  <sheetFormatPr baseColWidth="10" defaultRowHeight="12.75"/>
  <cols>
    <col min="1" max="1" width="0.5703125" style="17" customWidth="1"/>
    <col min="2" max="2" width="4.7109375" style="17" customWidth="1"/>
    <col min="3" max="3" width="2.7109375" style="17" customWidth="1"/>
    <col min="4" max="4" width="2.42578125" style="17" customWidth="1"/>
    <col min="5" max="5" width="11.5703125" style="17" customWidth="1"/>
    <col min="6" max="6" width="7" style="17" customWidth="1"/>
    <col min="7" max="7" width="6.28515625" style="17" customWidth="1"/>
    <col min="8" max="9" width="0.85546875" style="17" customWidth="1"/>
    <col min="10" max="10" width="18" style="17" customWidth="1"/>
    <col min="11" max="13" width="8.85546875" style="17" customWidth="1"/>
    <col min="14" max="25" width="5.42578125" style="17" hidden="1" customWidth="1"/>
    <col min="26" max="26" width="4.85546875" style="17" customWidth="1"/>
    <col min="27" max="27" width="10.85546875" style="17" customWidth="1"/>
    <col min="28" max="28" width="6.140625" style="17" customWidth="1"/>
    <col min="29" max="29" width="4.5703125" style="17" customWidth="1"/>
    <col min="30" max="30" width="12" style="17" customWidth="1"/>
    <col min="31" max="31" width="3.7109375" style="109" hidden="1" customWidth="1"/>
    <col min="32" max="32" width="5.7109375" style="109" hidden="1" customWidth="1"/>
    <col min="33" max="34" width="3.5703125" style="109" hidden="1" customWidth="1"/>
    <col min="35" max="35" width="3.5703125" style="17" hidden="1" customWidth="1"/>
    <col min="36" max="36" width="0.42578125" style="17" customWidth="1"/>
    <col min="37" max="37" width="0" style="17" hidden="1" customWidth="1"/>
    <col min="38" max="16384" width="11.42578125" style="17"/>
  </cols>
  <sheetData>
    <row r="1" spans="1:38" ht="3.75" hidden="1" customHeight="1">
      <c r="A1" s="37"/>
      <c r="B1" s="38"/>
      <c r="C1" s="38"/>
      <c r="D1" s="38"/>
      <c r="E1" s="38"/>
      <c r="F1" s="39"/>
      <c r="G1" s="39"/>
      <c r="H1" s="39"/>
      <c r="I1" s="39"/>
      <c r="J1" s="40"/>
      <c r="K1" s="912"/>
      <c r="L1" s="912"/>
      <c r="M1" s="39"/>
      <c r="N1" s="38"/>
      <c r="O1" s="38"/>
      <c r="P1" s="38"/>
      <c r="Q1" s="38"/>
      <c r="R1" s="38"/>
      <c r="S1" s="38"/>
      <c r="T1" s="38"/>
      <c r="U1" s="38"/>
      <c r="V1" s="38"/>
      <c r="W1" s="38"/>
      <c r="X1" s="38"/>
      <c r="Y1" s="38"/>
      <c r="Z1" s="38"/>
      <c r="AA1" s="38"/>
      <c r="AB1" s="38"/>
      <c r="AC1" s="923"/>
      <c r="AD1" s="41"/>
    </row>
    <row r="2" spans="1:38" ht="3.75" hidden="1" customHeight="1">
      <c r="A2" s="42"/>
      <c r="B2" s="43"/>
      <c r="C2" s="44"/>
      <c r="D2" s="45"/>
      <c r="E2" s="45"/>
      <c r="F2" s="46"/>
      <c r="G2" s="46"/>
      <c r="H2" s="47"/>
      <c r="I2" s="48"/>
      <c r="J2" s="40"/>
      <c r="K2" s="40"/>
      <c r="L2" s="40"/>
      <c r="M2" s="40" t="s">
        <v>30</v>
      </c>
      <c r="N2" s="49"/>
      <c r="O2" s="49"/>
      <c r="P2" s="49"/>
      <c r="Q2" s="49"/>
      <c r="R2" s="49"/>
      <c r="S2" s="49"/>
      <c r="T2" s="49"/>
      <c r="U2" s="49"/>
      <c r="V2" s="49"/>
      <c r="W2" s="49"/>
      <c r="X2" s="49"/>
      <c r="Y2" s="50"/>
      <c r="Z2" s="51"/>
      <c r="AA2" s="44"/>
      <c r="AB2" s="45"/>
      <c r="AC2" s="45"/>
      <c r="AD2" s="52"/>
    </row>
    <row r="3" spans="1:38" ht="12.75" customHeight="1">
      <c r="A3" s="42"/>
      <c r="B3" s="43"/>
      <c r="C3" s="44"/>
      <c r="D3" s="45"/>
      <c r="E3" s="45"/>
      <c r="F3" s="53">
        <v>10</v>
      </c>
      <c r="G3" s="53"/>
      <c r="H3" s="796"/>
      <c r="I3" s="925"/>
      <c r="J3" s="796"/>
      <c r="L3" s="940" t="s">
        <v>32</v>
      </c>
      <c r="M3" s="796"/>
      <c r="N3" s="904"/>
      <c r="O3" s="904"/>
      <c r="P3" s="904"/>
      <c r="Q3" s="904"/>
      <c r="R3" s="904"/>
      <c r="S3" s="904"/>
      <c r="T3" s="904"/>
      <c r="U3" s="904"/>
      <c r="V3" s="904"/>
      <c r="W3" s="904"/>
      <c r="X3" s="904"/>
      <c r="Y3" s="926"/>
      <c r="Z3" s="846"/>
      <c r="AA3" s="927"/>
      <c r="AB3" s="928"/>
      <c r="AC3" s="928"/>
      <c r="AD3" s="2578" t="s">
        <v>1781</v>
      </c>
      <c r="AE3" s="110"/>
      <c r="AF3" s="111">
        <v>0</v>
      </c>
      <c r="AG3" s="86">
        <v>0</v>
      </c>
    </row>
    <row r="4" spans="1:38" ht="12.75" customHeight="1">
      <c r="A4" s="42"/>
      <c r="B4" s="4013"/>
      <c r="C4" s="4014"/>
      <c r="D4" s="4014"/>
      <c r="E4" s="4015"/>
      <c r="F4" s="53">
        <v>20</v>
      </c>
      <c r="G4" s="53"/>
      <c r="H4" s="796"/>
      <c r="I4" s="925"/>
      <c r="J4" s="796"/>
      <c r="K4" s="796"/>
      <c r="L4" s="940" t="s">
        <v>865</v>
      </c>
      <c r="M4" s="796"/>
      <c r="N4" s="904"/>
      <c r="O4" s="904"/>
      <c r="P4" s="904"/>
      <c r="Q4" s="904"/>
      <c r="R4" s="904"/>
      <c r="S4" s="904"/>
      <c r="T4" s="904"/>
      <c r="U4" s="904"/>
      <c r="V4" s="904"/>
      <c r="W4" s="904"/>
      <c r="X4" s="904"/>
      <c r="Y4" s="904"/>
      <c r="Z4" s="929"/>
      <c r="AA4" s="794"/>
      <c r="AB4" s="1786"/>
      <c r="AC4" s="1786"/>
      <c r="AD4" s="930">
        <f>'VISITA DE INSP.'!T6</f>
        <v>1</v>
      </c>
      <c r="AE4" s="110"/>
      <c r="AF4" s="87">
        <v>3</v>
      </c>
      <c r="AG4" s="87" t="s">
        <v>61</v>
      </c>
    </row>
    <row r="5" spans="1:38" ht="12.75" customHeight="1">
      <c r="A5" s="42"/>
      <c r="B5" s="43"/>
      <c r="C5" s="44"/>
      <c r="D5" s="45"/>
      <c r="E5" s="45"/>
      <c r="F5" s="53">
        <v>95</v>
      </c>
      <c r="G5" s="53"/>
      <c r="H5" s="796"/>
      <c r="I5" s="925"/>
      <c r="J5" s="796"/>
      <c r="L5" s="941" t="s">
        <v>34</v>
      </c>
      <c r="M5" s="54">
        <v>2011</v>
      </c>
      <c r="N5" s="905"/>
      <c r="O5" s="796"/>
      <c r="P5" s="906"/>
      <c r="Q5" s="796"/>
      <c r="R5" s="796"/>
      <c r="S5" s="905"/>
      <c r="T5" s="931"/>
      <c r="U5" s="931">
        <f>T5+1</f>
        <v>1</v>
      </c>
      <c r="V5" s="905"/>
      <c r="W5" s="905"/>
      <c r="X5" s="905"/>
      <c r="Y5" s="905"/>
      <c r="Z5" s="4158">
        <f>M5+1</f>
        <v>2012</v>
      </c>
      <c r="AA5" s="4159"/>
      <c r="AB5" s="796"/>
      <c r="AC5" s="796"/>
      <c r="AD5" s="45"/>
      <c r="AE5" s="110"/>
      <c r="AF5" s="87">
        <v>9</v>
      </c>
      <c r="AG5" s="82" t="s">
        <v>56</v>
      </c>
    </row>
    <row r="6" spans="1:38" ht="10.5" customHeight="1">
      <c r="A6" s="42"/>
      <c r="B6" s="818"/>
      <c r="C6" s="794"/>
      <c r="D6" s="796"/>
      <c r="E6" s="796"/>
      <c r="F6" s="944">
        <v>100</v>
      </c>
      <c r="G6" s="944"/>
      <c r="H6" s="944" t="s">
        <v>35</v>
      </c>
      <c r="I6" s="925"/>
      <c r="J6" s="907"/>
      <c r="K6" s="907"/>
      <c r="L6" s="907"/>
      <c r="M6" s="907"/>
      <c r="N6" s="908"/>
      <c r="O6" s="908"/>
      <c r="P6" s="908"/>
      <c r="Q6" s="908"/>
      <c r="R6" s="908"/>
      <c r="S6" s="908"/>
      <c r="T6" s="908"/>
      <c r="U6" s="908"/>
      <c r="V6" s="908"/>
      <c r="W6" s="908"/>
      <c r="X6" s="908"/>
      <c r="Y6" s="908"/>
      <c r="Z6" s="796"/>
      <c r="AA6" s="796"/>
      <c r="AB6" s="938" t="s">
        <v>861</v>
      </c>
      <c r="AC6" s="933"/>
      <c r="AD6" s="45"/>
      <c r="AE6" s="110"/>
      <c r="AF6" s="87">
        <v>10</v>
      </c>
      <c r="AG6" s="82" t="s">
        <v>31</v>
      </c>
    </row>
    <row r="7" spans="1:38" ht="10.5" customHeight="1">
      <c r="A7" s="42"/>
      <c r="B7" s="945"/>
      <c r="C7" s="794"/>
      <c r="D7" s="794"/>
      <c r="E7" s="821"/>
      <c r="F7" s="946" t="s">
        <v>36</v>
      </c>
      <c r="G7" s="944"/>
      <c r="H7" s="944" t="s">
        <v>37</v>
      </c>
      <c r="I7" s="925"/>
      <c r="J7" s="911"/>
      <c r="K7" s="911"/>
      <c r="L7" s="911"/>
      <c r="M7" s="934"/>
      <c r="N7" s="794"/>
      <c r="O7" s="794"/>
      <c r="P7" s="794"/>
      <c r="Q7" s="794"/>
      <c r="R7" s="794"/>
      <c r="S7" s="794"/>
      <c r="T7" s="794"/>
      <c r="U7" s="794"/>
      <c r="V7" s="794"/>
      <c r="W7" s="932" t="s">
        <v>38</v>
      </c>
      <c r="X7" s="821"/>
      <c r="Y7" s="794"/>
      <c r="Z7" s="794"/>
      <c r="AA7" s="796"/>
      <c r="AB7" s="938" t="s">
        <v>862</v>
      </c>
      <c r="AC7" s="935"/>
      <c r="AD7" s="60"/>
      <c r="AE7" s="110"/>
      <c r="AF7" s="87">
        <v>20</v>
      </c>
      <c r="AG7" s="82" t="s">
        <v>33</v>
      </c>
    </row>
    <row r="8" spans="1:38" ht="15" customHeight="1">
      <c r="A8" s="42"/>
      <c r="B8" s="1000" t="s">
        <v>451</v>
      </c>
      <c r="C8" s="1001"/>
      <c r="D8" s="1002"/>
      <c r="E8" s="841" t="str">
        <f>'VISITA DE INSP.'!K9</f>
        <v>042</v>
      </c>
      <c r="F8" s="831"/>
      <c r="G8" s="2579" t="s">
        <v>1681</v>
      </c>
      <c r="H8" s="2583" t="s">
        <v>857</v>
      </c>
      <c r="I8" s="2582"/>
      <c r="J8" s="842"/>
      <c r="K8" s="952"/>
      <c r="L8" s="2579" t="s">
        <v>863</v>
      </c>
      <c r="M8" s="2583" t="str">
        <f>'VISITA DE INSP.'!Z9</f>
        <v>9981 49 34 04</v>
      </c>
      <c r="N8" s="801"/>
      <c r="O8" s="1005"/>
      <c r="P8" s="1006"/>
      <c r="Q8" s="1006"/>
      <c r="R8" s="1006"/>
      <c r="S8" s="1006"/>
      <c r="T8" s="1007"/>
      <c r="U8" s="799"/>
      <c r="V8" s="799"/>
      <c r="W8" s="936" t="s">
        <v>39</v>
      </c>
      <c r="X8" s="997" t="str">
        <f>AF16</f>
        <v>X</v>
      </c>
      <c r="Y8" s="1008"/>
      <c r="Z8" s="799"/>
      <c r="AA8" s="801"/>
      <c r="AB8" s="939" t="s">
        <v>859</v>
      </c>
      <c r="AC8" s="935"/>
      <c r="AD8" s="2107" t="s">
        <v>78</v>
      </c>
      <c r="AE8" s="110"/>
      <c r="AF8" s="87">
        <v>95</v>
      </c>
      <c r="AG8" s="82" t="s">
        <v>62</v>
      </c>
    </row>
    <row r="9" spans="1:38" ht="15" customHeight="1">
      <c r="A9" s="42"/>
      <c r="B9" s="1009" t="s">
        <v>854</v>
      </c>
      <c r="C9" s="841" t="str">
        <f>'VISITA DE INSP.'!E7</f>
        <v>KABAH</v>
      </c>
      <c r="D9" s="831"/>
      <c r="E9" s="796"/>
      <c r="F9" s="831"/>
      <c r="G9" s="2579" t="s">
        <v>855</v>
      </c>
      <c r="H9" s="2583" t="str">
        <f>'VISITA DE INSP.'!M9</f>
        <v>SM-48 C-OCOSINGO CON OCOTEPEC</v>
      </c>
      <c r="I9" s="2582"/>
      <c r="J9" s="842"/>
      <c r="K9" s="952"/>
      <c r="L9" s="2579"/>
      <c r="M9" s="1004"/>
      <c r="N9" s="801"/>
      <c r="O9" s="1010"/>
      <c r="P9" s="1011"/>
      <c r="Q9" s="1012"/>
      <c r="R9" s="1012"/>
      <c r="S9" s="1012"/>
      <c r="T9" s="1013"/>
      <c r="U9" s="799"/>
      <c r="V9" s="799"/>
      <c r="W9" s="936" t="s">
        <v>41</v>
      </c>
      <c r="X9" s="997">
        <f>AF17</f>
        <v>0</v>
      </c>
      <c r="Y9" s="1008"/>
      <c r="Z9" s="799"/>
      <c r="AA9" s="801"/>
      <c r="AB9" s="939" t="s">
        <v>860</v>
      </c>
      <c r="AC9" s="935"/>
      <c r="AD9" s="999"/>
      <c r="AE9" s="110"/>
      <c r="AF9" s="87">
        <v>96</v>
      </c>
      <c r="AG9" s="82" t="s">
        <v>63</v>
      </c>
    </row>
    <row r="10" spans="1:38" ht="15" customHeight="1">
      <c r="A10" s="42"/>
      <c r="B10" s="4160" t="s">
        <v>847</v>
      </c>
      <c r="C10" s="4161"/>
      <c r="D10" s="2581" t="s">
        <v>245</v>
      </c>
      <c r="E10" s="2580"/>
      <c r="F10" s="1014"/>
      <c r="G10" s="2579" t="s">
        <v>856</v>
      </c>
      <c r="H10" s="2583" t="s">
        <v>247</v>
      </c>
      <c r="I10" s="2582"/>
      <c r="J10" s="842"/>
      <c r="K10" s="952"/>
      <c r="L10" s="2579" t="s">
        <v>864</v>
      </c>
      <c r="M10" s="2106" t="s">
        <v>1680</v>
      </c>
      <c r="N10" s="801"/>
      <c r="O10" s="1003"/>
      <c r="P10" s="1015"/>
      <c r="Q10" s="1016"/>
      <c r="R10" s="1016"/>
      <c r="S10" s="1016"/>
      <c r="T10" s="1017"/>
      <c r="U10" s="799"/>
      <c r="V10" s="1003"/>
      <c r="W10" s="1018" t="str">
        <f>'VISITA DE INSP.'!AE7</f>
        <v>MATUTINO</v>
      </c>
      <c r="X10" s="1010"/>
      <c r="Y10" s="1008"/>
      <c r="Z10" s="801"/>
      <c r="AA10" s="801"/>
      <c r="AB10" s="939" t="s">
        <v>447</v>
      </c>
      <c r="AC10" s="935"/>
      <c r="AD10" s="999"/>
      <c r="AE10" s="110"/>
      <c r="AF10" s="87">
        <v>97</v>
      </c>
      <c r="AG10" s="82">
        <v>99999</v>
      </c>
      <c r="AJ10" s="16"/>
      <c r="AK10" s="16"/>
      <c r="AL10" s="16"/>
    </row>
    <row r="11" spans="1:38" ht="5.25" hidden="1" customHeight="1" thickBot="1">
      <c r="A11" s="42"/>
      <c r="B11" s="848"/>
      <c r="C11" s="58"/>
      <c r="D11" s="764"/>
      <c r="E11" s="764"/>
      <c r="F11" s="764"/>
      <c r="G11" s="764"/>
      <c r="H11" s="764"/>
      <c r="I11" s="764"/>
      <c r="J11" s="764"/>
      <c r="K11" s="764"/>
      <c r="L11" s="764"/>
      <c r="M11" s="764"/>
      <c r="N11" s="58"/>
      <c r="O11" s="58"/>
      <c r="P11" s="764"/>
      <c r="Q11" s="764"/>
      <c r="R11" s="764"/>
      <c r="S11" s="764"/>
      <c r="T11" s="764"/>
      <c r="U11" s="58"/>
      <c r="V11" s="58"/>
      <c r="W11" s="58"/>
      <c r="X11" s="764"/>
      <c r="Y11" s="58"/>
      <c r="Z11" s="58"/>
      <c r="AA11" s="58"/>
      <c r="AB11" s="57"/>
      <c r="AC11" s="57"/>
      <c r="AD11" s="354"/>
      <c r="AE11" s="110"/>
      <c r="AF11" s="87">
        <v>98</v>
      </c>
      <c r="AG11" s="82">
        <v>99999</v>
      </c>
      <c r="AJ11" s="16"/>
      <c r="AK11" s="16"/>
      <c r="AL11" s="16"/>
    </row>
    <row r="12" spans="1:38" ht="16.5" customHeight="1">
      <c r="A12" s="59"/>
      <c r="B12" s="4162" t="s">
        <v>1682</v>
      </c>
      <c r="C12" s="4164" t="s">
        <v>44</v>
      </c>
      <c r="D12" s="4165"/>
      <c r="E12" s="4165"/>
      <c r="F12" s="4165"/>
      <c r="G12" s="4165"/>
      <c r="H12" s="4165"/>
      <c r="I12" s="4166"/>
      <c r="J12" s="4155" t="s">
        <v>45</v>
      </c>
      <c r="K12" s="4155" t="s">
        <v>46</v>
      </c>
      <c r="L12" s="4155"/>
      <c r="M12" s="4155"/>
      <c r="N12" s="4154" t="s">
        <v>60</v>
      </c>
      <c r="O12" s="4154"/>
      <c r="P12" s="4154"/>
      <c r="Q12" s="4154"/>
      <c r="R12" s="4154"/>
      <c r="S12" s="4154"/>
      <c r="T12" s="4154"/>
      <c r="U12" s="4154"/>
      <c r="V12" s="4154"/>
      <c r="W12" s="4154"/>
      <c r="X12" s="4154"/>
      <c r="Y12" s="4154"/>
      <c r="Z12" s="4155" t="s">
        <v>47</v>
      </c>
      <c r="AA12" s="4155"/>
      <c r="AB12" s="4155"/>
      <c r="AC12" s="4156" t="s">
        <v>270</v>
      </c>
      <c r="AD12" s="4156"/>
      <c r="AE12" s="110"/>
      <c r="AF12" s="87">
        <v>99</v>
      </c>
      <c r="AG12" s="82">
        <v>99999</v>
      </c>
      <c r="AJ12" s="16"/>
      <c r="AK12" s="16"/>
      <c r="AL12" s="16"/>
    </row>
    <row r="13" spans="1:38" ht="16.5" customHeight="1">
      <c r="A13" s="59"/>
      <c r="B13" s="4163"/>
      <c r="C13" s="4167"/>
      <c r="D13" s="4168"/>
      <c r="E13" s="4168"/>
      <c r="F13" s="4168"/>
      <c r="G13" s="4168"/>
      <c r="H13" s="4168"/>
      <c r="I13" s="4169"/>
      <c r="J13" s="4155"/>
      <c r="K13" s="998" t="s">
        <v>31</v>
      </c>
      <c r="L13" s="998" t="s">
        <v>858</v>
      </c>
      <c r="M13" s="998" t="s">
        <v>447</v>
      </c>
      <c r="N13" s="4157" t="s">
        <v>48</v>
      </c>
      <c r="O13" s="4157"/>
      <c r="P13" s="4157" t="s">
        <v>49</v>
      </c>
      <c r="Q13" s="4157"/>
      <c r="R13" s="4157" t="s">
        <v>50</v>
      </c>
      <c r="S13" s="4157"/>
      <c r="T13" s="4157" t="s">
        <v>51</v>
      </c>
      <c r="U13" s="4157"/>
      <c r="V13" s="4157" t="s">
        <v>52</v>
      </c>
      <c r="W13" s="4157"/>
      <c r="X13" s="4157" t="s">
        <v>53</v>
      </c>
      <c r="Y13" s="4157"/>
      <c r="Z13" s="4155"/>
      <c r="AA13" s="4155"/>
      <c r="AB13" s="4155"/>
      <c r="AC13" s="4156"/>
      <c r="AD13" s="4156"/>
      <c r="AE13" s="110"/>
      <c r="AF13" s="87">
        <v>100</v>
      </c>
      <c r="AG13" s="82" t="s">
        <v>64</v>
      </c>
      <c r="AJ13" s="16"/>
      <c r="AK13" s="16"/>
      <c r="AL13" s="16"/>
    </row>
    <row r="14" spans="1:38" ht="18.75" customHeight="1">
      <c r="A14" s="59"/>
      <c r="B14" s="852">
        <v>1</v>
      </c>
      <c r="C14" s="1052" t="str">
        <f>'VISITA DE INSP.'!D17</f>
        <v>CERVANTES BENITEZ * ANTONIA</v>
      </c>
      <c r="D14" s="65"/>
      <c r="E14" s="65"/>
      <c r="F14" s="65"/>
      <c r="G14" s="65"/>
      <c r="H14" s="65"/>
      <c r="I14" s="849"/>
      <c r="J14" s="852" t="str">
        <f>'VISITA DE INSP.'!DM23</f>
        <v>078312 E022100.0231688</v>
      </c>
      <c r="K14" s="1046" t="str">
        <f>VLOOKUP(AE14,AF3:AG14,2,2)</f>
        <v>BASE</v>
      </c>
      <c r="L14" s="971" t="str">
        <f>VLOOKUP(AE14,AF3:AG14,2,2)</f>
        <v>BASE</v>
      </c>
      <c r="M14" s="1046" t="str">
        <f>VLOOKUP(AE14,AF3:AG14,2,2)</f>
        <v>BASE</v>
      </c>
      <c r="N14" s="947">
        <f>'VISITA DE INSP.'!AH17</f>
        <v>0</v>
      </c>
      <c r="O14" s="915">
        <f>'VISITA DE INSP.'!C17</f>
        <v>0</v>
      </c>
      <c r="P14" s="915">
        <f>'VISITA DE INSP.'!AH17</f>
        <v>0</v>
      </c>
      <c r="Q14" s="915">
        <f>'VISITA DE INSP.'!C17</f>
        <v>0</v>
      </c>
      <c r="R14" s="915">
        <f>'VISITA DE INSP.'!AH17</f>
        <v>0</v>
      </c>
      <c r="S14" s="916">
        <f>'VISITA DE INSP.'!C17</f>
        <v>0</v>
      </c>
      <c r="T14" s="916">
        <f>'VISITA DE INSP.'!AH17</f>
        <v>0</v>
      </c>
      <c r="U14" s="916">
        <f>'VISITA DE INSP.'!C17</f>
        <v>0</v>
      </c>
      <c r="V14" s="916">
        <f>'VISITA DE INSP.'!AH17</f>
        <v>0</v>
      </c>
      <c r="W14" s="916">
        <f>'VISITA DE INSP.'!C17</f>
        <v>0</v>
      </c>
      <c r="X14" s="916">
        <f>'VISITA DE INSP.'!AH17</f>
        <v>0</v>
      </c>
      <c r="Y14" s="917">
        <f>'VISITA DE INSP.'!C17</f>
        <v>0</v>
      </c>
      <c r="Z14" s="4150" t="str">
        <f>'VISITA DE INSP.'!DN23</f>
        <v>DIRECTOR</v>
      </c>
      <c r="AA14" s="4150"/>
      <c r="AB14" s="4150"/>
      <c r="AC14" s="1301" t="str">
        <f>AI14</f>
        <v>00</v>
      </c>
      <c r="AD14" s="1302">
        <f>AK14</f>
        <v>0</v>
      </c>
      <c r="AE14" s="110">
        <f>'VISITA DE INSP.'!DP23</f>
        <v>10</v>
      </c>
      <c r="AF14" s="87">
        <v>102</v>
      </c>
      <c r="AG14" s="82" t="s">
        <v>65</v>
      </c>
      <c r="AI14" s="17" t="str">
        <f>CONCATENATE('VISITA DE INSP.'!B17,'VISITA DE INSP.'!C17)</f>
        <v>00</v>
      </c>
      <c r="AJ14" s="16"/>
      <c r="AK14" s="1019">
        <f>'VISITA DE INSP.'!AH17</f>
        <v>0</v>
      </c>
      <c r="AL14" s="16"/>
    </row>
    <row r="15" spans="1:38" ht="18.75" customHeight="1">
      <c r="A15" s="59"/>
      <c r="B15" s="853">
        <v>2</v>
      </c>
      <c r="C15" s="1053" t="str">
        <f>'VISITA DE INSP.'!D18</f>
        <v>ARANDA ESCALANTE * ARELI GUADALUPE</v>
      </c>
      <c r="D15" s="63"/>
      <c r="E15" s="63"/>
      <c r="F15" s="63"/>
      <c r="G15" s="63"/>
      <c r="H15" s="63"/>
      <c r="I15" s="850"/>
      <c r="J15" s="852" t="str">
        <f>'VISITA DE INSP.'!DM24</f>
        <v>078312 E028100.0230501</v>
      </c>
      <c r="K15" s="1046" t="str">
        <f>VLOOKUP(AE15,AF3:AG14,2,2)</f>
        <v>BASE</v>
      </c>
      <c r="L15" s="971" t="str">
        <f>VLOOKUP(AE15,AF3:AG14,2,2)</f>
        <v>BASE</v>
      </c>
      <c r="M15" s="1046" t="str">
        <f>VLOOKUP(AE15,AF3:AG14,2,2)</f>
        <v>BASE</v>
      </c>
      <c r="N15" s="948">
        <f>'VISITA DE INSP.'!AH18</f>
        <v>29</v>
      </c>
      <c r="O15" s="854" t="str">
        <f>'VISITA DE INSP.'!C18</f>
        <v>A</v>
      </c>
      <c r="P15" s="854">
        <f>'VISITA DE INSP.'!AH18</f>
        <v>29</v>
      </c>
      <c r="Q15" s="854" t="str">
        <f>'VISITA DE INSP.'!C18</f>
        <v>A</v>
      </c>
      <c r="R15" s="854">
        <f>'VISITA DE INSP.'!AH18</f>
        <v>29</v>
      </c>
      <c r="S15" s="854" t="str">
        <f>'VISITA DE INSP.'!C18</f>
        <v>A</v>
      </c>
      <c r="T15" s="854">
        <f>'VISITA DE INSP.'!AH18</f>
        <v>29</v>
      </c>
      <c r="U15" s="854" t="str">
        <f>'VISITA DE INSP.'!C18</f>
        <v>A</v>
      </c>
      <c r="V15" s="854">
        <f>'VISITA DE INSP.'!AH18</f>
        <v>29</v>
      </c>
      <c r="W15" s="854" t="str">
        <f>'VISITA DE INSP.'!C18</f>
        <v>A</v>
      </c>
      <c r="X15" s="854">
        <f>'VISITA DE INSP.'!AH18</f>
        <v>29</v>
      </c>
      <c r="Y15" s="918" t="str">
        <f>'VISITA DE INSP.'!C18</f>
        <v>A</v>
      </c>
      <c r="Z15" s="4150" t="str">
        <f>'VISITA DE INSP.'!DN24</f>
        <v>DOCENTE</v>
      </c>
      <c r="AA15" s="4150"/>
      <c r="AB15" s="4150"/>
      <c r="AC15" s="1301" t="str">
        <f>AI15</f>
        <v>1ºA</v>
      </c>
      <c r="AD15" s="1302">
        <f>AK15</f>
        <v>29</v>
      </c>
      <c r="AE15" s="110">
        <f>'VISITA DE INSP.'!DP24</f>
        <v>10</v>
      </c>
      <c r="AF15" s="112"/>
      <c r="AG15" s="113" t="s">
        <v>69</v>
      </c>
      <c r="AH15" s="114" t="s">
        <v>78</v>
      </c>
      <c r="AI15" s="17" t="str">
        <f>CONCATENATE('VISITA DE INSP.'!B18,'VISITA DE INSP.'!C18)</f>
        <v>1ºA</v>
      </c>
      <c r="AJ15" s="16"/>
      <c r="AK15" s="1019">
        <f>'VISITA DE INSP.'!AH18</f>
        <v>29</v>
      </c>
      <c r="AL15" s="16"/>
    </row>
    <row r="16" spans="1:38" ht="18.75" customHeight="1">
      <c r="A16" s="59"/>
      <c r="B16" s="853"/>
      <c r="C16" s="1784" t="str">
        <f>'VISITA DE INSP.'!D19</f>
        <v>AKE QUEB * MARIANA DEL CONSUELO</v>
      </c>
      <c r="D16" s="63"/>
      <c r="E16" s="63"/>
      <c r="F16" s="63"/>
      <c r="G16" s="63"/>
      <c r="H16" s="63"/>
      <c r="I16" s="850"/>
      <c r="J16" s="852" t="str">
        <f>'VISITA DE INSP.'!DM25</f>
        <v>078312 E028100.0233023</v>
      </c>
      <c r="K16" s="1046" t="str">
        <f>VLOOKUP(AE16,AF3:AG14,2,2)</f>
        <v>BASE</v>
      </c>
      <c r="L16" s="971" t="str">
        <f>VLOOKUP(AE16,AF3:AG14,2,2)</f>
        <v>BASE</v>
      </c>
      <c r="M16" s="1046" t="str">
        <f>VLOOKUP(AE16,AF3:AG14,2,2)</f>
        <v>BASE</v>
      </c>
      <c r="N16" s="949">
        <f>'VISITA DE INSP.'!AH19</f>
        <v>27</v>
      </c>
      <c r="O16" s="854" t="str">
        <f>'VISITA DE INSP.'!C19</f>
        <v>B</v>
      </c>
      <c r="P16" s="854">
        <f>'VISITA DE INSP.'!AH19</f>
        <v>27</v>
      </c>
      <c r="Q16" s="854" t="str">
        <f>'VISITA DE INSP.'!C19</f>
        <v>B</v>
      </c>
      <c r="R16" s="853">
        <f>'VISITA DE INSP.'!AH19</f>
        <v>27</v>
      </c>
      <c r="S16" s="853" t="str">
        <f>'VISITA DE INSP.'!C19</f>
        <v>B</v>
      </c>
      <c r="T16" s="854">
        <f>'VISITA DE INSP.'!AH19</f>
        <v>27</v>
      </c>
      <c r="U16" s="854" t="str">
        <f>'VISITA DE INSP.'!C19</f>
        <v>B</v>
      </c>
      <c r="V16" s="854">
        <f>'VISITA DE INSP.'!AH19</f>
        <v>27</v>
      </c>
      <c r="W16" s="854" t="str">
        <f>'VISITA DE INSP.'!C19</f>
        <v>B</v>
      </c>
      <c r="X16" s="854">
        <f>'VISITA DE INSP.'!AH19</f>
        <v>27</v>
      </c>
      <c r="Y16" s="918" t="str">
        <f>'VISITA DE INSP.'!C19</f>
        <v>B</v>
      </c>
      <c r="Z16" s="4153" t="str">
        <f>'VISITA DE INSP.'!DN25</f>
        <v>DOCENTE</v>
      </c>
      <c r="AA16" s="4153"/>
      <c r="AB16" s="4153"/>
      <c r="AC16" s="1301" t="str">
        <f t="shared" ref="AC16:AC32" si="0">AI16</f>
        <v>1ºB</v>
      </c>
      <c r="AD16" s="1302">
        <f t="shared" ref="AD16:AD32" si="1">AK16</f>
        <v>27</v>
      </c>
      <c r="AE16" s="110">
        <f>'VISITA DE INSP.'!DP25</f>
        <v>10</v>
      </c>
      <c r="AF16" s="112" t="str">
        <f>VLOOKUP(W10,AG15:AH16,2,0)</f>
        <v>X</v>
      </c>
      <c r="AG16" s="113" t="s">
        <v>77</v>
      </c>
      <c r="AH16" s="114">
        <v>0</v>
      </c>
      <c r="AI16" s="17" t="str">
        <f>CONCATENATE('VISITA DE INSP.'!B19,'VISITA DE INSP.'!C19)</f>
        <v>1ºB</v>
      </c>
      <c r="AJ16" s="16"/>
      <c r="AK16" s="1019">
        <f>'VISITA DE INSP.'!AH19</f>
        <v>27</v>
      </c>
      <c r="AL16" s="16"/>
    </row>
    <row r="17" spans="1:38" ht="18.75" customHeight="1">
      <c r="A17" s="59"/>
      <c r="B17" s="853">
        <v>3</v>
      </c>
      <c r="C17" s="1053" t="str">
        <f>'VISITA DE INSP.'!D20</f>
        <v>MORENO CARDENAS * IGNACIA</v>
      </c>
      <c r="D17" s="63"/>
      <c r="E17" s="63"/>
      <c r="F17" s="63"/>
      <c r="G17" s="63"/>
      <c r="H17" s="63"/>
      <c r="I17" s="850"/>
      <c r="J17" s="852" t="str">
        <f>'VISITA DE INSP.'!DM26</f>
        <v>078312 E028100.0232722</v>
      </c>
      <c r="K17" s="1046" t="str">
        <f>VLOOKUP(AE17,AF3:AG14,2,2)</f>
        <v>BASE</v>
      </c>
      <c r="L17" s="971" t="str">
        <f>VLOOKUP(AE17,AF3:AG14,2,2)</f>
        <v>BASE</v>
      </c>
      <c r="M17" s="1046" t="str">
        <f>VLOOKUP(AE17,AF3:AG14,2,2)</f>
        <v>BASE</v>
      </c>
      <c r="N17" s="949">
        <f>'VISITA DE INSP.'!AH20</f>
        <v>31</v>
      </c>
      <c r="O17" s="854" t="str">
        <f>'VISITA DE INSP.'!C20</f>
        <v>A</v>
      </c>
      <c r="P17" s="854">
        <f>'VISITA DE INSP.'!AH20</f>
        <v>31</v>
      </c>
      <c r="Q17" s="854" t="str">
        <f>'VISITA DE INSP.'!C20</f>
        <v>A</v>
      </c>
      <c r="R17" s="854">
        <f>'VISITA DE INSP.'!AH20</f>
        <v>31</v>
      </c>
      <c r="S17" s="854" t="str">
        <f>'VISITA DE INSP.'!C20</f>
        <v>A</v>
      </c>
      <c r="T17" s="853">
        <f>'VISITA DE INSP.'!AH20</f>
        <v>31</v>
      </c>
      <c r="U17" s="853" t="str">
        <f>'VISITA DE INSP.'!C20</f>
        <v>A</v>
      </c>
      <c r="V17" s="854">
        <f>'VISITA DE INSP.'!AH20</f>
        <v>31</v>
      </c>
      <c r="W17" s="854" t="str">
        <f>'VISITA DE INSP.'!C20</f>
        <v>A</v>
      </c>
      <c r="X17" s="854">
        <f>'VISITA DE INSP.'!AH20</f>
        <v>31</v>
      </c>
      <c r="Y17" s="918" t="str">
        <f>'VISITA DE INSP.'!C20</f>
        <v>A</v>
      </c>
      <c r="Z17" s="4150" t="str">
        <f>'VISITA DE INSP.'!DN26</f>
        <v>DOCENTE</v>
      </c>
      <c r="AA17" s="4150"/>
      <c r="AB17" s="4150"/>
      <c r="AC17" s="1301" t="str">
        <f t="shared" si="0"/>
        <v>2ºA</v>
      </c>
      <c r="AD17" s="1302">
        <f t="shared" si="1"/>
        <v>31</v>
      </c>
      <c r="AE17" s="110">
        <f>'VISITA DE INSP.'!DP26</f>
        <v>10</v>
      </c>
      <c r="AF17" s="112">
        <f>VLOOKUP(W10,AG17:AH18,2,0)</f>
        <v>0</v>
      </c>
      <c r="AG17" s="113" t="s">
        <v>69</v>
      </c>
      <c r="AH17" s="114">
        <v>0</v>
      </c>
      <c r="AI17" s="17" t="str">
        <f>CONCATENATE('VISITA DE INSP.'!B20,'VISITA DE INSP.'!C20)</f>
        <v>2ºA</v>
      </c>
      <c r="AJ17" s="16"/>
      <c r="AK17" s="1019">
        <f>'VISITA DE INSP.'!AH20</f>
        <v>31</v>
      </c>
      <c r="AL17" s="16"/>
    </row>
    <row r="18" spans="1:38" ht="18.75" customHeight="1">
      <c r="A18" s="59"/>
      <c r="B18" s="854">
        <v>5</v>
      </c>
      <c r="C18" s="1784" t="str">
        <f>'VISITA DE INSP.'!D21</f>
        <v>GONGORA SANTOS * GRACIELA</v>
      </c>
      <c r="D18" s="63"/>
      <c r="E18" s="63"/>
      <c r="F18" s="63"/>
      <c r="G18" s="63"/>
      <c r="H18" s="63"/>
      <c r="I18" s="850"/>
      <c r="J18" s="852" t="str">
        <f>'VISITA DE INSP.'!DM27</f>
        <v>078312 E028100.0233382</v>
      </c>
      <c r="K18" s="1046" t="str">
        <f>VLOOKUP(AE18,AF3:AG14,2,2)</f>
        <v>BASE</v>
      </c>
      <c r="L18" s="971" t="str">
        <f>VLOOKUP(AE18,AF3:AG14,2,2)</f>
        <v>BASE</v>
      </c>
      <c r="M18" s="1046" t="str">
        <f>VLOOKUP(AE18,AF3:AG14,2,2)</f>
        <v>BASE</v>
      </c>
      <c r="N18" s="949">
        <f>'VISITA DE INSP.'!AH21</f>
        <v>33</v>
      </c>
      <c r="O18" s="854" t="str">
        <f>'VISITA DE INSP.'!C21</f>
        <v>B</v>
      </c>
      <c r="P18" s="854">
        <f>'VISITA DE INSP.'!AH21</f>
        <v>33</v>
      </c>
      <c r="Q18" s="854" t="str">
        <f>'VISITA DE INSP.'!C21</f>
        <v>B</v>
      </c>
      <c r="R18" s="854">
        <f>'VISITA DE INSP.'!AH21</f>
        <v>33</v>
      </c>
      <c r="S18" s="854" t="str">
        <f>'VISITA DE INSP.'!C21</f>
        <v>B</v>
      </c>
      <c r="T18" s="854">
        <f>'VISITA DE INSP.'!AH21</f>
        <v>33</v>
      </c>
      <c r="U18" s="854" t="str">
        <f>'VISITA DE INSP.'!C21</f>
        <v>B</v>
      </c>
      <c r="V18" s="853">
        <f>'VISITA DE INSP.'!AH21</f>
        <v>33</v>
      </c>
      <c r="W18" s="853" t="str">
        <f>'VISITA DE INSP.'!C21</f>
        <v>B</v>
      </c>
      <c r="X18" s="853">
        <f>'VISITA DE INSP.'!AH21</f>
        <v>33</v>
      </c>
      <c r="Y18" s="919" t="str">
        <f>'VISITA DE INSP.'!C21</f>
        <v>B</v>
      </c>
      <c r="Z18" s="4153" t="str">
        <f>'VISITA DE INSP.'!DN27</f>
        <v>DOCENTE</v>
      </c>
      <c r="AA18" s="4153"/>
      <c r="AB18" s="4153"/>
      <c r="AC18" s="1301" t="str">
        <f t="shared" si="0"/>
        <v>2ºB</v>
      </c>
      <c r="AD18" s="1302">
        <f t="shared" si="1"/>
        <v>33</v>
      </c>
      <c r="AE18" s="110">
        <f>'VISITA DE INSP.'!DP27</f>
        <v>10</v>
      </c>
      <c r="AG18" s="113" t="s">
        <v>77</v>
      </c>
      <c r="AH18" s="114" t="s">
        <v>78</v>
      </c>
      <c r="AI18" s="17" t="str">
        <f>CONCATENATE('VISITA DE INSP.'!B21,'VISITA DE INSP.'!C21)</f>
        <v>2ºB</v>
      </c>
      <c r="AJ18" s="16"/>
      <c r="AK18" s="1019">
        <f>'VISITA DE INSP.'!AH21</f>
        <v>33</v>
      </c>
      <c r="AL18" s="16"/>
    </row>
    <row r="19" spans="1:38" ht="18.75" customHeight="1">
      <c r="A19" s="59"/>
      <c r="B19" s="854">
        <v>6</v>
      </c>
      <c r="C19" s="1784" t="str">
        <f>'VISITA DE INSP.'!D22</f>
        <v>VARGAS GARCIA * DEBRA DORIS DEL SAGRARIO</v>
      </c>
      <c r="D19" s="1785"/>
      <c r="E19" s="63"/>
      <c r="F19" s="63"/>
      <c r="G19" s="63"/>
      <c r="H19" s="63"/>
      <c r="I19" s="850"/>
      <c r="J19" s="2568" t="str">
        <f>'VISITA DE INSP.'!DM28</f>
        <v>078312 E028100.0232821</v>
      </c>
      <c r="K19" s="971" t="str">
        <f>VLOOKUP(AE19,AF3:AG14,2,2)</f>
        <v>BASE</v>
      </c>
      <c r="L19" s="971" t="str">
        <f>VLOOKUP(AE19,AF3:AG14,2,2)</f>
        <v>BASE</v>
      </c>
      <c r="M19" s="971" t="str">
        <f>VLOOKUP(AE19,AF3:AG14,2,2)</f>
        <v>BASE</v>
      </c>
      <c r="N19" s="948">
        <f>'VISITA DE INSP.'!AH22</f>
        <v>24</v>
      </c>
      <c r="O19" s="854" t="str">
        <f>'VISITA DE INSP.'!C22</f>
        <v>A</v>
      </c>
      <c r="P19" s="854">
        <f>'VISITA DE INSP.'!AH22</f>
        <v>24</v>
      </c>
      <c r="Q19" s="854" t="str">
        <f>'VISITA DE INSP.'!C22</f>
        <v>A</v>
      </c>
      <c r="R19" s="854">
        <f>'VISITA DE INSP.'!AH22</f>
        <v>24</v>
      </c>
      <c r="S19" s="854" t="str">
        <f>'VISITA DE INSP.'!C22</f>
        <v>A</v>
      </c>
      <c r="T19" s="854">
        <f>'VISITA DE INSP.'!AH22</f>
        <v>24</v>
      </c>
      <c r="U19" s="854" t="str">
        <f>'VISITA DE INSP.'!C22</f>
        <v>A</v>
      </c>
      <c r="V19" s="854">
        <f>'VISITA DE INSP.'!AH22</f>
        <v>24</v>
      </c>
      <c r="W19" s="854" t="str">
        <f>'VISITA DE INSP.'!C22</f>
        <v>A</v>
      </c>
      <c r="X19" s="854">
        <f>'VISITA DE INSP.'!AH22</f>
        <v>24</v>
      </c>
      <c r="Y19" s="918" t="str">
        <f>'VISITA DE INSP.'!C22</f>
        <v>A</v>
      </c>
      <c r="Z19" s="4153" t="str">
        <f>'VISITA DE INSP.'!DN28</f>
        <v>DOCENTE</v>
      </c>
      <c r="AA19" s="4153"/>
      <c r="AB19" s="4153"/>
      <c r="AC19" s="1301" t="str">
        <f t="shared" si="0"/>
        <v>3ºA</v>
      </c>
      <c r="AD19" s="1302">
        <f t="shared" si="1"/>
        <v>24</v>
      </c>
      <c r="AE19" s="110">
        <f>'VISITA DE INSP.'!DP28</f>
        <v>10</v>
      </c>
      <c r="AI19" s="17" t="str">
        <f>CONCATENATE('VISITA DE INSP.'!B22,'VISITA DE INSP.'!C22)</f>
        <v>3ºA</v>
      </c>
      <c r="AJ19" s="16"/>
      <c r="AK19" s="1019">
        <f>'VISITA DE INSP.'!AH22</f>
        <v>24</v>
      </c>
      <c r="AL19" s="16"/>
    </row>
    <row r="20" spans="1:38" ht="18.75" customHeight="1">
      <c r="A20" s="59"/>
      <c r="B20" s="854">
        <v>7</v>
      </c>
      <c r="C20" s="1784" t="str">
        <f>'VISITA DE INSP.'!D23</f>
        <v>CASTRO LOPEZ * SOSIMA PETRA</v>
      </c>
      <c r="D20" s="1785"/>
      <c r="E20" s="63"/>
      <c r="F20" s="63"/>
      <c r="G20" s="63"/>
      <c r="H20" s="63"/>
      <c r="I20" s="850"/>
      <c r="J20" s="2568" t="str">
        <f>'VISITA DE INSP.'!DM29</f>
        <v>078312 E028100.0232759</v>
      </c>
      <c r="K20" s="971" t="str">
        <f>VLOOKUP(AE20,AF3:AG14,2,2)</f>
        <v>BASE</v>
      </c>
      <c r="L20" s="971" t="str">
        <f>VLOOKUP(AE20,AF3:AG14,2,2)</f>
        <v>BASE</v>
      </c>
      <c r="M20" s="971" t="str">
        <f>VLOOKUP(AE20,AF3:AG14,2,2)</f>
        <v>BASE</v>
      </c>
      <c r="N20" s="948">
        <f>'VISITA DE INSP.'!AH23</f>
        <v>33</v>
      </c>
      <c r="O20" s="854" t="str">
        <f>'VISITA DE INSP.'!C23</f>
        <v>B</v>
      </c>
      <c r="P20" s="854">
        <f>'VISITA DE INSP.'!AH23</f>
        <v>33</v>
      </c>
      <c r="Q20" s="854" t="str">
        <f>'VISITA DE INSP.'!C23</f>
        <v>B</v>
      </c>
      <c r="R20" s="854">
        <f>'VISITA DE INSP.'!AH23</f>
        <v>33</v>
      </c>
      <c r="S20" s="854" t="str">
        <f>'VISITA DE INSP.'!C23</f>
        <v>B</v>
      </c>
      <c r="T20" s="854">
        <f>'VISITA DE INSP.'!AH23</f>
        <v>33</v>
      </c>
      <c r="U20" s="854" t="str">
        <f>'VISITA DE INSP.'!C23</f>
        <v>B</v>
      </c>
      <c r="V20" s="854">
        <f>'VISITA DE INSP.'!AH23</f>
        <v>33</v>
      </c>
      <c r="W20" s="854" t="str">
        <f>'VISITA DE INSP.'!C23</f>
        <v>B</v>
      </c>
      <c r="X20" s="854">
        <f>'VISITA DE INSP.'!AH23</f>
        <v>33</v>
      </c>
      <c r="Y20" s="918" t="str">
        <f>'VISITA DE INSP.'!C23</f>
        <v>B</v>
      </c>
      <c r="Z20" s="4153" t="str">
        <f>'VISITA DE INSP.'!DN29</f>
        <v>DOCENTE</v>
      </c>
      <c r="AA20" s="4153"/>
      <c r="AB20" s="4153"/>
      <c r="AC20" s="1301" t="str">
        <f t="shared" si="0"/>
        <v>3ºB</v>
      </c>
      <c r="AD20" s="1302">
        <f t="shared" si="1"/>
        <v>33</v>
      </c>
      <c r="AE20" s="110">
        <f>'VISITA DE INSP.'!DP29</f>
        <v>10</v>
      </c>
      <c r="AI20" s="17" t="str">
        <f>CONCATENATE('VISITA DE INSP.'!B23,'VISITA DE INSP.'!C23)</f>
        <v>3ºB</v>
      </c>
      <c r="AJ20" s="16"/>
      <c r="AK20" s="1019">
        <f>'VISITA DE INSP.'!AH23</f>
        <v>33</v>
      </c>
      <c r="AL20" s="16"/>
    </row>
    <row r="21" spans="1:38" ht="18.75" customHeight="1">
      <c r="A21" s="59"/>
      <c r="B21" s="854">
        <v>8</v>
      </c>
      <c r="C21" s="1784" t="str">
        <f>'VISITA DE INSP.'!D24</f>
        <v>SANCHEZ BUSTAMANTE * CONCEPCION</v>
      </c>
      <c r="D21" s="1785"/>
      <c r="E21" s="63"/>
      <c r="F21" s="63"/>
      <c r="G21" s="63"/>
      <c r="H21" s="63"/>
      <c r="I21" s="850"/>
      <c r="J21" s="2568" t="str">
        <f>'VISITA DE INSP.'!DM30</f>
        <v>078312 E028100.0233935</v>
      </c>
      <c r="K21" s="971" t="str">
        <f>VLOOKUP(AE21,AF3:AG14,2,2)</f>
        <v>BASE</v>
      </c>
      <c r="L21" s="971" t="str">
        <f>VLOOKUP(AE21,AF3:AG14,2,2)</f>
        <v>BASE</v>
      </c>
      <c r="M21" s="971" t="str">
        <f>VLOOKUP(AE21,AF3:AG14,2,2)</f>
        <v>BASE</v>
      </c>
      <c r="N21" s="948">
        <f>'VISITA DE INSP.'!AH24</f>
        <v>31</v>
      </c>
      <c r="O21" s="854" t="str">
        <f>'VISITA DE INSP.'!C24</f>
        <v>A</v>
      </c>
      <c r="P21" s="854">
        <f>'VISITA DE INSP.'!AH24</f>
        <v>31</v>
      </c>
      <c r="Q21" s="854" t="str">
        <f>'VISITA DE INSP.'!C24</f>
        <v>A</v>
      </c>
      <c r="R21" s="854">
        <f>'VISITA DE INSP.'!AH24</f>
        <v>31</v>
      </c>
      <c r="S21" s="854" t="str">
        <f>'VISITA DE INSP.'!C24</f>
        <v>A</v>
      </c>
      <c r="T21" s="854">
        <f>'VISITA DE INSP.'!AH24</f>
        <v>31</v>
      </c>
      <c r="U21" s="854" t="str">
        <f>'VISITA DE INSP.'!C24</f>
        <v>A</v>
      </c>
      <c r="V21" s="854">
        <f>'VISITA DE INSP.'!AH24</f>
        <v>31</v>
      </c>
      <c r="W21" s="854" t="str">
        <f>'VISITA DE INSP.'!C24</f>
        <v>A</v>
      </c>
      <c r="X21" s="854">
        <f>'VISITA DE INSP.'!AH24</f>
        <v>31</v>
      </c>
      <c r="Y21" s="918" t="str">
        <f>'VISITA DE INSP.'!C24</f>
        <v>A</v>
      </c>
      <c r="Z21" s="4153" t="str">
        <f>'VISITA DE INSP.'!DN30</f>
        <v>DOCENTE</v>
      </c>
      <c r="AA21" s="4153"/>
      <c r="AB21" s="4153"/>
      <c r="AC21" s="1301" t="str">
        <f t="shared" si="0"/>
        <v>4ºA</v>
      </c>
      <c r="AD21" s="1302">
        <f t="shared" si="1"/>
        <v>31</v>
      </c>
      <c r="AE21" s="110">
        <f>'VISITA DE INSP.'!DP30</f>
        <v>10</v>
      </c>
      <c r="AI21" s="17" t="str">
        <f>CONCATENATE('VISITA DE INSP.'!B24,'VISITA DE INSP.'!C24)</f>
        <v>4ºA</v>
      </c>
      <c r="AJ21" s="16"/>
      <c r="AK21" s="1019">
        <f>'VISITA DE INSP.'!AH24</f>
        <v>31</v>
      </c>
      <c r="AL21" s="16"/>
    </row>
    <row r="22" spans="1:38" ht="18.75" customHeight="1">
      <c r="A22" s="59"/>
      <c r="B22" s="854">
        <v>9</v>
      </c>
      <c r="C22" s="1784" t="str">
        <f>'VISITA DE INSP.'!D25</f>
        <v>VIVEROS SALAZAR *NORA</v>
      </c>
      <c r="D22" s="1785"/>
      <c r="E22" s="63"/>
      <c r="F22" s="63"/>
      <c r="G22" s="63"/>
      <c r="H22" s="63"/>
      <c r="I22" s="850"/>
      <c r="J22" s="2568" t="str">
        <f>'VISITA DE INSP.'!DM31</f>
        <v>078312 E028100.0232459</v>
      </c>
      <c r="K22" s="971" t="str">
        <f>VLOOKUP(AE22,AF3:AG14,2,2)</f>
        <v>BASE</v>
      </c>
      <c r="L22" s="971" t="str">
        <f>VLOOKUP(AE22,AF3:AG14,2,2)</f>
        <v>BASE</v>
      </c>
      <c r="M22" s="971" t="str">
        <f>VLOOKUP(AE22,AF3:AG14,2,2)</f>
        <v>BASE</v>
      </c>
      <c r="N22" s="948">
        <f>'VISITA DE INSP.'!AH25</f>
        <v>29</v>
      </c>
      <c r="O22" s="854" t="str">
        <f>'VISITA DE INSP.'!C25</f>
        <v>B</v>
      </c>
      <c r="P22" s="854">
        <f>'VISITA DE INSP.'!AH25</f>
        <v>29</v>
      </c>
      <c r="Q22" s="854" t="str">
        <f>'VISITA DE INSP.'!C25</f>
        <v>B</v>
      </c>
      <c r="R22" s="854">
        <f>'VISITA DE INSP.'!AH25</f>
        <v>29</v>
      </c>
      <c r="S22" s="854" t="str">
        <f>'VISITA DE INSP.'!C25</f>
        <v>B</v>
      </c>
      <c r="T22" s="854">
        <f>'VISITA DE INSP.'!AH25</f>
        <v>29</v>
      </c>
      <c r="U22" s="854" t="str">
        <f>'VISITA DE INSP.'!C25</f>
        <v>B</v>
      </c>
      <c r="V22" s="854">
        <f>'VISITA DE INSP.'!AH25</f>
        <v>29</v>
      </c>
      <c r="W22" s="854" t="str">
        <f>'VISITA DE INSP.'!C25</f>
        <v>B</v>
      </c>
      <c r="X22" s="854">
        <f>'VISITA DE INSP.'!AH25</f>
        <v>29</v>
      </c>
      <c r="Y22" s="918" t="str">
        <f>'VISITA DE INSP.'!C25</f>
        <v>B</v>
      </c>
      <c r="Z22" s="4153" t="str">
        <f>'VISITA DE INSP.'!DN31</f>
        <v>DOCENTE</v>
      </c>
      <c r="AA22" s="4153"/>
      <c r="AB22" s="4153"/>
      <c r="AC22" s="1301" t="str">
        <f t="shared" si="0"/>
        <v>4ºB</v>
      </c>
      <c r="AD22" s="1302">
        <f t="shared" si="1"/>
        <v>29</v>
      </c>
      <c r="AE22" s="110">
        <f>'VISITA DE INSP.'!DP31</f>
        <v>10</v>
      </c>
      <c r="AI22" s="17" t="str">
        <f>CONCATENATE('VISITA DE INSP.'!B25,'VISITA DE INSP.'!C25)</f>
        <v>4ºB</v>
      </c>
      <c r="AJ22" s="16"/>
      <c r="AK22" s="1019">
        <f>'VISITA DE INSP.'!AH25</f>
        <v>29</v>
      </c>
      <c r="AL22" s="16"/>
    </row>
    <row r="23" spans="1:38" ht="18.75" customHeight="1">
      <c r="A23" s="59"/>
      <c r="B23" s="854">
        <v>10</v>
      </c>
      <c r="C23" s="1784" t="str">
        <f>'VISITA DE INSP.'!D26</f>
        <v>XIU VELAZQUEZ * JOSE MANUEL</v>
      </c>
      <c r="D23" s="1785"/>
      <c r="E23" s="63"/>
      <c r="F23" s="63"/>
      <c r="G23" s="63"/>
      <c r="H23" s="63"/>
      <c r="I23" s="850"/>
      <c r="J23" s="2568" t="str">
        <f>'VISITA DE INSP.'!DM32</f>
        <v>078312 E028100.0040223</v>
      </c>
      <c r="K23" s="971" t="str">
        <f>VLOOKUP(AE23,AF3:AG14,2,2)</f>
        <v>BASE</v>
      </c>
      <c r="L23" s="971" t="str">
        <f>VLOOKUP(AE23,AF3:AG14,2,2)</f>
        <v>BASE</v>
      </c>
      <c r="M23" s="971" t="str">
        <f>VLOOKUP(AE23,AF3:AG14,2,2)</f>
        <v>BASE</v>
      </c>
      <c r="N23" s="948">
        <f>'VISITA DE INSP.'!AH26</f>
        <v>27</v>
      </c>
      <c r="O23" s="854" t="str">
        <f>'VISITA DE INSP.'!C26</f>
        <v>A</v>
      </c>
      <c r="P23" s="854">
        <f>'VISITA DE INSP.'!AH26</f>
        <v>27</v>
      </c>
      <c r="Q23" s="854" t="str">
        <f>'VISITA DE INSP.'!C26</f>
        <v>A</v>
      </c>
      <c r="R23" s="854">
        <f>'VISITA DE INSP.'!AH26</f>
        <v>27</v>
      </c>
      <c r="S23" s="854" t="str">
        <f>'VISITA DE INSP.'!C26</f>
        <v>A</v>
      </c>
      <c r="T23" s="854">
        <f>'VISITA DE INSP.'!AH26</f>
        <v>27</v>
      </c>
      <c r="U23" s="854" t="str">
        <f>'VISITA DE INSP.'!C26</f>
        <v>A</v>
      </c>
      <c r="V23" s="854">
        <f>'VISITA DE INSP.'!AH26</f>
        <v>27</v>
      </c>
      <c r="W23" s="854" t="str">
        <f>'VISITA DE INSP.'!C26</f>
        <v>A</v>
      </c>
      <c r="X23" s="854">
        <f>'VISITA DE INSP.'!AH26</f>
        <v>27</v>
      </c>
      <c r="Y23" s="918" t="str">
        <f>'VISITA DE INSP.'!C26</f>
        <v>A</v>
      </c>
      <c r="Z23" s="4153" t="str">
        <f>'VISITA DE INSP.'!DN32</f>
        <v>DOCENTE</v>
      </c>
      <c r="AA23" s="4153"/>
      <c r="AB23" s="4153"/>
      <c r="AC23" s="1301" t="str">
        <f t="shared" si="0"/>
        <v>5ºA</v>
      </c>
      <c r="AD23" s="1302">
        <f t="shared" si="1"/>
        <v>27</v>
      </c>
      <c r="AE23" s="110">
        <f>'VISITA DE INSP.'!DP32</f>
        <v>10</v>
      </c>
      <c r="AI23" s="17" t="str">
        <f>CONCATENATE('VISITA DE INSP.'!B26,'VISITA DE INSP.'!C26)</f>
        <v>5ºA</v>
      </c>
      <c r="AJ23" s="16"/>
      <c r="AK23" s="1019">
        <f>'VISITA DE INSP.'!AH26</f>
        <v>27</v>
      </c>
      <c r="AL23" s="16"/>
    </row>
    <row r="24" spans="1:38" ht="18.75" customHeight="1">
      <c r="A24" s="59"/>
      <c r="B24" s="854">
        <v>11</v>
      </c>
      <c r="C24" s="1784" t="str">
        <f>'VISITA DE INSP.'!D27</f>
        <v>MARTIN QUINTAL * SIHARELI CONCEPCION</v>
      </c>
      <c r="D24" s="1785"/>
      <c r="E24" s="63"/>
      <c r="F24" s="63"/>
      <c r="G24" s="63"/>
      <c r="H24" s="63"/>
      <c r="I24" s="850"/>
      <c r="J24" s="2568" t="str">
        <f>'VISITA DE INSP.'!DM33</f>
        <v>078312E028100.0234567</v>
      </c>
      <c r="K24" s="971" t="str">
        <f>VLOOKUP(AE24,AF3:AG14,2,2)</f>
        <v>BASE</v>
      </c>
      <c r="L24" s="971" t="str">
        <f>VLOOKUP(AE24,AF3:AG14,2,2)</f>
        <v>BASE</v>
      </c>
      <c r="M24" s="971" t="str">
        <f>VLOOKUP(AE24,AF3:AG14,2,2)</f>
        <v>BASE</v>
      </c>
      <c r="N24" s="948">
        <f>'VISITA DE INSP.'!AH27</f>
        <v>26</v>
      </c>
      <c r="O24" s="854" t="str">
        <f>'VISITA DE INSP.'!C27</f>
        <v>B</v>
      </c>
      <c r="P24" s="854">
        <f>'VISITA DE INSP.'!AH27</f>
        <v>26</v>
      </c>
      <c r="Q24" s="854" t="str">
        <f>'VISITA DE INSP.'!C27</f>
        <v>B</v>
      </c>
      <c r="R24" s="854">
        <f>'VISITA DE INSP.'!AH27</f>
        <v>26</v>
      </c>
      <c r="S24" s="854" t="str">
        <f>'VISITA DE INSP.'!C27</f>
        <v>B</v>
      </c>
      <c r="T24" s="854">
        <f>'VISITA DE INSP.'!AH27</f>
        <v>26</v>
      </c>
      <c r="U24" s="854" t="str">
        <f>'VISITA DE INSP.'!C27</f>
        <v>B</v>
      </c>
      <c r="V24" s="854">
        <f>'VISITA DE INSP.'!AH27</f>
        <v>26</v>
      </c>
      <c r="W24" s="854" t="str">
        <f>'VISITA DE INSP.'!C27</f>
        <v>B</v>
      </c>
      <c r="X24" s="854">
        <f>'VISITA DE INSP.'!AH27</f>
        <v>26</v>
      </c>
      <c r="Y24" s="918" t="str">
        <f>'VISITA DE INSP.'!C27</f>
        <v>B</v>
      </c>
      <c r="Z24" s="4153" t="str">
        <f>'VISITA DE INSP.'!DN33</f>
        <v>DOCENTE</v>
      </c>
      <c r="AA24" s="4153"/>
      <c r="AB24" s="4153"/>
      <c r="AC24" s="1301" t="str">
        <f t="shared" si="0"/>
        <v>5ºB</v>
      </c>
      <c r="AD24" s="1302">
        <f t="shared" si="1"/>
        <v>26</v>
      </c>
      <c r="AE24" s="110">
        <f>'VISITA DE INSP.'!DP33</f>
        <v>10</v>
      </c>
      <c r="AI24" s="17" t="str">
        <f>CONCATENATE('VISITA DE INSP.'!B27,'VISITA DE INSP.'!C27)</f>
        <v>5ºB</v>
      </c>
      <c r="AJ24" s="16"/>
      <c r="AK24" s="1019">
        <f>'VISITA DE INSP.'!AH27</f>
        <v>26</v>
      </c>
      <c r="AL24" s="16"/>
    </row>
    <row r="25" spans="1:38" ht="18.75" customHeight="1">
      <c r="A25" s="59"/>
      <c r="B25" s="854">
        <v>12</v>
      </c>
      <c r="C25" s="1784" t="str">
        <f>'VISITA DE INSP.'!D28</f>
        <v>ALEMAN SANTOS * MIRIAM</v>
      </c>
      <c r="D25" s="1785"/>
      <c r="E25" s="63"/>
      <c r="F25" s="63"/>
      <c r="G25" s="63"/>
      <c r="H25" s="63"/>
      <c r="I25" s="850"/>
      <c r="J25" s="2568" t="str">
        <f>'VISITA DE INSP.'!DM34</f>
        <v>078312 E028100.0233330</v>
      </c>
      <c r="K25" s="971" t="str">
        <f>VLOOKUP(AE25,AF3:AG14,2,2)</f>
        <v>HONORARIO</v>
      </c>
      <c r="L25" s="971" t="str">
        <f>VLOOKUP(AE25,AF3:AG14,2,2)</f>
        <v>HONORARIO</v>
      </c>
      <c r="M25" s="971" t="str">
        <f>VLOOKUP(AE25,AF3:AG14,2,2)</f>
        <v>HONORARIO</v>
      </c>
      <c r="N25" s="948">
        <f>'VISITA DE INSP.'!AH28</f>
        <v>30</v>
      </c>
      <c r="O25" s="854" t="str">
        <f>'VISITA DE INSP.'!C28</f>
        <v>A</v>
      </c>
      <c r="P25" s="854">
        <f>'VISITA DE INSP.'!AH28</f>
        <v>30</v>
      </c>
      <c r="Q25" s="854" t="str">
        <f>'VISITA DE INSP.'!C28</f>
        <v>A</v>
      </c>
      <c r="R25" s="854">
        <f>'VISITA DE INSP.'!AH28</f>
        <v>30</v>
      </c>
      <c r="S25" s="854" t="str">
        <f>'VISITA DE INSP.'!C28</f>
        <v>A</v>
      </c>
      <c r="T25" s="854">
        <f>'VISITA DE INSP.'!AH28</f>
        <v>30</v>
      </c>
      <c r="U25" s="854" t="str">
        <f>'VISITA DE INSP.'!C28</f>
        <v>A</v>
      </c>
      <c r="V25" s="854">
        <f>'VISITA DE INSP.'!AH28</f>
        <v>30</v>
      </c>
      <c r="W25" s="854" t="str">
        <f>'VISITA DE INSP.'!C28</f>
        <v>A</v>
      </c>
      <c r="X25" s="854">
        <f>'VISITA DE INSP.'!AH28</f>
        <v>30</v>
      </c>
      <c r="Y25" s="918" t="str">
        <f>'VISITA DE INSP.'!C28</f>
        <v>A</v>
      </c>
      <c r="Z25" s="4153" t="str">
        <f>'VISITA DE INSP.'!DN34</f>
        <v>DOCENTE</v>
      </c>
      <c r="AA25" s="4153"/>
      <c r="AB25" s="4153"/>
      <c r="AC25" s="1301" t="str">
        <f t="shared" si="0"/>
        <v>6ºA</v>
      </c>
      <c r="AD25" s="1302">
        <f t="shared" si="1"/>
        <v>30</v>
      </c>
      <c r="AE25" s="110">
        <f>'VISITA DE INSP.'!DP34</f>
        <v>20</v>
      </c>
      <c r="AI25" s="17" t="str">
        <f>CONCATENATE('VISITA DE INSP.'!B28,'VISITA DE INSP.'!C28)</f>
        <v>6ºA</v>
      </c>
      <c r="AJ25" s="16"/>
      <c r="AK25" s="1019">
        <f>'VISITA DE INSP.'!AH28</f>
        <v>30</v>
      </c>
      <c r="AL25" s="16"/>
    </row>
    <row r="26" spans="1:38" ht="18.75" customHeight="1">
      <c r="A26" s="59"/>
      <c r="B26" s="854">
        <v>13</v>
      </c>
      <c r="C26" s="1784" t="str">
        <f>'VISITA DE INSP.'!D29</f>
        <v>CRUZ PEREZ * FRANCISCO</v>
      </c>
      <c r="D26" s="1785"/>
      <c r="E26" s="63"/>
      <c r="F26" s="63"/>
      <c r="G26" s="63"/>
      <c r="H26" s="63"/>
      <c r="I26" s="850"/>
      <c r="J26" s="2568" t="str">
        <f>'VISITA DE INSP.'!DM35</f>
        <v>078312 E028100.0233698</v>
      </c>
      <c r="K26" s="971" t="str">
        <f>VLOOKUP(AE26,AF3:AG14,2,2)</f>
        <v>BASE</v>
      </c>
      <c r="L26" s="971" t="str">
        <f>VLOOKUP(AE26,AF3:AG14,2,2)</f>
        <v>BASE</v>
      </c>
      <c r="M26" s="971" t="str">
        <f>VLOOKUP(AE26,AF3:AG14,2,2)</f>
        <v>BASE</v>
      </c>
      <c r="N26" s="948">
        <f>'VISITA DE INSP.'!AH29</f>
        <v>30</v>
      </c>
      <c r="O26" s="854" t="str">
        <f>'VISITA DE INSP.'!C29</f>
        <v>B</v>
      </c>
      <c r="P26" s="854">
        <f>'VISITA DE INSP.'!AH29</f>
        <v>30</v>
      </c>
      <c r="Q26" s="854" t="str">
        <f>'VISITA DE INSP.'!C29</f>
        <v>B</v>
      </c>
      <c r="R26" s="854">
        <f>'VISITA DE INSP.'!AH29</f>
        <v>30</v>
      </c>
      <c r="S26" s="854" t="str">
        <f>'VISITA DE INSP.'!C29</f>
        <v>B</v>
      </c>
      <c r="T26" s="854">
        <f>'VISITA DE INSP.'!AH29</f>
        <v>30</v>
      </c>
      <c r="U26" s="854" t="str">
        <f>'VISITA DE INSP.'!C29</f>
        <v>B</v>
      </c>
      <c r="V26" s="854">
        <f>'VISITA DE INSP.'!AH29</f>
        <v>30</v>
      </c>
      <c r="W26" s="854" t="str">
        <f>'VISITA DE INSP.'!C29</f>
        <v>B</v>
      </c>
      <c r="X26" s="854">
        <f>'VISITA DE INSP.'!AH29</f>
        <v>30</v>
      </c>
      <c r="Y26" s="918" t="str">
        <f>'VISITA DE INSP.'!C29</f>
        <v>B</v>
      </c>
      <c r="Z26" s="4153" t="str">
        <f>'VISITA DE INSP.'!DN35</f>
        <v>DOCENTE</v>
      </c>
      <c r="AA26" s="4153"/>
      <c r="AB26" s="4153"/>
      <c r="AC26" s="1301" t="str">
        <f t="shared" si="0"/>
        <v>6ºB</v>
      </c>
      <c r="AD26" s="1302">
        <f t="shared" si="1"/>
        <v>30</v>
      </c>
      <c r="AE26" s="110">
        <f>'VISITA DE INSP.'!DP35</f>
        <v>10</v>
      </c>
      <c r="AI26" s="17" t="str">
        <f>CONCATENATE('VISITA DE INSP.'!B29,'VISITA DE INSP.'!C29)</f>
        <v>6ºB</v>
      </c>
      <c r="AJ26" s="16"/>
      <c r="AK26" s="1019">
        <f>'VISITA DE INSP.'!AH29</f>
        <v>30</v>
      </c>
      <c r="AL26" s="16"/>
    </row>
    <row r="27" spans="1:38" ht="18.75" customHeight="1">
      <c r="A27" s="59"/>
      <c r="B27" s="854">
        <v>14</v>
      </c>
      <c r="C27" s="1784" t="str">
        <f>'VISITA DE INSP.'!D30</f>
        <v>GONGORA * TERESITA DEL CARMEN</v>
      </c>
      <c r="D27" s="1785"/>
      <c r="E27" s="63"/>
      <c r="F27" s="63"/>
      <c r="G27" s="63"/>
      <c r="H27" s="63"/>
      <c r="I27" s="850"/>
      <c r="J27" s="2568" t="str">
        <f>'VISITA DE INSP.'!DM36</f>
        <v>072303 S0180700.0300489</v>
      </c>
      <c r="K27" s="971" t="str">
        <f>VLOOKUP(AE27,AF3:AG14,2,2)</f>
        <v>BASE</v>
      </c>
      <c r="L27" s="971" t="str">
        <f>VLOOKUP(AE27,AF3:AG14,2,2)</f>
        <v>BASE</v>
      </c>
      <c r="M27" s="971" t="str">
        <f>VLOOKUP(AE27,AF3:AG14,2,2)</f>
        <v>BASE</v>
      </c>
      <c r="N27" s="948">
        <f>'VISITA DE INSP.'!AH30</f>
        <v>0</v>
      </c>
      <c r="O27" s="854">
        <f>'VISITA DE INSP.'!C30</f>
        <v>0</v>
      </c>
      <c r="P27" s="854">
        <f>'VISITA DE INSP.'!AH30</f>
        <v>0</v>
      </c>
      <c r="Q27" s="854">
        <f>'VISITA DE INSP.'!C30</f>
        <v>0</v>
      </c>
      <c r="R27" s="854">
        <f>'VISITA DE INSP.'!AH30</f>
        <v>0</v>
      </c>
      <c r="S27" s="854">
        <f>'VISITA DE INSP.'!C30</f>
        <v>0</v>
      </c>
      <c r="T27" s="854">
        <f>'VISITA DE INSP.'!AH30</f>
        <v>0</v>
      </c>
      <c r="U27" s="854">
        <f>'VISITA DE INSP.'!C30</f>
        <v>0</v>
      </c>
      <c r="V27" s="854">
        <f>'VISITA DE INSP.'!AH30</f>
        <v>0</v>
      </c>
      <c r="W27" s="854">
        <f>'VISITA DE INSP.'!C30</f>
        <v>0</v>
      </c>
      <c r="X27" s="854">
        <f>'VISITA DE INSP.'!AH30</f>
        <v>0</v>
      </c>
      <c r="Y27" s="918">
        <f>'VISITA DE INSP.'!C30</f>
        <v>0</v>
      </c>
      <c r="Z27" s="4153" t="str">
        <f>'VISITA DE INSP.'!DN36</f>
        <v>INTENDENTE</v>
      </c>
      <c r="AA27" s="4153"/>
      <c r="AB27" s="4153"/>
      <c r="AC27" s="1301" t="str">
        <f t="shared" si="0"/>
        <v>00</v>
      </c>
      <c r="AD27" s="1302">
        <f t="shared" si="1"/>
        <v>0</v>
      </c>
      <c r="AE27" s="110">
        <f>'VISITA DE INSP.'!DP36</f>
        <v>10</v>
      </c>
      <c r="AI27" s="17" t="str">
        <f>CONCATENATE('VISITA DE INSP.'!B30,'VISITA DE INSP.'!C30)</f>
        <v>00</v>
      </c>
      <c r="AJ27" s="16"/>
      <c r="AK27" s="1019">
        <f>'VISITA DE INSP.'!AH30</f>
        <v>0</v>
      </c>
      <c r="AL27" s="16"/>
    </row>
    <row r="28" spans="1:38" ht="18.75" customHeight="1">
      <c r="A28" s="59"/>
      <c r="B28" s="854">
        <v>15</v>
      </c>
      <c r="C28" s="1784" t="str">
        <f>'VISITA DE INSP.'!D31</f>
        <v>ARGUELLES GARCIA * MAYRA LUCELY</v>
      </c>
      <c r="D28" s="1785"/>
      <c r="E28" s="63"/>
      <c r="F28" s="63"/>
      <c r="G28" s="63"/>
      <c r="H28" s="63"/>
      <c r="I28" s="850"/>
      <c r="J28" s="2568" t="str">
        <f>'VISITA DE INSP.'!DM37</f>
        <v>074823 E076302.0230140</v>
      </c>
      <c r="K28" s="971" t="str">
        <f>VLOOKUP(AE28,AF3:AG14,2,2)</f>
        <v>BASE</v>
      </c>
      <c r="L28" s="971" t="str">
        <f>VLOOKUP(AE28,AF3:AG14,2,2)</f>
        <v>BASE</v>
      </c>
      <c r="M28" s="971" t="str">
        <f>VLOOKUP(AE28,AF3:AG14,2,2)</f>
        <v>BASE</v>
      </c>
      <c r="N28" s="948">
        <f>'VISITA DE INSP.'!AH31</f>
        <v>0</v>
      </c>
      <c r="O28" s="854">
        <f>'VISITA DE INSP.'!C31</f>
        <v>0</v>
      </c>
      <c r="P28" s="854">
        <f>'VISITA DE INSP.'!AH31</f>
        <v>0</v>
      </c>
      <c r="Q28" s="854">
        <f>'VISITA DE INSP.'!C31</f>
        <v>0</v>
      </c>
      <c r="R28" s="854">
        <f>'VISITA DE INSP.'!AH31</f>
        <v>0</v>
      </c>
      <c r="S28" s="854">
        <f>'VISITA DE INSP.'!C31</f>
        <v>0</v>
      </c>
      <c r="T28" s="854">
        <f>'VISITA DE INSP.'!AH31</f>
        <v>0</v>
      </c>
      <c r="U28" s="854">
        <f>'VISITA DE INSP.'!C31</f>
        <v>0</v>
      </c>
      <c r="V28" s="854">
        <f>'VISITA DE INSP.'!AH31</f>
        <v>0</v>
      </c>
      <c r="W28" s="854">
        <f>'VISITA DE INSP.'!C31</f>
        <v>0</v>
      </c>
      <c r="X28" s="854">
        <f>'VISITA DE INSP.'!AH31</f>
        <v>0</v>
      </c>
      <c r="Y28" s="918">
        <f>'VISITA DE INSP.'!C31</f>
        <v>0</v>
      </c>
      <c r="Z28" s="4153" t="str">
        <f>'VISITA DE INSP.'!DN37</f>
        <v>E. FISICA</v>
      </c>
      <c r="AA28" s="4153"/>
      <c r="AB28" s="4153"/>
      <c r="AC28" s="1301" t="str">
        <f t="shared" si="0"/>
        <v>00</v>
      </c>
      <c r="AD28" s="1302">
        <f t="shared" si="1"/>
        <v>0</v>
      </c>
      <c r="AE28" s="110">
        <f>'VISITA DE INSP.'!DP37</f>
        <v>10</v>
      </c>
      <c r="AI28" s="17" t="str">
        <f>CONCATENATE('VISITA DE INSP.'!B31,'VISITA DE INSP.'!C31)</f>
        <v>00</v>
      </c>
      <c r="AJ28" s="16"/>
      <c r="AK28" s="1019">
        <f>'VISITA DE INSP.'!AH31</f>
        <v>0</v>
      </c>
      <c r="AL28" s="16"/>
    </row>
    <row r="29" spans="1:38" ht="18.75" customHeight="1">
      <c r="A29" s="59"/>
      <c r="B29" s="854">
        <v>16</v>
      </c>
      <c r="C29" s="1784">
        <f>'VISITA DE INSP.'!D32</f>
        <v>0</v>
      </c>
      <c r="D29" s="1785"/>
      <c r="E29" s="63"/>
      <c r="F29" s="63"/>
      <c r="G29" s="63"/>
      <c r="H29" s="63"/>
      <c r="I29" s="850"/>
      <c r="J29" s="2568">
        <f>'VISITA DE INSP.'!DM38</f>
        <v>0</v>
      </c>
      <c r="K29" s="971">
        <f>VLOOKUP(AE29,AF3:AG14,2,2)</f>
        <v>0</v>
      </c>
      <c r="L29" s="971">
        <f>VLOOKUP(AE29,AF3:AG14,2,2)</f>
        <v>0</v>
      </c>
      <c r="M29" s="971">
        <f>VLOOKUP(AE29,AF3:AG14,2,2)</f>
        <v>0</v>
      </c>
      <c r="N29" s="948">
        <f>'VISITA DE INSP.'!AH32</f>
        <v>0</v>
      </c>
      <c r="O29" s="854">
        <f>'VISITA DE INSP.'!C32</f>
        <v>0</v>
      </c>
      <c r="P29" s="854">
        <f>'VISITA DE INSP.'!AH32</f>
        <v>0</v>
      </c>
      <c r="Q29" s="854">
        <f>'VISITA DE INSP.'!C32</f>
        <v>0</v>
      </c>
      <c r="R29" s="854">
        <f>'VISITA DE INSP.'!AH32</f>
        <v>0</v>
      </c>
      <c r="S29" s="854">
        <f>'VISITA DE INSP.'!C32</f>
        <v>0</v>
      </c>
      <c r="T29" s="854">
        <f>'VISITA DE INSP.'!AH32</f>
        <v>0</v>
      </c>
      <c r="U29" s="854">
        <f>'VISITA DE INSP.'!C32</f>
        <v>0</v>
      </c>
      <c r="V29" s="854">
        <f>'VISITA DE INSP.'!AH32</f>
        <v>0</v>
      </c>
      <c r="W29" s="854">
        <f>'VISITA DE INSP.'!C32</f>
        <v>0</v>
      </c>
      <c r="X29" s="854">
        <f>'VISITA DE INSP.'!AH32</f>
        <v>0</v>
      </c>
      <c r="Y29" s="918">
        <f>'VISITA DE INSP.'!C32</f>
        <v>0</v>
      </c>
      <c r="Z29" s="4153">
        <f>'VISITA DE INSP.'!DN38</f>
        <v>0</v>
      </c>
      <c r="AA29" s="4153"/>
      <c r="AB29" s="4153"/>
      <c r="AC29" s="1301" t="str">
        <f t="shared" si="0"/>
        <v>00</v>
      </c>
      <c r="AD29" s="1302">
        <f t="shared" si="1"/>
        <v>0</v>
      </c>
      <c r="AE29" s="110">
        <f>'VISITA DE INSP.'!DP38</f>
        <v>0</v>
      </c>
      <c r="AI29" s="17" t="str">
        <f>CONCATENATE('VISITA DE INSP.'!B32,'VISITA DE INSP.'!C32)</f>
        <v>00</v>
      </c>
      <c r="AJ29" s="16"/>
      <c r="AK29" s="1019">
        <f>'VISITA DE INSP.'!AH32</f>
        <v>0</v>
      </c>
      <c r="AL29" s="16"/>
    </row>
    <row r="30" spans="1:38" ht="18.75" customHeight="1">
      <c r="A30" s="59"/>
      <c r="B30" s="854">
        <v>17</v>
      </c>
      <c r="C30" s="1053">
        <f>'VISITA DE INSP.'!D33</f>
        <v>0</v>
      </c>
      <c r="D30" s="63"/>
      <c r="E30" s="63"/>
      <c r="F30" s="63"/>
      <c r="G30" s="63"/>
      <c r="H30" s="63"/>
      <c r="I30" s="850"/>
      <c r="J30" s="852">
        <f>'VISITA DE INSP.'!DM39</f>
        <v>0</v>
      </c>
      <c r="K30" s="971">
        <f>VLOOKUP(AE30,AF3:AG14,2,2)</f>
        <v>0</v>
      </c>
      <c r="L30" s="971">
        <f>VLOOKUP(AE30,AF3:AG14,2,2)</f>
        <v>0</v>
      </c>
      <c r="M30" s="1046">
        <f>VLOOKUP(AE30,AF3:AG14,2,2)</f>
        <v>0</v>
      </c>
      <c r="N30" s="949">
        <f>'VISITA DE INSP.'!AH33</f>
        <v>0</v>
      </c>
      <c r="O30" s="853">
        <f>'VISITA DE INSP.'!C33</f>
        <v>0</v>
      </c>
      <c r="P30" s="853">
        <f>'VISITA DE INSP.'!AH33</f>
        <v>0</v>
      </c>
      <c r="Q30" s="853">
        <f>'VISITA DE INSP.'!C33</f>
        <v>0</v>
      </c>
      <c r="R30" s="853">
        <f>'VISITA DE INSP.'!AH33</f>
        <v>0</v>
      </c>
      <c r="S30" s="853">
        <f>'VISITA DE INSP.'!C33</f>
        <v>0</v>
      </c>
      <c r="T30" s="853">
        <f>'VISITA DE INSP.'!AH33</f>
        <v>0</v>
      </c>
      <c r="U30" s="853">
        <f>'VISITA DE INSP.'!C33</f>
        <v>0</v>
      </c>
      <c r="V30" s="853">
        <f>'VISITA DE INSP.'!AH33</f>
        <v>0</v>
      </c>
      <c r="W30" s="853">
        <f>'VISITA DE INSP.'!C33</f>
        <v>0</v>
      </c>
      <c r="X30" s="853">
        <f>'VISITA DE INSP.'!AH33</f>
        <v>0</v>
      </c>
      <c r="Y30" s="919">
        <f>'VISITA DE INSP.'!C33</f>
        <v>0</v>
      </c>
      <c r="Z30" s="4150">
        <f>'VISITA DE INSP.'!DN39</f>
        <v>0</v>
      </c>
      <c r="AA30" s="4150"/>
      <c r="AB30" s="4150"/>
      <c r="AC30" s="1301" t="str">
        <f t="shared" si="0"/>
        <v>00</v>
      </c>
      <c r="AD30" s="1302">
        <f t="shared" si="1"/>
        <v>0</v>
      </c>
      <c r="AE30" s="110">
        <f>'VISITA DE INSP.'!DP39</f>
        <v>0</v>
      </c>
      <c r="AI30" s="17" t="str">
        <f>CONCATENATE('VISITA DE INSP.'!B33,'VISITA DE INSP.'!C33)</f>
        <v>00</v>
      </c>
      <c r="AJ30" s="16"/>
      <c r="AK30" s="1019">
        <f>'VISITA DE INSP.'!AH33</f>
        <v>0</v>
      </c>
      <c r="AL30" s="16"/>
    </row>
    <row r="31" spans="1:38" ht="18.75" customHeight="1">
      <c r="A31" s="59"/>
      <c r="B31" s="854">
        <v>18</v>
      </c>
      <c r="C31" s="1053" t="str">
        <f>'VISITA DE INSP.'!D34</f>
        <v>GARDUÑO CASTILLO * MERLI ROCIO</v>
      </c>
      <c r="D31" s="63"/>
      <c r="E31" s="63"/>
      <c r="F31" s="63"/>
      <c r="G31" s="63"/>
      <c r="H31" s="63"/>
      <c r="I31" s="850"/>
      <c r="J31" s="852">
        <f>'VISITA DE INSP.'!DM40</f>
        <v>0</v>
      </c>
      <c r="K31" s="971">
        <f>VLOOKUP(AE31,AF3:AG14,2,2)</f>
        <v>0</v>
      </c>
      <c r="L31" s="971">
        <f>VLOOKUP(AE31,AF3:AG14,2,2)</f>
        <v>0</v>
      </c>
      <c r="M31" s="1046">
        <f>VLOOKUP(AE31,AF3:AG14,2,2)</f>
        <v>0</v>
      </c>
      <c r="N31" s="949">
        <f>'VISITA DE INSP.'!AH34</f>
        <v>0</v>
      </c>
      <c r="O31" s="853">
        <f>'VISITA DE INSP.'!C34</f>
        <v>0</v>
      </c>
      <c r="P31" s="853">
        <f>'VISITA DE INSP.'!AH34</f>
        <v>0</v>
      </c>
      <c r="Q31" s="853">
        <f>'VISITA DE INSP.'!C34</f>
        <v>0</v>
      </c>
      <c r="R31" s="853">
        <f>'VISITA DE INSP.'!AH34</f>
        <v>0</v>
      </c>
      <c r="S31" s="853">
        <f>'VISITA DE INSP.'!C34</f>
        <v>0</v>
      </c>
      <c r="T31" s="853">
        <f>'VISITA DE INSP.'!AH34</f>
        <v>0</v>
      </c>
      <c r="U31" s="853">
        <f>'VISITA DE INSP.'!C34</f>
        <v>0</v>
      </c>
      <c r="V31" s="853">
        <f>'VISITA DE INSP.'!AH34</f>
        <v>0</v>
      </c>
      <c r="W31" s="853">
        <f>'VISITA DE INSP.'!C34</f>
        <v>0</v>
      </c>
      <c r="X31" s="853">
        <f>'VISITA DE INSP.'!AH34</f>
        <v>0</v>
      </c>
      <c r="Y31" s="919">
        <f>'VISITA DE INSP.'!C34</f>
        <v>0</v>
      </c>
      <c r="Z31" s="4150">
        <f>'VISITA DE INSP.'!DN40</f>
        <v>0</v>
      </c>
      <c r="AA31" s="4150"/>
      <c r="AB31" s="4150"/>
      <c r="AC31" s="1301" t="str">
        <f t="shared" si="0"/>
        <v>00</v>
      </c>
      <c r="AD31" s="1302">
        <f t="shared" si="1"/>
        <v>0</v>
      </c>
      <c r="AE31" s="110">
        <f>'VISITA DE INSP.'!DP40</f>
        <v>0</v>
      </c>
      <c r="AI31" s="17" t="str">
        <f>CONCATENATE('VISITA DE INSP.'!B34,'VISITA DE INSP.'!C34)</f>
        <v>00</v>
      </c>
      <c r="AJ31" s="16"/>
      <c r="AK31" s="1019">
        <f>'VISITA DE INSP.'!AH34</f>
        <v>0</v>
      </c>
      <c r="AL31" s="16"/>
    </row>
    <row r="32" spans="1:38" ht="18.75" customHeight="1">
      <c r="A32" s="59"/>
      <c r="B32" s="854">
        <v>19</v>
      </c>
      <c r="C32" s="1053" t="str">
        <f>'VISITA DE INSP.'!D35</f>
        <v>POOT QUEB *LUIS ARMANDO</v>
      </c>
      <c r="D32" s="63"/>
      <c r="E32" s="63"/>
      <c r="F32" s="63"/>
      <c r="G32" s="63"/>
      <c r="H32" s="63"/>
      <c r="I32" s="850"/>
      <c r="J32" s="852">
        <f>'VISITA DE INSP.'!DM41</f>
        <v>0</v>
      </c>
      <c r="K32" s="971">
        <f>VLOOKUP(AE32,AF3:AG14,2,2)</f>
        <v>0</v>
      </c>
      <c r="L32" s="971">
        <f>VLOOKUP(AE32,AF3:AG14,2,2)</f>
        <v>0</v>
      </c>
      <c r="M32" s="1046">
        <f>VLOOKUP(AE32,AF3:AG14,2,2)</f>
        <v>0</v>
      </c>
      <c r="N32" s="949">
        <f>'VISITA DE INSP.'!AH35</f>
        <v>0</v>
      </c>
      <c r="O32" s="853">
        <f>'VISITA DE INSP.'!C35</f>
        <v>0</v>
      </c>
      <c r="P32" s="853">
        <f>'VISITA DE INSP.'!AH35</f>
        <v>0</v>
      </c>
      <c r="Q32" s="853">
        <f>'VISITA DE INSP.'!C35</f>
        <v>0</v>
      </c>
      <c r="R32" s="853">
        <f>'VISITA DE INSP.'!AH35</f>
        <v>0</v>
      </c>
      <c r="S32" s="853">
        <f>'VISITA DE INSP.'!C35</f>
        <v>0</v>
      </c>
      <c r="T32" s="853">
        <f>'VISITA DE INSP.'!AH35</f>
        <v>0</v>
      </c>
      <c r="U32" s="853">
        <f>'VISITA DE INSP.'!C35</f>
        <v>0</v>
      </c>
      <c r="V32" s="853">
        <f>'VISITA DE INSP.'!AH35</f>
        <v>0</v>
      </c>
      <c r="W32" s="853">
        <f>'VISITA DE INSP.'!C35</f>
        <v>0</v>
      </c>
      <c r="X32" s="853">
        <f>'VISITA DE INSP.'!AH35</f>
        <v>0</v>
      </c>
      <c r="Y32" s="919">
        <f>'VISITA DE INSP.'!C35</f>
        <v>0</v>
      </c>
      <c r="Z32" s="4150">
        <f>'VISITA DE INSP.'!DN41</f>
        <v>0</v>
      </c>
      <c r="AA32" s="4150"/>
      <c r="AB32" s="4150"/>
      <c r="AC32" s="1301" t="str">
        <f t="shared" si="0"/>
        <v>00</v>
      </c>
      <c r="AD32" s="1302">
        <f t="shared" si="1"/>
        <v>0</v>
      </c>
      <c r="AE32" s="110">
        <f>'VISITA DE INSP.'!DP41</f>
        <v>0</v>
      </c>
      <c r="AI32" s="17" t="str">
        <f>CONCATENATE('VISITA DE INSP.'!B35,'VISITA DE INSP.'!C35)</f>
        <v>00</v>
      </c>
      <c r="AJ32" s="16"/>
      <c r="AK32" s="1019">
        <f>'VISITA DE INSP.'!AH35</f>
        <v>0</v>
      </c>
      <c r="AL32" s="16"/>
    </row>
    <row r="33" spans="1:38" ht="18.75" customHeight="1" thickBot="1">
      <c r="A33" s="59"/>
      <c r="B33" s="854">
        <v>20</v>
      </c>
      <c r="C33" s="1054">
        <f>'VISITA DE INSP.'!D36</f>
        <v>0</v>
      </c>
      <c r="D33" s="63"/>
      <c r="E33" s="63"/>
      <c r="F33" s="63"/>
      <c r="G33" s="63"/>
      <c r="H33" s="63"/>
      <c r="I33" s="1047"/>
      <c r="J33" s="852">
        <f>'VISITA DE INSP.'!DM42</f>
        <v>0</v>
      </c>
      <c r="K33" s="971">
        <f>VLOOKUP(AE33,AF3:AG14,2,2)</f>
        <v>0</v>
      </c>
      <c r="L33" s="971">
        <f>VLOOKUP(AE33,AF3:AG14,2,2)</f>
        <v>0</v>
      </c>
      <c r="M33" s="1046">
        <f>VLOOKUP(AE33,AF3:AG14,2,2)</f>
        <v>0</v>
      </c>
      <c r="N33" s="950">
        <f>'VISITA DE INSP.'!AH36</f>
        <v>0</v>
      </c>
      <c r="O33" s="921">
        <f>'VISITA DE INSP.'!C36</f>
        <v>0</v>
      </c>
      <c r="P33" s="921">
        <f>'VISITA DE INSP.'!AH36</f>
        <v>0</v>
      </c>
      <c r="Q33" s="921">
        <f>'VISITA DE INSP.'!C36</f>
        <v>0</v>
      </c>
      <c r="R33" s="921">
        <f>'VISITA DE INSP.'!AH36</f>
        <v>0</v>
      </c>
      <c r="S33" s="921">
        <f>'VISITA DE INSP.'!C36</f>
        <v>0</v>
      </c>
      <c r="T33" s="921">
        <f>'VISITA DE INSP.'!AH36</f>
        <v>0</v>
      </c>
      <c r="U33" s="921">
        <f>'VISITA DE INSP.'!C36</f>
        <v>0</v>
      </c>
      <c r="V33" s="921">
        <f>'VISITA DE INSP.'!AH36</f>
        <v>0</v>
      </c>
      <c r="W33" s="921">
        <f>'VISITA DE INSP.'!C36</f>
        <v>0</v>
      </c>
      <c r="X33" s="921">
        <f>'VISITA DE INSP.'!AH36</f>
        <v>0</v>
      </c>
      <c r="Y33" s="922">
        <f>'VISITA DE INSP.'!C36</f>
        <v>0</v>
      </c>
      <c r="Z33" s="4150">
        <f>'VISITA DE INSP.'!DN42</f>
        <v>0</v>
      </c>
      <c r="AA33" s="4150"/>
      <c r="AB33" s="4150"/>
      <c r="AC33" s="1301" t="str">
        <f>AI33</f>
        <v>00</v>
      </c>
      <c r="AD33" s="1302">
        <f>AK33</f>
        <v>0</v>
      </c>
      <c r="AE33" s="110">
        <f>'VISITA DE INSP.'!DP42</f>
        <v>0</v>
      </c>
      <c r="AI33" s="17" t="str">
        <f>CONCATENATE('VISITA DE INSP.'!B36,'VISITA DE INSP.'!C36)</f>
        <v>00</v>
      </c>
      <c r="AJ33" s="16"/>
      <c r="AK33" s="1019">
        <f>'VISITA DE INSP.'!AH36</f>
        <v>0</v>
      </c>
      <c r="AL33" s="16"/>
    </row>
    <row r="34" spans="1:38" ht="12" hidden="1" customHeight="1">
      <c r="A34" s="59"/>
      <c r="B34" s="64"/>
      <c r="C34" s="920"/>
      <c r="D34" s="65"/>
      <c r="E34" s="65"/>
      <c r="F34" s="65"/>
      <c r="G34" s="65"/>
      <c r="H34" s="65"/>
      <c r="I34" s="849"/>
      <c r="J34" s="914"/>
      <c r="K34" s="914"/>
      <c r="L34" s="914"/>
      <c r="M34" s="915"/>
      <c r="N34" s="916"/>
      <c r="O34" s="916"/>
      <c r="P34" s="916"/>
      <c r="Q34" s="916"/>
      <c r="R34" s="916"/>
      <c r="S34" s="916"/>
      <c r="T34" s="915">
        <f>'VISITA DE INSP.'!AH37</f>
        <v>350</v>
      </c>
      <c r="U34" s="916"/>
      <c r="V34" s="916"/>
      <c r="W34" s="916"/>
      <c r="X34" s="916"/>
      <c r="Y34" s="916"/>
      <c r="Z34" s="4064"/>
      <c r="AA34" s="4065"/>
      <c r="AB34" s="4144"/>
      <c r="AC34" s="847"/>
      <c r="AD34" s="913"/>
      <c r="AE34" s="110"/>
      <c r="AJ34" s="16"/>
      <c r="AK34" s="16"/>
      <c r="AL34" s="16"/>
    </row>
    <row r="35" spans="1:38" ht="12" hidden="1" customHeight="1">
      <c r="A35" s="59"/>
      <c r="B35" s="61"/>
      <c r="C35" s="62"/>
      <c r="D35" s="63"/>
      <c r="E35" s="63"/>
      <c r="F35" s="63"/>
      <c r="G35" s="63"/>
      <c r="H35" s="63"/>
      <c r="I35" s="850"/>
      <c r="J35" s="852"/>
      <c r="K35" s="852"/>
      <c r="L35" s="852"/>
      <c r="M35" s="853"/>
      <c r="N35" s="854"/>
      <c r="O35" s="854"/>
      <c r="P35" s="854"/>
      <c r="Q35" s="854"/>
      <c r="R35" s="854"/>
      <c r="S35" s="854"/>
      <c r="T35" s="853" t="str">
        <f>'VISITA DE INSP.'!AD38</f>
        <v>2º</v>
      </c>
      <c r="U35" s="854"/>
      <c r="V35" s="854"/>
      <c r="W35" s="854"/>
      <c r="X35" s="854"/>
      <c r="Y35" s="854"/>
      <c r="Z35" s="4067"/>
      <c r="AA35" s="4068"/>
      <c r="AB35" s="4002"/>
      <c r="AC35" s="847"/>
      <c r="AD35" s="60"/>
      <c r="AE35" s="110"/>
      <c r="AJ35" s="16"/>
      <c r="AK35" s="16"/>
      <c r="AL35" s="16"/>
    </row>
    <row r="36" spans="1:38" ht="12" hidden="1" customHeight="1">
      <c r="A36" s="59"/>
      <c r="B36" s="61"/>
      <c r="C36" s="62"/>
      <c r="D36" s="63"/>
      <c r="E36" s="63"/>
      <c r="F36" s="63"/>
      <c r="G36" s="63"/>
      <c r="H36" s="63"/>
      <c r="I36" s="850"/>
      <c r="J36" s="852"/>
      <c r="K36" s="852"/>
      <c r="L36" s="852"/>
      <c r="M36" s="853"/>
      <c r="N36" s="854"/>
      <c r="O36" s="854"/>
      <c r="P36" s="854"/>
      <c r="Q36" s="854"/>
      <c r="R36" s="854"/>
      <c r="S36" s="854"/>
      <c r="T36" s="853">
        <f>'VISITA DE INSP.'!AD39</f>
        <v>2</v>
      </c>
      <c r="U36" s="854"/>
      <c r="V36" s="854"/>
      <c r="W36" s="854"/>
      <c r="X36" s="853"/>
      <c r="Y36" s="853"/>
      <c r="Z36" s="4067"/>
      <c r="AA36" s="4068"/>
      <c r="AB36" s="4002"/>
      <c r="AC36" s="847"/>
      <c r="AD36" s="60"/>
      <c r="AE36" s="110">
        <v>17</v>
      </c>
      <c r="AJ36" s="16"/>
      <c r="AK36" s="16"/>
      <c r="AL36" s="16"/>
    </row>
    <row r="37" spans="1:38" ht="12" hidden="1" customHeight="1">
      <c r="A37" s="59"/>
      <c r="B37" s="61"/>
      <c r="C37" s="62"/>
      <c r="D37" s="63"/>
      <c r="E37" s="63"/>
      <c r="F37" s="63"/>
      <c r="G37" s="63"/>
      <c r="H37" s="63"/>
      <c r="I37" s="850"/>
      <c r="J37" s="852"/>
      <c r="K37" s="852"/>
      <c r="L37" s="852"/>
      <c r="M37" s="853"/>
      <c r="N37" s="854"/>
      <c r="O37" s="854"/>
      <c r="P37" s="854"/>
      <c r="Q37" s="854"/>
      <c r="R37" s="854"/>
      <c r="S37" s="854"/>
      <c r="T37" s="853">
        <f>'VISITA DE INSP.'!AD40</f>
        <v>0</v>
      </c>
      <c r="U37" s="854"/>
      <c r="V37" s="854"/>
      <c r="W37" s="854"/>
      <c r="X37" s="853"/>
      <c r="Y37" s="853"/>
      <c r="Z37" s="4067"/>
      <c r="AA37" s="4068"/>
      <c r="AB37" s="4002"/>
      <c r="AC37" s="847"/>
      <c r="AD37" s="60"/>
      <c r="AE37" s="110"/>
      <c r="AJ37" s="16"/>
      <c r="AK37" s="16"/>
      <c r="AL37" s="16"/>
    </row>
    <row r="38" spans="1:38" ht="12" hidden="1" customHeight="1">
      <c r="A38" s="59"/>
      <c r="B38" s="61"/>
      <c r="C38" s="62"/>
      <c r="D38" s="63"/>
      <c r="E38" s="63"/>
      <c r="F38" s="63"/>
      <c r="G38" s="63"/>
      <c r="H38" s="63"/>
      <c r="I38" s="850"/>
      <c r="J38" s="852"/>
      <c r="K38" s="852"/>
      <c r="L38" s="852"/>
      <c r="M38" s="855"/>
      <c r="N38" s="854"/>
      <c r="O38" s="854"/>
      <c r="P38" s="854"/>
      <c r="Q38" s="854"/>
      <c r="R38" s="854"/>
      <c r="S38" s="854"/>
      <c r="T38" s="853">
        <f>'VISITA DE INSP.'!AD41</f>
        <v>0</v>
      </c>
      <c r="U38" s="854"/>
      <c r="V38" s="854"/>
      <c r="W38" s="854"/>
      <c r="X38" s="854"/>
      <c r="Y38" s="854"/>
      <c r="Z38" s="4067"/>
      <c r="AA38" s="4068"/>
      <c r="AB38" s="4002"/>
      <c r="AC38" s="847"/>
      <c r="AD38" s="60"/>
      <c r="AE38" s="110"/>
      <c r="AJ38" s="16"/>
      <c r="AK38" s="16"/>
      <c r="AL38" s="16"/>
    </row>
    <row r="39" spans="1:38" ht="12" hidden="1" customHeight="1">
      <c r="A39" s="59"/>
      <c r="B39" s="61"/>
      <c r="C39" s="62"/>
      <c r="D39" s="63"/>
      <c r="E39" s="63"/>
      <c r="F39" s="63"/>
      <c r="G39" s="63"/>
      <c r="H39" s="63"/>
      <c r="I39" s="850"/>
      <c r="J39" s="852"/>
      <c r="K39" s="852"/>
      <c r="L39" s="852"/>
      <c r="M39" s="855"/>
      <c r="N39" s="854"/>
      <c r="O39" s="854"/>
      <c r="P39" s="854"/>
      <c r="Q39" s="854"/>
      <c r="R39" s="854"/>
      <c r="S39" s="854"/>
      <c r="T39" s="853">
        <f>'VISITA DE INSP.'!AD42</f>
        <v>0</v>
      </c>
      <c r="U39" s="854"/>
      <c r="V39" s="854"/>
      <c r="W39" s="854"/>
      <c r="X39" s="854"/>
      <c r="Y39" s="854"/>
      <c r="Z39" s="4067"/>
      <c r="AA39" s="4068"/>
      <c r="AB39" s="4002"/>
      <c r="AC39" s="847"/>
      <c r="AD39" s="60"/>
      <c r="AE39" s="110"/>
      <c r="AJ39" s="16"/>
      <c r="AK39" s="16"/>
      <c r="AL39" s="16"/>
    </row>
    <row r="40" spans="1:38" ht="12" hidden="1" customHeight="1">
      <c r="A40" s="59"/>
      <c r="B40" s="64"/>
      <c r="C40" s="62"/>
      <c r="D40" s="63"/>
      <c r="E40" s="63"/>
      <c r="F40" s="63"/>
      <c r="G40" s="63"/>
      <c r="H40" s="63"/>
      <c r="I40" s="850"/>
      <c r="J40" s="852"/>
      <c r="K40" s="852"/>
      <c r="L40" s="852"/>
      <c r="M40" s="853"/>
      <c r="N40" s="854"/>
      <c r="O40" s="854"/>
      <c r="P40" s="854"/>
      <c r="Q40" s="854"/>
      <c r="R40" s="854"/>
      <c r="S40" s="854"/>
      <c r="T40" s="853">
        <f>'VISITA DE INSP.'!AD43</f>
        <v>21</v>
      </c>
      <c r="U40" s="854"/>
      <c r="V40" s="854"/>
      <c r="W40" s="854"/>
      <c r="X40" s="854"/>
      <c r="Y40" s="854"/>
      <c r="Z40" s="4064"/>
      <c r="AA40" s="4065"/>
      <c r="AB40" s="4144"/>
      <c r="AC40" s="847"/>
      <c r="AD40" s="60"/>
      <c r="AE40" s="110"/>
      <c r="AJ40" s="16"/>
      <c r="AK40" s="16"/>
      <c r="AL40" s="16"/>
    </row>
    <row r="41" spans="1:38" ht="12" hidden="1" customHeight="1">
      <c r="A41" s="59"/>
      <c r="B41" s="64"/>
      <c r="C41" s="62"/>
      <c r="D41" s="63"/>
      <c r="E41" s="63"/>
      <c r="F41" s="63"/>
      <c r="G41" s="63"/>
      <c r="H41" s="63"/>
      <c r="I41" s="850"/>
      <c r="J41" s="852"/>
      <c r="K41" s="852"/>
      <c r="L41" s="852"/>
      <c r="M41" s="853"/>
      <c r="N41" s="854"/>
      <c r="O41" s="854"/>
      <c r="P41" s="854"/>
      <c r="Q41" s="854"/>
      <c r="R41" s="854"/>
      <c r="S41" s="854"/>
      <c r="T41" s="853" t="str">
        <f>'VISITA DE INSP.'!AD45</f>
        <v>EVA-COMP-LECT</v>
      </c>
      <c r="U41" s="854"/>
      <c r="V41" s="854"/>
      <c r="W41" s="854"/>
      <c r="X41" s="854"/>
      <c r="Y41" s="854"/>
      <c r="Z41" s="4064"/>
      <c r="AA41" s="4065"/>
      <c r="AB41" s="4144"/>
      <c r="AC41" s="847"/>
      <c r="AD41" s="60"/>
      <c r="AE41" s="110"/>
      <c r="AJ41" s="16"/>
      <c r="AK41" s="16"/>
      <c r="AL41" s="16"/>
    </row>
    <row r="42" spans="1:38" ht="12" hidden="1" customHeight="1">
      <c r="A42" s="59"/>
      <c r="B42" s="64"/>
      <c r="C42" s="62"/>
      <c r="D42" s="63"/>
      <c r="E42" s="63"/>
      <c r="F42" s="63"/>
      <c r="G42" s="63"/>
      <c r="H42" s="63"/>
      <c r="I42" s="850"/>
      <c r="J42" s="852"/>
      <c r="K42" s="852"/>
      <c r="L42" s="852"/>
      <c r="M42" s="853"/>
      <c r="N42" s="853"/>
      <c r="O42" s="853"/>
      <c r="P42" s="853"/>
      <c r="Q42" s="853"/>
      <c r="R42" s="853"/>
      <c r="S42" s="853"/>
      <c r="T42" s="853" t="e">
        <f>'VISITA DE INSP.'!#REF!</f>
        <v>#REF!</v>
      </c>
      <c r="U42" s="853"/>
      <c r="V42" s="853"/>
      <c r="W42" s="853"/>
      <c r="X42" s="853"/>
      <c r="Y42" s="853"/>
      <c r="Z42" s="4064"/>
      <c r="AA42" s="4065"/>
      <c r="AB42" s="4144"/>
      <c r="AC42" s="847"/>
      <c r="AD42" s="60"/>
      <c r="AE42" s="110"/>
      <c r="AJ42" s="16"/>
      <c r="AK42" s="16"/>
      <c r="AL42" s="16"/>
    </row>
    <row r="43" spans="1:38" ht="12" hidden="1" customHeight="1">
      <c r="A43" s="59"/>
      <c r="B43" s="64"/>
      <c r="C43" s="62"/>
      <c r="D43" s="63"/>
      <c r="E43" s="63"/>
      <c r="F43" s="63"/>
      <c r="G43" s="63"/>
      <c r="H43" s="63"/>
      <c r="I43" s="850"/>
      <c r="J43" s="852"/>
      <c r="K43" s="852"/>
      <c r="L43" s="852"/>
      <c r="M43" s="853"/>
      <c r="N43" s="853"/>
      <c r="O43" s="853"/>
      <c r="P43" s="853"/>
      <c r="Q43" s="853"/>
      <c r="R43" s="853"/>
      <c r="S43" s="853"/>
      <c r="T43" s="853">
        <f>'VISITA DE INSP.'!AD46</f>
        <v>0</v>
      </c>
      <c r="U43" s="853"/>
      <c r="V43" s="853"/>
      <c r="W43" s="853"/>
      <c r="X43" s="853"/>
      <c r="Y43" s="853"/>
      <c r="Z43" s="4064"/>
      <c r="AA43" s="4065"/>
      <c r="AB43" s="4144"/>
      <c r="AC43" s="847"/>
      <c r="AD43" s="60"/>
      <c r="AE43" s="110"/>
      <c r="AJ43" s="16"/>
      <c r="AK43" s="16"/>
      <c r="AL43" s="16"/>
    </row>
    <row r="44" spans="1:38" ht="12" hidden="1" customHeight="1">
      <c r="A44" s="59"/>
      <c r="B44" s="64"/>
      <c r="C44" s="62"/>
      <c r="D44" s="63"/>
      <c r="E44" s="63"/>
      <c r="F44" s="63"/>
      <c r="G44" s="63"/>
      <c r="H44" s="63"/>
      <c r="I44" s="850"/>
      <c r="J44" s="852"/>
      <c r="K44" s="852"/>
      <c r="L44" s="852"/>
      <c r="M44" s="853"/>
      <c r="N44" s="853"/>
      <c r="O44" s="853"/>
      <c r="P44" s="853"/>
      <c r="Q44" s="853"/>
      <c r="R44" s="853"/>
      <c r="S44" s="853"/>
      <c r="T44" s="853">
        <f>'VISITA DE INSP.'!AD47</f>
        <v>0</v>
      </c>
      <c r="U44" s="853"/>
      <c r="V44" s="853"/>
      <c r="W44" s="853"/>
      <c r="X44" s="853"/>
      <c r="Y44" s="853"/>
      <c r="Z44" s="4064"/>
      <c r="AA44" s="4065"/>
      <c r="AB44" s="4144"/>
      <c r="AC44" s="847"/>
      <c r="AD44" s="60"/>
      <c r="AE44" s="110"/>
      <c r="AJ44" s="16"/>
      <c r="AK44" s="16"/>
      <c r="AL44" s="16"/>
    </row>
    <row r="45" spans="1:38" ht="12" hidden="1" customHeight="1">
      <c r="A45" s="59"/>
      <c r="B45" s="64"/>
      <c r="C45" s="62"/>
      <c r="D45" s="63"/>
      <c r="E45" s="63"/>
      <c r="F45" s="63"/>
      <c r="G45" s="63"/>
      <c r="H45" s="63"/>
      <c r="I45" s="850"/>
      <c r="J45" s="853"/>
      <c r="K45" s="853"/>
      <c r="L45" s="853"/>
      <c r="M45" s="853"/>
      <c r="N45" s="853"/>
      <c r="O45" s="853"/>
      <c r="P45" s="853"/>
      <c r="Q45" s="853"/>
      <c r="R45" s="853"/>
      <c r="S45" s="853"/>
      <c r="T45" s="853">
        <f>'VISITA DE INSP.'!AD48</f>
        <v>0</v>
      </c>
      <c r="U45" s="853"/>
      <c r="V45" s="853"/>
      <c r="W45" s="853"/>
      <c r="X45" s="853"/>
      <c r="Y45" s="853"/>
      <c r="Z45" s="4064"/>
      <c r="AA45" s="4065"/>
      <c r="AB45" s="4144"/>
      <c r="AC45" s="847"/>
      <c r="AD45" s="60"/>
      <c r="AE45" s="110"/>
      <c r="AJ45" s="16"/>
      <c r="AK45" s="16"/>
      <c r="AL45" s="16"/>
    </row>
    <row r="46" spans="1:38" ht="12" hidden="1" customHeight="1">
      <c r="A46" s="59"/>
      <c r="B46" s="64"/>
      <c r="C46" s="62"/>
      <c r="D46" s="63"/>
      <c r="E46" s="63"/>
      <c r="F46" s="63"/>
      <c r="G46" s="63"/>
      <c r="H46" s="63"/>
      <c r="I46" s="850"/>
      <c r="J46" s="853"/>
      <c r="K46" s="853"/>
      <c r="L46" s="853"/>
      <c r="M46" s="853"/>
      <c r="N46" s="853"/>
      <c r="O46" s="853"/>
      <c r="P46" s="853"/>
      <c r="Q46" s="853"/>
      <c r="R46" s="853"/>
      <c r="S46" s="853"/>
      <c r="T46" s="853">
        <f>'VISITA DE INSP.'!AD49</f>
        <v>0</v>
      </c>
      <c r="U46" s="853"/>
      <c r="V46" s="853"/>
      <c r="W46" s="853"/>
      <c r="X46" s="853"/>
      <c r="Y46" s="853"/>
      <c r="Z46" s="4064"/>
      <c r="AA46" s="4065"/>
      <c r="AB46" s="4144"/>
      <c r="AC46" s="847"/>
      <c r="AD46" s="60"/>
      <c r="AE46" s="110"/>
      <c r="AJ46" s="16"/>
      <c r="AK46" s="16"/>
      <c r="AL46" s="16"/>
    </row>
    <row r="47" spans="1:38" ht="12" hidden="1" customHeight="1">
      <c r="A47" s="59"/>
      <c r="B47" s="64"/>
      <c r="C47" s="62"/>
      <c r="D47" s="65"/>
      <c r="E47" s="65"/>
      <c r="F47" s="65"/>
      <c r="G47" s="65"/>
      <c r="H47" s="65"/>
      <c r="I47" s="849"/>
      <c r="J47" s="853"/>
      <c r="K47" s="853"/>
      <c r="L47" s="853"/>
      <c r="M47" s="853"/>
      <c r="N47" s="853"/>
      <c r="O47" s="853"/>
      <c r="P47" s="853"/>
      <c r="Q47" s="853"/>
      <c r="R47" s="853"/>
      <c r="S47" s="853"/>
      <c r="T47" s="853">
        <f>'VISITA DE INSP.'!AD50</f>
        <v>0</v>
      </c>
      <c r="U47" s="853"/>
      <c r="V47" s="853"/>
      <c r="W47" s="853"/>
      <c r="X47" s="853"/>
      <c r="Y47" s="853"/>
      <c r="Z47" s="4064"/>
      <c r="AA47" s="4065"/>
      <c r="AB47" s="4144"/>
      <c r="AC47" s="847"/>
      <c r="AD47" s="60"/>
      <c r="AE47" s="110"/>
      <c r="AJ47" s="16"/>
      <c r="AK47" s="16"/>
      <c r="AL47" s="16"/>
    </row>
    <row r="48" spans="1:38" ht="12" hidden="1" customHeight="1">
      <c r="A48" s="59"/>
      <c r="B48" s="64"/>
      <c r="C48" s="62"/>
      <c r="D48" s="65"/>
      <c r="E48" s="65"/>
      <c r="F48" s="65"/>
      <c r="G48" s="65"/>
      <c r="H48" s="65"/>
      <c r="I48" s="849"/>
      <c r="J48" s="853"/>
      <c r="K48" s="853"/>
      <c r="L48" s="853"/>
      <c r="M48" s="853"/>
      <c r="N48" s="853"/>
      <c r="O48" s="853"/>
      <c r="P48" s="853"/>
      <c r="Q48" s="853"/>
      <c r="R48" s="853"/>
      <c r="S48" s="853"/>
      <c r="T48" s="853">
        <f>'VISITA DE INSP.'!AD51</f>
        <v>0</v>
      </c>
      <c r="U48" s="853"/>
      <c r="V48" s="853"/>
      <c r="W48" s="853"/>
      <c r="X48" s="853"/>
      <c r="Y48" s="853"/>
      <c r="Z48" s="4064"/>
      <c r="AA48" s="4065"/>
      <c r="AB48" s="4144"/>
      <c r="AC48" s="847"/>
      <c r="AD48" s="60"/>
      <c r="AE48" s="110"/>
      <c r="AJ48" s="16"/>
      <c r="AK48" s="16"/>
      <c r="AL48" s="16"/>
    </row>
    <row r="49" spans="1:38" ht="12" hidden="1" customHeight="1">
      <c r="A49" s="59"/>
      <c r="B49" s="64"/>
      <c r="C49" s="66"/>
      <c r="D49" s="67"/>
      <c r="E49" s="67"/>
      <c r="F49" s="67"/>
      <c r="G49" s="67"/>
      <c r="H49" s="67"/>
      <c r="I49" s="851"/>
      <c r="J49" s="853"/>
      <c r="K49" s="853"/>
      <c r="L49" s="853"/>
      <c r="M49" s="853"/>
      <c r="N49" s="853"/>
      <c r="O49" s="853"/>
      <c r="P49" s="853"/>
      <c r="Q49" s="853"/>
      <c r="R49" s="853"/>
      <c r="S49" s="853"/>
      <c r="T49" s="853">
        <f>'VISITA DE INSP.'!AD52</f>
        <v>0</v>
      </c>
      <c r="U49" s="853"/>
      <c r="V49" s="853"/>
      <c r="W49" s="853"/>
      <c r="X49" s="853"/>
      <c r="Y49" s="853"/>
      <c r="Z49" s="4064"/>
      <c r="AA49" s="4065"/>
      <c r="AB49" s="4144"/>
      <c r="AC49" s="847"/>
      <c r="AD49" s="60"/>
      <c r="AE49" s="110"/>
      <c r="AJ49" s="16"/>
      <c r="AK49" s="16"/>
      <c r="AL49" s="16"/>
    </row>
    <row r="50" spans="1:38" ht="12" hidden="1" customHeight="1">
      <c r="A50" s="59"/>
      <c r="B50" s="858"/>
      <c r="C50" s="4145"/>
      <c r="D50" s="4146"/>
      <c r="E50" s="4146"/>
      <c r="F50" s="4146"/>
      <c r="G50" s="4146"/>
      <c r="H50" s="4146"/>
      <c r="I50" s="4147"/>
      <c r="J50" s="852"/>
      <c r="K50" s="852"/>
      <c r="L50" s="852"/>
      <c r="M50" s="856"/>
      <c r="N50" s="857"/>
      <c r="O50" s="857"/>
      <c r="P50" s="857"/>
      <c r="Q50" s="857"/>
      <c r="R50" s="857"/>
      <c r="S50" s="857"/>
      <c r="T50" s="853">
        <f>'VISITA DE INSP.'!AD53</f>
        <v>0</v>
      </c>
      <c r="U50" s="857"/>
      <c r="V50" s="857"/>
      <c r="W50" s="857"/>
      <c r="X50" s="857"/>
      <c r="Y50" s="857"/>
      <c r="Z50" s="4148"/>
      <c r="AA50" s="4148"/>
      <c r="AB50" s="4149"/>
      <c r="AC50" s="847"/>
      <c r="AD50" s="60"/>
      <c r="AE50" s="110"/>
      <c r="AJ50" s="16"/>
      <c r="AK50" s="16"/>
      <c r="AL50" s="16"/>
    </row>
    <row r="51" spans="1:38" ht="13.5" hidden="1" customHeight="1">
      <c r="A51" s="59"/>
      <c r="B51" s="206"/>
      <c r="C51" s="860" t="s">
        <v>31</v>
      </c>
      <c r="D51" s="860" t="s">
        <v>54</v>
      </c>
      <c r="E51" s="860" t="s">
        <v>33</v>
      </c>
      <c r="F51" s="860" t="s">
        <v>55</v>
      </c>
      <c r="G51" s="860"/>
      <c r="H51" s="860" t="s">
        <v>56</v>
      </c>
      <c r="I51" s="861" t="s">
        <v>57</v>
      </c>
      <c r="J51" s="4150"/>
      <c r="K51" s="4150"/>
      <c r="L51" s="4150"/>
      <c r="M51" s="4150"/>
      <c r="N51" s="857">
        <f>'VISITA DE INSP.'!J40</f>
        <v>56</v>
      </c>
      <c r="O51" s="857">
        <f>'VISITA DE INSP.'!J39</f>
        <v>2</v>
      </c>
      <c r="P51" s="857">
        <f>'VISITA DE INSP.'!K40</f>
        <v>64</v>
      </c>
      <c r="Q51" s="857">
        <f>'VISITA DE INSP.'!K39</f>
        <v>2</v>
      </c>
      <c r="R51" s="857">
        <f>'VISITA DE INSP.'!L40</f>
        <v>57</v>
      </c>
      <c r="S51" s="857">
        <f>'VISITA DE INSP.'!L39</f>
        <v>2</v>
      </c>
      <c r="T51" s="857">
        <f>'VISITA DE INSP.'!M40</f>
        <v>60</v>
      </c>
      <c r="U51" s="857">
        <f>'VISITA DE INSP.'!M39</f>
        <v>2</v>
      </c>
      <c r="V51" s="857">
        <f>'VISITA DE INSP.'!N40</f>
        <v>53</v>
      </c>
      <c r="W51" s="857">
        <f>'VISITA DE INSP.'!N39</f>
        <v>2</v>
      </c>
      <c r="X51" s="857">
        <f>'VISITA DE INSP.'!O40</f>
        <v>60</v>
      </c>
      <c r="Y51" s="857">
        <f>'VISITA DE INSP.'!O39</f>
        <v>2</v>
      </c>
      <c r="Z51" s="4151">
        <f>SUM(N51,P51,R51,T51,V51,X51)</f>
        <v>350</v>
      </c>
      <c r="AA51" s="4152"/>
      <c r="AB51" s="859">
        <f>SUM(O51,Q51,S51,U51,W51,Y51)</f>
        <v>12</v>
      </c>
      <c r="AC51" s="924"/>
      <c r="AD51" s="60"/>
      <c r="AE51" s="177"/>
      <c r="AJ51" s="16"/>
      <c r="AK51" s="16"/>
      <c r="AL51" s="16"/>
    </row>
    <row r="52" spans="1:38" ht="3" customHeight="1">
      <c r="A52" s="42"/>
      <c r="B52" s="68"/>
      <c r="C52" s="69">
        <v>10</v>
      </c>
      <c r="D52" s="69">
        <v>95</v>
      </c>
      <c r="E52" s="69">
        <v>20</v>
      </c>
      <c r="F52" s="69"/>
      <c r="G52" s="69"/>
      <c r="H52" s="69"/>
      <c r="I52" s="69"/>
      <c r="J52" s="70"/>
      <c r="K52" s="70"/>
      <c r="L52" s="70"/>
      <c r="M52" s="71"/>
      <c r="N52" s="71"/>
      <c r="O52" s="71"/>
      <c r="P52" s="71"/>
      <c r="Q52" s="71"/>
      <c r="R52" s="71"/>
      <c r="S52" s="71"/>
      <c r="T52" s="71"/>
      <c r="U52" s="71"/>
      <c r="V52" s="71"/>
      <c r="W52" s="71"/>
      <c r="X52" s="71"/>
      <c r="Y52" s="71"/>
      <c r="Z52" s="71"/>
      <c r="AA52" s="71"/>
      <c r="AB52" s="72"/>
      <c r="AC52" s="72"/>
      <c r="AD52" s="354"/>
      <c r="AE52" s="177"/>
      <c r="AJ52" s="16"/>
      <c r="AK52" s="16"/>
      <c r="AL52" s="16"/>
    </row>
    <row r="53" spans="1:38" s="74" customFormat="1" ht="8.25" customHeight="1">
      <c r="A53" s="73"/>
      <c r="B53" s="980"/>
      <c r="C53" s="981"/>
      <c r="D53" s="981"/>
      <c r="E53" s="981"/>
      <c r="F53" s="981"/>
      <c r="G53" s="981"/>
      <c r="H53" s="981"/>
      <c r="I53" s="981"/>
      <c r="J53" s="981"/>
      <c r="K53" s="981"/>
      <c r="L53" s="981"/>
      <c r="M53" s="981"/>
      <c r="N53" s="981"/>
      <c r="O53" s="981"/>
      <c r="P53" s="981"/>
      <c r="Q53" s="981"/>
      <c r="R53" s="981"/>
      <c r="S53" s="981"/>
      <c r="T53" s="981"/>
      <c r="U53" s="981"/>
      <c r="V53" s="981"/>
      <c r="W53" s="981"/>
      <c r="X53" s="981"/>
      <c r="Y53" s="981"/>
      <c r="Z53" s="981"/>
      <c r="AA53" s="981"/>
      <c r="AB53" s="981"/>
      <c r="AC53" s="981"/>
      <c r="AD53" s="982"/>
      <c r="AE53" s="177"/>
      <c r="AF53" s="109"/>
      <c r="AG53" s="109"/>
      <c r="AH53" s="109"/>
      <c r="AJ53" s="16"/>
      <c r="AK53" s="1020"/>
      <c r="AL53" s="1020"/>
    </row>
    <row r="54" spans="1:38" ht="8.25" customHeight="1">
      <c r="A54" s="59"/>
      <c r="B54" s="983"/>
      <c r="C54" s="952"/>
      <c r="D54" s="952"/>
      <c r="E54" s="952"/>
      <c r="F54" s="952"/>
      <c r="G54" s="952"/>
      <c r="H54" s="952"/>
      <c r="I54" s="952"/>
      <c r="J54" s="952"/>
      <c r="K54" s="952"/>
      <c r="L54" s="952"/>
      <c r="M54" s="952"/>
      <c r="N54" s="952"/>
      <c r="O54" s="952"/>
      <c r="P54" s="952"/>
      <c r="Q54" s="952"/>
      <c r="R54" s="952"/>
      <c r="S54" s="952"/>
      <c r="T54" s="952"/>
      <c r="U54" s="952"/>
      <c r="V54" s="952"/>
      <c r="W54" s="952"/>
      <c r="X54" s="952"/>
      <c r="Y54" s="952"/>
      <c r="Z54" s="952"/>
      <c r="AA54" s="952"/>
      <c r="AB54" s="952"/>
      <c r="AC54" s="952"/>
      <c r="AD54" s="984"/>
      <c r="AE54" s="177"/>
      <c r="AJ54" s="16"/>
      <c r="AK54" s="16"/>
      <c r="AL54" s="16"/>
    </row>
    <row r="55" spans="1:38" ht="8.25" customHeight="1">
      <c r="A55" s="59"/>
      <c r="B55" s="983"/>
      <c r="C55" s="952"/>
      <c r="D55" s="952"/>
      <c r="E55" s="952"/>
      <c r="F55" s="952"/>
      <c r="G55" s="952"/>
      <c r="H55" s="952"/>
      <c r="I55" s="952"/>
      <c r="J55" s="952"/>
      <c r="K55" s="952"/>
      <c r="L55" s="952"/>
      <c r="M55" s="952"/>
      <c r="N55" s="952"/>
      <c r="O55" s="952"/>
      <c r="P55" s="952"/>
      <c r="Q55" s="952"/>
      <c r="R55" s="952"/>
      <c r="S55" s="952"/>
      <c r="T55" s="952"/>
      <c r="U55" s="952"/>
      <c r="V55" s="952"/>
      <c r="W55" s="952"/>
      <c r="X55" s="952"/>
      <c r="Y55" s="952"/>
      <c r="Z55" s="952"/>
      <c r="AA55" s="952"/>
      <c r="AB55" s="952"/>
      <c r="AC55" s="952"/>
      <c r="AD55" s="984"/>
      <c r="AE55" s="177"/>
      <c r="AJ55" s="16"/>
      <c r="AK55" s="16"/>
      <c r="AL55" s="16"/>
    </row>
    <row r="56" spans="1:38" ht="8.25" customHeight="1">
      <c r="A56" s="59"/>
      <c r="B56" s="983"/>
      <c r="C56" s="952"/>
      <c r="D56" s="952"/>
      <c r="E56" s="952"/>
      <c r="F56" s="952"/>
      <c r="G56" s="952"/>
      <c r="H56" s="952"/>
      <c r="I56" s="952"/>
      <c r="J56" s="952"/>
      <c r="K56" s="972" t="s">
        <v>26</v>
      </c>
      <c r="L56" s="952"/>
      <c r="M56" s="952"/>
      <c r="N56" s="952"/>
      <c r="O56" s="952"/>
      <c r="P56" s="952"/>
      <c r="Q56" s="952"/>
      <c r="R56" s="952"/>
      <c r="S56" s="952"/>
      <c r="T56" s="952"/>
      <c r="U56" s="952"/>
      <c r="V56" s="952"/>
      <c r="W56" s="952"/>
      <c r="X56" s="952"/>
      <c r="Y56" s="952"/>
      <c r="Z56" s="952"/>
      <c r="AA56" s="952"/>
      <c r="AB56" s="952"/>
      <c r="AC56" s="952"/>
      <c r="AD56" s="984"/>
      <c r="AE56" s="177"/>
      <c r="AJ56" s="16"/>
      <c r="AK56" s="16"/>
      <c r="AL56" s="16"/>
    </row>
    <row r="57" spans="1:38" ht="8.25" customHeight="1">
      <c r="A57" s="59"/>
      <c r="B57" s="1048"/>
      <c r="C57" s="1049"/>
      <c r="D57" s="1049"/>
      <c r="E57" s="1049"/>
      <c r="F57" s="1049"/>
      <c r="G57" s="1049"/>
      <c r="H57" s="1049"/>
      <c r="I57" s="1049"/>
      <c r="J57" s="1049"/>
      <c r="K57" s="1050" t="s">
        <v>866</v>
      </c>
      <c r="L57" s="1049"/>
      <c r="M57" s="1049"/>
      <c r="N57" s="1049"/>
      <c r="O57" s="1049"/>
      <c r="P57" s="1049"/>
      <c r="Q57" s="1049"/>
      <c r="R57" s="1049"/>
      <c r="S57" s="1049"/>
      <c r="T57" s="1049"/>
      <c r="U57" s="1049"/>
      <c r="V57" s="1049"/>
      <c r="W57" s="1049"/>
      <c r="X57" s="1049"/>
      <c r="Y57" s="1049"/>
      <c r="Z57" s="1049"/>
      <c r="AA57" s="1049"/>
      <c r="AB57" s="1049"/>
      <c r="AC57" s="1049"/>
      <c r="AD57" s="1051"/>
      <c r="AE57" s="177"/>
      <c r="AJ57" s="16"/>
      <c r="AK57" s="16"/>
      <c r="AL57" s="16"/>
    </row>
    <row r="58" spans="1:38" ht="2.25" customHeight="1" thickBot="1">
      <c r="A58" s="1021"/>
      <c r="B58" s="16"/>
      <c r="C58" s="16"/>
      <c r="D58" s="16"/>
      <c r="E58" s="16"/>
      <c r="F58" s="16"/>
      <c r="G58" s="16"/>
      <c r="H58" s="16"/>
      <c r="I58" s="16"/>
      <c r="J58" s="16"/>
      <c r="K58" s="16"/>
      <c r="L58" s="16"/>
      <c r="M58" s="16"/>
      <c r="N58" s="16"/>
      <c r="O58" s="16"/>
      <c r="P58" s="16"/>
      <c r="Q58" s="16"/>
      <c r="R58" s="16"/>
      <c r="S58" s="16"/>
      <c r="T58" s="16"/>
      <c r="U58" s="16"/>
      <c r="V58" s="16"/>
      <c r="W58" s="16"/>
      <c r="X58" s="776"/>
      <c r="Y58" s="776"/>
      <c r="Z58" s="776"/>
      <c r="AA58" s="776"/>
      <c r="AB58" s="776"/>
      <c r="AC58" s="776"/>
      <c r="AD58" s="16"/>
      <c r="AE58" s="177"/>
      <c r="AF58" s="177"/>
      <c r="AG58" s="177"/>
      <c r="AH58" s="177"/>
      <c r="AI58" s="16"/>
      <c r="AJ58" s="16"/>
      <c r="AK58" s="16"/>
      <c r="AL58" s="16"/>
    </row>
    <row r="59" spans="1:38" ht="13.5" thickTop="1">
      <c r="B59" s="16"/>
      <c r="C59" s="16"/>
      <c r="D59" s="16"/>
      <c r="E59" s="16"/>
      <c r="F59" s="16"/>
      <c r="G59" s="16"/>
      <c r="H59" s="16"/>
      <c r="I59" s="16"/>
      <c r="J59" s="16"/>
      <c r="K59" s="16"/>
      <c r="L59" s="16"/>
      <c r="M59" s="16"/>
      <c r="N59" s="16"/>
      <c r="O59" s="16"/>
      <c r="P59" s="16"/>
      <c r="Q59" s="16"/>
      <c r="R59" s="16"/>
      <c r="S59" s="16"/>
      <c r="T59" s="16"/>
      <c r="U59" s="16"/>
      <c r="V59" s="16"/>
      <c r="W59" s="16"/>
      <c r="X59" s="16"/>
      <c r="Y59" s="16"/>
      <c r="Z59" s="16"/>
      <c r="AA59" s="16"/>
      <c r="AB59" s="16"/>
      <c r="AC59" s="16"/>
      <c r="AD59" s="16"/>
      <c r="AE59" s="177"/>
      <c r="AF59" s="177"/>
      <c r="AG59" s="177"/>
      <c r="AH59" s="177"/>
      <c r="AI59" s="16"/>
      <c r="AJ59" s="16"/>
      <c r="AK59" s="16"/>
      <c r="AL59" s="16"/>
    </row>
  </sheetData>
  <mergeCells count="56">
    <mergeCell ref="Z5:AA5"/>
    <mergeCell ref="V13:W13"/>
    <mergeCell ref="X13:Y13"/>
    <mergeCell ref="B4:E4"/>
    <mergeCell ref="B10:C10"/>
    <mergeCell ref="B12:B13"/>
    <mergeCell ref="C12:I13"/>
    <mergeCell ref="J12:J13"/>
    <mergeCell ref="K12:M12"/>
    <mergeCell ref="AC12:AD13"/>
    <mergeCell ref="N13:O13"/>
    <mergeCell ref="P13:Q13"/>
    <mergeCell ref="R13:S13"/>
    <mergeCell ref="T13:U13"/>
    <mergeCell ref="Z14:AB14"/>
    <mergeCell ref="Z15:AB15"/>
    <mergeCell ref="Z16:AB16"/>
    <mergeCell ref="N12:Y12"/>
    <mergeCell ref="Z12:AB13"/>
    <mergeCell ref="Z20:AB20"/>
    <mergeCell ref="Z21:AB21"/>
    <mergeCell ref="Z22:AB22"/>
    <mergeCell ref="Z17:AB17"/>
    <mergeCell ref="Z18:AB18"/>
    <mergeCell ref="Z19:AB19"/>
    <mergeCell ref="Z26:AB26"/>
    <mergeCell ref="Z27:AB27"/>
    <mergeCell ref="Z28:AB28"/>
    <mergeCell ref="Z23:AB23"/>
    <mergeCell ref="Z24:AB24"/>
    <mergeCell ref="Z25:AB25"/>
    <mergeCell ref="Z32:AB32"/>
    <mergeCell ref="Z33:AB33"/>
    <mergeCell ref="Z34:AB34"/>
    <mergeCell ref="Z35:AB35"/>
    <mergeCell ref="Z29:AB29"/>
    <mergeCell ref="Z30:AB30"/>
    <mergeCell ref="Z31:AB31"/>
    <mergeCell ref="Z47:AB47"/>
    <mergeCell ref="Z36:AB36"/>
    <mergeCell ref="Z37:AB37"/>
    <mergeCell ref="Z38:AB38"/>
    <mergeCell ref="Z39:AB39"/>
    <mergeCell ref="Z40:AB40"/>
    <mergeCell ref="Z41:AB41"/>
    <mergeCell ref="Z42:AB42"/>
    <mergeCell ref="Z43:AB43"/>
    <mergeCell ref="Z44:AB44"/>
    <mergeCell ref="Z45:AB45"/>
    <mergeCell ref="Z46:AB46"/>
    <mergeCell ref="Z48:AB48"/>
    <mergeCell ref="Z49:AB49"/>
    <mergeCell ref="C50:I50"/>
    <mergeCell ref="Z50:AB50"/>
    <mergeCell ref="J51:M51"/>
    <mergeCell ref="Z51:AA51"/>
  </mergeCells>
  <conditionalFormatting sqref="M34:M50 AE14:AE33">
    <cfRule type="cellIs" dxfId="844" priority="35" stopIfTrue="1" operator="equal">
      <formula>0</formula>
    </cfRule>
    <cfRule type="cellIs" dxfId="843" priority="36" stopIfTrue="1" operator="equal">
      <formula>#N/A</formula>
    </cfRule>
  </conditionalFormatting>
  <conditionalFormatting sqref="K14:K33">
    <cfRule type="cellIs" dxfId="842" priority="32" stopIfTrue="1" operator="equal">
      <formula>0</formula>
    </cfRule>
    <cfRule type="cellIs" priority="33" stopIfTrue="1" operator="equal">
      <formula>0</formula>
    </cfRule>
  </conditionalFormatting>
  <conditionalFormatting sqref="X8:X9">
    <cfRule type="cellIs" dxfId="841" priority="30" stopIfTrue="1" operator="equal">
      <formula>0</formula>
    </cfRule>
  </conditionalFormatting>
  <conditionalFormatting sqref="L14:L33">
    <cfRule type="cellIs" dxfId="840" priority="25" stopIfTrue="1" operator="equal">
      <formula>"HONORARIO"</formula>
    </cfRule>
    <cfRule type="cellIs" dxfId="839" priority="26" stopIfTrue="1" operator="equal">
      <formula>"BASE"</formula>
    </cfRule>
    <cfRule type="cellIs" dxfId="838" priority="27" stopIfTrue="1" operator="equal">
      <formula>0</formula>
    </cfRule>
    <cfRule type="cellIs" priority="28" stopIfTrue="1" operator="equal">
      <formula>0</formula>
    </cfRule>
  </conditionalFormatting>
  <conditionalFormatting sqref="M14:M33">
    <cfRule type="cellIs" dxfId="837" priority="20" stopIfTrue="1" operator="equal">
      <formula>"HONARARIO"</formula>
    </cfRule>
    <cfRule type="cellIs" dxfId="836" priority="21" stopIfTrue="1" operator="equal">
      <formula>"BASE"</formula>
    </cfRule>
    <cfRule type="cellIs" dxfId="835" priority="22" stopIfTrue="1" operator="equal">
      <formula>"BASE"</formula>
    </cfRule>
    <cfRule type="cellIs" dxfId="834" priority="23" stopIfTrue="1" operator="equal">
      <formula>0</formula>
    </cfRule>
    <cfRule type="cellIs" priority="24" stopIfTrue="1" operator="equal">
      <formula>0</formula>
    </cfRule>
  </conditionalFormatting>
  <conditionalFormatting sqref="B14:AD33">
    <cfRule type="cellIs" dxfId="833" priority="16" stopIfTrue="1" operator="equal">
      <formula>0</formula>
    </cfRule>
  </conditionalFormatting>
  <conditionalFormatting sqref="M14:M33">
    <cfRule type="cellIs" dxfId="832" priority="6" stopIfTrue="1" operator="equal">
      <formula>"HONORARIO"</formula>
    </cfRule>
    <cfRule type="cellIs" dxfId="831" priority="7" stopIfTrue="1" operator="equal">
      <formula>"HONARARIO"</formula>
    </cfRule>
    <cfRule type="cellIs" dxfId="830" priority="8" stopIfTrue="1" operator="equal">
      <formula>"BASE"</formula>
    </cfRule>
    <cfRule type="cellIs" dxfId="829" priority="9" stopIfTrue="1" operator="equal">
      <formula>"BASE"</formula>
    </cfRule>
    <cfRule type="cellIs" dxfId="828" priority="10" stopIfTrue="1" operator="equal">
      <formula>0</formula>
    </cfRule>
    <cfRule type="cellIs" priority="11" stopIfTrue="1" operator="equal">
      <formula>0</formula>
    </cfRule>
  </conditionalFormatting>
  <hyperlinks>
    <hyperlink ref="M10" r:id="rId1"/>
  </hyperlinks>
  <pageMargins left="0.31496062992125984" right="0.31496062992125984" top="0.35433070866141736" bottom="0.35433070866141736" header="0.31496062992125984" footer="0.31496062992125984"/>
  <pageSetup orientation="landscape" r:id="rId2"/>
  <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9">
    <tabColor rgb="FF00B050"/>
  </sheetPr>
  <dimension ref="A1:BE57"/>
  <sheetViews>
    <sheetView view="pageBreakPreview" zoomScale="95" zoomScaleSheetLayoutView="95" workbookViewId="0">
      <selection activeCell="E19" sqref="E19:AJ20"/>
    </sheetView>
  </sheetViews>
  <sheetFormatPr baseColWidth="10" defaultRowHeight="12.75"/>
  <cols>
    <col min="1" max="40" width="2.7109375" style="16" customWidth="1"/>
    <col min="41" max="41" width="0.5703125" style="16" customWidth="1"/>
    <col min="42" max="42" width="5.140625" style="16" customWidth="1"/>
    <col min="43" max="43" width="28.42578125" style="16" customWidth="1"/>
    <col min="44" max="44" width="12.5703125" style="16" customWidth="1"/>
    <col min="45" max="45" width="16" style="16" customWidth="1"/>
    <col min="46" max="47" width="9.5703125" style="16" customWidth="1"/>
    <col min="48" max="48" width="13.5703125" style="16" customWidth="1"/>
    <col min="49" max="53" width="9.5703125" style="16" customWidth="1"/>
    <col min="54" max="54" width="4.5703125" style="177" customWidth="1"/>
    <col min="55" max="55" width="11.42578125" style="177" customWidth="1"/>
    <col min="56" max="56" width="11.42578125" style="16" customWidth="1"/>
    <col min="57" max="16384" width="11.42578125" style="16"/>
  </cols>
  <sheetData>
    <row r="1" spans="1:57" s="127" customFormat="1" ht="12.75" customHeight="1">
      <c r="A1" s="2551">
        <v>1</v>
      </c>
      <c r="B1" s="2552">
        <v>2</v>
      </c>
      <c r="C1" s="2552">
        <v>3</v>
      </c>
      <c r="D1" s="2552">
        <v>4</v>
      </c>
      <c r="E1" s="2552">
        <v>5</v>
      </c>
      <c r="F1" s="2552">
        <v>6</v>
      </c>
      <c r="G1" s="2552">
        <v>7</v>
      </c>
      <c r="H1" s="2552">
        <v>8</v>
      </c>
      <c r="I1" s="2552">
        <v>9</v>
      </c>
      <c r="J1" s="2553"/>
      <c r="K1" s="2554"/>
      <c r="L1" s="2554"/>
      <c r="M1" s="2554"/>
      <c r="N1" s="2554"/>
      <c r="O1" s="2554"/>
      <c r="P1" s="2554"/>
      <c r="Q1" s="2554"/>
      <c r="R1" s="2554"/>
      <c r="S1" s="2554"/>
      <c r="T1" s="2554"/>
      <c r="U1" s="2554"/>
      <c r="V1" s="2554"/>
      <c r="W1" s="2554"/>
      <c r="X1" s="2554"/>
      <c r="Y1" s="2554"/>
      <c r="Z1" s="2554"/>
      <c r="AA1" s="2554"/>
      <c r="AB1" s="2554"/>
      <c r="AC1" s="2554"/>
      <c r="AD1" s="2554"/>
      <c r="AE1" s="2555"/>
      <c r="AF1" s="2552">
        <v>9</v>
      </c>
      <c r="AG1" s="2552">
        <v>8</v>
      </c>
      <c r="AH1" s="2552">
        <v>7</v>
      </c>
      <c r="AI1" s="2552">
        <v>6</v>
      </c>
      <c r="AJ1" s="2552">
        <v>5</v>
      </c>
      <c r="AK1" s="2552">
        <v>4</v>
      </c>
      <c r="AL1" s="2552">
        <v>3</v>
      </c>
      <c r="AM1" s="2552">
        <v>2</v>
      </c>
      <c r="AN1" s="2556">
        <v>1</v>
      </c>
      <c r="AP1" s="133"/>
      <c r="AQ1" s="134" t="s">
        <v>95</v>
      </c>
      <c r="AR1" s="134" t="s">
        <v>68</v>
      </c>
      <c r="AS1" s="2393" t="s">
        <v>1761</v>
      </c>
      <c r="AT1" s="134" t="s">
        <v>93</v>
      </c>
      <c r="AU1" s="134" t="s">
        <v>94</v>
      </c>
      <c r="AV1" s="134" t="s">
        <v>96</v>
      </c>
      <c r="AW1" s="135" t="s">
        <v>97</v>
      </c>
      <c r="AX1" s="134" t="s">
        <v>98</v>
      </c>
      <c r="AY1" s="134" t="s">
        <v>99</v>
      </c>
      <c r="AZ1" s="134" t="s">
        <v>98</v>
      </c>
      <c r="BA1" s="136" t="s">
        <v>99</v>
      </c>
      <c r="BB1" s="1060"/>
      <c r="BC1" s="1060"/>
    </row>
    <row r="2" spans="1:57" ht="12" customHeight="1">
      <c r="A2" s="2557"/>
      <c r="B2" s="1066"/>
      <c r="C2" s="1066"/>
      <c r="D2" s="1066"/>
      <c r="E2" s="1066"/>
      <c r="F2" s="1066"/>
      <c r="G2" s="1066"/>
      <c r="H2" s="4170" t="s">
        <v>1767</v>
      </c>
      <c r="I2" s="4171"/>
      <c r="J2" s="4171"/>
      <c r="K2" s="4171"/>
      <c r="L2" s="4171"/>
      <c r="M2" s="4171"/>
      <c r="N2" s="4171"/>
      <c r="O2" s="4171"/>
      <c r="P2" s="4171"/>
      <c r="Q2" s="4171"/>
      <c r="R2" s="4171"/>
      <c r="S2" s="4171"/>
      <c r="T2" s="4171"/>
      <c r="U2" s="4171"/>
      <c r="V2" s="4171"/>
      <c r="W2" s="4171"/>
      <c r="X2" s="4171"/>
      <c r="Y2" s="4171"/>
      <c r="Z2" s="4171"/>
      <c r="AA2" s="4171"/>
      <c r="AB2" s="4171"/>
      <c r="AC2" s="4171"/>
      <c r="AD2" s="4171"/>
      <c r="AE2" s="4171"/>
      <c r="AF2" s="4171"/>
      <c r="AG2" s="4172"/>
      <c r="AH2" s="1066"/>
      <c r="AI2" s="1066"/>
      <c r="AJ2" s="1066"/>
      <c r="AK2" s="1066"/>
      <c r="AL2" s="1066"/>
      <c r="AM2" s="1066"/>
      <c r="AN2" s="2558"/>
      <c r="AP2" s="137">
        <v>1</v>
      </c>
      <c r="AQ2" s="138" t="str">
        <f>'VISITA DE INSP.'!D17</f>
        <v>CERVANTES BENITEZ * ANTONIA</v>
      </c>
      <c r="AR2" s="138" t="str">
        <f>'VISITA DE INSP.'!E7</f>
        <v>KABAH</v>
      </c>
      <c r="AS2" s="138" t="str">
        <f>BC2</f>
        <v>KABAHFONIA</v>
      </c>
      <c r="AT2" s="138" t="str">
        <f>'VISITA DE INSP.'!G8</f>
        <v>CERVANTES BENITEZ * ANTONIA</v>
      </c>
      <c r="AU2" s="138" t="s">
        <v>1039</v>
      </c>
      <c r="AV2" s="138" t="str">
        <f>VLOOKUP(E18,BB2:BD46,3,3)</f>
        <v>Power Point Interactiva</v>
      </c>
      <c r="AW2" s="139" t="s">
        <v>100</v>
      </c>
      <c r="AX2" s="138" t="s">
        <v>1772</v>
      </c>
      <c r="AY2" s="138" t="s">
        <v>1773</v>
      </c>
      <c r="AZ2" s="138" t="s">
        <v>101</v>
      </c>
      <c r="BA2" s="140" t="s">
        <v>102</v>
      </c>
      <c r="BB2" s="111">
        <v>1</v>
      </c>
      <c r="BC2" s="3323" t="s">
        <v>2485</v>
      </c>
      <c r="BD2" s="3323" t="s">
        <v>905</v>
      </c>
      <c r="BE2" s="1059"/>
    </row>
    <row r="3" spans="1:57" ht="12" customHeight="1">
      <c r="A3" s="2557"/>
      <c r="B3" s="1066"/>
      <c r="C3" s="1066"/>
      <c r="D3" s="1066"/>
      <c r="E3" s="1066"/>
      <c r="F3" s="1066"/>
      <c r="G3" s="1066"/>
      <c r="H3" s="4170"/>
      <c r="I3" s="4171"/>
      <c r="J3" s="4171"/>
      <c r="K3" s="4171"/>
      <c r="L3" s="4171"/>
      <c r="M3" s="4171"/>
      <c r="N3" s="4171"/>
      <c r="O3" s="4171"/>
      <c r="P3" s="4171"/>
      <c r="Q3" s="4171"/>
      <c r="R3" s="4171"/>
      <c r="S3" s="4171"/>
      <c r="T3" s="4171"/>
      <c r="U3" s="4171"/>
      <c r="V3" s="4171"/>
      <c r="W3" s="4171"/>
      <c r="X3" s="4171"/>
      <c r="Y3" s="4171"/>
      <c r="Z3" s="4171"/>
      <c r="AA3" s="4171"/>
      <c r="AB3" s="4171"/>
      <c r="AC3" s="4171"/>
      <c r="AD3" s="4171"/>
      <c r="AE3" s="4171"/>
      <c r="AF3" s="4171"/>
      <c r="AG3" s="4172"/>
      <c r="AH3" s="1066"/>
      <c r="AI3" s="1066"/>
      <c r="AJ3" s="1066"/>
      <c r="AK3" s="1066"/>
      <c r="AL3" s="1066"/>
      <c r="AM3" s="1066"/>
      <c r="AN3" s="2558"/>
      <c r="AP3" s="137">
        <v>2</v>
      </c>
      <c r="AQ3" s="138" t="str">
        <f>'VISITA DE INSP.'!D18</f>
        <v>ARANDA ESCALANTE * ARELI GUADALUPE</v>
      </c>
      <c r="AR3" s="138" t="str">
        <f>AR2</f>
        <v>KABAH</v>
      </c>
      <c r="AS3" s="138" t="str">
        <f t="shared" ref="AS3:AS24" si="0">BC3</f>
        <v>MEZCLANDO GOTITAS DE AGUA</v>
      </c>
      <c r="AT3" s="138" t="str">
        <f>AT2</f>
        <v>CERVANTES BENITEZ * ANTONIA</v>
      </c>
      <c r="AU3" s="138" t="s">
        <v>1039</v>
      </c>
      <c r="AV3" s="138" t="str">
        <f>AV2</f>
        <v>Power Point Interactiva</v>
      </c>
      <c r="AW3" s="139" t="str">
        <f>AW2</f>
        <v>042</v>
      </c>
      <c r="AX3" s="138" t="str">
        <f>AX2</f>
        <v>EL INSPECTOR ESCOLAR</v>
      </c>
      <c r="AY3" s="138" t="str">
        <f>AY2</f>
        <v>Ms.C.  JESUS MARTIN RICALDE CASTRO</v>
      </c>
      <c r="AZ3" s="138" t="str">
        <f>AZ2</f>
        <v>JEFA DEL SECTOR 04</v>
      </c>
      <c r="BA3" s="140" t="str">
        <f t="shared" ref="BA3:BA46" si="1">BA2</f>
        <v>PROFRA: AURA EUGENIA ANCONA FLORES</v>
      </c>
      <c r="BB3" s="111">
        <v>2</v>
      </c>
      <c r="BC3" s="3323" t="s">
        <v>2486</v>
      </c>
      <c r="BD3" s="3323" t="s">
        <v>906</v>
      </c>
    </row>
    <row r="4" spans="1:57" ht="11.85" customHeight="1">
      <c r="A4" s="2557"/>
      <c r="B4" s="1066"/>
      <c r="C4" s="1066"/>
      <c r="D4" s="1066"/>
      <c r="E4" s="1066"/>
      <c r="F4" s="1066"/>
      <c r="G4" s="1066"/>
      <c r="H4" s="4173" t="s">
        <v>1768</v>
      </c>
      <c r="I4" s="4174"/>
      <c r="J4" s="4174"/>
      <c r="K4" s="4174"/>
      <c r="L4" s="4174"/>
      <c r="M4" s="4174"/>
      <c r="N4" s="4174"/>
      <c r="O4" s="4174"/>
      <c r="P4" s="4174"/>
      <c r="Q4" s="4174"/>
      <c r="R4" s="4174"/>
      <c r="S4" s="4174"/>
      <c r="T4" s="4174"/>
      <c r="U4" s="4174"/>
      <c r="V4" s="4174"/>
      <c r="W4" s="4174"/>
      <c r="X4" s="4174"/>
      <c r="Y4" s="4174"/>
      <c r="Z4" s="4174"/>
      <c r="AA4" s="4174"/>
      <c r="AB4" s="4174"/>
      <c r="AC4" s="4174"/>
      <c r="AD4" s="4174"/>
      <c r="AE4" s="4174"/>
      <c r="AF4" s="4174"/>
      <c r="AG4" s="4175"/>
      <c r="AH4" s="1066"/>
      <c r="AI4" s="1066"/>
      <c r="AJ4" s="1066"/>
      <c r="AK4" s="1066"/>
      <c r="AL4" s="1066"/>
      <c r="AM4" s="1066"/>
      <c r="AN4" s="2558"/>
      <c r="AP4" s="137">
        <v>3</v>
      </c>
      <c r="AQ4" s="138" t="str">
        <f>'VISITA DE INSP.'!D19</f>
        <v>AKE QUEB * MARIANA DEL CONSUELO</v>
      </c>
      <c r="AR4" s="138" t="str">
        <f t="shared" ref="AR4:AR20" si="2">AR3</f>
        <v>KABAH</v>
      </c>
      <c r="AS4" s="138">
        <f t="shared" si="0"/>
        <v>0</v>
      </c>
      <c r="AT4" s="138" t="str">
        <f t="shared" ref="AT4:AT21" si="3">AT3</f>
        <v>CERVANTES BENITEZ * ANTONIA</v>
      </c>
      <c r="AU4" s="138" t="s">
        <v>1039</v>
      </c>
      <c r="AV4" s="138" t="str">
        <f t="shared" ref="AV4:AV46" si="4">AV3</f>
        <v>Power Point Interactiva</v>
      </c>
      <c r="AW4" s="139" t="str">
        <f t="shared" ref="AW4:AW46" si="5">AW3</f>
        <v>042</v>
      </c>
      <c r="AX4" s="138" t="str">
        <f t="shared" ref="AX4:AZ19" si="6">AX3</f>
        <v>EL INSPECTOR ESCOLAR</v>
      </c>
      <c r="AY4" s="138" t="str">
        <f t="shared" si="6"/>
        <v>Ms.C.  JESUS MARTIN RICALDE CASTRO</v>
      </c>
      <c r="AZ4" s="138" t="str">
        <f t="shared" si="6"/>
        <v>JEFA DEL SECTOR 04</v>
      </c>
      <c r="BA4" s="140" t="str">
        <f t="shared" si="1"/>
        <v>PROFRA: AURA EUGENIA ANCONA FLORES</v>
      </c>
      <c r="BB4" s="111">
        <v>3</v>
      </c>
      <c r="BC4" s="3323"/>
      <c r="BD4" s="3323"/>
    </row>
    <row r="5" spans="1:57" ht="11.85" customHeight="1">
      <c r="A5" s="2557"/>
      <c r="B5" s="1066"/>
      <c r="C5" s="1066"/>
      <c r="D5" s="1066"/>
      <c r="E5" s="1066"/>
      <c r="F5" s="1066"/>
      <c r="G5" s="1066"/>
      <c r="H5" s="4173"/>
      <c r="I5" s="4174"/>
      <c r="J5" s="4174"/>
      <c r="K5" s="4174"/>
      <c r="L5" s="4174"/>
      <c r="M5" s="4174"/>
      <c r="N5" s="4174"/>
      <c r="O5" s="4174"/>
      <c r="P5" s="4174"/>
      <c r="Q5" s="4174"/>
      <c r="R5" s="4174"/>
      <c r="S5" s="4174"/>
      <c r="T5" s="4174"/>
      <c r="U5" s="4174"/>
      <c r="V5" s="4174"/>
      <c r="W5" s="4174"/>
      <c r="X5" s="4174"/>
      <c r="Y5" s="4174"/>
      <c r="Z5" s="4174"/>
      <c r="AA5" s="4174"/>
      <c r="AB5" s="4174"/>
      <c r="AC5" s="4174"/>
      <c r="AD5" s="4174"/>
      <c r="AE5" s="4174"/>
      <c r="AF5" s="4174"/>
      <c r="AG5" s="4175"/>
      <c r="AH5" s="1066"/>
      <c r="AI5" s="1066"/>
      <c r="AJ5" s="1066"/>
      <c r="AK5" s="1066"/>
      <c r="AL5" s="1066"/>
      <c r="AM5" s="1066"/>
      <c r="AN5" s="2558"/>
      <c r="AP5" s="137">
        <v>4</v>
      </c>
      <c r="AQ5" s="138" t="str">
        <f>'VISITA DE INSP.'!D20</f>
        <v>MORENO CARDENAS * IGNACIA</v>
      </c>
      <c r="AR5" s="138" t="str">
        <f t="shared" si="2"/>
        <v>KABAH</v>
      </c>
      <c r="AS5" s="138" t="str">
        <f t="shared" si="0"/>
        <v>LEO… Y ¿ENTIENDO?</v>
      </c>
      <c r="AT5" s="138" t="str">
        <f t="shared" si="3"/>
        <v>CERVANTES BENITEZ * ANTONIA</v>
      </c>
      <c r="AU5" s="138" t="s">
        <v>1039</v>
      </c>
      <c r="AV5" s="138" t="str">
        <f t="shared" si="4"/>
        <v>Power Point Interactiva</v>
      </c>
      <c r="AW5" s="139" t="str">
        <f t="shared" si="5"/>
        <v>042</v>
      </c>
      <c r="AX5" s="138" t="str">
        <f t="shared" si="6"/>
        <v>EL INSPECTOR ESCOLAR</v>
      </c>
      <c r="AY5" s="138" t="str">
        <f t="shared" si="6"/>
        <v>Ms.C.  JESUS MARTIN RICALDE CASTRO</v>
      </c>
      <c r="AZ5" s="138" t="str">
        <f t="shared" si="6"/>
        <v>JEFA DEL SECTOR 04</v>
      </c>
      <c r="BA5" s="140" t="str">
        <f t="shared" si="1"/>
        <v>PROFRA: AURA EUGENIA ANCONA FLORES</v>
      </c>
      <c r="BB5" s="111">
        <v>4</v>
      </c>
      <c r="BC5" s="3323" t="s">
        <v>2487</v>
      </c>
      <c r="BD5" s="3323" t="s">
        <v>907</v>
      </c>
    </row>
    <row r="6" spans="1:57" ht="11.85" customHeight="1">
      <c r="A6" s="2557"/>
      <c r="B6" s="1066"/>
      <c r="C6" s="1066"/>
      <c r="D6" s="1066"/>
      <c r="E6" s="1066"/>
      <c r="F6" s="1066"/>
      <c r="G6" s="1066"/>
      <c r="H6" s="2413"/>
      <c r="I6" s="2414"/>
      <c r="J6" s="2414"/>
      <c r="K6" s="2414"/>
      <c r="L6" s="2414"/>
      <c r="M6" s="2414"/>
      <c r="N6" s="2414"/>
      <c r="O6" s="2414"/>
      <c r="P6" s="2414"/>
      <c r="Q6" s="2414"/>
      <c r="R6" s="2414"/>
      <c r="S6" s="2414"/>
      <c r="T6" s="2414"/>
      <c r="U6" s="2414"/>
      <c r="V6" s="2414"/>
      <c r="W6" s="2414"/>
      <c r="X6" s="2414"/>
      <c r="Y6" s="2414"/>
      <c r="Z6" s="2414"/>
      <c r="AA6" s="2414"/>
      <c r="AB6" s="2414"/>
      <c r="AC6" s="2414"/>
      <c r="AD6" s="2414"/>
      <c r="AE6" s="2414"/>
      <c r="AF6" s="2414"/>
      <c r="AG6" s="2415"/>
      <c r="AH6" s="1066"/>
      <c r="AI6" s="1066"/>
      <c r="AJ6" s="1066"/>
      <c r="AK6" s="1066"/>
      <c r="AL6" s="1066"/>
      <c r="AM6" s="1066"/>
      <c r="AN6" s="2558"/>
      <c r="AP6" s="137">
        <v>5</v>
      </c>
      <c r="AQ6" s="138" t="str">
        <f>'VISITA DE INSP.'!D21</f>
        <v>GONGORA SANTOS * GRACIELA</v>
      </c>
      <c r="AR6" s="138" t="str">
        <f t="shared" si="2"/>
        <v>KABAH</v>
      </c>
      <c r="AS6" s="138" t="str">
        <f t="shared" si="0"/>
        <v>¿Qué HACER CON LOS DESEHECHOS?</v>
      </c>
      <c r="AT6" s="138" t="str">
        <f t="shared" si="3"/>
        <v>CERVANTES BENITEZ * ANTONIA</v>
      </c>
      <c r="AU6" s="138" t="s">
        <v>1039</v>
      </c>
      <c r="AV6" s="138" t="str">
        <f t="shared" si="4"/>
        <v>Power Point Interactiva</v>
      </c>
      <c r="AW6" s="139" t="str">
        <f t="shared" si="5"/>
        <v>042</v>
      </c>
      <c r="AX6" s="138" t="str">
        <f t="shared" si="6"/>
        <v>EL INSPECTOR ESCOLAR</v>
      </c>
      <c r="AY6" s="138" t="str">
        <f t="shared" si="6"/>
        <v>Ms.C.  JESUS MARTIN RICALDE CASTRO</v>
      </c>
      <c r="AZ6" s="138" t="str">
        <f t="shared" si="6"/>
        <v>JEFA DEL SECTOR 04</v>
      </c>
      <c r="BA6" s="140" t="str">
        <f t="shared" si="1"/>
        <v>PROFRA: AURA EUGENIA ANCONA FLORES</v>
      </c>
      <c r="BB6" s="111">
        <v>5</v>
      </c>
      <c r="BC6" s="3323" t="s">
        <v>2488</v>
      </c>
      <c r="BD6" s="3323" t="s">
        <v>908</v>
      </c>
    </row>
    <row r="7" spans="1:57" ht="11.85" customHeight="1">
      <c r="A7" s="2557"/>
      <c r="B7" s="1066"/>
      <c r="C7" s="1066"/>
      <c r="D7" s="1066"/>
      <c r="E7" s="1066"/>
      <c r="F7" s="1066"/>
      <c r="G7" s="1066"/>
      <c r="H7" s="1066"/>
      <c r="I7" s="1066"/>
      <c r="J7" s="1066"/>
      <c r="K7" s="1066"/>
      <c r="L7" s="1066"/>
      <c r="M7" s="1066"/>
      <c r="N7" s="1066"/>
      <c r="O7" s="1066"/>
      <c r="P7" s="1066"/>
      <c r="Q7" s="1066"/>
      <c r="R7" s="1066"/>
      <c r="S7" s="1067"/>
      <c r="T7" s="1067"/>
      <c r="U7" s="1065"/>
      <c r="V7" s="1065"/>
      <c r="W7" s="1066"/>
      <c r="X7" s="1066"/>
      <c r="Y7" s="1066"/>
      <c r="Z7" s="1066"/>
      <c r="AA7" s="1066"/>
      <c r="AB7" s="1066"/>
      <c r="AC7" s="1066"/>
      <c r="AD7" s="1066"/>
      <c r="AE7" s="1066"/>
      <c r="AF7" s="1066"/>
      <c r="AG7" s="1066"/>
      <c r="AH7" s="1066"/>
      <c r="AI7" s="1066"/>
      <c r="AJ7" s="1066"/>
      <c r="AK7" s="1066"/>
      <c r="AL7" s="1066"/>
      <c r="AM7" s="1066"/>
      <c r="AN7" s="2558"/>
      <c r="AP7" s="137">
        <v>6</v>
      </c>
      <c r="AQ7" s="138" t="str">
        <f>'VISITA DE INSP.'!D22</f>
        <v>VARGAS GARCIA * DEBRA DORIS DEL SAGRARIO</v>
      </c>
      <c r="AR7" s="138" t="str">
        <f t="shared" si="2"/>
        <v>KABAH</v>
      </c>
      <c r="AS7" s="138" t="str">
        <f t="shared" si="0"/>
        <v>LA ORTOGRAFIA EN LA ACTUALIDAD</v>
      </c>
      <c r="AT7" s="138" t="str">
        <f t="shared" si="3"/>
        <v>CERVANTES BENITEZ * ANTONIA</v>
      </c>
      <c r="AU7" s="138" t="s">
        <v>1039</v>
      </c>
      <c r="AV7" s="138" t="str">
        <f t="shared" si="4"/>
        <v>Power Point Interactiva</v>
      </c>
      <c r="AW7" s="137" t="str">
        <f t="shared" si="5"/>
        <v>042</v>
      </c>
      <c r="AX7" s="138" t="str">
        <f t="shared" si="6"/>
        <v>EL INSPECTOR ESCOLAR</v>
      </c>
      <c r="AY7" s="138" t="str">
        <f t="shared" si="6"/>
        <v>Ms.C.  JESUS MARTIN RICALDE CASTRO</v>
      </c>
      <c r="AZ7" s="138" t="str">
        <f t="shared" si="6"/>
        <v>JEFA DEL SECTOR 04</v>
      </c>
      <c r="BA7" s="140" t="str">
        <f t="shared" si="1"/>
        <v>PROFRA: AURA EUGENIA ANCONA FLORES</v>
      </c>
      <c r="BB7" s="111">
        <v>6</v>
      </c>
      <c r="BC7" s="3323" t="s">
        <v>2489</v>
      </c>
      <c r="BD7" s="3323" t="s">
        <v>909</v>
      </c>
    </row>
    <row r="8" spans="1:57" ht="11.85" customHeight="1">
      <c r="A8" s="2557"/>
      <c r="B8" s="1066"/>
      <c r="C8" s="1066"/>
      <c r="D8" s="1066"/>
      <c r="E8" s="1066"/>
      <c r="F8" s="1066"/>
      <c r="G8" s="1066"/>
      <c r="H8" s="1066"/>
      <c r="I8" s="1066"/>
      <c r="J8" s="1066"/>
      <c r="K8" s="1066"/>
      <c r="L8" s="1066"/>
      <c r="M8" s="1066"/>
      <c r="N8" s="1066"/>
      <c r="O8" s="1066"/>
      <c r="P8" s="1066"/>
      <c r="Q8" s="1066"/>
      <c r="R8" s="1066"/>
      <c r="S8" s="1067"/>
      <c r="T8" s="1067"/>
      <c r="U8" s="1065"/>
      <c r="V8" s="1065"/>
      <c r="W8" s="1066"/>
      <c r="X8" s="1066"/>
      <c r="Y8" s="1066"/>
      <c r="Z8" s="1066"/>
      <c r="AA8" s="1066"/>
      <c r="AB8" s="1066"/>
      <c r="AC8" s="1066"/>
      <c r="AD8" s="1066"/>
      <c r="AE8" s="1066"/>
      <c r="AF8" s="1066"/>
      <c r="AG8" s="1066"/>
      <c r="AH8" s="1066"/>
      <c r="AI8" s="1066"/>
      <c r="AJ8" s="1066"/>
      <c r="AK8" s="1066"/>
      <c r="AL8" s="1066"/>
      <c r="AM8" s="1066"/>
      <c r="AN8" s="2558"/>
      <c r="AP8" s="137">
        <v>7</v>
      </c>
      <c r="AQ8" s="138" t="str">
        <f>'VISITA DE INSP.'!D23</f>
        <v>CASTRO LOPEZ * SOSIMA PETRA</v>
      </c>
      <c r="AR8" s="138" t="str">
        <f t="shared" si="2"/>
        <v>KABAH</v>
      </c>
      <c r="AS8" s="138">
        <f t="shared" si="0"/>
        <v>0</v>
      </c>
      <c r="AT8" s="138" t="str">
        <f t="shared" si="3"/>
        <v>CERVANTES BENITEZ * ANTONIA</v>
      </c>
      <c r="AU8" s="138" t="s">
        <v>1039</v>
      </c>
      <c r="AV8" s="138" t="str">
        <f t="shared" si="4"/>
        <v>Power Point Interactiva</v>
      </c>
      <c r="AW8" s="137" t="str">
        <f t="shared" si="5"/>
        <v>042</v>
      </c>
      <c r="AX8" s="138" t="str">
        <f t="shared" si="6"/>
        <v>EL INSPECTOR ESCOLAR</v>
      </c>
      <c r="AY8" s="138" t="str">
        <f t="shared" si="6"/>
        <v>Ms.C.  JESUS MARTIN RICALDE CASTRO</v>
      </c>
      <c r="AZ8" s="138" t="str">
        <f t="shared" si="6"/>
        <v>JEFA DEL SECTOR 04</v>
      </c>
      <c r="BA8" s="140" t="str">
        <f t="shared" si="1"/>
        <v>PROFRA: AURA EUGENIA ANCONA FLORES</v>
      </c>
      <c r="BB8" s="111">
        <v>7</v>
      </c>
      <c r="BC8" s="3323"/>
      <c r="BD8" s="3323"/>
    </row>
    <row r="9" spans="1:57" ht="11.85" customHeight="1">
      <c r="A9" s="2557"/>
      <c r="B9" s="1066"/>
      <c r="C9" s="1066"/>
      <c r="D9" s="1066"/>
      <c r="E9" s="1066"/>
      <c r="F9" s="1066"/>
      <c r="G9" s="1066"/>
      <c r="H9" s="1066"/>
      <c r="I9" s="1066"/>
      <c r="J9" s="1066"/>
      <c r="K9" s="1066"/>
      <c r="L9" s="1066"/>
      <c r="M9" s="1066"/>
      <c r="N9" s="1066"/>
      <c r="O9" s="1066"/>
      <c r="P9" s="1066"/>
      <c r="Q9" s="1066"/>
      <c r="R9" s="1066"/>
      <c r="S9" s="1067"/>
      <c r="T9" s="1067"/>
      <c r="U9" s="1065"/>
      <c r="V9" s="1065"/>
      <c r="W9" s="1066"/>
      <c r="X9" s="1066"/>
      <c r="Y9" s="1066"/>
      <c r="Z9" s="1066"/>
      <c r="AA9" s="1066"/>
      <c r="AB9" s="1066"/>
      <c r="AC9" s="1066"/>
      <c r="AD9" s="1066"/>
      <c r="AE9" s="1066"/>
      <c r="AF9" s="1066"/>
      <c r="AG9" s="1066"/>
      <c r="AH9" s="1066"/>
      <c r="AI9" s="1066"/>
      <c r="AJ9" s="1066"/>
      <c r="AK9" s="1066"/>
      <c r="AL9" s="1066"/>
      <c r="AM9" s="1066"/>
      <c r="AN9" s="2558"/>
      <c r="AP9" s="137">
        <v>8</v>
      </c>
      <c r="AQ9" s="138" t="str">
        <f>'VISITA DE INSP.'!D24</f>
        <v>SANCHEZ BUSTAMANTE * CONCEPCION</v>
      </c>
      <c r="AR9" s="138" t="str">
        <f t="shared" si="2"/>
        <v>KABAH</v>
      </c>
      <c r="AS9" s="138" t="str">
        <f t="shared" si="0"/>
        <v>AL RESCATE DE LOS VALORES</v>
      </c>
      <c r="AT9" s="138" t="str">
        <f t="shared" si="3"/>
        <v>CERVANTES BENITEZ * ANTONIA</v>
      </c>
      <c r="AU9" s="138" t="s">
        <v>1039</v>
      </c>
      <c r="AV9" s="138" t="str">
        <f t="shared" si="4"/>
        <v>Power Point Interactiva</v>
      </c>
      <c r="AW9" s="137" t="str">
        <f t="shared" si="5"/>
        <v>042</v>
      </c>
      <c r="AX9" s="138" t="str">
        <f t="shared" si="6"/>
        <v>EL INSPECTOR ESCOLAR</v>
      </c>
      <c r="AY9" s="138" t="str">
        <f t="shared" si="6"/>
        <v>Ms.C.  JESUS MARTIN RICALDE CASTRO</v>
      </c>
      <c r="AZ9" s="138" t="str">
        <f t="shared" si="6"/>
        <v>JEFA DEL SECTOR 04</v>
      </c>
      <c r="BA9" s="140" t="str">
        <f t="shared" si="1"/>
        <v>PROFRA: AURA EUGENIA ANCONA FLORES</v>
      </c>
      <c r="BB9" s="111">
        <v>8</v>
      </c>
      <c r="BC9" s="3323" t="s">
        <v>2490</v>
      </c>
      <c r="BD9" s="3323" t="s">
        <v>910</v>
      </c>
    </row>
    <row r="10" spans="1:57" ht="11.85" customHeight="1">
      <c r="A10" s="2557"/>
      <c r="B10" s="1066"/>
      <c r="C10" s="1066"/>
      <c r="D10" s="1066"/>
      <c r="E10" s="1066"/>
      <c r="F10" s="1066"/>
      <c r="G10" s="1066"/>
      <c r="H10" s="1066"/>
      <c r="I10" s="1066"/>
      <c r="J10" s="1066"/>
      <c r="K10" s="1066"/>
      <c r="L10" s="1066"/>
      <c r="M10" s="1066"/>
      <c r="N10" s="1066"/>
      <c r="O10" s="1066"/>
      <c r="P10" s="1066"/>
      <c r="Q10" s="1066"/>
      <c r="R10" s="1066"/>
      <c r="S10" s="1067"/>
      <c r="T10" s="1067"/>
      <c r="U10" s="1065"/>
      <c r="V10" s="1065"/>
      <c r="W10" s="1066"/>
      <c r="X10" s="1066"/>
      <c r="Y10" s="1066"/>
      <c r="Z10" s="1066"/>
      <c r="AA10" s="1066"/>
      <c r="AB10" s="1066"/>
      <c r="AC10" s="1066"/>
      <c r="AD10" s="1066"/>
      <c r="AE10" s="1066"/>
      <c r="AF10" s="1066"/>
      <c r="AG10" s="1066"/>
      <c r="AH10" s="1066"/>
      <c r="AI10" s="1066"/>
      <c r="AJ10" s="1066"/>
      <c r="AK10" s="1066"/>
      <c r="AL10" s="1066"/>
      <c r="AM10" s="1066"/>
      <c r="AN10" s="2558"/>
      <c r="AP10" s="137">
        <v>9</v>
      </c>
      <c r="AQ10" s="138" t="str">
        <f>'VISITA DE INSP.'!D25</f>
        <v>VIVEROS SALAZAR *NORA</v>
      </c>
      <c r="AR10" s="138" t="str">
        <f t="shared" si="2"/>
        <v>KABAH</v>
      </c>
      <c r="AS10" s="138">
        <f t="shared" si="0"/>
        <v>0</v>
      </c>
      <c r="AT10" s="138" t="str">
        <f t="shared" si="3"/>
        <v>CERVANTES BENITEZ * ANTONIA</v>
      </c>
      <c r="AU10" s="138" t="s">
        <v>1039</v>
      </c>
      <c r="AV10" s="138" t="str">
        <f t="shared" si="4"/>
        <v>Power Point Interactiva</v>
      </c>
      <c r="AW10" s="137" t="str">
        <f t="shared" si="5"/>
        <v>042</v>
      </c>
      <c r="AX10" s="138" t="str">
        <f t="shared" si="6"/>
        <v>EL INSPECTOR ESCOLAR</v>
      </c>
      <c r="AY10" s="138" t="str">
        <f t="shared" si="6"/>
        <v>Ms.C.  JESUS MARTIN RICALDE CASTRO</v>
      </c>
      <c r="AZ10" s="138" t="str">
        <f t="shared" si="6"/>
        <v>JEFA DEL SECTOR 04</v>
      </c>
      <c r="BA10" s="140" t="str">
        <f t="shared" si="1"/>
        <v>PROFRA: AURA EUGENIA ANCONA FLORES</v>
      </c>
      <c r="BB10" s="111">
        <v>9</v>
      </c>
      <c r="BC10" s="3323"/>
      <c r="BD10" s="3323"/>
    </row>
    <row r="11" spans="1:57" ht="11.85" customHeight="1">
      <c r="A11" s="2557"/>
      <c r="B11" s="1066"/>
      <c r="C11" s="1066"/>
      <c r="D11" s="1066"/>
      <c r="E11" s="1066"/>
      <c r="F11" s="1066"/>
      <c r="G11" s="1066"/>
      <c r="H11" s="1066"/>
      <c r="I11" s="1066"/>
      <c r="J11" s="1066"/>
      <c r="K11" s="1066"/>
      <c r="L11" s="1066"/>
      <c r="M11" s="1066"/>
      <c r="N11" s="1066"/>
      <c r="O11" s="1066"/>
      <c r="P11" s="1066"/>
      <c r="Q11" s="1066"/>
      <c r="R11" s="1066"/>
      <c r="S11" s="1067"/>
      <c r="T11" s="1067"/>
      <c r="U11" s="1065"/>
      <c r="V11" s="1065"/>
      <c r="W11" s="1066"/>
      <c r="X11" s="1066"/>
      <c r="Y11" s="1066"/>
      <c r="Z11" s="1066"/>
      <c r="AA11" s="1066"/>
      <c r="AB11" s="1066"/>
      <c r="AC11" s="1066"/>
      <c r="AD11" s="1066"/>
      <c r="AE11" s="1066"/>
      <c r="AF11" s="1066"/>
      <c r="AG11" s="1066"/>
      <c r="AH11" s="1066"/>
      <c r="AI11" s="1066"/>
      <c r="AJ11" s="1066"/>
      <c r="AK11" s="1066"/>
      <c r="AL11" s="1066"/>
      <c r="AM11" s="1066"/>
      <c r="AN11" s="2558"/>
      <c r="AP11" s="137">
        <v>10</v>
      </c>
      <c r="AQ11" s="138" t="str">
        <f>'VISITA DE INSP.'!D26</f>
        <v>XIU VELAZQUEZ * JOSE MANUEL</v>
      </c>
      <c r="AR11" s="138" t="str">
        <f t="shared" si="2"/>
        <v>KABAH</v>
      </c>
      <c r="AS11" s="138">
        <f t="shared" si="0"/>
        <v>0</v>
      </c>
      <c r="AT11" s="138" t="str">
        <f t="shared" si="3"/>
        <v>CERVANTES BENITEZ * ANTONIA</v>
      </c>
      <c r="AU11" s="138" t="s">
        <v>1039</v>
      </c>
      <c r="AV11" s="138" t="str">
        <f t="shared" si="4"/>
        <v>Power Point Interactiva</v>
      </c>
      <c r="AW11" s="137" t="str">
        <f t="shared" si="5"/>
        <v>042</v>
      </c>
      <c r="AX11" s="138" t="str">
        <f t="shared" si="6"/>
        <v>EL INSPECTOR ESCOLAR</v>
      </c>
      <c r="AY11" s="138" t="str">
        <f t="shared" si="6"/>
        <v>Ms.C.  JESUS MARTIN RICALDE CASTRO</v>
      </c>
      <c r="AZ11" s="138" t="str">
        <f t="shared" si="6"/>
        <v>JEFA DEL SECTOR 04</v>
      </c>
      <c r="BA11" s="140" t="str">
        <f t="shared" si="1"/>
        <v>PROFRA: AURA EUGENIA ANCONA FLORES</v>
      </c>
      <c r="BB11" s="111">
        <v>10</v>
      </c>
      <c r="BC11" s="3323"/>
      <c r="BD11" s="3323"/>
    </row>
    <row r="12" spans="1:57" ht="11.85" customHeight="1">
      <c r="A12" s="2557"/>
      <c r="B12" s="1066"/>
      <c r="C12" s="1066"/>
      <c r="D12" s="1066"/>
      <c r="E12" s="1066"/>
      <c r="F12" s="1066"/>
      <c r="G12" s="1066"/>
      <c r="H12" s="1066"/>
      <c r="I12" s="1066"/>
      <c r="J12" s="1066"/>
      <c r="K12" s="1066"/>
      <c r="L12" s="1066"/>
      <c r="M12" s="1066"/>
      <c r="N12" s="1066"/>
      <c r="O12" s="1066"/>
      <c r="P12" s="1066"/>
      <c r="Q12" s="1066"/>
      <c r="R12" s="1066"/>
      <c r="S12" s="1067"/>
      <c r="T12" s="1067"/>
      <c r="U12" s="1065"/>
      <c r="V12" s="1065"/>
      <c r="W12" s="1066"/>
      <c r="X12" s="1066"/>
      <c r="Y12" s="1066"/>
      <c r="Z12" s="1066"/>
      <c r="AA12" s="1066"/>
      <c r="AB12" s="1066"/>
      <c r="AC12" s="1066"/>
      <c r="AD12" s="1066"/>
      <c r="AE12" s="1066"/>
      <c r="AF12" s="1066"/>
      <c r="AG12" s="1066"/>
      <c r="AH12" s="1066"/>
      <c r="AI12" s="1066"/>
      <c r="AJ12" s="1066"/>
      <c r="AK12" s="1066"/>
      <c r="AL12" s="1066"/>
      <c r="AM12" s="1066"/>
      <c r="AN12" s="2558"/>
      <c r="AP12" s="137">
        <v>11</v>
      </c>
      <c r="AQ12" s="138" t="str">
        <f>'VISITA DE INSP.'!D27</f>
        <v>MARTIN QUINTAL * SIHARELI CONCEPCION</v>
      </c>
      <c r="AR12" s="138" t="str">
        <f t="shared" si="2"/>
        <v>KABAH</v>
      </c>
      <c r="AS12" s="138">
        <f t="shared" si="0"/>
        <v>0</v>
      </c>
      <c r="AT12" s="138" t="str">
        <f t="shared" si="3"/>
        <v>CERVANTES BENITEZ * ANTONIA</v>
      </c>
      <c r="AU12" s="138" t="s">
        <v>1039</v>
      </c>
      <c r="AV12" s="138" t="str">
        <f t="shared" si="4"/>
        <v>Power Point Interactiva</v>
      </c>
      <c r="AW12" s="137" t="str">
        <f t="shared" si="5"/>
        <v>042</v>
      </c>
      <c r="AX12" s="138" t="str">
        <f t="shared" si="6"/>
        <v>EL INSPECTOR ESCOLAR</v>
      </c>
      <c r="AY12" s="138" t="str">
        <f t="shared" si="6"/>
        <v>Ms.C.  JESUS MARTIN RICALDE CASTRO</v>
      </c>
      <c r="AZ12" s="138" t="str">
        <f t="shared" si="6"/>
        <v>JEFA DEL SECTOR 04</v>
      </c>
      <c r="BA12" s="140" t="str">
        <f t="shared" si="1"/>
        <v>PROFRA: AURA EUGENIA ANCONA FLORES</v>
      </c>
      <c r="BB12" s="111">
        <v>11</v>
      </c>
      <c r="BC12" s="3323"/>
      <c r="BD12" s="3323"/>
    </row>
    <row r="13" spans="1:57" ht="11.85" customHeight="1">
      <c r="A13" s="2557"/>
      <c r="B13" s="1066"/>
      <c r="C13" s="1066"/>
      <c r="D13" s="1066"/>
      <c r="E13" s="1066"/>
      <c r="F13" s="1066"/>
      <c r="G13" s="1066"/>
      <c r="H13" s="1066"/>
      <c r="I13" s="1066"/>
      <c r="J13" s="1066"/>
      <c r="K13" s="1066"/>
      <c r="L13" s="1066"/>
      <c r="M13" s="1068"/>
      <c r="N13" s="1068"/>
      <c r="O13" s="1068"/>
      <c r="P13" s="1068"/>
      <c r="Q13" s="1068"/>
      <c r="R13" s="1068"/>
      <c r="S13" s="1069"/>
      <c r="T13" s="1069"/>
      <c r="U13" s="1065"/>
      <c r="V13" s="1065"/>
      <c r="W13" s="1066"/>
      <c r="X13" s="1066"/>
      <c r="Y13" s="1066"/>
      <c r="Z13" s="1066"/>
      <c r="AA13" s="1066"/>
      <c r="AB13" s="1066"/>
      <c r="AC13" s="1066"/>
      <c r="AD13" s="1066"/>
      <c r="AE13" s="1066"/>
      <c r="AF13" s="1066"/>
      <c r="AG13" s="1066"/>
      <c r="AH13" s="1066"/>
      <c r="AI13" s="1066"/>
      <c r="AJ13" s="1066"/>
      <c r="AK13" s="1066"/>
      <c r="AL13" s="1066"/>
      <c r="AM13" s="1066"/>
      <c r="AN13" s="2558"/>
      <c r="AP13" s="137">
        <v>12</v>
      </c>
      <c r="AQ13" s="138" t="str">
        <f>'VISITA DE INSP.'!D28</f>
        <v>ALEMAN SANTOS * MIRIAM</v>
      </c>
      <c r="AR13" s="138" t="str">
        <f t="shared" si="2"/>
        <v>KABAH</v>
      </c>
      <c r="AS13" s="138">
        <f t="shared" si="0"/>
        <v>0</v>
      </c>
      <c r="AT13" s="138" t="str">
        <f t="shared" si="3"/>
        <v>CERVANTES BENITEZ * ANTONIA</v>
      </c>
      <c r="AU13" s="138" t="s">
        <v>1039</v>
      </c>
      <c r="AV13" s="138" t="str">
        <f t="shared" si="4"/>
        <v>Power Point Interactiva</v>
      </c>
      <c r="AW13" s="137" t="str">
        <f t="shared" si="5"/>
        <v>042</v>
      </c>
      <c r="AX13" s="138" t="str">
        <f t="shared" si="6"/>
        <v>EL INSPECTOR ESCOLAR</v>
      </c>
      <c r="AY13" s="138" t="str">
        <f t="shared" si="6"/>
        <v>Ms.C.  JESUS MARTIN RICALDE CASTRO</v>
      </c>
      <c r="AZ13" s="138" t="str">
        <f t="shared" si="6"/>
        <v>JEFA DEL SECTOR 04</v>
      </c>
      <c r="BA13" s="140" t="str">
        <f t="shared" si="1"/>
        <v>PROFRA: AURA EUGENIA ANCONA FLORES</v>
      </c>
      <c r="BB13" s="111">
        <v>12</v>
      </c>
      <c r="BC13" s="3323"/>
      <c r="BD13" s="3323"/>
    </row>
    <row r="14" spans="1:57" ht="11.85" customHeight="1">
      <c r="A14" s="2557"/>
      <c r="B14" s="1066"/>
      <c r="C14" s="1066"/>
      <c r="D14" s="1066"/>
      <c r="E14" s="1066"/>
      <c r="F14" s="1066"/>
      <c r="G14" s="1066"/>
      <c r="H14" s="1066"/>
      <c r="I14" s="1066"/>
      <c r="J14" s="1066"/>
      <c r="K14" s="1066"/>
      <c r="L14" s="1066"/>
      <c r="M14" s="1066"/>
      <c r="N14" s="1066"/>
      <c r="O14" s="1066"/>
      <c r="P14" s="1066"/>
      <c r="Q14" s="1066"/>
      <c r="R14" s="1066"/>
      <c r="S14" s="1067"/>
      <c r="T14" s="1067"/>
      <c r="U14" s="1065"/>
      <c r="V14" s="1065"/>
      <c r="W14" s="1066"/>
      <c r="X14" s="1066"/>
      <c r="Y14" s="1066"/>
      <c r="Z14" s="1066"/>
      <c r="AA14" s="1066"/>
      <c r="AB14" s="1066"/>
      <c r="AC14" s="1066"/>
      <c r="AD14" s="1066"/>
      <c r="AE14" s="1066"/>
      <c r="AF14" s="1066"/>
      <c r="AG14" s="1066"/>
      <c r="AH14" s="1066"/>
      <c r="AI14" s="1066"/>
      <c r="AJ14" s="1066"/>
      <c r="AK14" s="1066"/>
      <c r="AL14" s="1066"/>
      <c r="AM14" s="1066"/>
      <c r="AN14" s="2558"/>
      <c r="AP14" s="137">
        <v>13</v>
      </c>
      <c r="AQ14" s="138" t="str">
        <f>'VISITA DE INSP.'!D29</f>
        <v>CRUZ PEREZ * FRANCISCO</v>
      </c>
      <c r="AR14" s="138" t="str">
        <f t="shared" si="2"/>
        <v>KABAH</v>
      </c>
      <c r="AS14" s="138">
        <f t="shared" si="0"/>
        <v>0</v>
      </c>
      <c r="AT14" s="138" t="str">
        <f t="shared" si="3"/>
        <v>CERVANTES BENITEZ * ANTONIA</v>
      </c>
      <c r="AU14" s="138" t="s">
        <v>1039</v>
      </c>
      <c r="AV14" s="138" t="str">
        <f t="shared" si="4"/>
        <v>Power Point Interactiva</v>
      </c>
      <c r="AW14" s="137" t="str">
        <f t="shared" si="5"/>
        <v>042</v>
      </c>
      <c r="AX14" s="138" t="str">
        <f t="shared" si="6"/>
        <v>EL INSPECTOR ESCOLAR</v>
      </c>
      <c r="AY14" s="138" t="str">
        <f t="shared" si="6"/>
        <v>Ms.C.  JESUS MARTIN RICALDE CASTRO</v>
      </c>
      <c r="AZ14" s="138" t="str">
        <f t="shared" si="6"/>
        <v>JEFA DEL SECTOR 04</v>
      </c>
      <c r="BA14" s="140" t="str">
        <f t="shared" si="1"/>
        <v>PROFRA: AURA EUGENIA ANCONA FLORES</v>
      </c>
      <c r="BB14" s="111">
        <v>13</v>
      </c>
      <c r="BC14" s="3323"/>
      <c r="BD14" s="3323"/>
    </row>
    <row r="15" spans="1:57" ht="8.25" customHeight="1">
      <c r="A15" s="2557"/>
      <c r="B15" s="1066"/>
      <c r="C15" s="1066"/>
      <c r="D15" s="1066"/>
      <c r="E15" s="1066"/>
      <c r="F15" s="1066"/>
      <c r="G15" s="1066"/>
      <c r="H15" s="1066"/>
      <c r="I15" s="1066"/>
      <c r="J15" s="1066"/>
      <c r="K15" s="1066"/>
      <c r="L15" s="1066"/>
      <c r="M15" s="1066"/>
      <c r="N15" s="1066"/>
      <c r="O15" s="1066"/>
      <c r="P15" s="1066"/>
      <c r="Q15" s="1066"/>
      <c r="R15" s="1066"/>
      <c r="S15" s="1067"/>
      <c r="T15" s="1067"/>
      <c r="U15" s="1065"/>
      <c r="V15" s="1065"/>
      <c r="W15" s="1066"/>
      <c r="X15" s="1066"/>
      <c r="Y15" s="1066"/>
      <c r="Z15" s="1066"/>
      <c r="AA15" s="1066"/>
      <c r="AB15" s="1066"/>
      <c r="AC15" s="1066"/>
      <c r="AD15" s="1066"/>
      <c r="AE15" s="1066"/>
      <c r="AF15" s="1066"/>
      <c r="AG15" s="1066"/>
      <c r="AH15" s="1066"/>
      <c r="AI15" s="1066"/>
      <c r="AJ15" s="1066"/>
      <c r="AK15" s="1066"/>
      <c r="AL15" s="1066"/>
      <c r="AM15" s="1066"/>
      <c r="AN15" s="2558"/>
      <c r="AP15" s="137">
        <v>14</v>
      </c>
      <c r="AQ15" s="138" t="str">
        <f>'VISITA DE INSP.'!D30</f>
        <v>GONGORA * TERESITA DEL CARMEN</v>
      </c>
      <c r="AR15" s="138" t="str">
        <f t="shared" si="2"/>
        <v>KABAH</v>
      </c>
      <c r="AS15" s="138">
        <f t="shared" si="0"/>
        <v>0</v>
      </c>
      <c r="AT15" s="138" t="str">
        <f t="shared" si="3"/>
        <v>CERVANTES BENITEZ * ANTONIA</v>
      </c>
      <c r="AU15" s="138" t="s">
        <v>1039</v>
      </c>
      <c r="AV15" s="138" t="str">
        <f t="shared" si="4"/>
        <v>Power Point Interactiva</v>
      </c>
      <c r="AW15" s="137" t="str">
        <f t="shared" si="5"/>
        <v>042</v>
      </c>
      <c r="AX15" s="138" t="str">
        <f t="shared" si="6"/>
        <v>EL INSPECTOR ESCOLAR</v>
      </c>
      <c r="AY15" s="138" t="str">
        <f t="shared" si="6"/>
        <v>Ms.C.  JESUS MARTIN RICALDE CASTRO</v>
      </c>
      <c r="AZ15" s="138" t="str">
        <f t="shared" si="6"/>
        <v>JEFA DEL SECTOR 04</v>
      </c>
      <c r="BA15" s="140" t="str">
        <f t="shared" si="1"/>
        <v>PROFRA: AURA EUGENIA ANCONA FLORES</v>
      </c>
      <c r="BB15" s="111">
        <v>14</v>
      </c>
      <c r="BC15" s="3323"/>
      <c r="BD15" s="3323"/>
    </row>
    <row r="16" spans="1:57" ht="12.75" customHeight="1">
      <c r="A16" s="2557"/>
      <c r="B16" s="1066"/>
      <c r="C16" s="1066"/>
      <c r="D16" s="1066"/>
      <c r="E16" s="4203" t="s">
        <v>896</v>
      </c>
      <c r="F16" s="4204"/>
      <c r="G16" s="4204"/>
      <c r="H16" s="4204"/>
      <c r="I16" s="4204"/>
      <c r="J16" s="4204"/>
      <c r="K16" s="4204"/>
      <c r="L16" s="4205"/>
      <c r="M16" s="4191" t="str">
        <f>VLOOKUP(G18,AP2:BA46,2,2)</f>
        <v>VARGAS GARCIA * DEBRA DORIS DEL SAGRARIO</v>
      </c>
      <c r="N16" s="4192"/>
      <c r="O16" s="4192"/>
      <c r="P16" s="4192"/>
      <c r="Q16" s="4192"/>
      <c r="R16" s="4192"/>
      <c r="S16" s="4192"/>
      <c r="T16" s="4192"/>
      <c r="U16" s="4192"/>
      <c r="V16" s="4192"/>
      <c r="W16" s="4192"/>
      <c r="X16" s="4192"/>
      <c r="Y16" s="4192"/>
      <c r="Z16" s="4192"/>
      <c r="AA16" s="4192"/>
      <c r="AB16" s="4192"/>
      <c r="AC16" s="4192"/>
      <c r="AD16" s="4192"/>
      <c r="AE16" s="4192"/>
      <c r="AF16" s="4192"/>
      <c r="AG16" s="4192"/>
      <c r="AH16" s="4192"/>
      <c r="AI16" s="4192"/>
      <c r="AJ16" s="4193"/>
      <c r="AK16" s="1066"/>
      <c r="AL16" s="1066"/>
      <c r="AM16" s="1066"/>
      <c r="AN16" s="2558"/>
      <c r="AP16" s="137">
        <v>15</v>
      </c>
      <c r="AQ16" s="138" t="str">
        <f>'VISITA DE INSP.'!D31</f>
        <v>ARGUELLES GARCIA * MAYRA LUCELY</v>
      </c>
      <c r="AR16" s="138" t="str">
        <f t="shared" si="2"/>
        <v>KABAH</v>
      </c>
      <c r="AS16" s="138">
        <f t="shared" si="0"/>
        <v>0</v>
      </c>
      <c r="AT16" s="138" t="str">
        <f t="shared" si="3"/>
        <v>CERVANTES BENITEZ * ANTONIA</v>
      </c>
      <c r="AU16" s="138" t="s">
        <v>1039</v>
      </c>
      <c r="AV16" s="138" t="str">
        <f t="shared" si="4"/>
        <v>Power Point Interactiva</v>
      </c>
      <c r="AW16" s="137" t="str">
        <f t="shared" si="5"/>
        <v>042</v>
      </c>
      <c r="AX16" s="138" t="str">
        <f t="shared" si="6"/>
        <v>EL INSPECTOR ESCOLAR</v>
      </c>
      <c r="AY16" s="138" t="str">
        <f t="shared" si="6"/>
        <v>Ms.C.  JESUS MARTIN RICALDE CASTRO</v>
      </c>
      <c r="AZ16" s="138" t="str">
        <f t="shared" si="6"/>
        <v>JEFA DEL SECTOR 04</v>
      </c>
      <c r="BA16" s="140" t="str">
        <f t="shared" si="1"/>
        <v>PROFRA: AURA EUGENIA ANCONA FLORES</v>
      </c>
      <c r="BB16" s="111">
        <v>15</v>
      </c>
      <c r="BC16" s="3323"/>
      <c r="BD16" s="3323"/>
    </row>
    <row r="17" spans="1:56" ht="12.75" customHeight="1">
      <c r="A17" s="2557"/>
      <c r="B17" s="1066"/>
      <c r="C17" s="1066"/>
      <c r="D17" s="1066"/>
      <c r="E17" s="4206"/>
      <c r="F17" s="4207"/>
      <c r="G17" s="4207"/>
      <c r="H17" s="4207"/>
      <c r="I17" s="4207"/>
      <c r="J17" s="4207"/>
      <c r="K17" s="4207"/>
      <c r="L17" s="4208"/>
      <c r="M17" s="4194"/>
      <c r="N17" s="4195"/>
      <c r="O17" s="4195"/>
      <c r="P17" s="4195"/>
      <c r="Q17" s="4195"/>
      <c r="R17" s="4195"/>
      <c r="S17" s="4195"/>
      <c r="T17" s="4195"/>
      <c r="U17" s="4195"/>
      <c r="V17" s="4195"/>
      <c r="W17" s="4195"/>
      <c r="X17" s="4195"/>
      <c r="Y17" s="4195"/>
      <c r="Z17" s="4195"/>
      <c r="AA17" s="4195"/>
      <c r="AB17" s="4195"/>
      <c r="AC17" s="4195"/>
      <c r="AD17" s="4195"/>
      <c r="AE17" s="4195"/>
      <c r="AF17" s="4195"/>
      <c r="AG17" s="4195"/>
      <c r="AH17" s="4195"/>
      <c r="AI17" s="4195"/>
      <c r="AJ17" s="4196"/>
      <c r="AK17" s="1066"/>
      <c r="AL17" s="1066"/>
      <c r="AM17" s="1066"/>
      <c r="AN17" s="2558"/>
      <c r="AP17" s="137">
        <v>16</v>
      </c>
      <c r="AQ17" s="138">
        <f>'VISITA DE INSP.'!D32</f>
        <v>0</v>
      </c>
      <c r="AR17" s="138" t="str">
        <f t="shared" si="2"/>
        <v>KABAH</v>
      </c>
      <c r="AS17" s="138">
        <f t="shared" si="0"/>
        <v>0</v>
      </c>
      <c r="AT17" s="138" t="str">
        <f t="shared" si="3"/>
        <v>CERVANTES BENITEZ * ANTONIA</v>
      </c>
      <c r="AU17" s="138" t="s">
        <v>1039</v>
      </c>
      <c r="AV17" s="138" t="str">
        <f t="shared" si="4"/>
        <v>Power Point Interactiva</v>
      </c>
      <c r="AW17" s="137" t="str">
        <f t="shared" si="5"/>
        <v>042</v>
      </c>
      <c r="AX17" s="138" t="str">
        <f t="shared" si="6"/>
        <v>EL INSPECTOR ESCOLAR</v>
      </c>
      <c r="AY17" s="138" t="str">
        <f t="shared" si="6"/>
        <v>Ms.C.  JESUS MARTIN RICALDE CASTRO</v>
      </c>
      <c r="AZ17" s="138" t="str">
        <f t="shared" si="6"/>
        <v>JEFA DEL SECTOR 04</v>
      </c>
      <c r="BA17" s="140" t="str">
        <f t="shared" si="1"/>
        <v>PROFRA: AURA EUGENIA ANCONA FLORES</v>
      </c>
      <c r="BB17" s="111">
        <v>16</v>
      </c>
      <c r="BC17" s="3323"/>
      <c r="BD17" s="195"/>
    </row>
    <row r="18" spans="1:56" ht="7.5" customHeight="1">
      <c r="A18" s="2557"/>
      <c r="B18" s="1066"/>
      <c r="C18" s="1066"/>
      <c r="D18" s="1067"/>
      <c r="E18" s="1086">
        <f>'VISITA DE INSP.'!T6</f>
        <v>1</v>
      </c>
      <c r="F18" s="1064">
        <v>2</v>
      </c>
      <c r="G18" s="1064">
        <v>6</v>
      </c>
      <c r="H18" s="1065"/>
      <c r="I18" s="1066"/>
      <c r="J18" s="1066"/>
      <c r="K18" s="1066"/>
      <c r="L18" s="1066"/>
      <c r="M18" s="1066"/>
      <c r="N18" s="1066"/>
      <c r="O18" s="1070"/>
      <c r="P18" s="1066"/>
      <c r="Q18" s="1066"/>
      <c r="R18" s="1066"/>
      <c r="S18" s="1066"/>
      <c r="T18" s="1066"/>
      <c r="U18" s="1066"/>
      <c r="V18" s="1066"/>
      <c r="W18" s="1066"/>
      <c r="X18" s="1066"/>
      <c r="Y18" s="1066"/>
      <c r="Z18" s="1066"/>
      <c r="AA18" s="1066"/>
      <c r="AB18" s="1066"/>
      <c r="AC18" s="1066"/>
      <c r="AD18" s="1066"/>
      <c r="AE18" s="1066"/>
      <c r="AF18" s="1066"/>
      <c r="AG18" s="1066"/>
      <c r="AH18" s="1066"/>
      <c r="AI18" s="1066"/>
      <c r="AJ18" s="1066"/>
      <c r="AK18" s="1066"/>
      <c r="AL18" s="1066"/>
      <c r="AM18" s="1066"/>
      <c r="AN18" s="2558"/>
      <c r="AP18" s="137">
        <v>17</v>
      </c>
      <c r="AQ18" s="138">
        <f>'VISITA DE INSP.'!D33</f>
        <v>0</v>
      </c>
      <c r="AR18" s="138" t="str">
        <f t="shared" si="2"/>
        <v>KABAH</v>
      </c>
      <c r="AS18" s="138">
        <f t="shared" si="0"/>
        <v>0</v>
      </c>
      <c r="AT18" s="138" t="str">
        <f t="shared" si="3"/>
        <v>CERVANTES BENITEZ * ANTONIA</v>
      </c>
      <c r="AU18" s="138" t="s">
        <v>1039</v>
      </c>
      <c r="AV18" s="138" t="str">
        <f t="shared" si="4"/>
        <v>Power Point Interactiva</v>
      </c>
      <c r="AW18" s="137" t="str">
        <f t="shared" si="5"/>
        <v>042</v>
      </c>
      <c r="AX18" s="138" t="str">
        <f t="shared" si="6"/>
        <v>EL INSPECTOR ESCOLAR</v>
      </c>
      <c r="AY18" s="138" t="str">
        <f t="shared" si="6"/>
        <v>Ms.C.  JESUS MARTIN RICALDE CASTRO</v>
      </c>
      <c r="AZ18" s="138" t="str">
        <f t="shared" si="6"/>
        <v>JEFA DEL SECTOR 04</v>
      </c>
      <c r="BA18" s="140" t="str">
        <f t="shared" si="1"/>
        <v>PROFRA: AURA EUGENIA ANCONA FLORES</v>
      </c>
      <c r="BB18" s="111">
        <v>17</v>
      </c>
      <c r="BC18" s="3323"/>
      <c r="BD18" s="195"/>
    </row>
    <row r="19" spans="1:56" ht="7.5" customHeight="1">
      <c r="A19" s="2557"/>
      <c r="B19" s="1066"/>
      <c r="C19" s="1066"/>
      <c r="D19" s="1066"/>
      <c r="E19" s="4182" t="str">
        <f>VLOOKUP(F18,B43:G47,2,2)</f>
        <v>POR SU DESTACADA PARTICIPACIÓN COMO RELATOR EN EL II INTERCAMBIO</v>
      </c>
      <c r="F19" s="4183"/>
      <c r="G19" s="4183"/>
      <c r="H19" s="4183"/>
      <c r="I19" s="4183"/>
      <c r="J19" s="4183"/>
      <c r="K19" s="4183"/>
      <c r="L19" s="4183"/>
      <c r="M19" s="4183"/>
      <c r="N19" s="4183"/>
      <c r="O19" s="4183"/>
      <c r="P19" s="4183"/>
      <c r="Q19" s="4183"/>
      <c r="R19" s="4183"/>
      <c r="S19" s="4183"/>
      <c r="T19" s="4183"/>
      <c r="U19" s="4183"/>
      <c r="V19" s="4183"/>
      <c r="W19" s="4183"/>
      <c r="X19" s="4183"/>
      <c r="Y19" s="4183"/>
      <c r="Z19" s="4183"/>
      <c r="AA19" s="4183"/>
      <c r="AB19" s="4183"/>
      <c r="AC19" s="4183"/>
      <c r="AD19" s="4183"/>
      <c r="AE19" s="4183"/>
      <c r="AF19" s="4183"/>
      <c r="AG19" s="4183"/>
      <c r="AH19" s="4183"/>
      <c r="AI19" s="4183"/>
      <c r="AJ19" s="4184"/>
      <c r="AK19" s="1066"/>
      <c r="AL19" s="1066"/>
      <c r="AM19" s="1066"/>
      <c r="AN19" s="2558"/>
      <c r="AP19" s="137">
        <v>18</v>
      </c>
      <c r="AQ19" s="138" t="str">
        <f>'VISITA DE INSP.'!D34</f>
        <v>GARDUÑO CASTILLO * MERLI ROCIO</v>
      </c>
      <c r="AR19" s="138" t="str">
        <f t="shared" si="2"/>
        <v>KABAH</v>
      </c>
      <c r="AS19" s="138">
        <f t="shared" si="0"/>
        <v>0</v>
      </c>
      <c r="AT19" s="138" t="str">
        <f t="shared" si="3"/>
        <v>CERVANTES BENITEZ * ANTONIA</v>
      </c>
      <c r="AU19" s="138" t="s">
        <v>1039</v>
      </c>
      <c r="AV19" s="138" t="str">
        <f t="shared" si="4"/>
        <v>Power Point Interactiva</v>
      </c>
      <c r="AW19" s="137" t="str">
        <f t="shared" si="5"/>
        <v>042</v>
      </c>
      <c r="AX19" s="138" t="str">
        <f t="shared" si="6"/>
        <v>EL INSPECTOR ESCOLAR</v>
      </c>
      <c r="AY19" s="138" t="str">
        <f t="shared" si="6"/>
        <v>Ms.C.  JESUS MARTIN RICALDE CASTRO</v>
      </c>
      <c r="AZ19" s="138" t="str">
        <f t="shared" si="6"/>
        <v>JEFA DEL SECTOR 04</v>
      </c>
      <c r="BA19" s="140" t="str">
        <f t="shared" si="1"/>
        <v>PROFRA: AURA EUGENIA ANCONA FLORES</v>
      </c>
      <c r="BB19" s="111">
        <v>18</v>
      </c>
      <c r="BC19" s="3323"/>
      <c r="BD19" s="195"/>
    </row>
    <row r="20" spans="1:56" ht="7.5" customHeight="1">
      <c r="A20" s="2557"/>
      <c r="B20" s="1066"/>
      <c r="C20" s="1066"/>
      <c r="D20" s="1066"/>
      <c r="E20" s="4188"/>
      <c r="F20" s="4189"/>
      <c r="G20" s="4189"/>
      <c r="H20" s="4189"/>
      <c r="I20" s="4189"/>
      <c r="J20" s="4189"/>
      <c r="K20" s="4189"/>
      <c r="L20" s="4189"/>
      <c r="M20" s="4189"/>
      <c r="N20" s="4189"/>
      <c r="O20" s="4189"/>
      <c r="P20" s="4189"/>
      <c r="Q20" s="4189"/>
      <c r="R20" s="4189"/>
      <c r="S20" s="4189"/>
      <c r="T20" s="4189"/>
      <c r="U20" s="4189"/>
      <c r="V20" s="4189"/>
      <c r="W20" s="4189"/>
      <c r="X20" s="4189"/>
      <c r="Y20" s="4189"/>
      <c r="Z20" s="4189"/>
      <c r="AA20" s="4189"/>
      <c r="AB20" s="4189"/>
      <c r="AC20" s="4189"/>
      <c r="AD20" s="4189"/>
      <c r="AE20" s="4189"/>
      <c r="AF20" s="4189"/>
      <c r="AG20" s="4189"/>
      <c r="AH20" s="4189"/>
      <c r="AI20" s="4189"/>
      <c r="AJ20" s="4190"/>
      <c r="AK20" s="1066"/>
      <c r="AL20" s="1066"/>
      <c r="AM20" s="1066"/>
      <c r="AN20" s="2558"/>
      <c r="AP20" s="137">
        <v>19</v>
      </c>
      <c r="AQ20" s="138" t="str">
        <f>'VISITA DE INSP.'!D35</f>
        <v>POOT QUEB *LUIS ARMANDO</v>
      </c>
      <c r="AR20" s="138" t="str">
        <f t="shared" si="2"/>
        <v>KABAH</v>
      </c>
      <c r="AS20" s="138">
        <f t="shared" si="0"/>
        <v>0</v>
      </c>
      <c r="AT20" s="138" t="str">
        <f t="shared" si="3"/>
        <v>CERVANTES BENITEZ * ANTONIA</v>
      </c>
      <c r="AU20" s="138" t="s">
        <v>1039</v>
      </c>
      <c r="AV20" s="138" t="str">
        <f t="shared" si="4"/>
        <v>Power Point Interactiva</v>
      </c>
      <c r="AW20" s="137" t="str">
        <f t="shared" si="5"/>
        <v>042</v>
      </c>
      <c r="AX20" s="138" t="str">
        <f t="shared" ref="AX20:AX35" si="7">AX19</f>
        <v>EL INSPECTOR ESCOLAR</v>
      </c>
      <c r="AY20" s="138" t="str">
        <f t="shared" ref="AY20:AZ35" si="8">AY19</f>
        <v>Ms.C.  JESUS MARTIN RICALDE CASTRO</v>
      </c>
      <c r="AZ20" s="138" t="str">
        <f t="shared" si="8"/>
        <v>JEFA DEL SECTOR 04</v>
      </c>
      <c r="BA20" s="140" t="str">
        <f t="shared" si="1"/>
        <v>PROFRA: AURA EUGENIA ANCONA FLORES</v>
      </c>
      <c r="BB20" s="111">
        <v>19</v>
      </c>
      <c r="BC20" s="3323"/>
      <c r="BD20" s="195"/>
    </row>
    <row r="21" spans="1:56" ht="7.5" customHeight="1">
      <c r="A21" s="2557"/>
      <c r="B21" s="1066"/>
      <c r="C21" s="1066"/>
      <c r="D21" s="1066"/>
      <c r="E21" s="4197" t="str">
        <f>VLOOKUP(F18,B43:G47,3,2)</f>
        <v>DE PROYECTOS DIDACTICOS APLICADOS CON ÉXITO EN EL CICLO 2011-2012</v>
      </c>
      <c r="F21" s="4198"/>
      <c r="G21" s="4198"/>
      <c r="H21" s="4198"/>
      <c r="I21" s="4198"/>
      <c r="J21" s="4198"/>
      <c r="K21" s="4198"/>
      <c r="L21" s="4198"/>
      <c r="M21" s="4198"/>
      <c r="N21" s="4198"/>
      <c r="O21" s="4198"/>
      <c r="P21" s="4198"/>
      <c r="Q21" s="4198"/>
      <c r="R21" s="4198"/>
      <c r="S21" s="4198"/>
      <c r="T21" s="4198"/>
      <c r="U21" s="4198"/>
      <c r="V21" s="4198"/>
      <c r="W21" s="4198"/>
      <c r="X21" s="4198"/>
      <c r="Y21" s="4198"/>
      <c r="Z21" s="4198"/>
      <c r="AA21" s="4198"/>
      <c r="AB21" s="4198"/>
      <c r="AC21" s="4198"/>
      <c r="AD21" s="4198"/>
      <c r="AE21" s="4198"/>
      <c r="AF21" s="4198"/>
      <c r="AG21" s="4198"/>
      <c r="AH21" s="4198"/>
      <c r="AI21" s="4198"/>
      <c r="AJ21" s="4199"/>
      <c r="AK21" s="1066"/>
      <c r="AL21" s="1066"/>
      <c r="AM21" s="1066"/>
      <c r="AN21" s="2558"/>
      <c r="AP21" s="137">
        <v>20</v>
      </c>
      <c r="AQ21" s="138">
        <f>'VISITA DE INSP.'!D36</f>
        <v>0</v>
      </c>
      <c r="AR21" s="138" t="str">
        <f>AR20</f>
        <v>KABAH</v>
      </c>
      <c r="AS21" s="138">
        <f t="shared" si="0"/>
        <v>0</v>
      </c>
      <c r="AT21" s="138" t="str">
        <f t="shared" si="3"/>
        <v>CERVANTES BENITEZ * ANTONIA</v>
      </c>
      <c r="AU21" s="138" t="s">
        <v>1039</v>
      </c>
      <c r="AV21" s="138" t="str">
        <f t="shared" si="4"/>
        <v>Power Point Interactiva</v>
      </c>
      <c r="AW21" s="137" t="str">
        <f t="shared" si="5"/>
        <v>042</v>
      </c>
      <c r="AX21" s="138" t="str">
        <f t="shared" si="7"/>
        <v>EL INSPECTOR ESCOLAR</v>
      </c>
      <c r="AY21" s="138" t="str">
        <f t="shared" si="8"/>
        <v>Ms.C.  JESUS MARTIN RICALDE CASTRO</v>
      </c>
      <c r="AZ21" s="138" t="str">
        <f t="shared" si="8"/>
        <v>JEFA DEL SECTOR 04</v>
      </c>
      <c r="BA21" s="140" t="str">
        <f t="shared" si="1"/>
        <v>PROFRA: AURA EUGENIA ANCONA FLORES</v>
      </c>
      <c r="BB21" s="111">
        <v>20</v>
      </c>
      <c r="BC21" s="3323"/>
      <c r="BD21" s="195"/>
    </row>
    <row r="22" spans="1:56" ht="7.5" customHeight="1">
      <c r="A22" s="2557"/>
      <c r="B22" s="1066"/>
      <c r="C22" s="1066"/>
      <c r="D22" s="1066"/>
      <c r="E22" s="4200"/>
      <c r="F22" s="4201"/>
      <c r="G22" s="4201"/>
      <c r="H22" s="4201"/>
      <c r="I22" s="4201"/>
      <c r="J22" s="4201"/>
      <c r="K22" s="4201"/>
      <c r="L22" s="4201"/>
      <c r="M22" s="4201"/>
      <c r="N22" s="4201"/>
      <c r="O22" s="4201"/>
      <c r="P22" s="4201"/>
      <c r="Q22" s="4201"/>
      <c r="R22" s="4201"/>
      <c r="S22" s="4201"/>
      <c r="T22" s="4201"/>
      <c r="U22" s="4201"/>
      <c r="V22" s="4201"/>
      <c r="W22" s="4201"/>
      <c r="X22" s="4201"/>
      <c r="Y22" s="4201"/>
      <c r="Z22" s="4201"/>
      <c r="AA22" s="4201"/>
      <c r="AB22" s="4201"/>
      <c r="AC22" s="4201"/>
      <c r="AD22" s="4201"/>
      <c r="AE22" s="4201"/>
      <c r="AF22" s="4201"/>
      <c r="AG22" s="4201"/>
      <c r="AH22" s="4201"/>
      <c r="AI22" s="4201"/>
      <c r="AJ22" s="4202"/>
      <c r="AK22" s="1066"/>
      <c r="AL22" s="1066"/>
      <c r="AM22" s="1066"/>
      <c r="AN22" s="2558"/>
      <c r="AP22" s="137">
        <v>21</v>
      </c>
      <c r="AQ22" s="138" t="str">
        <f>U43</f>
        <v>ANA CECILIA VEGA GONZALEZ</v>
      </c>
      <c r="AR22" s="138"/>
      <c r="AS22" s="138">
        <f t="shared" si="0"/>
        <v>0</v>
      </c>
      <c r="AT22" s="138"/>
      <c r="AU22" s="138"/>
      <c r="AV22" s="138" t="str">
        <f t="shared" si="4"/>
        <v>Power Point Interactiva</v>
      </c>
      <c r="AW22" s="137" t="str">
        <f t="shared" si="5"/>
        <v>042</v>
      </c>
      <c r="AX22" s="138" t="str">
        <f t="shared" si="7"/>
        <v>EL INSPECTOR ESCOLAR</v>
      </c>
      <c r="AY22" s="138" t="str">
        <f t="shared" si="8"/>
        <v>Ms.C.  JESUS MARTIN RICALDE CASTRO</v>
      </c>
      <c r="AZ22" s="138" t="str">
        <f t="shared" si="8"/>
        <v>JEFA DEL SECTOR 04</v>
      </c>
      <c r="BA22" s="140" t="str">
        <f t="shared" si="1"/>
        <v>PROFRA: AURA EUGENIA ANCONA FLORES</v>
      </c>
      <c r="BB22" s="111">
        <v>21</v>
      </c>
      <c r="BC22" s="3323"/>
      <c r="BD22" s="195"/>
    </row>
    <row r="23" spans="1:56" ht="7.5" customHeight="1">
      <c r="A23" s="2557"/>
      <c r="B23" s="1066"/>
      <c r="C23" s="828"/>
      <c r="D23" s="1071"/>
      <c r="E23" s="4179" t="str">
        <f>VLOOKUP(F18,B43:G47,4,4)</f>
        <v>FASE: ZONA ESCOLAR</v>
      </c>
      <c r="F23" s="4180"/>
      <c r="G23" s="4180"/>
      <c r="H23" s="4180"/>
      <c r="I23" s="4180"/>
      <c r="J23" s="4180"/>
      <c r="K23" s="4180"/>
      <c r="L23" s="4180"/>
      <c r="M23" s="4180"/>
      <c r="N23" s="4180"/>
      <c r="O23" s="4180"/>
      <c r="P23" s="4180"/>
      <c r="Q23" s="4180"/>
      <c r="R23" s="4180"/>
      <c r="S23" s="4180"/>
      <c r="T23" s="4180"/>
      <c r="U23" s="4180"/>
      <c r="V23" s="4180"/>
      <c r="W23" s="4180"/>
      <c r="X23" s="4180"/>
      <c r="Y23" s="4180"/>
      <c r="Z23" s="4180"/>
      <c r="AA23" s="4180"/>
      <c r="AB23" s="4180"/>
      <c r="AC23" s="4180"/>
      <c r="AD23" s="4180"/>
      <c r="AE23" s="4180"/>
      <c r="AF23" s="4180"/>
      <c r="AG23" s="4180"/>
      <c r="AH23" s="4180"/>
      <c r="AI23" s="4180"/>
      <c r="AJ23" s="4181"/>
      <c r="AK23" s="1071"/>
      <c r="AL23" s="1065"/>
      <c r="AM23" s="1066"/>
      <c r="AN23" s="2558"/>
      <c r="AP23" s="137">
        <v>22</v>
      </c>
      <c r="AQ23" s="138" t="str">
        <f>U44</f>
        <v>JOSE LUIS LAVADORES MONTERO</v>
      </c>
      <c r="AR23" s="138"/>
      <c r="AS23" s="138">
        <f t="shared" si="0"/>
        <v>0</v>
      </c>
      <c r="AT23" s="138"/>
      <c r="AU23" s="138"/>
      <c r="AV23" s="138" t="str">
        <f t="shared" si="4"/>
        <v>Power Point Interactiva</v>
      </c>
      <c r="AW23" s="137" t="str">
        <f t="shared" si="5"/>
        <v>042</v>
      </c>
      <c r="AX23" s="138" t="str">
        <f t="shared" si="7"/>
        <v>EL INSPECTOR ESCOLAR</v>
      </c>
      <c r="AY23" s="138" t="str">
        <f t="shared" si="8"/>
        <v>Ms.C.  JESUS MARTIN RICALDE CASTRO</v>
      </c>
      <c r="AZ23" s="138" t="str">
        <f t="shared" si="8"/>
        <v>JEFA DEL SECTOR 04</v>
      </c>
      <c r="BA23" s="140" t="str">
        <f t="shared" si="1"/>
        <v>PROFRA: AURA EUGENIA ANCONA FLORES</v>
      </c>
      <c r="BB23" s="111">
        <v>22</v>
      </c>
      <c r="BC23" s="3323"/>
      <c r="BD23" s="195"/>
    </row>
    <row r="24" spans="1:56" ht="7.5" customHeight="1">
      <c r="A24" s="2557"/>
      <c r="B24" s="1072"/>
      <c r="C24" s="1073"/>
      <c r="D24" s="1074"/>
      <c r="E24" s="4182"/>
      <c r="F24" s="4183"/>
      <c r="G24" s="4183"/>
      <c r="H24" s="4183"/>
      <c r="I24" s="4183"/>
      <c r="J24" s="4183"/>
      <c r="K24" s="4183"/>
      <c r="L24" s="4183"/>
      <c r="M24" s="4183"/>
      <c r="N24" s="4183"/>
      <c r="O24" s="4183"/>
      <c r="P24" s="4183"/>
      <c r="Q24" s="4183"/>
      <c r="R24" s="4183"/>
      <c r="S24" s="4183"/>
      <c r="T24" s="4183"/>
      <c r="U24" s="4183"/>
      <c r="V24" s="4183"/>
      <c r="W24" s="4183"/>
      <c r="X24" s="4183"/>
      <c r="Y24" s="4183"/>
      <c r="Z24" s="4183"/>
      <c r="AA24" s="4183"/>
      <c r="AB24" s="4183"/>
      <c r="AC24" s="4183"/>
      <c r="AD24" s="4183"/>
      <c r="AE24" s="4183"/>
      <c r="AF24" s="4183"/>
      <c r="AG24" s="4183"/>
      <c r="AH24" s="4183"/>
      <c r="AI24" s="4183"/>
      <c r="AJ24" s="4184"/>
      <c r="AK24" s="1074"/>
      <c r="AL24" s="1075"/>
      <c r="AM24" s="1072"/>
      <c r="AN24" s="2558"/>
      <c r="AP24" s="137">
        <v>23</v>
      </c>
      <c r="AQ24" s="138" t="str">
        <f>U45</f>
        <v>HERVE AZAEL AGUILAR CRUZ</v>
      </c>
      <c r="AR24" s="138"/>
      <c r="AS24" s="138">
        <f t="shared" si="0"/>
        <v>0</v>
      </c>
      <c r="AT24" s="138"/>
      <c r="AU24" s="138"/>
      <c r="AV24" s="138" t="str">
        <f t="shared" si="4"/>
        <v>Power Point Interactiva</v>
      </c>
      <c r="AW24" s="137" t="str">
        <f t="shared" si="5"/>
        <v>042</v>
      </c>
      <c r="AX24" s="138" t="str">
        <f t="shared" si="7"/>
        <v>EL INSPECTOR ESCOLAR</v>
      </c>
      <c r="AY24" s="138" t="str">
        <f t="shared" si="8"/>
        <v>Ms.C.  JESUS MARTIN RICALDE CASTRO</v>
      </c>
      <c r="AZ24" s="138" t="str">
        <f t="shared" si="8"/>
        <v>JEFA DEL SECTOR 04</v>
      </c>
      <c r="BA24" s="140" t="str">
        <f t="shared" si="1"/>
        <v>PROFRA: AURA EUGENIA ANCONA FLORES</v>
      </c>
      <c r="BB24" s="111">
        <v>23</v>
      </c>
      <c r="BC24" s="3323"/>
      <c r="BD24" s="195"/>
    </row>
    <row r="25" spans="1:56" ht="11.85" customHeight="1">
      <c r="A25" s="2557"/>
      <c r="B25" s="1066"/>
      <c r="C25" s="4232" t="s">
        <v>9</v>
      </c>
      <c r="D25" s="4233"/>
      <c r="E25" s="4233"/>
      <c r="F25" s="4233"/>
      <c r="G25" s="4233"/>
      <c r="H25" s="4233"/>
      <c r="I25" s="4233"/>
      <c r="J25" s="4234"/>
      <c r="K25" s="4185" t="s">
        <v>1766</v>
      </c>
      <c r="L25" s="4186"/>
      <c r="M25" s="4186"/>
      <c r="N25" s="4186"/>
      <c r="O25" s="4186"/>
      <c r="P25" s="4186"/>
      <c r="Q25" s="4186"/>
      <c r="R25" s="4186"/>
      <c r="S25" s="4187"/>
      <c r="T25" s="4218" t="s">
        <v>895</v>
      </c>
      <c r="U25" s="4219"/>
      <c r="V25" s="3324"/>
      <c r="W25" s="4185" t="s">
        <v>894</v>
      </c>
      <c r="X25" s="4186"/>
      <c r="Y25" s="4186"/>
      <c r="Z25" s="4186"/>
      <c r="AA25" s="4186"/>
      <c r="AB25" s="4186"/>
      <c r="AC25" s="4187"/>
      <c r="AD25" s="3324"/>
      <c r="AE25" s="4232" t="s">
        <v>94</v>
      </c>
      <c r="AF25" s="4233"/>
      <c r="AG25" s="4233"/>
      <c r="AH25" s="4233"/>
      <c r="AI25" s="4233"/>
      <c r="AJ25" s="4233"/>
      <c r="AK25" s="4233"/>
      <c r="AL25" s="4234"/>
      <c r="AM25" s="1066"/>
      <c r="AN25" s="2558"/>
      <c r="AP25" s="137">
        <v>24</v>
      </c>
      <c r="AQ25" s="138"/>
      <c r="AR25" s="138"/>
      <c r="AS25" s="138">
        <f t="shared" ref="AS25:AS46" si="9">AS24</f>
        <v>0</v>
      </c>
      <c r="AT25" s="138"/>
      <c r="AU25" s="138"/>
      <c r="AV25" s="138" t="str">
        <f t="shared" si="4"/>
        <v>Power Point Interactiva</v>
      </c>
      <c r="AW25" s="137" t="str">
        <f t="shared" si="5"/>
        <v>042</v>
      </c>
      <c r="AX25" s="138" t="str">
        <f t="shared" si="7"/>
        <v>EL INSPECTOR ESCOLAR</v>
      </c>
      <c r="AY25" s="138" t="str">
        <f t="shared" si="8"/>
        <v>Ms.C.  JESUS MARTIN RICALDE CASTRO</v>
      </c>
      <c r="AZ25" s="138" t="str">
        <f t="shared" si="8"/>
        <v>JEFA DEL SECTOR 04</v>
      </c>
      <c r="BA25" s="140" t="str">
        <f t="shared" si="1"/>
        <v>PROFRA: AURA EUGENIA ANCONA FLORES</v>
      </c>
      <c r="BB25" s="111">
        <v>24</v>
      </c>
      <c r="BC25" s="3323"/>
      <c r="BD25" s="195"/>
    </row>
    <row r="26" spans="1:56" ht="11.85" customHeight="1">
      <c r="A26" s="2559"/>
      <c r="B26" s="1076"/>
      <c r="C26" s="4220" t="str">
        <f>VLOOKUP(G18,AP2:BA46,3,3)</f>
        <v>KABAH</v>
      </c>
      <c r="D26" s="4221"/>
      <c r="E26" s="4221"/>
      <c r="F26" s="4221"/>
      <c r="G26" s="4221"/>
      <c r="H26" s="4221"/>
      <c r="I26" s="4221"/>
      <c r="J26" s="4222"/>
      <c r="K26" s="4226" t="str">
        <f>VLOOKUP(G18,AP2:BA46,4,4)</f>
        <v>LA ORTOGRAFIA EN LA ACTUALIDAD</v>
      </c>
      <c r="L26" s="4221"/>
      <c r="M26" s="4221"/>
      <c r="N26" s="4221"/>
      <c r="O26" s="4221"/>
      <c r="P26" s="4221"/>
      <c r="Q26" s="4221"/>
      <c r="R26" s="4221"/>
      <c r="S26" s="4222"/>
      <c r="T26" s="4228" t="str">
        <f>VLOOKUP(G18,AP2:BA46,8,8)</f>
        <v>042</v>
      </c>
      <c r="U26" s="4229"/>
      <c r="V26" s="4226" t="str">
        <f>VLOOKUP(G18,AP2:BA46,5,5)</f>
        <v>CERVANTES BENITEZ * ANTONIA</v>
      </c>
      <c r="W26" s="4221"/>
      <c r="X26" s="4221"/>
      <c r="Y26" s="4221"/>
      <c r="Z26" s="4221"/>
      <c r="AA26" s="4221"/>
      <c r="AB26" s="4221"/>
      <c r="AC26" s="4221"/>
      <c r="AD26" s="4222"/>
      <c r="AE26" s="4226" t="str">
        <f>VLOOKUP(G18,AP2:BA46,6,6)</f>
        <v>CANCUN BENITO JUAREZ</v>
      </c>
      <c r="AF26" s="4221"/>
      <c r="AG26" s="4221"/>
      <c r="AH26" s="4221"/>
      <c r="AI26" s="4221"/>
      <c r="AJ26" s="4221"/>
      <c r="AK26" s="4221"/>
      <c r="AL26" s="4235"/>
      <c r="AM26" s="2434"/>
      <c r="AN26" s="2560"/>
      <c r="AO26" s="173"/>
      <c r="AP26" s="137">
        <v>25</v>
      </c>
      <c r="AQ26" s="138"/>
      <c r="AR26" s="138"/>
      <c r="AS26" s="138">
        <f t="shared" si="9"/>
        <v>0</v>
      </c>
      <c r="AT26" s="138"/>
      <c r="AU26" s="138"/>
      <c r="AV26" s="138" t="str">
        <f t="shared" si="4"/>
        <v>Power Point Interactiva</v>
      </c>
      <c r="AW26" s="137" t="str">
        <f t="shared" si="5"/>
        <v>042</v>
      </c>
      <c r="AX26" s="138" t="str">
        <f t="shared" si="7"/>
        <v>EL INSPECTOR ESCOLAR</v>
      </c>
      <c r="AY26" s="138" t="str">
        <f t="shared" si="8"/>
        <v>Ms.C.  JESUS MARTIN RICALDE CASTRO</v>
      </c>
      <c r="AZ26" s="138" t="str">
        <f t="shared" si="8"/>
        <v>JEFA DEL SECTOR 04</v>
      </c>
      <c r="BA26" s="140" t="str">
        <f t="shared" si="1"/>
        <v>PROFRA: AURA EUGENIA ANCONA FLORES</v>
      </c>
      <c r="BB26" s="111">
        <v>25</v>
      </c>
      <c r="BC26" s="3323"/>
      <c r="BD26" s="195"/>
    </row>
    <row r="27" spans="1:56" ht="11.85" customHeight="1">
      <c r="A27" s="2559"/>
      <c r="B27" s="1076"/>
      <c r="C27" s="4223"/>
      <c r="D27" s="4224"/>
      <c r="E27" s="4224"/>
      <c r="F27" s="4224"/>
      <c r="G27" s="4224"/>
      <c r="H27" s="4224"/>
      <c r="I27" s="4224"/>
      <c r="J27" s="4225"/>
      <c r="K27" s="4227"/>
      <c r="L27" s="4224"/>
      <c r="M27" s="4224"/>
      <c r="N27" s="4224"/>
      <c r="O27" s="4224"/>
      <c r="P27" s="4224"/>
      <c r="Q27" s="4224"/>
      <c r="R27" s="4224"/>
      <c r="S27" s="4225"/>
      <c r="T27" s="4230"/>
      <c r="U27" s="4231"/>
      <c r="V27" s="4227"/>
      <c r="W27" s="4224"/>
      <c r="X27" s="4224"/>
      <c r="Y27" s="4224"/>
      <c r="Z27" s="4224"/>
      <c r="AA27" s="4224"/>
      <c r="AB27" s="4224"/>
      <c r="AC27" s="4224"/>
      <c r="AD27" s="4225"/>
      <c r="AE27" s="4227"/>
      <c r="AF27" s="4224"/>
      <c r="AG27" s="4224"/>
      <c r="AH27" s="4224"/>
      <c r="AI27" s="4224"/>
      <c r="AJ27" s="4224"/>
      <c r="AK27" s="4224"/>
      <c r="AL27" s="4236"/>
      <c r="AM27" s="2434"/>
      <c r="AN27" s="2560"/>
      <c r="AO27" s="173"/>
      <c r="AP27" s="137">
        <v>26</v>
      </c>
      <c r="AQ27" s="138"/>
      <c r="AR27" s="138"/>
      <c r="AS27" s="138">
        <f t="shared" si="9"/>
        <v>0</v>
      </c>
      <c r="AT27" s="138"/>
      <c r="AU27" s="138"/>
      <c r="AV27" s="138" t="str">
        <f t="shared" si="4"/>
        <v>Power Point Interactiva</v>
      </c>
      <c r="AW27" s="137" t="str">
        <f t="shared" si="5"/>
        <v>042</v>
      </c>
      <c r="AX27" s="138" t="str">
        <f t="shared" si="7"/>
        <v>EL INSPECTOR ESCOLAR</v>
      </c>
      <c r="AY27" s="138" t="str">
        <f t="shared" si="8"/>
        <v>Ms.C.  JESUS MARTIN RICALDE CASTRO</v>
      </c>
      <c r="AZ27" s="138" t="str">
        <f t="shared" si="8"/>
        <v>JEFA DEL SECTOR 04</v>
      </c>
      <c r="BA27" s="140" t="str">
        <f t="shared" si="1"/>
        <v>PROFRA: AURA EUGENIA ANCONA FLORES</v>
      </c>
      <c r="BB27" s="111">
        <v>26</v>
      </c>
      <c r="BC27" s="3323"/>
      <c r="BD27" s="195"/>
    </row>
    <row r="28" spans="1:56" ht="11.85" customHeight="1">
      <c r="A28" s="2559"/>
      <c r="B28" s="1076"/>
      <c r="C28" s="2417"/>
      <c r="D28" s="2418"/>
      <c r="E28" s="2418"/>
      <c r="F28" s="2418"/>
      <c r="G28" s="2418"/>
      <c r="H28" s="2418"/>
      <c r="I28" s="2418"/>
      <c r="J28" s="2419"/>
      <c r="K28" s="2423"/>
      <c r="L28" s="2418"/>
      <c r="M28" s="2418"/>
      <c r="N28" s="2418"/>
      <c r="O28" s="2418"/>
      <c r="P28" s="2418"/>
      <c r="Q28" s="2418"/>
      <c r="R28" s="2418"/>
      <c r="S28" s="2419"/>
      <c r="T28" s="2425"/>
      <c r="U28" s="2426"/>
      <c r="V28" s="2423"/>
      <c r="W28" s="2418"/>
      <c r="X28" s="2418"/>
      <c r="Y28" s="2418"/>
      <c r="Z28" s="2418"/>
      <c r="AA28" s="2418"/>
      <c r="AB28" s="2418"/>
      <c r="AC28" s="2418"/>
      <c r="AD28" s="2419"/>
      <c r="AE28" s="2423"/>
      <c r="AF28" s="2418"/>
      <c r="AG28" s="2418"/>
      <c r="AH28" s="2418"/>
      <c r="AI28" s="2418"/>
      <c r="AJ28" s="2418"/>
      <c r="AK28" s="2418"/>
      <c r="AL28" s="2427"/>
      <c r="AM28" s="2434"/>
      <c r="AN28" s="2560"/>
      <c r="AO28" s="173"/>
      <c r="AP28" s="137">
        <v>27</v>
      </c>
      <c r="AQ28" s="138"/>
      <c r="AR28" s="138"/>
      <c r="AS28" s="138">
        <f t="shared" si="9"/>
        <v>0</v>
      </c>
      <c r="AT28" s="138"/>
      <c r="AU28" s="138"/>
      <c r="AV28" s="138" t="str">
        <f t="shared" si="4"/>
        <v>Power Point Interactiva</v>
      </c>
      <c r="AW28" s="137" t="str">
        <f t="shared" si="5"/>
        <v>042</v>
      </c>
      <c r="AX28" s="138" t="str">
        <f t="shared" si="7"/>
        <v>EL INSPECTOR ESCOLAR</v>
      </c>
      <c r="AY28" s="138" t="str">
        <f t="shared" si="8"/>
        <v>Ms.C.  JESUS MARTIN RICALDE CASTRO</v>
      </c>
      <c r="AZ28" s="138" t="str">
        <f t="shared" si="8"/>
        <v>JEFA DEL SECTOR 04</v>
      </c>
      <c r="BA28" s="140" t="str">
        <f t="shared" si="1"/>
        <v>PROFRA: AURA EUGENIA ANCONA FLORES</v>
      </c>
      <c r="BB28" s="111">
        <v>27</v>
      </c>
      <c r="BC28" s="3323"/>
      <c r="BD28" s="195"/>
    </row>
    <row r="29" spans="1:56" ht="11.85" customHeight="1">
      <c r="A29" s="2559"/>
      <c r="B29" s="1076"/>
      <c r="C29" s="2420"/>
      <c r="D29" s="2421"/>
      <c r="E29" s="2421"/>
      <c r="F29" s="2421"/>
      <c r="G29" s="2421"/>
      <c r="H29" s="2421"/>
      <c r="I29" s="2421"/>
      <c r="J29" s="2422"/>
      <c r="K29" s="2424"/>
      <c r="L29" s="2421"/>
      <c r="M29" s="4215" t="s">
        <v>1771</v>
      </c>
      <c r="N29" s="4216"/>
      <c r="O29" s="4216"/>
      <c r="P29" s="4216"/>
      <c r="Q29" s="4216"/>
      <c r="R29" s="4216"/>
      <c r="S29" s="4216"/>
      <c r="T29" s="4216"/>
      <c r="U29" s="4216"/>
      <c r="V29" s="4216"/>
      <c r="W29" s="4216"/>
      <c r="X29" s="4216"/>
      <c r="Y29" s="4216"/>
      <c r="Z29" s="4216"/>
      <c r="AA29" s="4216"/>
      <c r="AB29" s="4217"/>
      <c r="AC29" s="2421"/>
      <c r="AD29" s="2422"/>
      <c r="AE29" s="2424"/>
      <c r="AF29" s="2421"/>
      <c r="AG29" s="2421"/>
      <c r="AH29" s="2421"/>
      <c r="AI29" s="2421"/>
      <c r="AJ29" s="2421"/>
      <c r="AK29" s="2421"/>
      <c r="AL29" s="2428"/>
      <c r="AM29" s="2434"/>
      <c r="AN29" s="2560"/>
      <c r="AO29" s="173"/>
      <c r="AP29" s="137">
        <v>28</v>
      </c>
      <c r="AQ29" s="138"/>
      <c r="AR29" s="138"/>
      <c r="AS29" s="138">
        <f t="shared" si="9"/>
        <v>0</v>
      </c>
      <c r="AT29" s="138"/>
      <c r="AU29" s="138"/>
      <c r="AV29" s="138" t="str">
        <f t="shared" si="4"/>
        <v>Power Point Interactiva</v>
      </c>
      <c r="AW29" s="137" t="str">
        <f t="shared" si="5"/>
        <v>042</v>
      </c>
      <c r="AX29" s="138" t="str">
        <f t="shared" si="7"/>
        <v>EL INSPECTOR ESCOLAR</v>
      </c>
      <c r="AY29" s="138" t="str">
        <f t="shared" si="8"/>
        <v>Ms.C.  JESUS MARTIN RICALDE CASTRO</v>
      </c>
      <c r="AZ29" s="138" t="str">
        <f t="shared" si="8"/>
        <v>JEFA DEL SECTOR 04</v>
      </c>
      <c r="BA29" s="140" t="str">
        <f t="shared" si="1"/>
        <v>PROFRA: AURA EUGENIA ANCONA FLORES</v>
      </c>
      <c r="BB29" s="111">
        <v>28</v>
      </c>
      <c r="BC29" s="138"/>
    </row>
    <row r="30" spans="1:56" ht="9.9499999999999993" customHeight="1">
      <c r="A30" s="2557"/>
      <c r="B30" s="1066"/>
      <c r="C30" s="1077"/>
      <c r="D30" s="1077"/>
      <c r="E30" s="1077"/>
      <c r="F30" s="1077"/>
      <c r="G30" s="1077"/>
      <c r="H30" s="1077"/>
      <c r="I30" s="1077"/>
      <c r="J30" s="1077"/>
      <c r="K30" s="1077"/>
      <c r="L30" s="1077"/>
      <c r="M30" s="1077"/>
      <c r="N30" s="1077"/>
      <c r="O30" s="1077"/>
      <c r="P30" s="1077"/>
      <c r="Q30" s="1077"/>
      <c r="R30" s="1077"/>
      <c r="S30" s="1077"/>
      <c r="T30" s="1077"/>
      <c r="U30" s="1077"/>
      <c r="V30" s="1077"/>
      <c r="W30" s="1077"/>
      <c r="X30" s="1077"/>
      <c r="Y30" s="1077"/>
      <c r="Z30" s="1077"/>
      <c r="AA30" s="1077"/>
      <c r="AB30" s="1077"/>
      <c r="AC30" s="1077"/>
      <c r="AD30" s="1077"/>
      <c r="AE30" s="1077"/>
      <c r="AF30" s="1077"/>
      <c r="AG30" s="1077"/>
      <c r="AH30" s="1077"/>
      <c r="AI30" s="1077"/>
      <c r="AJ30" s="1077"/>
      <c r="AK30" s="1077"/>
      <c r="AL30" s="1077"/>
      <c r="AM30" s="1066"/>
      <c r="AN30" s="2558"/>
      <c r="AP30" s="137">
        <v>29</v>
      </c>
      <c r="AQ30" s="138"/>
      <c r="AR30" s="138"/>
      <c r="AS30" s="138">
        <f t="shared" si="9"/>
        <v>0</v>
      </c>
      <c r="AT30" s="138"/>
      <c r="AU30" s="138"/>
      <c r="AV30" s="138" t="str">
        <f t="shared" si="4"/>
        <v>Power Point Interactiva</v>
      </c>
      <c r="AW30" s="137" t="str">
        <f t="shared" si="5"/>
        <v>042</v>
      </c>
      <c r="AX30" s="138" t="str">
        <f t="shared" si="7"/>
        <v>EL INSPECTOR ESCOLAR</v>
      </c>
      <c r="AY30" s="138" t="str">
        <f t="shared" si="8"/>
        <v>Ms.C.  JESUS MARTIN RICALDE CASTRO</v>
      </c>
      <c r="AZ30" s="138" t="str">
        <f t="shared" si="8"/>
        <v>JEFA DEL SECTOR 04</v>
      </c>
      <c r="BA30" s="140" t="str">
        <f t="shared" si="1"/>
        <v>PROFRA: AURA EUGENIA ANCONA FLORES</v>
      </c>
      <c r="BB30" s="111">
        <v>29</v>
      </c>
      <c r="BC30" s="138"/>
    </row>
    <row r="31" spans="1:56" ht="11.85" customHeight="1">
      <c r="A31" s="2557"/>
      <c r="B31" s="1066"/>
      <c r="C31" s="1066"/>
      <c r="D31" s="1066"/>
      <c r="E31" s="1066"/>
      <c r="F31" s="1066"/>
      <c r="G31" s="1066"/>
      <c r="H31" s="1066"/>
      <c r="I31" s="1066"/>
      <c r="J31" s="1066"/>
      <c r="K31" s="1066"/>
      <c r="L31" s="1066"/>
      <c r="M31" s="1066"/>
      <c r="N31" s="1066"/>
      <c r="O31" s="1066"/>
      <c r="P31" s="1066"/>
      <c r="Q31" s="1066"/>
      <c r="R31" s="1066"/>
      <c r="S31" s="1066"/>
      <c r="T31" s="1066"/>
      <c r="U31" s="1066"/>
      <c r="V31" s="1066"/>
      <c r="W31" s="1066"/>
      <c r="X31" s="1066"/>
      <c r="Y31" s="1066"/>
      <c r="Z31" s="1066"/>
      <c r="AA31" s="1066"/>
      <c r="AB31" s="1066"/>
      <c r="AC31" s="1066"/>
      <c r="AD31" s="1066"/>
      <c r="AE31" s="1066"/>
      <c r="AF31" s="1066"/>
      <c r="AG31" s="1066"/>
      <c r="AH31" s="1066"/>
      <c r="AI31" s="1066"/>
      <c r="AJ31" s="1066"/>
      <c r="AK31" s="1066"/>
      <c r="AL31" s="1066"/>
      <c r="AM31" s="1066"/>
      <c r="AN31" s="2558"/>
      <c r="AP31" s="137">
        <v>30</v>
      </c>
      <c r="AQ31" s="138"/>
      <c r="AR31" s="138"/>
      <c r="AS31" s="138">
        <f t="shared" si="9"/>
        <v>0</v>
      </c>
      <c r="AT31" s="138"/>
      <c r="AU31" s="138"/>
      <c r="AV31" s="138" t="str">
        <f t="shared" si="4"/>
        <v>Power Point Interactiva</v>
      </c>
      <c r="AW31" s="137" t="str">
        <f t="shared" si="5"/>
        <v>042</v>
      </c>
      <c r="AX31" s="138" t="str">
        <f t="shared" si="7"/>
        <v>EL INSPECTOR ESCOLAR</v>
      </c>
      <c r="AY31" s="138" t="str">
        <f t="shared" si="8"/>
        <v>Ms.C.  JESUS MARTIN RICALDE CASTRO</v>
      </c>
      <c r="AZ31" s="138" t="str">
        <f t="shared" si="8"/>
        <v>JEFA DEL SECTOR 04</v>
      </c>
      <c r="BA31" s="140" t="str">
        <f t="shared" si="1"/>
        <v>PROFRA: AURA EUGENIA ANCONA FLORES</v>
      </c>
      <c r="BB31" s="111">
        <v>30</v>
      </c>
      <c r="BC31" s="138"/>
    </row>
    <row r="32" spans="1:56" ht="9.9499999999999993" customHeight="1">
      <c r="A32" s="2557"/>
      <c r="B32" s="1066"/>
      <c r="C32" s="1066"/>
      <c r="D32" s="1066"/>
      <c r="E32" s="1066"/>
      <c r="F32" s="1066"/>
      <c r="G32" s="1066"/>
      <c r="H32" s="1066"/>
      <c r="I32" s="1066"/>
      <c r="J32" s="1066"/>
      <c r="K32" s="1066"/>
      <c r="L32" s="1066"/>
      <c r="M32" s="1066"/>
      <c r="N32" s="1066"/>
      <c r="O32" s="1066"/>
      <c r="P32" s="1066"/>
      <c r="Q32" s="1066"/>
      <c r="R32" s="1066"/>
      <c r="S32" s="1067"/>
      <c r="T32" s="1067"/>
      <c r="U32" s="1065"/>
      <c r="V32" s="1065"/>
      <c r="W32" s="1066"/>
      <c r="X32" s="1066"/>
      <c r="Y32" s="1066"/>
      <c r="Z32" s="1066"/>
      <c r="AA32" s="1066"/>
      <c r="AB32" s="1066"/>
      <c r="AC32" s="1066"/>
      <c r="AD32" s="1066"/>
      <c r="AE32" s="1066"/>
      <c r="AF32" s="1066"/>
      <c r="AG32" s="1066"/>
      <c r="AH32" s="1066"/>
      <c r="AI32" s="1066"/>
      <c r="AJ32" s="1066"/>
      <c r="AK32" s="1066"/>
      <c r="AL32" s="1066"/>
      <c r="AM32" s="1066"/>
      <c r="AN32" s="2558"/>
      <c r="AP32" s="137">
        <v>31</v>
      </c>
      <c r="AQ32" s="138"/>
      <c r="AR32" s="138"/>
      <c r="AS32" s="138">
        <f t="shared" si="9"/>
        <v>0</v>
      </c>
      <c r="AT32" s="138"/>
      <c r="AU32" s="138"/>
      <c r="AV32" s="138" t="str">
        <f t="shared" si="4"/>
        <v>Power Point Interactiva</v>
      </c>
      <c r="AW32" s="137" t="str">
        <f t="shared" si="5"/>
        <v>042</v>
      </c>
      <c r="AX32" s="138" t="str">
        <f t="shared" si="7"/>
        <v>EL INSPECTOR ESCOLAR</v>
      </c>
      <c r="AY32" s="138" t="str">
        <f t="shared" si="8"/>
        <v>Ms.C.  JESUS MARTIN RICALDE CASTRO</v>
      </c>
      <c r="AZ32" s="138" t="str">
        <f t="shared" si="8"/>
        <v>JEFA DEL SECTOR 04</v>
      </c>
      <c r="BA32" s="140" t="str">
        <f t="shared" si="1"/>
        <v>PROFRA: AURA EUGENIA ANCONA FLORES</v>
      </c>
      <c r="BB32" s="111">
        <v>31</v>
      </c>
      <c r="BC32" s="138"/>
    </row>
    <row r="33" spans="1:56" ht="11.85" customHeight="1">
      <c r="A33" s="2557"/>
      <c r="B33" s="1066"/>
      <c r="C33" s="1066"/>
      <c r="D33" s="1066"/>
      <c r="E33" s="4212" t="str">
        <f>VLOOKUP(G18,AP2:BA46,9,9)</f>
        <v>EL INSPECTOR ESCOLAR</v>
      </c>
      <c r="F33" s="4213"/>
      <c r="G33" s="4213"/>
      <c r="H33" s="4213"/>
      <c r="I33" s="4213"/>
      <c r="J33" s="4213"/>
      <c r="K33" s="4213"/>
      <c r="L33" s="4213"/>
      <c r="M33" s="4213"/>
      <c r="N33" s="4213"/>
      <c r="O33" s="4213"/>
      <c r="P33" s="4213"/>
      <c r="Q33" s="4213"/>
      <c r="R33" s="4214"/>
      <c r="S33" s="1078"/>
      <c r="T33" s="1078"/>
      <c r="U33" s="1079"/>
      <c r="V33" s="1079"/>
      <c r="W33" s="4212" t="str">
        <f>VLOOKUP(G18,AP2:BA46,11,11)</f>
        <v>JEFA DEL SECTOR 04</v>
      </c>
      <c r="X33" s="4213"/>
      <c r="Y33" s="4213"/>
      <c r="Z33" s="4213"/>
      <c r="AA33" s="4213"/>
      <c r="AB33" s="4213"/>
      <c r="AC33" s="4213"/>
      <c r="AD33" s="4213"/>
      <c r="AE33" s="4213"/>
      <c r="AF33" s="4213"/>
      <c r="AG33" s="4213"/>
      <c r="AH33" s="4213"/>
      <c r="AI33" s="4213"/>
      <c r="AJ33" s="4214"/>
      <c r="AK33" s="1066"/>
      <c r="AL33" s="1066"/>
      <c r="AM33" s="1066"/>
      <c r="AN33" s="2558"/>
      <c r="AP33" s="137">
        <v>32</v>
      </c>
      <c r="AQ33" s="138"/>
      <c r="AR33" s="138"/>
      <c r="AS33" s="138">
        <f t="shared" si="9"/>
        <v>0</v>
      </c>
      <c r="AT33" s="138"/>
      <c r="AU33" s="138"/>
      <c r="AV33" s="138" t="str">
        <f t="shared" si="4"/>
        <v>Power Point Interactiva</v>
      </c>
      <c r="AW33" s="137" t="str">
        <f t="shared" si="5"/>
        <v>042</v>
      </c>
      <c r="AX33" s="138" t="str">
        <f t="shared" si="7"/>
        <v>EL INSPECTOR ESCOLAR</v>
      </c>
      <c r="AY33" s="138" t="str">
        <f t="shared" si="8"/>
        <v>Ms.C.  JESUS MARTIN RICALDE CASTRO</v>
      </c>
      <c r="AZ33" s="138" t="str">
        <f t="shared" si="8"/>
        <v>JEFA DEL SECTOR 04</v>
      </c>
      <c r="BA33" s="140" t="str">
        <f t="shared" si="1"/>
        <v>PROFRA: AURA EUGENIA ANCONA FLORES</v>
      </c>
      <c r="BB33" s="111">
        <v>32</v>
      </c>
      <c r="BC33" s="138"/>
    </row>
    <row r="34" spans="1:56" ht="11.85" customHeight="1">
      <c r="A34" s="2557"/>
      <c r="B34" s="1066"/>
      <c r="C34" s="1066"/>
      <c r="D34" s="1066"/>
      <c r="E34" s="1066"/>
      <c r="F34" s="1066"/>
      <c r="G34" s="1066"/>
      <c r="H34" s="1066"/>
      <c r="I34" s="1066"/>
      <c r="J34" s="1066"/>
      <c r="K34" s="1066"/>
      <c r="L34" s="1066"/>
      <c r="M34" s="1066"/>
      <c r="N34" s="1066"/>
      <c r="O34" s="1066"/>
      <c r="P34" s="1066"/>
      <c r="Q34" s="1066"/>
      <c r="R34" s="1066"/>
      <c r="S34" s="1066"/>
      <c r="T34" s="1078"/>
      <c r="U34" s="1066"/>
      <c r="V34" s="1066"/>
      <c r="W34" s="1066"/>
      <c r="X34" s="1066"/>
      <c r="Y34" s="1066"/>
      <c r="Z34" s="1066"/>
      <c r="AA34" s="1066"/>
      <c r="AB34" s="1066"/>
      <c r="AC34" s="1066"/>
      <c r="AD34" s="1066"/>
      <c r="AE34" s="1066"/>
      <c r="AF34" s="1066"/>
      <c r="AG34" s="1066"/>
      <c r="AH34" s="1066"/>
      <c r="AI34" s="1066"/>
      <c r="AJ34" s="1066"/>
      <c r="AK34" s="1066"/>
      <c r="AL34" s="1066"/>
      <c r="AM34" s="1066"/>
      <c r="AN34" s="2558"/>
      <c r="AP34" s="137">
        <v>33</v>
      </c>
      <c r="AQ34" s="138"/>
      <c r="AR34" s="138"/>
      <c r="AS34" s="138">
        <f t="shared" si="9"/>
        <v>0</v>
      </c>
      <c r="AT34" s="138"/>
      <c r="AU34" s="138"/>
      <c r="AV34" s="138" t="str">
        <f t="shared" si="4"/>
        <v>Power Point Interactiva</v>
      </c>
      <c r="AW34" s="137" t="str">
        <f t="shared" si="5"/>
        <v>042</v>
      </c>
      <c r="AX34" s="138" t="str">
        <f t="shared" si="7"/>
        <v>EL INSPECTOR ESCOLAR</v>
      </c>
      <c r="AY34" s="138" t="str">
        <f t="shared" si="8"/>
        <v>Ms.C.  JESUS MARTIN RICALDE CASTRO</v>
      </c>
      <c r="AZ34" s="138" t="str">
        <f t="shared" si="8"/>
        <v>JEFA DEL SECTOR 04</v>
      </c>
      <c r="BA34" s="140" t="str">
        <f t="shared" si="1"/>
        <v>PROFRA: AURA EUGENIA ANCONA FLORES</v>
      </c>
      <c r="BB34" s="111">
        <v>33</v>
      </c>
      <c r="BC34" s="138"/>
    </row>
    <row r="35" spans="1:56" ht="11.85" customHeight="1">
      <c r="A35" s="2557"/>
      <c r="B35" s="1066"/>
      <c r="C35" s="1066"/>
      <c r="D35" s="1066"/>
      <c r="E35" s="1080"/>
      <c r="F35" s="1080"/>
      <c r="G35" s="1080"/>
      <c r="H35" s="1080"/>
      <c r="I35" s="1080"/>
      <c r="J35" s="1080"/>
      <c r="K35" s="1080"/>
      <c r="L35" s="1080"/>
      <c r="M35" s="1080"/>
      <c r="N35" s="1080"/>
      <c r="O35" s="1080"/>
      <c r="P35" s="1080"/>
      <c r="Q35" s="1080"/>
      <c r="R35" s="1080"/>
      <c r="S35" s="1078"/>
      <c r="T35" s="1078"/>
      <c r="U35" s="1079"/>
      <c r="V35" s="1079"/>
      <c r="W35" s="4176"/>
      <c r="X35" s="4177"/>
      <c r="Y35" s="4177"/>
      <c r="Z35" s="4177"/>
      <c r="AA35" s="4177"/>
      <c r="AB35" s="4177"/>
      <c r="AC35" s="4177"/>
      <c r="AD35" s="4177"/>
      <c r="AE35" s="4177"/>
      <c r="AF35" s="4177"/>
      <c r="AG35" s="4177"/>
      <c r="AH35" s="4177"/>
      <c r="AI35" s="4177"/>
      <c r="AJ35" s="4178"/>
      <c r="AK35" s="1066"/>
      <c r="AL35" s="1066"/>
      <c r="AM35" s="1066"/>
      <c r="AN35" s="2558"/>
      <c r="AP35" s="137">
        <v>34</v>
      </c>
      <c r="AQ35" s="138"/>
      <c r="AR35" s="138"/>
      <c r="AS35" s="138">
        <f t="shared" si="9"/>
        <v>0</v>
      </c>
      <c r="AT35" s="138"/>
      <c r="AU35" s="138"/>
      <c r="AV35" s="138" t="str">
        <f t="shared" si="4"/>
        <v>Power Point Interactiva</v>
      </c>
      <c r="AW35" s="137" t="str">
        <f t="shared" si="5"/>
        <v>042</v>
      </c>
      <c r="AX35" s="138" t="str">
        <f t="shared" si="7"/>
        <v>EL INSPECTOR ESCOLAR</v>
      </c>
      <c r="AY35" s="138" t="str">
        <f t="shared" si="8"/>
        <v>Ms.C.  JESUS MARTIN RICALDE CASTRO</v>
      </c>
      <c r="AZ35" s="138" t="s">
        <v>103</v>
      </c>
      <c r="BA35" s="140" t="str">
        <f t="shared" si="1"/>
        <v>PROFRA: AURA EUGENIA ANCONA FLORES</v>
      </c>
      <c r="BB35" s="111">
        <v>34</v>
      </c>
      <c r="BC35" s="138"/>
    </row>
    <row r="36" spans="1:56" ht="11.85" customHeight="1">
      <c r="A36" s="2557"/>
      <c r="B36" s="1066"/>
      <c r="C36" s="1066"/>
      <c r="D36" s="1066"/>
      <c r="E36" s="1066"/>
      <c r="F36" s="1066"/>
      <c r="G36" s="1066"/>
      <c r="H36" s="1066"/>
      <c r="I36" s="1066"/>
      <c r="J36" s="1066"/>
      <c r="K36" s="1066"/>
      <c r="L36" s="1066"/>
      <c r="M36" s="1066"/>
      <c r="N36" s="1066"/>
      <c r="O36" s="1066"/>
      <c r="P36" s="1066"/>
      <c r="Q36" s="1066"/>
      <c r="R36" s="1066"/>
      <c r="S36" s="1067"/>
      <c r="T36" s="1067"/>
      <c r="U36" s="1065"/>
      <c r="V36" s="1065"/>
      <c r="W36" s="1066"/>
      <c r="X36" s="1066"/>
      <c r="Y36" s="1066"/>
      <c r="Z36" s="1066"/>
      <c r="AA36" s="1066"/>
      <c r="AB36" s="1066"/>
      <c r="AC36" s="1066"/>
      <c r="AD36" s="1066"/>
      <c r="AE36" s="1066"/>
      <c r="AF36" s="1066"/>
      <c r="AG36" s="1066"/>
      <c r="AH36" s="1066"/>
      <c r="AI36" s="1066"/>
      <c r="AJ36" s="1066"/>
      <c r="AK36" s="1066"/>
      <c r="AL36" s="1066"/>
      <c r="AM36" s="1066"/>
      <c r="AN36" s="2558"/>
      <c r="AP36" s="137">
        <v>35</v>
      </c>
      <c r="AQ36" s="138"/>
      <c r="AR36" s="138"/>
      <c r="AS36" s="138">
        <f t="shared" si="9"/>
        <v>0</v>
      </c>
      <c r="AT36" s="138"/>
      <c r="AU36" s="138"/>
      <c r="AV36" s="138" t="str">
        <f t="shared" si="4"/>
        <v>Power Point Interactiva</v>
      </c>
      <c r="AW36" s="137" t="str">
        <f t="shared" si="5"/>
        <v>042</v>
      </c>
      <c r="AX36" s="138" t="str">
        <f t="shared" ref="AX36:AY46" si="10">AX35</f>
        <v>EL INSPECTOR ESCOLAR</v>
      </c>
      <c r="AY36" s="138" t="str">
        <f t="shared" si="10"/>
        <v>Ms.C.  JESUS MARTIN RICALDE CASTRO</v>
      </c>
      <c r="AZ36" s="138" t="s">
        <v>103</v>
      </c>
      <c r="BA36" s="140" t="str">
        <f t="shared" si="1"/>
        <v>PROFRA: AURA EUGENIA ANCONA FLORES</v>
      </c>
      <c r="BB36" s="111">
        <v>35</v>
      </c>
      <c r="BC36" s="138"/>
    </row>
    <row r="37" spans="1:56" ht="11.85" customHeight="1">
      <c r="A37" s="2557"/>
      <c r="B37" s="1066"/>
      <c r="C37" s="1066"/>
      <c r="D37" s="1066"/>
      <c r="E37" s="1081"/>
      <c r="F37" s="1081"/>
      <c r="G37" s="1081"/>
      <c r="H37" s="1081"/>
      <c r="I37" s="1081"/>
      <c r="J37" s="1081"/>
      <c r="K37" s="1081"/>
      <c r="L37" s="1081"/>
      <c r="M37" s="1081"/>
      <c r="N37" s="1081"/>
      <c r="O37" s="1081"/>
      <c r="P37" s="1081"/>
      <c r="Q37" s="1081"/>
      <c r="R37" s="1081"/>
      <c r="S37" s="1067"/>
      <c r="T37" s="1067"/>
      <c r="U37" s="1065"/>
      <c r="V37" s="1065"/>
      <c r="W37" s="1081"/>
      <c r="X37" s="1081"/>
      <c r="Y37" s="1081"/>
      <c r="Z37" s="1081"/>
      <c r="AA37" s="1081"/>
      <c r="AB37" s="1081"/>
      <c r="AC37" s="1081"/>
      <c r="AD37" s="1081"/>
      <c r="AE37" s="1081"/>
      <c r="AF37" s="1081"/>
      <c r="AG37" s="1081"/>
      <c r="AH37" s="1081"/>
      <c r="AI37" s="1081"/>
      <c r="AJ37" s="1081"/>
      <c r="AK37" s="1066"/>
      <c r="AL37" s="1066"/>
      <c r="AM37" s="1066"/>
      <c r="AN37" s="2558"/>
      <c r="AP37" s="137">
        <v>36</v>
      </c>
      <c r="AQ37" s="138"/>
      <c r="AR37" s="138"/>
      <c r="AS37" s="138">
        <f t="shared" si="9"/>
        <v>0</v>
      </c>
      <c r="AT37" s="138"/>
      <c r="AU37" s="138"/>
      <c r="AV37" s="138" t="str">
        <f t="shared" si="4"/>
        <v>Power Point Interactiva</v>
      </c>
      <c r="AW37" s="137" t="str">
        <f t="shared" si="5"/>
        <v>042</v>
      </c>
      <c r="AX37" s="138" t="str">
        <f t="shared" si="10"/>
        <v>EL INSPECTOR ESCOLAR</v>
      </c>
      <c r="AY37" s="138" t="str">
        <f t="shared" si="10"/>
        <v>Ms.C.  JESUS MARTIN RICALDE CASTRO</v>
      </c>
      <c r="AZ37" s="138" t="s">
        <v>103</v>
      </c>
      <c r="BA37" s="140" t="str">
        <f t="shared" si="1"/>
        <v>PROFRA: AURA EUGENIA ANCONA FLORES</v>
      </c>
      <c r="BB37" s="111">
        <v>36</v>
      </c>
      <c r="BC37" s="138"/>
    </row>
    <row r="38" spans="1:56" s="131" customFormat="1" ht="11.85" customHeight="1">
      <c r="A38" s="2561"/>
      <c r="B38" s="1083"/>
      <c r="C38" s="1083"/>
      <c r="D38" s="1083"/>
      <c r="E38" s="4209" t="str">
        <f>VLOOKUP(G18,AP2:BA46,10,10)</f>
        <v>Ms.C.  JESUS MARTIN RICALDE CASTRO</v>
      </c>
      <c r="F38" s="4210"/>
      <c r="G38" s="4210"/>
      <c r="H38" s="4210"/>
      <c r="I38" s="4210"/>
      <c r="J38" s="4210"/>
      <c r="K38" s="4210"/>
      <c r="L38" s="4210"/>
      <c r="M38" s="4210"/>
      <c r="N38" s="4210"/>
      <c r="O38" s="4210"/>
      <c r="P38" s="4210"/>
      <c r="Q38" s="4210"/>
      <c r="R38" s="4211"/>
      <c r="S38" s="1084"/>
      <c r="T38" s="1084"/>
      <c r="U38" s="1082"/>
      <c r="V38" s="1082"/>
      <c r="W38" s="4209" t="str">
        <f>VLOOKUP(G18,AP2:BA46,12,12)</f>
        <v>PROFRA: AURA EUGENIA ANCONA FLORES</v>
      </c>
      <c r="X38" s="4210"/>
      <c r="Y38" s="4210"/>
      <c r="Z38" s="4210"/>
      <c r="AA38" s="4210"/>
      <c r="AB38" s="4210"/>
      <c r="AC38" s="4210"/>
      <c r="AD38" s="4210"/>
      <c r="AE38" s="4210"/>
      <c r="AF38" s="4210"/>
      <c r="AG38" s="4210"/>
      <c r="AH38" s="4210"/>
      <c r="AI38" s="4210"/>
      <c r="AJ38" s="4211"/>
      <c r="AK38" s="1083"/>
      <c r="AL38" s="1083"/>
      <c r="AM38" s="1083"/>
      <c r="AN38" s="2562"/>
      <c r="AP38" s="137">
        <v>37</v>
      </c>
      <c r="AQ38" s="138"/>
      <c r="AR38" s="138"/>
      <c r="AS38" s="138">
        <f t="shared" si="9"/>
        <v>0</v>
      </c>
      <c r="AT38" s="138"/>
      <c r="AU38" s="138"/>
      <c r="AV38" s="138" t="str">
        <f t="shared" si="4"/>
        <v>Power Point Interactiva</v>
      </c>
      <c r="AW38" s="137" t="str">
        <f t="shared" si="5"/>
        <v>042</v>
      </c>
      <c r="AX38" s="138" t="str">
        <f t="shared" si="10"/>
        <v>EL INSPECTOR ESCOLAR</v>
      </c>
      <c r="AY38" s="138" t="str">
        <f t="shared" si="10"/>
        <v>Ms.C.  JESUS MARTIN RICALDE CASTRO</v>
      </c>
      <c r="AZ38" s="138" t="s">
        <v>103</v>
      </c>
      <c r="BA38" s="140" t="str">
        <f t="shared" si="1"/>
        <v>PROFRA: AURA EUGENIA ANCONA FLORES</v>
      </c>
      <c r="BB38" s="111">
        <v>37</v>
      </c>
      <c r="BC38" s="138"/>
    </row>
    <row r="39" spans="1:56" ht="11.85" customHeight="1">
      <c r="A39" s="2557"/>
      <c r="B39" s="1066"/>
      <c r="C39" s="1066"/>
      <c r="D39" s="1066"/>
      <c r="E39" s="1085"/>
      <c r="F39" s="1085"/>
      <c r="G39" s="1085"/>
      <c r="H39" s="1085"/>
      <c r="I39" s="1085"/>
      <c r="J39" s="1085"/>
      <c r="K39" s="1085"/>
      <c r="L39" s="1085"/>
      <c r="M39" s="1085"/>
      <c r="N39" s="1085"/>
      <c r="O39" s="1085"/>
      <c r="P39" s="1085"/>
      <c r="Q39" s="1085"/>
      <c r="R39" s="1085"/>
      <c r="S39" s="1067"/>
      <c r="T39" s="1067"/>
      <c r="U39" s="1065"/>
      <c r="V39" s="1065"/>
      <c r="W39" s="1085"/>
      <c r="X39" s="1085"/>
      <c r="Y39" s="1085"/>
      <c r="Z39" s="1085"/>
      <c r="AA39" s="1085"/>
      <c r="AB39" s="1085"/>
      <c r="AC39" s="1085"/>
      <c r="AD39" s="1085"/>
      <c r="AE39" s="1085"/>
      <c r="AF39" s="1085"/>
      <c r="AG39" s="1085"/>
      <c r="AH39" s="1085"/>
      <c r="AI39" s="1085"/>
      <c r="AJ39" s="1085"/>
      <c r="AK39" s="1066"/>
      <c r="AL39" s="1066"/>
      <c r="AM39" s="1066"/>
      <c r="AN39" s="2558"/>
      <c r="AP39" s="137">
        <v>38</v>
      </c>
      <c r="AQ39" s="138"/>
      <c r="AR39" s="138"/>
      <c r="AS39" s="138">
        <f t="shared" si="9"/>
        <v>0</v>
      </c>
      <c r="AT39" s="138"/>
      <c r="AU39" s="138"/>
      <c r="AV39" s="138" t="str">
        <f t="shared" si="4"/>
        <v>Power Point Interactiva</v>
      </c>
      <c r="AW39" s="137" t="str">
        <f t="shared" si="5"/>
        <v>042</v>
      </c>
      <c r="AX39" s="138" t="str">
        <f t="shared" si="10"/>
        <v>EL INSPECTOR ESCOLAR</v>
      </c>
      <c r="AY39" s="138" t="str">
        <f t="shared" si="10"/>
        <v>Ms.C.  JESUS MARTIN RICALDE CASTRO</v>
      </c>
      <c r="AZ39" s="138" t="s">
        <v>103</v>
      </c>
      <c r="BA39" s="140" t="str">
        <f t="shared" si="1"/>
        <v>PROFRA: AURA EUGENIA ANCONA FLORES</v>
      </c>
      <c r="BB39" s="111">
        <v>38</v>
      </c>
      <c r="BC39" s="138"/>
    </row>
    <row r="40" spans="1:56" ht="11.85" customHeight="1">
      <c r="A40" s="2557"/>
      <c r="B40" s="1066"/>
      <c r="C40" s="1066"/>
      <c r="D40" s="1066"/>
      <c r="E40" s="1066"/>
      <c r="F40" s="1066"/>
      <c r="G40" s="1066"/>
      <c r="H40" s="1066"/>
      <c r="I40" s="1066"/>
      <c r="J40" s="1066"/>
      <c r="K40" s="1066"/>
      <c r="L40" s="1066"/>
      <c r="M40" s="1066"/>
      <c r="N40" s="1066"/>
      <c r="O40" s="1066"/>
      <c r="P40" s="1066"/>
      <c r="Q40" s="1066"/>
      <c r="R40" s="1066"/>
      <c r="S40" s="1067"/>
      <c r="T40" s="1067"/>
      <c r="U40" s="1065"/>
      <c r="V40" s="1065"/>
      <c r="W40" s="1066"/>
      <c r="X40" s="1066"/>
      <c r="Y40" s="1066"/>
      <c r="Z40" s="1066"/>
      <c r="AA40" s="1066"/>
      <c r="AB40" s="1066"/>
      <c r="AC40" s="1066"/>
      <c r="AD40" s="1066"/>
      <c r="AE40" s="1066"/>
      <c r="AF40" s="1066"/>
      <c r="AG40" s="1066"/>
      <c r="AH40" s="1066"/>
      <c r="AI40" s="1066"/>
      <c r="AJ40" s="1066"/>
      <c r="AK40" s="1066"/>
      <c r="AL40" s="1066"/>
      <c r="AM40" s="1066"/>
      <c r="AN40" s="2558"/>
      <c r="AP40" s="137">
        <v>39</v>
      </c>
      <c r="AQ40" s="138"/>
      <c r="AR40" s="138"/>
      <c r="AS40" s="138">
        <f t="shared" si="9"/>
        <v>0</v>
      </c>
      <c r="AT40" s="138"/>
      <c r="AU40" s="138"/>
      <c r="AV40" s="138" t="str">
        <f t="shared" si="4"/>
        <v>Power Point Interactiva</v>
      </c>
      <c r="AW40" s="137" t="str">
        <f t="shared" si="5"/>
        <v>042</v>
      </c>
      <c r="AX40" s="138" t="str">
        <f t="shared" si="10"/>
        <v>EL INSPECTOR ESCOLAR</v>
      </c>
      <c r="AY40" s="138" t="str">
        <f t="shared" si="10"/>
        <v>Ms.C.  JESUS MARTIN RICALDE CASTRO</v>
      </c>
      <c r="AZ40" s="138" t="s">
        <v>103</v>
      </c>
      <c r="BA40" s="140" t="str">
        <f t="shared" si="1"/>
        <v>PROFRA: AURA EUGENIA ANCONA FLORES</v>
      </c>
      <c r="BB40" s="111">
        <v>39</v>
      </c>
      <c r="BC40" s="138"/>
    </row>
    <row r="41" spans="1:56" ht="11.85" customHeight="1" thickBot="1">
      <c r="A41" s="2563"/>
      <c r="B41" s="2564"/>
      <c r="C41" s="2564"/>
      <c r="D41" s="2564"/>
      <c r="E41" s="2564"/>
      <c r="F41" s="2564"/>
      <c r="G41" s="2564"/>
      <c r="H41" s="2564"/>
      <c r="I41" s="2564"/>
      <c r="J41" s="2564"/>
      <c r="K41" s="2564"/>
      <c r="L41" s="2564"/>
      <c r="M41" s="2564"/>
      <c r="N41" s="2564"/>
      <c r="O41" s="2564"/>
      <c r="P41" s="2564"/>
      <c r="Q41" s="2564"/>
      <c r="R41" s="2564"/>
      <c r="S41" s="2565"/>
      <c r="T41" s="2565"/>
      <c r="U41" s="2566"/>
      <c r="V41" s="2566"/>
      <c r="W41" s="2564"/>
      <c r="X41" s="2564"/>
      <c r="Y41" s="2564"/>
      <c r="Z41" s="2564"/>
      <c r="AA41" s="2564"/>
      <c r="AB41" s="2564"/>
      <c r="AC41" s="2564"/>
      <c r="AD41" s="2564"/>
      <c r="AE41" s="2564"/>
      <c r="AF41" s="2564"/>
      <c r="AG41" s="2564"/>
      <c r="AH41" s="2564"/>
      <c r="AI41" s="2564"/>
      <c r="AJ41" s="2564"/>
      <c r="AK41" s="2564"/>
      <c r="AL41" s="2564"/>
      <c r="AM41" s="2564"/>
      <c r="AN41" s="2567"/>
      <c r="AP41" s="137">
        <v>40</v>
      </c>
      <c r="AQ41" s="138"/>
      <c r="AR41" s="138"/>
      <c r="AS41" s="138">
        <f t="shared" si="9"/>
        <v>0</v>
      </c>
      <c r="AT41" s="138"/>
      <c r="AU41" s="138"/>
      <c r="AV41" s="138" t="str">
        <f t="shared" si="4"/>
        <v>Power Point Interactiva</v>
      </c>
      <c r="AW41" s="137" t="str">
        <f t="shared" si="5"/>
        <v>042</v>
      </c>
      <c r="AX41" s="138" t="str">
        <f t="shared" si="10"/>
        <v>EL INSPECTOR ESCOLAR</v>
      </c>
      <c r="AY41" s="138" t="str">
        <f t="shared" si="10"/>
        <v>Ms.C.  JESUS MARTIN RICALDE CASTRO</v>
      </c>
      <c r="AZ41" s="138" t="s">
        <v>103</v>
      </c>
      <c r="BA41" s="140" t="str">
        <f t="shared" si="1"/>
        <v>PROFRA: AURA EUGENIA ANCONA FLORES</v>
      </c>
      <c r="BB41" s="111">
        <v>40</v>
      </c>
      <c r="BC41" s="138"/>
    </row>
    <row r="42" spans="1:56" ht="11.85" customHeight="1">
      <c r="A42" s="2416"/>
      <c r="B42" s="2416"/>
      <c r="C42" s="2416"/>
      <c r="D42" s="2416"/>
      <c r="E42" s="2416"/>
      <c r="F42" s="2416"/>
      <c r="G42" s="2416"/>
      <c r="H42" s="2416"/>
      <c r="I42" s="2416"/>
      <c r="J42" s="2416"/>
      <c r="K42" s="2394"/>
      <c r="L42" s="2394"/>
      <c r="M42" s="2394"/>
      <c r="N42" s="2394"/>
      <c r="O42" s="2394"/>
      <c r="P42" s="2394"/>
      <c r="Q42" s="2394"/>
      <c r="R42" s="2394"/>
      <c r="S42" s="2394"/>
      <c r="T42" s="2394"/>
      <c r="U42" s="2394"/>
      <c r="V42" s="2394"/>
      <c r="W42" s="2394"/>
      <c r="X42" s="2394"/>
      <c r="Y42" s="2394"/>
      <c r="Z42" s="2394"/>
      <c r="AA42" s="2394"/>
      <c r="AB42" s="2394"/>
      <c r="AC42" s="2394"/>
      <c r="AD42" s="2394"/>
      <c r="AE42" s="2394"/>
      <c r="AF42" s="2394"/>
      <c r="AG42" s="2394"/>
      <c r="AH42" s="2394"/>
      <c r="AI42" s="2394"/>
      <c r="AJ42" s="2394"/>
      <c r="AK42" s="2394"/>
      <c r="AL42" s="2394"/>
      <c r="AM42" s="2394"/>
      <c r="AN42" s="2394"/>
      <c r="AO42" s="2395"/>
      <c r="AP42" s="2396">
        <v>41</v>
      </c>
      <c r="AQ42" s="2397"/>
      <c r="AR42" s="2397"/>
      <c r="AS42" s="2397">
        <f t="shared" si="9"/>
        <v>0</v>
      </c>
      <c r="AT42" s="2397"/>
      <c r="AU42" s="2397"/>
      <c r="AV42" s="2397" t="str">
        <f>AV41</f>
        <v>Power Point Interactiva</v>
      </c>
      <c r="AW42" s="2396" t="str">
        <f t="shared" si="5"/>
        <v>042</v>
      </c>
      <c r="AX42" s="2397" t="str">
        <f t="shared" si="10"/>
        <v>EL INSPECTOR ESCOLAR</v>
      </c>
      <c r="AY42" s="2397" t="str">
        <f t="shared" si="10"/>
        <v>Ms.C.  JESUS MARTIN RICALDE CASTRO</v>
      </c>
      <c r="AZ42" s="2397" t="s">
        <v>103</v>
      </c>
      <c r="BA42" s="2398" t="str">
        <f t="shared" si="1"/>
        <v>PROFRA: AURA EUGENIA ANCONA FLORES</v>
      </c>
      <c r="BB42" s="2399"/>
      <c r="BC42" s="2397"/>
      <c r="BD42" s="2395"/>
    </row>
    <row r="43" spans="1:56" ht="13.5" customHeight="1">
      <c r="A43" s="2416"/>
      <c r="B43" s="2394">
        <v>1</v>
      </c>
      <c r="C43" s="2394" t="s">
        <v>903</v>
      </c>
      <c r="D43" s="2394" t="s">
        <v>1762</v>
      </c>
      <c r="E43" s="2394" t="s">
        <v>904</v>
      </c>
      <c r="F43" s="2394"/>
      <c r="G43" s="2394"/>
      <c r="H43" s="2394"/>
      <c r="I43" s="2394"/>
      <c r="J43" s="2394"/>
      <c r="K43" s="2394"/>
      <c r="L43" s="2394"/>
      <c r="M43" s="2394"/>
      <c r="N43" s="2394"/>
      <c r="O43" s="2394"/>
      <c r="P43" s="2394"/>
      <c r="Q43" s="2394"/>
      <c r="R43" s="2394"/>
      <c r="S43" s="2394"/>
      <c r="T43" s="2394"/>
      <c r="U43" s="2394" t="s">
        <v>902</v>
      </c>
      <c r="V43" s="2394"/>
      <c r="W43" s="2394"/>
      <c r="X43" s="2394"/>
      <c r="Y43" s="2394"/>
      <c r="Z43" s="2394"/>
      <c r="AA43" s="2394"/>
      <c r="AB43" s="2394"/>
      <c r="AC43" s="2394"/>
      <c r="AD43" s="2394"/>
      <c r="AE43" s="2394"/>
      <c r="AF43" s="2394"/>
      <c r="AG43" s="2394"/>
      <c r="AH43" s="2394"/>
      <c r="AI43" s="2394"/>
      <c r="AJ43" s="2394"/>
      <c r="AK43" s="2394"/>
      <c r="AL43" s="2394"/>
      <c r="AM43" s="2394"/>
      <c r="AN43" s="2394"/>
      <c r="AO43" s="2395"/>
      <c r="AP43" s="2396">
        <v>42</v>
      </c>
      <c r="AQ43" s="2397"/>
      <c r="AR43" s="2397"/>
      <c r="AS43" s="2397">
        <f t="shared" si="9"/>
        <v>0</v>
      </c>
      <c r="AT43" s="2397"/>
      <c r="AU43" s="2397"/>
      <c r="AV43" s="2397" t="str">
        <f t="shared" si="4"/>
        <v>Power Point Interactiva</v>
      </c>
      <c r="AW43" s="2396" t="str">
        <f t="shared" si="5"/>
        <v>042</v>
      </c>
      <c r="AX43" s="2397" t="str">
        <f t="shared" si="10"/>
        <v>EL INSPECTOR ESCOLAR</v>
      </c>
      <c r="AY43" s="2397" t="str">
        <f t="shared" si="10"/>
        <v>Ms.C.  JESUS MARTIN RICALDE CASTRO</v>
      </c>
      <c r="AZ43" s="2397" t="s">
        <v>103</v>
      </c>
      <c r="BA43" s="2398" t="str">
        <f t="shared" si="1"/>
        <v>PROFRA: AURA EUGENIA ANCONA FLORES</v>
      </c>
      <c r="BB43" s="2399"/>
      <c r="BC43" s="2397"/>
      <c r="BD43" s="2395"/>
    </row>
    <row r="44" spans="1:56" ht="13.5" customHeight="1">
      <c r="A44" s="2416"/>
      <c r="B44" s="2394">
        <v>2</v>
      </c>
      <c r="C44" s="2394" t="s">
        <v>1765</v>
      </c>
      <c r="D44" s="2394" t="s">
        <v>1762</v>
      </c>
      <c r="E44" s="2394" t="s">
        <v>904</v>
      </c>
      <c r="F44" s="2394"/>
      <c r="G44" s="2394"/>
      <c r="H44" s="2394"/>
      <c r="I44" s="2394"/>
      <c r="J44" s="2394"/>
      <c r="K44" s="2394"/>
      <c r="L44" s="2394"/>
      <c r="M44" s="2394"/>
      <c r="N44" s="2394"/>
      <c r="O44" s="2394"/>
      <c r="P44" s="2394"/>
      <c r="Q44" s="2394"/>
      <c r="R44" s="2394"/>
      <c r="S44" s="2394"/>
      <c r="T44" s="2394"/>
      <c r="U44" s="2394" t="s">
        <v>897</v>
      </c>
      <c r="V44" s="2394"/>
      <c r="W44" s="2394"/>
      <c r="X44" s="2394"/>
      <c r="Y44" s="2394"/>
      <c r="Z44" s="2394"/>
      <c r="AA44" s="2394"/>
      <c r="AB44" s="2394"/>
      <c r="AC44" s="2394"/>
      <c r="AD44" s="2394"/>
      <c r="AE44" s="2394"/>
      <c r="AF44" s="2394"/>
      <c r="AG44" s="2394"/>
      <c r="AH44" s="2394"/>
      <c r="AI44" s="2394"/>
      <c r="AJ44" s="2394"/>
      <c r="AK44" s="2394"/>
      <c r="AL44" s="2394"/>
      <c r="AM44" s="2394"/>
      <c r="AN44" s="2394"/>
      <c r="AO44" s="2395"/>
      <c r="AP44" s="2396">
        <v>43</v>
      </c>
      <c r="AQ44" s="2397"/>
      <c r="AR44" s="2397"/>
      <c r="AS44" s="2397">
        <f t="shared" si="9"/>
        <v>0</v>
      </c>
      <c r="AT44" s="2397"/>
      <c r="AU44" s="2397"/>
      <c r="AV44" s="2397" t="str">
        <f t="shared" si="4"/>
        <v>Power Point Interactiva</v>
      </c>
      <c r="AW44" s="2396" t="str">
        <f t="shared" si="5"/>
        <v>042</v>
      </c>
      <c r="AX44" s="2397" t="str">
        <f t="shared" si="10"/>
        <v>EL INSPECTOR ESCOLAR</v>
      </c>
      <c r="AY44" s="2397" t="str">
        <f t="shared" si="10"/>
        <v>Ms.C.  JESUS MARTIN RICALDE CASTRO</v>
      </c>
      <c r="AZ44" s="2397" t="s">
        <v>103</v>
      </c>
      <c r="BA44" s="2398" t="str">
        <f t="shared" si="1"/>
        <v>PROFRA: AURA EUGENIA ANCONA FLORES</v>
      </c>
      <c r="BB44" s="2399"/>
      <c r="BC44" s="2397"/>
      <c r="BD44" s="2395"/>
    </row>
    <row r="45" spans="1:56" ht="13.5" customHeight="1">
      <c r="A45" s="2416"/>
      <c r="B45" s="2394">
        <v>3</v>
      </c>
      <c r="C45" s="2394" t="s">
        <v>1763</v>
      </c>
      <c r="D45" s="2394" t="s">
        <v>1764</v>
      </c>
      <c r="E45" s="2394" t="s">
        <v>904</v>
      </c>
      <c r="F45" s="2394"/>
      <c r="G45" s="2394"/>
      <c r="H45" s="2394"/>
      <c r="I45" s="2394"/>
      <c r="J45" s="2394"/>
      <c r="K45" s="2394"/>
      <c r="L45" s="2394"/>
      <c r="M45" s="2394"/>
      <c r="N45" s="2394"/>
      <c r="O45" s="2394"/>
      <c r="P45" s="2394"/>
      <c r="Q45" s="2394"/>
      <c r="R45" s="2394"/>
      <c r="S45" s="2394"/>
      <c r="T45" s="2394"/>
      <c r="U45" s="2394" t="s">
        <v>901</v>
      </c>
      <c r="V45" s="2394"/>
      <c r="W45" s="2394"/>
      <c r="X45" s="2394"/>
      <c r="Y45" s="2394"/>
      <c r="Z45" s="2394"/>
      <c r="AA45" s="2394"/>
      <c r="AB45" s="2394"/>
      <c r="AC45" s="2394"/>
      <c r="AD45" s="2394"/>
      <c r="AE45" s="2394"/>
      <c r="AF45" s="2394"/>
      <c r="AG45" s="2394"/>
      <c r="AH45" s="2394"/>
      <c r="AI45" s="2394"/>
      <c r="AJ45" s="2394"/>
      <c r="AK45" s="2394"/>
      <c r="AL45" s="2394"/>
      <c r="AM45" s="2394"/>
      <c r="AN45" s="2394"/>
      <c r="AO45" s="2395"/>
      <c r="AP45" s="2396">
        <v>44</v>
      </c>
      <c r="AQ45" s="2397"/>
      <c r="AR45" s="2397"/>
      <c r="AS45" s="2397">
        <f t="shared" si="9"/>
        <v>0</v>
      </c>
      <c r="AT45" s="2398"/>
      <c r="AU45" s="2397"/>
      <c r="AV45" s="2397" t="str">
        <f t="shared" si="4"/>
        <v>Power Point Interactiva</v>
      </c>
      <c r="AW45" s="2396" t="str">
        <f t="shared" si="5"/>
        <v>042</v>
      </c>
      <c r="AX45" s="2397" t="str">
        <f>AX44</f>
        <v>EL INSPECTOR ESCOLAR</v>
      </c>
      <c r="AY45" s="2397" t="str">
        <f>AY44</f>
        <v>Ms.C.  JESUS MARTIN RICALDE CASTRO</v>
      </c>
      <c r="AZ45" s="2397" t="str">
        <f>AZ44</f>
        <v xml:space="preserve">INSPECTOR ESCOLAR </v>
      </c>
      <c r="BA45" s="2397" t="str">
        <f t="shared" si="1"/>
        <v>PROFRA: AURA EUGENIA ANCONA FLORES</v>
      </c>
      <c r="BB45" s="2399"/>
      <c r="BC45" s="2397"/>
      <c r="BD45" s="2395"/>
    </row>
    <row r="46" spans="1:56" ht="13.5" customHeight="1">
      <c r="A46" s="2416"/>
      <c r="B46" s="2400">
        <v>4</v>
      </c>
      <c r="C46" s="2394" t="s">
        <v>1777</v>
      </c>
      <c r="D46" s="2394" t="s">
        <v>1770</v>
      </c>
      <c r="E46" s="2394" t="s">
        <v>1769</v>
      </c>
      <c r="F46" s="2394"/>
      <c r="G46" s="2394"/>
      <c r="H46" s="2394"/>
      <c r="I46" s="2394"/>
      <c r="J46" s="2394"/>
      <c r="K46" s="2394"/>
      <c r="L46" s="2394"/>
      <c r="M46" s="2394"/>
      <c r="N46" s="2394"/>
      <c r="O46" s="2394"/>
      <c r="P46" s="2394"/>
      <c r="Q46" s="2394"/>
      <c r="R46" s="2394"/>
      <c r="S46" s="2394"/>
      <c r="T46" s="2394"/>
      <c r="U46" s="2394"/>
      <c r="V46" s="2394"/>
      <c r="W46" s="2394"/>
      <c r="X46" s="2394"/>
      <c r="Y46" s="2394"/>
      <c r="Z46" s="2394"/>
      <c r="AA46" s="2394"/>
      <c r="AB46" s="2394"/>
      <c r="AC46" s="2394"/>
      <c r="AD46" s="2394"/>
      <c r="AE46" s="2394"/>
      <c r="AF46" s="2394"/>
      <c r="AG46" s="2394"/>
      <c r="AH46" s="2394"/>
      <c r="AI46" s="2394"/>
      <c r="AJ46" s="2394"/>
      <c r="AK46" s="2394"/>
      <c r="AL46" s="2394"/>
      <c r="AM46" s="2394"/>
      <c r="AN46" s="2394"/>
      <c r="AO46" s="2395"/>
      <c r="AP46" s="2396">
        <v>45</v>
      </c>
      <c r="AQ46" s="2397"/>
      <c r="AR46" s="2397"/>
      <c r="AS46" s="2397">
        <f t="shared" si="9"/>
        <v>0</v>
      </c>
      <c r="AT46" s="2398"/>
      <c r="AU46" s="2397"/>
      <c r="AV46" s="2397" t="str">
        <f t="shared" si="4"/>
        <v>Power Point Interactiva</v>
      </c>
      <c r="AW46" s="2396" t="str">
        <f t="shared" si="5"/>
        <v>042</v>
      </c>
      <c r="AX46" s="2397" t="str">
        <f t="shared" si="10"/>
        <v>EL INSPECTOR ESCOLAR</v>
      </c>
      <c r="AY46" s="2397" t="str">
        <f t="shared" si="10"/>
        <v>Ms.C.  JESUS MARTIN RICALDE CASTRO</v>
      </c>
      <c r="AZ46" s="2397" t="s">
        <v>103</v>
      </c>
      <c r="BA46" s="2398" t="str">
        <f t="shared" si="1"/>
        <v>PROFRA: AURA EUGENIA ANCONA FLORES</v>
      </c>
      <c r="BB46" s="2399"/>
      <c r="BC46" s="2397"/>
      <c r="BD46" s="2395"/>
    </row>
    <row r="47" spans="1:56" ht="13.5" customHeight="1">
      <c r="A47" s="2394"/>
      <c r="B47" s="2400">
        <v>5</v>
      </c>
      <c r="C47" s="2394"/>
      <c r="D47" s="2394"/>
      <c r="E47" s="2394"/>
      <c r="F47" s="2394"/>
      <c r="G47" s="2394"/>
      <c r="H47" s="2394"/>
      <c r="I47" s="2394"/>
      <c r="J47" s="2394"/>
      <c r="K47" s="2394"/>
      <c r="L47" s="2394"/>
      <c r="M47" s="2394"/>
      <c r="N47" s="2394"/>
      <c r="O47" s="2394"/>
      <c r="P47" s="2394"/>
      <c r="Q47" s="2394"/>
      <c r="R47" s="2394"/>
      <c r="S47" s="2394"/>
      <c r="T47" s="2394"/>
      <c r="U47" s="2394"/>
      <c r="V47" s="2394"/>
      <c r="W47" s="2394"/>
      <c r="X47" s="2394"/>
      <c r="Y47" s="2394"/>
      <c r="Z47" s="2394"/>
      <c r="AA47" s="2394"/>
      <c r="AB47" s="2394"/>
      <c r="AC47" s="2394"/>
      <c r="AD47" s="2394"/>
      <c r="AE47" s="2394"/>
      <c r="AF47" s="2394"/>
      <c r="AG47" s="2394"/>
      <c r="AH47" s="2394"/>
      <c r="AI47" s="2394"/>
      <c r="AJ47" s="2394"/>
      <c r="AK47" s="2394"/>
      <c r="AL47" s="2394"/>
      <c r="AM47" s="2394"/>
      <c r="AN47" s="2394"/>
      <c r="AO47" s="2395"/>
      <c r="AP47" s="2395"/>
      <c r="AQ47" s="2395"/>
      <c r="AR47" s="2395"/>
      <c r="AS47" s="2395"/>
      <c r="AT47" s="2395"/>
      <c r="AU47" s="2395"/>
      <c r="AV47" s="2395"/>
      <c r="AW47" s="2395"/>
      <c r="AX47" s="2395"/>
      <c r="AY47" s="2395"/>
      <c r="AZ47" s="2395"/>
      <c r="BA47" s="2395"/>
      <c r="BB47" s="2395"/>
      <c r="BC47" s="2395"/>
      <c r="BD47" s="2395"/>
    </row>
    <row r="48" spans="1:56" ht="13.5" customHeight="1"/>
    <row r="49" ht="13.5" customHeight="1"/>
    <row r="50" ht="13.5" customHeight="1"/>
    <row r="51" ht="13.5" customHeight="1"/>
    <row r="52" ht="13.5" customHeight="1"/>
    <row r="53" ht="13.5" customHeight="1"/>
    <row r="54" ht="13.5" customHeight="1"/>
    <row r="55" ht="13.5" customHeight="1"/>
    <row r="56" ht="13.5" customHeight="1"/>
    <row r="57" ht="13.5" customHeight="1"/>
  </sheetData>
  <sheetProtection selectLockedCells="1"/>
  <mergeCells count="23">
    <mergeCell ref="E38:R38"/>
    <mergeCell ref="W38:AJ38"/>
    <mergeCell ref="W33:AJ33"/>
    <mergeCell ref="M29:AB29"/>
    <mergeCell ref="T25:U25"/>
    <mergeCell ref="E33:R33"/>
    <mergeCell ref="C26:J27"/>
    <mergeCell ref="K26:S27"/>
    <mergeCell ref="T26:U27"/>
    <mergeCell ref="AE25:AL25"/>
    <mergeCell ref="C25:J25"/>
    <mergeCell ref="K25:S25"/>
    <mergeCell ref="V26:AD27"/>
    <mergeCell ref="AE26:AL27"/>
    <mergeCell ref="H2:AG3"/>
    <mergeCell ref="H4:AG5"/>
    <mergeCell ref="W35:AJ35"/>
    <mergeCell ref="E23:AJ24"/>
    <mergeCell ref="W25:AC25"/>
    <mergeCell ref="E19:AJ20"/>
    <mergeCell ref="M16:AJ17"/>
    <mergeCell ref="E21:AJ22"/>
    <mergeCell ref="E16:L17"/>
  </mergeCells>
  <conditionalFormatting sqref="M16 T28:U28 AE26 T26">
    <cfRule type="cellIs" dxfId="827" priority="2" stopIfTrue="1" operator="equal">
      <formula>0</formula>
    </cfRule>
  </conditionalFormatting>
  <conditionalFormatting sqref="C28:AL28 C26 K26 T26 V26 AE26 C29:L29 AC29:AL29">
    <cfRule type="cellIs" dxfId="826" priority="1" operator="equal">
      <formula>0</formula>
    </cfRule>
  </conditionalFormatting>
  <printOptions horizontalCentered="1" verticalCentered="1"/>
  <pageMargins left="0.47244094488188981" right="0.51181102362204722" top="0.35433070866141736" bottom="0.35433070866141736" header="0.31496062992125984" footer="0.31496062992125984"/>
  <pageSetup scale="120" orientation="landscape" r:id="rId1"/>
  <colBreaks count="1" manualBreakCount="1">
    <brk id="40" max="40" man="1"/>
  </colBreaks>
  <drawing r:id="rId2"/>
  <legacyDrawing r:id="rId3"/>
  <oleObjects>
    <mc:AlternateContent xmlns:mc="http://schemas.openxmlformats.org/markup-compatibility/2006">
      <mc:Choice Requires="x14">
        <oleObject progId="MSPhotoEd.3" shapeId="6146" r:id="rId4">
          <objectPr defaultSize="0" autoPict="0" r:id="rId5">
            <anchor moveWithCells="1" sizeWithCells="1">
              <from>
                <xdr:col>32</xdr:col>
                <xdr:colOff>114300</xdr:colOff>
                <xdr:row>3</xdr:row>
                <xdr:rowOff>133350</xdr:rowOff>
              </from>
              <to>
                <xdr:col>38</xdr:col>
                <xdr:colOff>47625</xdr:colOff>
                <xdr:row>10</xdr:row>
                <xdr:rowOff>114300</xdr:rowOff>
              </to>
            </anchor>
          </objectPr>
        </oleObject>
      </mc:Choice>
      <mc:Fallback>
        <oleObject progId="MSPhotoEd.3" shapeId="6146" r:id="rId4"/>
      </mc:Fallback>
    </mc:AlternateContent>
  </oleObjects>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1">
    <tabColor theme="7" tint="0.39997558519241921"/>
  </sheetPr>
  <dimension ref="B1:X231"/>
  <sheetViews>
    <sheetView view="pageBreakPreview" topLeftCell="A21" zoomScale="115" zoomScaleSheetLayoutView="115" workbookViewId="0">
      <selection activeCell="M7" sqref="M7"/>
    </sheetView>
  </sheetViews>
  <sheetFormatPr baseColWidth="10" defaultRowHeight="15.75"/>
  <cols>
    <col min="1" max="1" width="0.42578125" style="146" customWidth="1"/>
    <col min="2" max="2" width="3.85546875" style="172" customWidth="1"/>
    <col min="3" max="3" width="5.85546875" style="171" customWidth="1"/>
    <col min="4" max="6" width="5.85546875" style="146" customWidth="1"/>
    <col min="7" max="7" width="5.85546875" style="1673" customWidth="1"/>
    <col min="8" max="16" width="5.85546875" style="146" customWidth="1"/>
    <col min="17" max="17" width="6.7109375" style="231" customWidth="1"/>
    <col min="18" max="19" width="5.42578125" style="172" customWidth="1"/>
    <col min="20" max="20" width="5.42578125" style="231" customWidth="1"/>
    <col min="21" max="21" width="0.7109375" style="1232" customWidth="1"/>
    <col min="22" max="24" width="3.42578125" style="146" hidden="1" customWidth="1"/>
    <col min="25" max="16384" width="11.42578125" style="146"/>
  </cols>
  <sheetData>
    <row r="1" spans="2:20" ht="13.5" customHeight="1">
      <c r="B1" s="1722"/>
      <c r="C1" s="1176"/>
      <c r="D1" s="1147"/>
      <c r="E1" s="1147"/>
      <c r="F1" s="4306" t="s">
        <v>196</v>
      </c>
      <c r="G1" s="4307"/>
      <c r="H1" s="4307"/>
      <c r="I1" s="4307"/>
      <c r="J1" s="4307"/>
      <c r="K1" s="4307"/>
      <c r="L1" s="4307"/>
      <c r="M1" s="4307"/>
      <c r="N1" s="4307"/>
      <c r="O1" s="4307"/>
      <c r="P1" s="4308"/>
      <c r="Q1" s="1148"/>
      <c r="R1" s="1149"/>
      <c r="S1" s="1149"/>
      <c r="T1" s="1096"/>
    </row>
    <row r="2" spans="2:20" ht="13.5" customHeight="1">
      <c r="B2" s="1723"/>
      <c r="C2" s="1202"/>
      <c r="D2" s="1131"/>
      <c r="E2" s="1131"/>
      <c r="F2" s="4306" t="s">
        <v>105</v>
      </c>
      <c r="G2" s="4307"/>
      <c r="H2" s="4307"/>
      <c r="I2" s="4307"/>
      <c r="J2" s="4307"/>
      <c r="K2" s="4307"/>
      <c r="L2" s="4307"/>
      <c r="M2" s="4307"/>
      <c r="N2" s="4307"/>
      <c r="O2" s="4307"/>
      <c r="P2" s="4308"/>
      <c r="Q2" s="1204"/>
      <c r="R2" s="1098"/>
      <c r="S2" s="1098"/>
      <c r="T2" s="1204"/>
    </row>
    <row r="3" spans="2:20" ht="13.5" customHeight="1">
      <c r="B3" s="1723"/>
      <c r="C3" s="1202"/>
      <c r="D3" s="1131"/>
      <c r="E3" s="1131"/>
      <c r="F3" s="4306" t="s">
        <v>106</v>
      </c>
      <c r="G3" s="4307"/>
      <c r="H3" s="4307"/>
      <c r="I3" s="4307"/>
      <c r="J3" s="4307"/>
      <c r="K3" s="4307"/>
      <c r="L3" s="4307"/>
      <c r="M3" s="4307"/>
      <c r="N3" s="4307"/>
      <c r="O3" s="4307"/>
      <c r="P3" s="4308"/>
      <c r="Q3" s="1204"/>
      <c r="R3" s="1098"/>
      <c r="S3" s="1098"/>
      <c r="T3" s="1204"/>
    </row>
    <row r="4" spans="2:20" ht="13.5" customHeight="1">
      <c r="B4" s="1723"/>
      <c r="C4" s="1202"/>
      <c r="D4" s="1131"/>
      <c r="E4" s="1131"/>
      <c r="F4" s="4306" t="s">
        <v>1530</v>
      </c>
      <c r="G4" s="4307"/>
      <c r="H4" s="4307"/>
      <c r="I4" s="4307"/>
      <c r="J4" s="4307"/>
      <c r="K4" s="4307"/>
      <c r="L4" s="4307"/>
      <c r="M4" s="4307"/>
      <c r="N4" s="4307"/>
      <c r="O4" s="4307"/>
      <c r="P4" s="4308"/>
      <c r="Q4" s="1204"/>
      <c r="R4" s="1098"/>
      <c r="S4" s="1098"/>
      <c r="T4" s="1204"/>
    </row>
    <row r="5" spans="2:20" ht="16.5" customHeight="1">
      <c r="B5" s="1723"/>
      <c r="C5" s="1202"/>
      <c r="D5" s="1131"/>
      <c r="E5" s="4309" t="s">
        <v>1531</v>
      </c>
      <c r="F5" s="4310"/>
      <c r="G5" s="4310"/>
      <c r="H5" s="4310"/>
      <c r="I5" s="4310"/>
      <c r="J5" s="4310"/>
      <c r="K5" s="4310"/>
      <c r="L5" s="4310"/>
      <c r="M5" s="4310"/>
      <c r="N5" s="4310"/>
      <c r="O5" s="4310"/>
      <c r="P5" s="4310"/>
      <c r="Q5" s="4311"/>
      <c r="R5" s="1098"/>
      <c r="S5" s="1098"/>
      <c r="T5" s="1204"/>
    </row>
    <row r="6" spans="2:20" ht="12.75" customHeight="1">
      <c r="B6" s="1723"/>
      <c r="C6" s="1202"/>
      <c r="D6" s="1131"/>
      <c r="E6" s="1131"/>
      <c r="F6" s="1131"/>
      <c r="G6" s="1678"/>
      <c r="H6" s="1131"/>
      <c r="I6" s="1131"/>
      <c r="J6" s="1131"/>
      <c r="K6" s="1098"/>
      <c r="L6" s="1674">
        <v>3</v>
      </c>
      <c r="M6" s="1744">
        <v>1</v>
      </c>
      <c r="N6" s="1679"/>
      <c r="O6" s="1131"/>
      <c r="P6" s="1131"/>
      <c r="Q6" s="1207"/>
      <c r="R6" s="1173"/>
      <c r="S6" s="1098"/>
      <c r="T6" s="1204"/>
    </row>
    <row r="7" spans="2:20" ht="14.1" customHeight="1">
      <c r="B7" s="1089" t="s">
        <v>107</v>
      </c>
      <c r="C7" s="1680"/>
      <c r="D7" s="1092"/>
      <c r="E7" s="1715" t="str">
        <f>'VISITA DE INSP.'!E7</f>
        <v>KABAH</v>
      </c>
      <c r="F7" s="1716"/>
      <c r="G7" s="1329"/>
      <c r="H7" s="1329"/>
      <c r="I7" s="1329"/>
      <c r="J7" s="1329"/>
      <c r="K7" s="1703" t="s">
        <v>19</v>
      </c>
      <c r="L7" s="1715" t="str">
        <f>'VISITA DE INSP.'!V7</f>
        <v>23DPR0055K</v>
      </c>
      <c r="M7" s="1112"/>
      <c r="N7" s="1675"/>
      <c r="O7" s="1704" t="s">
        <v>38</v>
      </c>
      <c r="P7" s="4248" t="str">
        <f>'VISITA DE INSP.'!AE7</f>
        <v>MATUTINO</v>
      </c>
      <c r="Q7" s="4249"/>
      <c r="R7" s="1703" t="s">
        <v>2095</v>
      </c>
      <c r="S7" s="4259" t="s">
        <v>100</v>
      </c>
      <c r="T7" s="4260"/>
    </row>
    <row r="8" spans="2:20" ht="8.1" customHeight="1">
      <c r="B8" s="1724" t="s">
        <v>108</v>
      </c>
      <c r="C8" s="1706"/>
      <c r="D8" s="1708">
        <f>VLOOKUP(M6,'VISITA DE INSP.'!A17:AI36,2,2)</f>
        <v>0</v>
      </c>
      <c r="E8" s="1235"/>
      <c r="F8" s="1707" t="s">
        <v>1529</v>
      </c>
      <c r="G8" s="1708">
        <f>VLOOKUP(M6,'VISITA DE INSP.'!A17:AI36,3,3)</f>
        <v>0</v>
      </c>
      <c r="H8" s="1235"/>
      <c r="I8" s="1683"/>
      <c r="J8" s="1683"/>
      <c r="K8" s="1683"/>
      <c r="L8" s="1683"/>
      <c r="M8" s="1683"/>
      <c r="N8" s="1683"/>
      <c r="O8" s="1684"/>
      <c r="P8" s="1684"/>
      <c r="Q8" s="1685"/>
      <c r="R8" s="1683"/>
      <c r="S8" s="1686"/>
      <c r="T8" s="1687"/>
    </row>
    <row r="9" spans="2:20" ht="14.1" customHeight="1">
      <c r="B9" s="1089" t="s">
        <v>189</v>
      </c>
      <c r="E9" s="2862" t="str">
        <f>'VISITA DE INSP.'!M9</f>
        <v>SM-48 C-OCOSINGO CON OCOTEPEC</v>
      </c>
      <c r="F9" s="1112"/>
      <c r="G9" s="2861"/>
      <c r="H9" s="1112"/>
      <c r="I9" s="1112"/>
      <c r="J9" s="1680"/>
      <c r="K9" s="1680"/>
      <c r="L9" s="1703" t="s">
        <v>2094</v>
      </c>
      <c r="M9" s="4248" t="str">
        <f>VLOOKUP(M6,'VISITA DE INSP.'!A17:AI36,4,4)</f>
        <v>CERVANTES BENITEZ * ANTONIA</v>
      </c>
      <c r="N9" s="4261"/>
      <c r="O9" s="4261"/>
      <c r="P9" s="4261"/>
      <c r="Q9" s="4261"/>
      <c r="R9" s="4261"/>
      <c r="S9" s="4261"/>
      <c r="T9" s="4261"/>
    </row>
    <row r="10" spans="2:20" ht="8.1" customHeight="1">
      <c r="B10" s="1725"/>
      <c r="C10" s="1680"/>
      <c r="D10" s="1683"/>
      <c r="E10" s="1683"/>
      <c r="F10" s="1683"/>
      <c r="G10" s="1684"/>
      <c r="H10" s="2860"/>
      <c r="I10" s="1683"/>
      <c r="J10" s="1682"/>
      <c r="K10" s="1680"/>
      <c r="L10" s="1680"/>
      <c r="M10" s="1683"/>
      <c r="N10" s="1683"/>
      <c r="O10" s="1683"/>
      <c r="P10" s="1683"/>
      <c r="Q10" s="1685"/>
      <c r="R10" s="1683"/>
      <c r="S10" s="1686"/>
      <c r="T10" s="1687"/>
    </row>
    <row r="11" spans="2:20" ht="14.1" customHeight="1">
      <c r="B11" s="1089" t="s">
        <v>109</v>
      </c>
      <c r="C11" s="1680"/>
      <c r="D11" s="1681"/>
      <c r="E11" s="1329"/>
      <c r="F11" s="1329"/>
      <c r="G11" s="1671"/>
      <c r="H11" s="1329"/>
      <c r="I11" s="1329"/>
      <c r="J11" s="1713"/>
      <c r="K11" s="1329"/>
      <c r="L11" s="1714" t="s">
        <v>893</v>
      </c>
      <c r="M11" s="4262">
        <f ca="1">TODAY()</f>
        <v>41787</v>
      </c>
      <c r="N11" s="4262"/>
      <c r="O11" s="4262"/>
      <c r="P11" s="4262"/>
      <c r="Q11" s="4262"/>
      <c r="R11" s="4262"/>
      <c r="S11" s="4262"/>
      <c r="T11" s="4262"/>
    </row>
    <row r="12" spans="2:20" ht="6" customHeight="1">
      <c r="B12" s="2924"/>
      <c r="C12" s="1702"/>
      <c r="D12" s="1675"/>
      <c r="E12" s="1675"/>
      <c r="F12" s="1675"/>
      <c r="G12" s="1676"/>
      <c r="H12" s="1675"/>
      <c r="I12" s="1675"/>
      <c r="J12" s="1675"/>
      <c r="K12" s="1675"/>
      <c r="L12" s="1676"/>
      <c r="M12" s="1677"/>
      <c r="N12" s="1677"/>
      <c r="O12" s="1677"/>
      <c r="P12" s="1677"/>
      <c r="Q12" s="1677"/>
      <c r="R12" s="1677"/>
      <c r="S12" s="1677"/>
      <c r="T12" s="1677"/>
    </row>
    <row r="13" spans="2:20" ht="14.1" customHeight="1">
      <c r="B13" s="4250" t="s">
        <v>2265</v>
      </c>
      <c r="C13" s="4250"/>
      <c r="D13" s="4250"/>
      <c r="E13" s="4250"/>
      <c r="F13" s="4250"/>
      <c r="G13" s="4250"/>
      <c r="H13" s="4250"/>
      <c r="I13" s="4250"/>
      <c r="J13" s="4250"/>
      <c r="K13" s="4250"/>
      <c r="L13" s="4250"/>
      <c r="M13" s="4250"/>
      <c r="N13" s="4250"/>
      <c r="O13" s="4250"/>
      <c r="P13" s="4250"/>
      <c r="Q13" s="4250"/>
      <c r="R13" s="4250"/>
      <c r="S13" s="4250"/>
      <c r="T13" s="4250"/>
    </row>
    <row r="14" spans="2:20" ht="14.1" customHeight="1">
      <c r="B14" s="4250" t="s">
        <v>2266</v>
      </c>
      <c r="C14" s="4250"/>
      <c r="D14" s="4250"/>
      <c r="E14" s="4250"/>
      <c r="F14" s="4250"/>
      <c r="G14" s="4250"/>
      <c r="H14" s="4250"/>
      <c r="I14" s="4250"/>
      <c r="J14" s="4250"/>
      <c r="K14" s="4250"/>
      <c r="L14" s="4250"/>
      <c r="M14" s="4250"/>
      <c r="N14" s="4250"/>
      <c r="O14" s="4250"/>
      <c r="P14" s="4250"/>
      <c r="Q14" s="4250"/>
      <c r="R14" s="4250"/>
      <c r="S14" s="4250"/>
      <c r="T14" s="4250"/>
    </row>
    <row r="15" spans="2:20" ht="14.1" hidden="1" customHeight="1">
      <c r="B15" s="4264"/>
      <c r="C15" s="4264"/>
      <c r="D15" s="4264"/>
      <c r="E15" s="4264"/>
      <c r="F15" s="4264"/>
      <c r="G15" s="4264"/>
      <c r="H15" s="4264"/>
      <c r="I15" s="4264"/>
      <c r="J15" s="4264"/>
      <c r="K15" s="4264"/>
      <c r="L15" s="4264"/>
      <c r="M15" s="4264"/>
      <c r="N15" s="2911"/>
      <c r="O15" s="2911"/>
      <c r="P15" s="2911"/>
      <c r="Q15" s="2911"/>
      <c r="R15" s="2911"/>
      <c r="S15" s="2911"/>
      <c r="T15" s="2911"/>
    </row>
    <row r="16" spans="2:20" ht="6.75" customHeight="1">
      <c r="B16" s="2881"/>
      <c r="C16" s="4265" t="s">
        <v>2096</v>
      </c>
      <c r="D16" s="4265"/>
      <c r="E16" s="4265"/>
      <c r="F16" s="4265"/>
      <c r="G16" s="4265"/>
      <c r="H16" s="4265"/>
      <c r="I16" s="4265"/>
      <c r="J16" s="4265"/>
      <c r="K16" s="4265"/>
      <c r="L16" s="4265"/>
      <c r="M16" s="4265"/>
      <c r="N16" s="4265"/>
      <c r="O16" s="4265"/>
      <c r="P16" s="4265"/>
      <c r="Q16" s="4265"/>
      <c r="R16" s="4265"/>
      <c r="S16" s="4265"/>
      <c r="T16" s="4265"/>
    </row>
    <row r="17" spans="2:20" ht="14.1" customHeight="1">
      <c r="B17" s="1726" t="s">
        <v>2018</v>
      </c>
      <c r="C17" s="1147"/>
      <c r="D17" s="1147"/>
      <c r="E17" s="1147"/>
      <c r="F17" s="1147"/>
      <c r="G17" s="1688"/>
      <c r="H17" s="1147"/>
      <c r="I17" s="1147"/>
      <c r="J17" s="1147"/>
      <c r="K17" s="1147"/>
      <c r="L17" s="1147"/>
      <c r="M17" s="1147"/>
      <c r="N17" s="1147"/>
      <c r="O17" s="1147"/>
      <c r="P17" s="1147"/>
      <c r="Q17" s="1148"/>
      <c r="R17" s="1149"/>
      <c r="S17" s="1150"/>
      <c r="T17" s="1151"/>
    </row>
    <row r="18" spans="2:20" ht="6" customHeight="1">
      <c r="B18" s="1725"/>
      <c r="C18" s="1131"/>
      <c r="D18" s="1131"/>
      <c r="E18" s="1131"/>
      <c r="F18" s="1131"/>
      <c r="G18" s="1678"/>
      <c r="H18" s="1131"/>
      <c r="I18" s="1131"/>
      <c r="J18" s="1131"/>
      <c r="K18" s="1131"/>
      <c r="L18" s="1131"/>
      <c r="M18" s="1131"/>
      <c r="N18" s="1178"/>
      <c r="O18" s="1178"/>
      <c r="P18" s="1178"/>
      <c r="Q18" s="1209"/>
      <c r="R18" s="1210"/>
      <c r="S18" s="1211"/>
      <c r="T18" s="1212"/>
    </row>
    <row r="19" spans="2:20" ht="14.1" customHeight="1">
      <c r="B19" s="1727" t="s">
        <v>110</v>
      </c>
      <c r="C19" s="4314" t="s">
        <v>1532</v>
      </c>
      <c r="D19" s="4276"/>
      <c r="E19" s="4276"/>
      <c r="F19" s="4276"/>
      <c r="G19" s="4276"/>
      <c r="H19" s="4276"/>
      <c r="I19" s="4276"/>
      <c r="J19" s="4276"/>
      <c r="K19" s="4276"/>
      <c r="L19" s="4276"/>
      <c r="M19" s="4276"/>
      <c r="N19" s="4276"/>
      <c r="O19" s="4276"/>
      <c r="P19" s="4276"/>
      <c r="Q19" s="4276"/>
      <c r="R19" s="4276"/>
      <c r="S19" s="4276"/>
      <c r="T19" s="4276"/>
    </row>
    <row r="20" spans="2:20" ht="14.1" customHeight="1">
      <c r="B20" s="2925"/>
      <c r="D20" s="4332" t="s">
        <v>2042</v>
      </c>
      <c r="E20" s="4332"/>
      <c r="F20" s="4332"/>
      <c r="G20" s="4332"/>
      <c r="H20" s="4332"/>
      <c r="I20" s="4332"/>
      <c r="J20" s="4332"/>
      <c r="K20" s="4332"/>
      <c r="L20" s="4332"/>
      <c r="M20" s="4332" t="s">
        <v>270</v>
      </c>
      <c r="N20" s="4332"/>
      <c r="O20" s="4332"/>
      <c r="P20" s="4332"/>
      <c r="Q20" s="4332"/>
      <c r="R20" s="4332"/>
      <c r="S20" s="4332"/>
      <c r="T20" s="4332"/>
    </row>
    <row r="21" spans="2:20" ht="18" customHeight="1">
      <c r="B21" s="2924"/>
      <c r="C21" s="2904" t="s">
        <v>2256</v>
      </c>
      <c r="D21" s="4333" t="s">
        <v>1641</v>
      </c>
      <c r="E21" s="4334"/>
      <c r="F21" s="4334"/>
      <c r="G21" s="4334"/>
      <c r="H21" s="4334"/>
      <c r="I21" s="4334"/>
      <c r="J21" s="4334"/>
      <c r="K21" s="4334"/>
      <c r="L21" s="4335"/>
      <c r="M21" s="4333" t="s">
        <v>2261</v>
      </c>
      <c r="N21" s="4334"/>
      <c r="O21" s="4334"/>
      <c r="P21" s="4334"/>
      <c r="Q21" s="4334"/>
      <c r="R21" s="4334"/>
      <c r="S21" s="4334"/>
      <c r="T21" s="4335"/>
    </row>
    <row r="22" spans="2:20" ht="18" customHeight="1">
      <c r="B22" s="2924"/>
      <c r="C22" s="2904" t="s">
        <v>2257</v>
      </c>
      <c r="D22" s="4336" t="s">
        <v>1641</v>
      </c>
      <c r="E22" s="4337"/>
      <c r="F22" s="4337"/>
      <c r="G22" s="4337"/>
      <c r="H22" s="4337"/>
      <c r="I22" s="4337"/>
      <c r="J22" s="4337"/>
      <c r="K22" s="4337"/>
      <c r="L22" s="4338"/>
      <c r="M22" s="4336" t="s">
        <v>2262</v>
      </c>
      <c r="N22" s="4337"/>
      <c r="O22" s="4337"/>
      <c r="P22" s="4337"/>
      <c r="Q22" s="4337"/>
      <c r="R22" s="4337"/>
      <c r="S22" s="4337"/>
      <c r="T22" s="4338"/>
    </row>
    <row r="23" spans="2:20" ht="18" customHeight="1">
      <c r="B23" s="2924"/>
      <c r="C23" s="2904" t="s">
        <v>2258</v>
      </c>
      <c r="D23" s="4336" t="s">
        <v>1641</v>
      </c>
      <c r="E23" s="4337"/>
      <c r="F23" s="4337"/>
      <c r="G23" s="4337"/>
      <c r="H23" s="4337"/>
      <c r="I23" s="4337"/>
      <c r="J23" s="4337"/>
      <c r="K23" s="4337"/>
      <c r="L23" s="4338"/>
      <c r="M23" s="4336" t="s">
        <v>2263</v>
      </c>
      <c r="N23" s="4337"/>
      <c r="O23" s="4337"/>
      <c r="P23" s="4337"/>
      <c r="Q23" s="4337"/>
      <c r="R23" s="4337"/>
      <c r="S23" s="4337"/>
      <c r="T23" s="4338"/>
    </row>
    <row r="24" spans="2:20" ht="18" customHeight="1">
      <c r="B24" s="2924"/>
      <c r="C24" s="2904" t="s">
        <v>2254</v>
      </c>
      <c r="D24" s="4336" t="s">
        <v>1641</v>
      </c>
      <c r="E24" s="4337"/>
      <c r="F24" s="4337"/>
      <c r="G24" s="4337"/>
      <c r="H24" s="4337"/>
      <c r="I24" s="4337"/>
      <c r="J24" s="4337"/>
      <c r="K24" s="4337"/>
      <c r="L24" s="4338"/>
      <c r="M24" s="4336" t="s">
        <v>2263</v>
      </c>
      <c r="N24" s="4337"/>
      <c r="O24" s="4337"/>
      <c r="P24" s="4337"/>
      <c r="Q24" s="4337"/>
      <c r="R24" s="4337"/>
      <c r="S24" s="4337"/>
      <c r="T24" s="4338"/>
    </row>
    <row r="25" spans="2:20" ht="18" customHeight="1">
      <c r="B25" s="2924"/>
      <c r="C25" s="2904" t="s">
        <v>2255</v>
      </c>
      <c r="D25" s="4336" t="s">
        <v>1641</v>
      </c>
      <c r="E25" s="4337"/>
      <c r="F25" s="4337"/>
      <c r="G25" s="4337"/>
      <c r="H25" s="4337"/>
      <c r="I25" s="4337"/>
      <c r="J25" s="4337"/>
      <c r="K25" s="4337"/>
      <c r="L25" s="4338"/>
      <c r="M25" s="4336" t="s">
        <v>2259</v>
      </c>
      <c r="N25" s="4337"/>
      <c r="O25" s="4337"/>
      <c r="P25" s="4337"/>
      <c r="Q25" s="4337"/>
      <c r="R25" s="4337"/>
      <c r="S25" s="4337"/>
      <c r="T25" s="4338"/>
    </row>
    <row r="26" spans="2:20" ht="18" customHeight="1">
      <c r="B26" s="1090"/>
      <c r="C26" s="2904" t="s">
        <v>2253</v>
      </c>
      <c r="D26" s="4339" t="s">
        <v>1641</v>
      </c>
      <c r="E26" s="4340"/>
      <c r="F26" s="4340"/>
      <c r="G26" s="4340"/>
      <c r="H26" s="4340"/>
      <c r="I26" s="4340"/>
      <c r="J26" s="4340"/>
      <c r="K26" s="4340"/>
      <c r="L26" s="4341"/>
      <c r="M26" s="4339" t="s">
        <v>2260</v>
      </c>
      <c r="N26" s="4340"/>
      <c r="O26" s="4340"/>
      <c r="P26" s="4340"/>
      <c r="Q26" s="4340"/>
      <c r="R26" s="4340"/>
      <c r="S26" s="4340"/>
      <c r="T26" s="4341"/>
    </row>
    <row r="27" spans="2:20" ht="6" customHeight="1">
      <c r="B27" s="1728"/>
      <c r="C27" s="1099"/>
      <c r="D27" s="1099"/>
      <c r="E27" s="1099"/>
      <c r="F27" s="1099"/>
      <c r="G27" s="1690"/>
      <c r="H27" s="1099"/>
      <c r="I27" s="1099"/>
      <c r="J27" s="1099"/>
      <c r="K27" s="1099"/>
      <c r="L27" s="1099"/>
      <c r="M27" s="1099"/>
      <c r="N27" s="1099"/>
      <c r="O27" s="1099"/>
      <c r="P27" s="1099"/>
      <c r="Q27" s="1102"/>
      <c r="R27" s="1099"/>
      <c r="S27" s="1099"/>
      <c r="T27" s="1102"/>
    </row>
    <row r="28" spans="2:20" ht="14.1" customHeight="1">
      <c r="B28" s="1728" t="s">
        <v>112</v>
      </c>
      <c r="C28" s="4276" t="s">
        <v>1533</v>
      </c>
      <c r="D28" s="4276"/>
      <c r="E28" s="4276"/>
      <c r="F28" s="4276"/>
      <c r="G28" s="4276"/>
      <c r="H28" s="4276"/>
      <c r="I28" s="4276"/>
      <c r="J28" s="4276"/>
      <c r="K28" s="4276"/>
      <c r="L28" s="4276"/>
      <c r="M28" s="4276"/>
      <c r="N28" s="4276"/>
      <c r="O28" s="4276"/>
      <c r="P28" s="4276"/>
      <c r="Q28" s="4276"/>
      <c r="R28" s="4276"/>
      <c r="S28" s="4276"/>
      <c r="T28" s="4276"/>
    </row>
    <row r="29" spans="2:20" ht="6" customHeight="1">
      <c r="B29" s="1728"/>
      <c r="C29" s="1737"/>
      <c r="D29" s="1099"/>
      <c r="E29" s="1099"/>
      <c r="F29" s="1099"/>
      <c r="G29" s="1690"/>
      <c r="H29" s="1099"/>
      <c r="I29" s="1099"/>
      <c r="J29" s="1099"/>
      <c r="K29" s="1099"/>
      <c r="L29" s="1099"/>
      <c r="M29" s="1099"/>
      <c r="N29" s="1689"/>
      <c r="O29" s="1689"/>
      <c r="P29" s="1689"/>
      <c r="Q29" s="1689"/>
      <c r="R29" s="1689"/>
      <c r="S29" s="1689"/>
      <c r="T29" s="1689"/>
    </row>
    <row r="30" spans="2:20" ht="11.25" customHeight="1">
      <c r="B30" s="1728"/>
      <c r="C30" s="4329" t="s">
        <v>2252</v>
      </c>
      <c r="D30" s="1090"/>
      <c r="E30" s="1099"/>
      <c r="F30" s="4342" t="s">
        <v>1540</v>
      </c>
      <c r="G30" s="4342"/>
      <c r="H30" s="4342"/>
      <c r="I30" s="1719"/>
      <c r="J30" s="4315" t="s">
        <v>1541</v>
      </c>
      <c r="K30" s="4316"/>
      <c r="L30" s="4317"/>
      <c r="M30" s="1719"/>
      <c r="N30" s="4301" t="s">
        <v>1542</v>
      </c>
      <c r="O30" s="4318"/>
      <c r="P30" s="4302"/>
      <c r="Q30" s="1720"/>
      <c r="R30" s="4315" t="s">
        <v>1543</v>
      </c>
      <c r="S30" s="4316"/>
      <c r="T30" s="4317"/>
    </row>
    <row r="31" spans="2:20" ht="11.25" customHeight="1">
      <c r="B31" s="1738"/>
      <c r="C31" s="4330"/>
      <c r="D31" s="4328" t="s">
        <v>1544</v>
      </c>
      <c r="E31" s="4245"/>
      <c r="F31" s="4258">
        <v>0.73199999999999998</v>
      </c>
      <c r="G31" s="4258"/>
      <c r="H31" s="4258"/>
      <c r="I31" s="1717"/>
      <c r="J31" s="4319">
        <v>0.24299999999999999</v>
      </c>
      <c r="K31" s="4320"/>
      <c r="L31" s="4321"/>
      <c r="M31" s="1717"/>
      <c r="N31" s="4319">
        <v>2.5000000000000001E-2</v>
      </c>
      <c r="O31" s="4320"/>
      <c r="P31" s="4321"/>
      <c r="Q31" s="1718">
        <v>1</v>
      </c>
      <c r="R31" s="4241">
        <f>Q31-F31-J31-N31</f>
        <v>0</v>
      </c>
      <c r="S31" s="4241"/>
      <c r="T31" s="4241"/>
    </row>
    <row r="32" spans="2:20" ht="11.25" customHeight="1">
      <c r="B32" s="1728"/>
      <c r="C32" s="4330"/>
      <c r="D32" s="2906"/>
      <c r="E32" s="2907"/>
      <c r="F32" s="1099"/>
      <c r="G32" s="1099"/>
      <c r="H32" s="1090"/>
      <c r="I32" s="1090"/>
      <c r="J32" s="1099"/>
      <c r="K32" s="1090"/>
      <c r="L32" s="1090"/>
      <c r="M32" s="1090"/>
      <c r="N32" s="1099"/>
      <c r="O32" s="1099"/>
      <c r="P32" s="1100"/>
      <c r="Q32" s="1718"/>
      <c r="R32" s="1099"/>
      <c r="S32" s="1101"/>
      <c r="T32" s="1100"/>
    </row>
    <row r="33" spans="2:21" ht="11.25" customHeight="1">
      <c r="B33" s="1729"/>
      <c r="C33" s="4330"/>
      <c r="D33" s="2908"/>
      <c r="E33" s="2907"/>
      <c r="F33" s="4263" t="s">
        <v>1540</v>
      </c>
      <c r="G33" s="4263"/>
      <c r="H33" s="4263"/>
      <c r="I33" s="1719"/>
      <c r="J33" s="4315" t="s">
        <v>1541</v>
      </c>
      <c r="K33" s="4316"/>
      <c r="L33" s="4317"/>
      <c r="M33" s="1719"/>
      <c r="N33" s="4301" t="s">
        <v>1542</v>
      </c>
      <c r="O33" s="4318"/>
      <c r="P33" s="4302"/>
      <c r="Q33" s="1721"/>
      <c r="R33" s="4263" t="s">
        <v>1543</v>
      </c>
      <c r="S33" s="4263"/>
      <c r="T33" s="4263"/>
    </row>
    <row r="34" spans="2:21" ht="11.25" customHeight="1">
      <c r="B34" s="1738"/>
      <c r="C34" s="4330"/>
      <c r="D34" s="4328" t="s">
        <v>1545</v>
      </c>
      <c r="E34" s="4245"/>
      <c r="F34" s="4242">
        <v>3.7999999999999999E-2</v>
      </c>
      <c r="G34" s="4242"/>
      <c r="H34" s="4242"/>
      <c r="I34" s="1717"/>
      <c r="J34" s="4238">
        <v>9.7000000000000003E-2</v>
      </c>
      <c r="K34" s="4239"/>
      <c r="L34" s="4240"/>
      <c r="M34" s="1717"/>
      <c r="N34" s="4238">
        <v>0.73199999999999998</v>
      </c>
      <c r="O34" s="4239"/>
      <c r="P34" s="4240"/>
      <c r="Q34" s="1718">
        <v>1</v>
      </c>
      <c r="R34" s="4241">
        <f>Q34-F34-J34-N34</f>
        <v>0.13300000000000001</v>
      </c>
      <c r="S34" s="4241"/>
      <c r="T34" s="4241"/>
    </row>
    <row r="35" spans="2:21" ht="11.25" customHeight="1">
      <c r="B35" s="1738"/>
      <c r="C35" s="4330"/>
      <c r="D35" s="2909"/>
      <c r="E35" s="2910"/>
      <c r="F35" s="1090"/>
      <c r="G35" s="1090"/>
      <c r="H35" s="1090"/>
      <c r="I35" s="1090"/>
      <c r="J35" s="1090"/>
      <c r="K35" s="1090"/>
      <c r="L35" s="1090"/>
      <c r="M35" s="1090"/>
      <c r="N35" s="1090"/>
      <c r="O35" s="1090"/>
      <c r="P35" s="1090"/>
      <c r="Q35" s="1718"/>
      <c r="S35" s="1090"/>
      <c r="T35" s="1090"/>
    </row>
    <row r="36" spans="2:21" ht="11.25" customHeight="1">
      <c r="B36" s="1738"/>
      <c r="C36" s="4330"/>
      <c r="D36" s="2901"/>
      <c r="E36" s="2910"/>
      <c r="F36" s="4263" t="s">
        <v>1605</v>
      </c>
      <c r="G36" s="4263"/>
      <c r="H36" s="4263"/>
      <c r="I36" s="1090"/>
      <c r="J36" s="4315" t="s">
        <v>1606</v>
      </c>
      <c r="K36" s="4316"/>
      <c r="L36" s="4317"/>
      <c r="M36" s="1090"/>
      <c r="N36" s="4315" t="s">
        <v>1607</v>
      </c>
      <c r="O36" s="4316"/>
      <c r="P36" s="4317"/>
      <c r="Q36" s="1718"/>
      <c r="R36" s="4263" t="s">
        <v>1608</v>
      </c>
      <c r="S36" s="4263"/>
      <c r="T36" s="4263"/>
    </row>
    <row r="37" spans="2:21" ht="11.25" customHeight="1">
      <c r="B37" s="1738"/>
      <c r="C37" s="4330"/>
      <c r="D37" s="4244" t="s">
        <v>1546</v>
      </c>
      <c r="E37" s="4245"/>
      <c r="F37" s="4242">
        <v>0.67300000000000004</v>
      </c>
      <c r="G37" s="4242"/>
      <c r="H37" s="4242"/>
      <c r="I37" s="1754"/>
      <c r="J37" s="4238">
        <v>0.185</v>
      </c>
      <c r="K37" s="4239"/>
      <c r="L37" s="4240"/>
      <c r="M37" s="1754"/>
      <c r="N37" s="4238">
        <v>0.13100000000000001</v>
      </c>
      <c r="O37" s="4239"/>
      <c r="P37" s="4240"/>
      <c r="Q37" s="1718">
        <v>1</v>
      </c>
      <c r="R37" s="4241">
        <f>Q37-F37-J37-N37</f>
        <v>1.0999999999999954E-2</v>
      </c>
      <c r="S37" s="4241"/>
      <c r="T37" s="4241"/>
    </row>
    <row r="38" spans="2:21" ht="11.25" customHeight="1">
      <c r="B38" s="1738"/>
      <c r="C38" s="4330"/>
      <c r="D38" s="4244" t="s">
        <v>1642</v>
      </c>
      <c r="E38" s="4245"/>
      <c r="F38" s="4242">
        <v>0.67600000000000005</v>
      </c>
      <c r="G38" s="4242"/>
      <c r="H38" s="4242"/>
      <c r="I38" s="1754"/>
      <c r="J38" s="4238">
        <v>0.223</v>
      </c>
      <c r="K38" s="4239"/>
      <c r="L38" s="4240"/>
      <c r="M38" s="1754"/>
      <c r="N38" s="4238">
        <v>8.5999999999999993E-2</v>
      </c>
      <c r="O38" s="4239"/>
      <c r="P38" s="4240"/>
      <c r="Q38" s="1718">
        <v>1</v>
      </c>
      <c r="R38" s="4241">
        <f>Q38-F38-J38-N38</f>
        <v>1.4999999999999958E-2</v>
      </c>
      <c r="S38" s="4241"/>
      <c r="T38" s="4241"/>
    </row>
    <row r="39" spans="2:21" ht="11.25" customHeight="1">
      <c r="B39" s="1738"/>
      <c r="C39" s="4330"/>
      <c r="D39" s="4244" t="s">
        <v>1643</v>
      </c>
      <c r="E39" s="4245"/>
      <c r="F39" s="4242">
        <v>0.65</v>
      </c>
      <c r="G39" s="4242"/>
      <c r="H39" s="4242"/>
      <c r="I39" s="1754"/>
      <c r="J39" s="4238">
        <v>0.316</v>
      </c>
      <c r="K39" s="4239"/>
      <c r="L39" s="4240"/>
      <c r="M39" s="1754"/>
      <c r="N39" s="4238">
        <v>3.2000000000000001E-2</v>
      </c>
      <c r="O39" s="4239"/>
      <c r="P39" s="4240"/>
      <c r="Q39" s="1718">
        <v>1</v>
      </c>
      <c r="R39" s="4241">
        <f>Q39-F39-J39-N39</f>
        <v>1.999999999999974E-3</v>
      </c>
      <c r="S39" s="4241"/>
      <c r="T39" s="4241"/>
    </row>
    <row r="40" spans="2:21" ht="11.25" customHeight="1">
      <c r="B40" s="1738"/>
      <c r="C40" s="4331"/>
      <c r="D40" s="4244" t="s">
        <v>1644</v>
      </c>
      <c r="E40" s="4245"/>
      <c r="F40" s="4242">
        <v>0.87</v>
      </c>
      <c r="G40" s="4242"/>
      <c r="H40" s="4242"/>
      <c r="I40" s="1754"/>
      <c r="J40" s="4238">
        <v>0.10100000000000001</v>
      </c>
      <c r="K40" s="4239"/>
      <c r="L40" s="4240"/>
      <c r="M40" s="1754"/>
      <c r="N40" s="4238">
        <v>1.9E-2</v>
      </c>
      <c r="O40" s="4239"/>
      <c r="P40" s="4240"/>
      <c r="Q40" s="1718">
        <v>1</v>
      </c>
      <c r="R40" s="4241">
        <f>Q40-F40-J40-N40</f>
        <v>9.9999999999999985E-3</v>
      </c>
      <c r="S40" s="4241"/>
      <c r="T40" s="4241"/>
    </row>
    <row r="41" spans="2:21" ht="6" customHeight="1">
      <c r="B41" s="1738"/>
      <c r="C41" s="1090"/>
      <c r="D41" s="1090"/>
      <c r="E41" s="1090"/>
      <c r="F41" s="1090"/>
      <c r="G41" s="1090"/>
      <c r="H41" s="1090"/>
      <c r="I41" s="1090"/>
      <c r="J41" s="1090"/>
      <c r="K41" s="1090"/>
      <c r="L41" s="1090"/>
      <c r="M41" s="1090"/>
      <c r="N41" s="1090"/>
      <c r="O41" s="1090"/>
      <c r="P41" s="1090"/>
      <c r="Q41" s="1090"/>
      <c r="R41" s="1090"/>
      <c r="S41" s="1090"/>
      <c r="T41" s="1090"/>
    </row>
    <row r="42" spans="2:21" ht="14.1" customHeight="1">
      <c r="B42" s="1728" t="s">
        <v>114</v>
      </c>
      <c r="C42" s="4257" t="s">
        <v>1552</v>
      </c>
      <c r="D42" s="4257"/>
      <c r="E42" s="4257"/>
      <c r="F42" s="4257"/>
      <c r="G42" s="4257"/>
      <c r="H42" s="4257"/>
      <c r="I42" s="4257"/>
      <c r="J42" s="4257"/>
      <c r="K42" s="4257"/>
      <c r="L42" s="4257"/>
      <c r="M42" s="4257"/>
      <c r="N42" s="4257"/>
      <c r="O42" s="4257"/>
      <c r="P42" s="4257"/>
      <c r="Q42" s="4257"/>
      <c r="R42" s="4257"/>
      <c r="S42" s="4257"/>
      <c r="T42" s="4257"/>
    </row>
    <row r="43" spans="2:21" s="2914" customFormat="1" ht="11.25" customHeight="1">
      <c r="B43" s="2916"/>
      <c r="C43" s="4237" t="s">
        <v>2103</v>
      </c>
      <c r="D43" s="4237"/>
      <c r="E43" s="4237"/>
      <c r="F43" s="4237"/>
      <c r="G43" s="4237"/>
      <c r="H43" s="4237"/>
      <c r="I43" s="4237"/>
      <c r="J43" s="4237"/>
      <c r="K43" s="4237"/>
      <c r="L43" s="4237"/>
      <c r="M43" s="4237"/>
      <c r="N43" s="4237"/>
      <c r="O43" s="4237"/>
      <c r="P43" s="4237"/>
      <c r="Q43" s="4237"/>
      <c r="R43" s="4237"/>
      <c r="S43" s="4237"/>
      <c r="T43" s="4237"/>
      <c r="U43" s="2913"/>
    </row>
    <row r="44" spans="2:21" s="2914" customFormat="1" ht="11.25" customHeight="1">
      <c r="B44" s="2916"/>
      <c r="C44" s="4243"/>
      <c r="D44" s="4243"/>
      <c r="E44" s="4243"/>
      <c r="F44" s="4243"/>
      <c r="G44" s="4243"/>
      <c r="H44" s="4243"/>
      <c r="I44" s="4243"/>
      <c r="J44" s="4243"/>
      <c r="K44" s="4243"/>
      <c r="L44" s="4243"/>
      <c r="M44" s="4243"/>
      <c r="N44" s="4243"/>
      <c r="O44" s="4243"/>
      <c r="P44" s="4243"/>
      <c r="Q44" s="4243"/>
      <c r="R44" s="4243"/>
      <c r="S44" s="4243"/>
      <c r="T44" s="4243"/>
      <c r="U44" s="2913"/>
    </row>
    <row r="45" spans="2:21" ht="6" customHeight="1">
      <c r="B45" s="1738"/>
      <c r="C45" s="1737"/>
      <c r="D45" s="1099"/>
      <c r="E45" s="1099"/>
      <c r="F45" s="1099"/>
      <c r="G45" s="1690"/>
      <c r="H45" s="1099"/>
      <c r="I45" s="1099"/>
      <c r="J45" s="1099"/>
      <c r="K45" s="1099"/>
      <c r="L45" s="1099"/>
      <c r="M45" s="1099"/>
      <c r="N45" s="1099"/>
      <c r="O45" s="1099"/>
      <c r="P45" s="1099"/>
      <c r="Q45" s="1100"/>
      <c r="R45" s="1101"/>
      <c r="S45" s="1101"/>
      <c r="T45" s="1100"/>
    </row>
    <row r="46" spans="2:21" ht="14.1" customHeight="1">
      <c r="B46" s="1728" t="s">
        <v>127</v>
      </c>
      <c r="C46" s="4251" t="s">
        <v>1627</v>
      </c>
      <c r="D46" s="4251"/>
      <c r="E46" s="4251"/>
      <c r="F46" s="4251"/>
      <c r="G46" s="4251"/>
      <c r="H46" s="4251"/>
      <c r="I46" s="4251"/>
      <c r="J46" s="4251"/>
      <c r="K46" s="4251"/>
      <c r="L46" s="4251"/>
      <c r="M46" s="4251"/>
      <c r="N46" s="4251"/>
      <c r="O46" s="4251"/>
      <c r="P46" s="4251"/>
      <c r="Q46" s="4251"/>
      <c r="R46" s="4251"/>
      <c r="S46" s="4251"/>
      <c r="T46" s="4251"/>
    </row>
    <row r="47" spans="2:21" ht="14.1" customHeight="1">
      <c r="B47" s="1728"/>
      <c r="C47" s="4256" t="s">
        <v>1626</v>
      </c>
      <c r="D47" s="4256"/>
      <c r="E47" s="4256"/>
      <c r="F47" s="4256"/>
      <c r="G47" s="4256"/>
      <c r="H47" s="4256"/>
      <c r="I47" s="4256"/>
      <c r="J47" s="4256"/>
      <c r="K47" s="4256"/>
      <c r="L47" s="4256"/>
      <c r="M47" s="4256"/>
      <c r="N47" s="4256"/>
      <c r="O47" s="4256"/>
      <c r="P47" s="4256"/>
      <c r="Q47" s="4256"/>
      <c r="R47" s="4256"/>
      <c r="S47" s="4256"/>
      <c r="T47" s="4256"/>
    </row>
    <row r="48" spans="2:21" s="2914" customFormat="1" ht="11.25" customHeight="1">
      <c r="B48" s="2916"/>
      <c r="C48" s="4237" t="s">
        <v>2097</v>
      </c>
      <c r="D48" s="4237"/>
      <c r="E48" s="4237"/>
      <c r="F48" s="4237"/>
      <c r="G48" s="4237"/>
      <c r="H48" s="4237"/>
      <c r="I48" s="4237"/>
      <c r="J48" s="4237"/>
      <c r="K48" s="4237"/>
      <c r="L48" s="4237"/>
      <c r="M48" s="4237"/>
      <c r="N48" s="4237"/>
      <c r="O48" s="4237"/>
      <c r="P48" s="4237"/>
      <c r="Q48" s="4237"/>
      <c r="R48" s="4237"/>
      <c r="S48" s="4237"/>
      <c r="T48" s="4237"/>
      <c r="U48" s="2913"/>
    </row>
    <row r="49" spans="2:21" s="2914" customFormat="1" ht="11.25" customHeight="1">
      <c r="B49" s="2916"/>
      <c r="C49" s="4237" t="s">
        <v>1645</v>
      </c>
      <c r="D49" s="4237"/>
      <c r="E49" s="4237"/>
      <c r="F49" s="4237"/>
      <c r="G49" s="4237"/>
      <c r="H49" s="4237"/>
      <c r="I49" s="4237"/>
      <c r="J49" s="4237"/>
      <c r="K49" s="4237"/>
      <c r="L49" s="4237"/>
      <c r="M49" s="4237"/>
      <c r="N49" s="4237"/>
      <c r="O49" s="4237"/>
      <c r="P49" s="4237"/>
      <c r="Q49" s="4237"/>
      <c r="R49" s="4237"/>
      <c r="S49" s="4237"/>
      <c r="T49" s="4237"/>
      <c r="U49" s="2913"/>
    </row>
    <row r="50" spans="2:21" s="2914" customFormat="1" ht="11.25" customHeight="1">
      <c r="B50" s="2916"/>
      <c r="C50" s="4237"/>
      <c r="D50" s="4237"/>
      <c r="E50" s="4237"/>
      <c r="F50" s="4237"/>
      <c r="G50" s="4237"/>
      <c r="H50" s="4237"/>
      <c r="I50" s="4237"/>
      <c r="J50" s="4237"/>
      <c r="K50" s="4237"/>
      <c r="L50" s="4237"/>
      <c r="M50" s="4237"/>
      <c r="N50" s="4237"/>
      <c r="O50" s="4237"/>
      <c r="P50" s="4237"/>
      <c r="Q50" s="4237"/>
      <c r="R50" s="4237"/>
      <c r="S50" s="4237"/>
      <c r="T50" s="4237"/>
      <c r="U50" s="2913"/>
    </row>
    <row r="51" spans="2:21" ht="6" customHeight="1">
      <c r="B51" s="1738"/>
      <c r="C51" s="1737"/>
      <c r="D51" s="1099"/>
      <c r="E51" s="1099"/>
      <c r="F51" s="1099"/>
      <c r="G51" s="1690"/>
      <c r="H51" s="1099"/>
      <c r="I51" s="1099"/>
      <c r="J51" s="1099"/>
      <c r="K51" s="1099"/>
      <c r="L51" s="1099"/>
      <c r="M51" s="1099"/>
      <c r="N51" s="1099"/>
      <c r="O51" s="1099"/>
      <c r="P51" s="1099"/>
      <c r="Q51" s="1100"/>
      <c r="R51" s="1101"/>
      <c r="S51" s="1101"/>
      <c r="T51" s="1100"/>
    </row>
    <row r="52" spans="2:21" ht="14.1" customHeight="1">
      <c r="B52" s="1728" t="s">
        <v>129</v>
      </c>
      <c r="C52" s="4257" t="s">
        <v>1637</v>
      </c>
      <c r="D52" s="4257"/>
      <c r="E52" s="4257"/>
      <c r="F52" s="4257"/>
      <c r="G52" s="4257"/>
      <c r="H52" s="4257"/>
      <c r="I52" s="4257"/>
      <c r="J52" s="4257"/>
      <c r="K52" s="4257"/>
      <c r="L52" s="4257"/>
      <c r="M52" s="4257"/>
      <c r="N52" s="4257"/>
      <c r="O52" s="4257"/>
      <c r="P52" s="4257"/>
      <c r="Q52" s="4257"/>
      <c r="R52" s="4257"/>
      <c r="S52" s="4257"/>
      <c r="T52" s="4257"/>
    </row>
    <row r="53" spans="2:21" s="2914" customFormat="1" ht="11.25" customHeight="1">
      <c r="B53" s="2916"/>
      <c r="C53" s="4237" t="s">
        <v>2098</v>
      </c>
      <c r="D53" s="4237"/>
      <c r="E53" s="4237"/>
      <c r="F53" s="4237"/>
      <c r="G53" s="4237"/>
      <c r="H53" s="4237"/>
      <c r="I53" s="4237"/>
      <c r="J53" s="4237"/>
      <c r="K53" s="4237"/>
      <c r="L53" s="4237"/>
      <c r="M53" s="4237"/>
      <c r="N53" s="4237"/>
      <c r="O53" s="4237"/>
      <c r="P53" s="4237"/>
      <c r="Q53" s="4237"/>
      <c r="R53" s="4237"/>
      <c r="S53" s="4237"/>
      <c r="T53" s="4237"/>
      <c r="U53" s="2913"/>
    </row>
    <row r="54" spans="2:21" s="2914" customFormat="1" ht="11.25" customHeight="1">
      <c r="B54" s="2916"/>
      <c r="C54" s="4237"/>
      <c r="D54" s="4237"/>
      <c r="E54" s="4237"/>
      <c r="F54" s="4237"/>
      <c r="G54" s="4237"/>
      <c r="H54" s="4237"/>
      <c r="I54" s="4237"/>
      <c r="J54" s="4237"/>
      <c r="K54" s="4237"/>
      <c r="L54" s="4237"/>
      <c r="M54" s="4237"/>
      <c r="N54" s="4237"/>
      <c r="O54" s="4237"/>
      <c r="P54" s="4237"/>
      <c r="Q54" s="4237"/>
      <c r="R54" s="4237"/>
      <c r="S54" s="4237"/>
      <c r="T54" s="4237"/>
      <c r="U54" s="2913"/>
    </row>
    <row r="55" spans="2:21" ht="6" customHeight="1">
      <c r="B55" s="1738"/>
      <c r="C55" s="1737"/>
      <c r="D55" s="1099"/>
      <c r="E55" s="1099"/>
      <c r="F55" s="1099"/>
      <c r="G55" s="1690"/>
      <c r="H55" s="1099"/>
      <c r="I55" s="1099"/>
      <c r="J55" s="1099"/>
      <c r="K55" s="1099"/>
      <c r="L55" s="1099"/>
      <c r="M55" s="1099"/>
      <c r="N55" s="1099"/>
      <c r="O55" s="1099"/>
      <c r="P55" s="1099"/>
      <c r="Q55" s="1100"/>
      <c r="R55" s="1101"/>
      <c r="S55" s="1101"/>
      <c r="T55" s="1100"/>
    </row>
    <row r="56" spans="2:21" ht="14.1" customHeight="1">
      <c r="B56" s="1728" t="s">
        <v>131</v>
      </c>
      <c r="C56" s="4257" t="s">
        <v>1553</v>
      </c>
      <c r="D56" s="4257"/>
      <c r="E56" s="4257"/>
      <c r="F56" s="4257"/>
      <c r="G56" s="4257"/>
      <c r="H56" s="4257"/>
      <c r="I56" s="4257"/>
      <c r="J56" s="4257"/>
      <c r="K56" s="4257"/>
      <c r="L56" s="4257"/>
      <c r="M56" s="4257"/>
      <c r="N56" s="4257"/>
      <c r="O56" s="4257"/>
      <c r="P56" s="4257"/>
      <c r="Q56" s="4257"/>
      <c r="R56" s="4257"/>
      <c r="S56" s="4257"/>
      <c r="T56" s="4257"/>
    </row>
    <row r="57" spans="2:21" ht="6" customHeight="1">
      <c r="B57" s="1737"/>
      <c r="C57" s="1099"/>
      <c r="D57" s="1099"/>
      <c r="E57" s="1099"/>
      <c r="F57" s="1099"/>
      <c r="G57" s="1690"/>
      <c r="H57" s="1099"/>
      <c r="I57" s="1099"/>
      <c r="J57" s="1099"/>
      <c r="K57" s="1099"/>
      <c r="L57" s="1099"/>
      <c r="M57" s="1099"/>
      <c r="N57" s="1099"/>
      <c r="O57" s="1099"/>
      <c r="P57" s="1099"/>
      <c r="Q57" s="1100"/>
      <c r="R57" s="1101"/>
      <c r="S57" s="1108"/>
      <c r="T57" s="1100"/>
    </row>
    <row r="58" spans="2:21" ht="14.1" customHeight="1">
      <c r="B58" s="1738"/>
      <c r="C58" s="4272" t="s">
        <v>1609</v>
      </c>
      <c r="D58" s="4272"/>
      <c r="E58" s="4272"/>
      <c r="F58" s="4272"/>
      <c r="G58" s="4272"/>
      <c r="H58" s="4272"/>
      <c r="I58" s="4272"/>
      <c r="J58" s="4272"/>
      <c r="K58" s="1090"/>
      <c r="L58" s="1090"/>
      <c r="M58" s="4272" t="s">
        <v>1610</v>
      </c>
      <c r="N58" s="4272"/>
      <c r="O58" s="4272"/>
      <c r="P58" s="4272"/>
      <c r="Q58" s="4272"/>
      <c r="R58" s="4272"/>
      <c r="S58" s="4272"/>
      <c r="T58" s="4272"/>
    </row>
    <row r="59" spans="2:21" ht="14.1" customHeight="1">
      <c r="B59" s="1738"/>
      <c r="C59" s="4278"/>
      <c r="D59" s="4278"/>
      <c r="E59" s="4278"/>
      <c r="F59" s="4278"/>
      <c r="G59" s="4278"/>
      <c r="H59" s="4278"/>
      <c r="I59" s="4278"/>
      <c r="J59" s="4278"/>
      <c r="K59" s="1090"/>
      <c r="L59" s="1090"/>
      <c r="M59" s="4277" t="s">
        <v>1646</v>
      </c>
      <c r="N59" s="4277"/>
      <c r="O59" s="4277"/>
      <c r="P59" s="4277"/>
      <c r="Q59" s="4277"/>
      <c r="R59" s="4277"/>
      <c r="S59" s="4277"/>
      <c r="T59" s="4277"/>
    </row>
    <row r="60" spans="2:21" ht="6" customHeight="1">
      <c r="B60" s="1738"/>
      <c r="C60" s="1745"/>
      <c r="D60" s="1745"/>
      <c r="E60" s="1745"/>
      <c r="F60" s="1745"/>
      <c r="G60" s="1745"/>
      <c r="H60" s="1745"/>
      <c r="I60" s="1745"/>
      <c r="J60" s="1745"/>
      <c r="K60" s="1090"/>
      <c r="L60" s="1090"/>
      <c r="M60" s="1101"/>
      <c r="N60" s="1101"/>
      <c r="O60" s="1101"/>
      <c r="P60" s="1101"/>
      <c r="Q60" s="1101"/>
      <c r="R60" s="1101"/>
      <c r="S60" s="1101"/>
      <c r="T60" s="1101"/>
    </row>
    <row r="61" spans="2:21" ht="14.1" customHeight="1">
      <c r="B61" s="1728" t="s">
        <v>133</v>
      </c>
      <c r="C61" s="4251" t="s">
        <v>1585</v>
      </c>
      <c r="D61" s="4251"/>
      <c r="E61" s="4251"/>
      <c r="F61" s="4251"/>
      <c r="G61" s="4251"/>
      <c r="H61" s="4251"/>
      <c r="I61" s="4251"/>
      <c r="J61" s="4251"/>
      <c r="K61" s="4251"/>
      <c r="L61" s="4251"/>
      <c r="M61" s="4251"/>
      <c r="N61" s="4251"/>
      <c r="O61" s="4251"/>
      <c r="P61" s="4251"/>
      <c r="Q61" s="4251"/>
      <c r="R61" s="4251"/>
      <c r="S61" s="4251"/>
      <c r="T61" s="4251"/>
    </row>
    <row r="62" spans="2:21" ht="14.1" customHeight="1">
      <c r="B62" s="1738"/>
      <c r="C62" s="4276" t="s">
        <v>1638</v>
      </c>
      <c r="D62" s="4276"/>
      <c r="E62" s="4276"/>
      <c r="F62" s="4276"/>
      <c r="G62" s="4276"/>
      <c r="H62" s="4276"/>
      <c r="I62" s="4276"/>
      <c r="J62" s="4276"/>
      <c r="K62" s="4276"/>
      <c r="L62" s="4276"/>
      <c r="M62" s="4276"/>
      <c r="N62" s="4276"/>
      <c r="O62" s="4276"/>
      <c r="P62" s="4276"/>
      <c r="Q62" s="4276"/>
      <c r="R62" s="4276"/>
      <c r="S62" s="4276"/>
      <c r="T62" s="4276"/>
    </row>
    <row r="63" spans="2:21" s="2914" customFormat="1" ht="11.25" customHeight="1">
      <c r="B63" s="2917"/>
      <c r="C63" s="4237" t="s">
        <v>2099</v>
      </c>
      <c r="D63" s="4237"/>
      <c r="E63" s="4237"/>
      <c r="F63" s="4237"/>
      <c r="G63" s="4237"/>
      <c r="H63" s="4237"/>
      <c r="I63" s="4237"/>
      <c r="J63" s="4237"/>
      <c r="K63" s="4237"/>
      <c r="L63" s="4237"/>
      <c r="M63" s="4237"/>
      <c r="N63" s="4237"/>
      <c r="O63" s="4237"/>
      <c r="P63" s="4237"/>
      <c r="Q63" s="4237"/>
      <c r="R63" s="4237"/>
      <c r="S63" s="4237"/>
      <c r="T63" s="4237"/>
      <c r="U63" s="2913"/>
    </row>
    <row r="64" spans="2:21" s="2914" customFormat="1" ht="11.25" customHeight="1">
      <c r="B64" s="2916"/>
      <c r="C64" s="4237" t="s">
        <v>2100</v>
      </c>
      <c r="D64" s="4237"/>
      <c r="E64" s="4237"/>
      <c r="F64" s="4237"/>
      <c r="G64" s="4237"/>
      <c r="H64" s="4237"/>
      <c r="I64" s="4237"/>
      <c r="J64" s="4237"/>
      <c r="K64" s="4237"/>
      <c r="L64" s="4237"/>
      <c r="M64" s="4237"/>
      <c r="N64" s="4237"/>
      <c r="O64" s="4237"/>
      <c r="P64" s="4237"/>
      <c r="Q64" s="4237"/>
      <c r="R64" s="4237"/>
      <c r="S64" s="4237"/>
      <c r="T64" s="4237"/>
      <c r="U64" s="2913"/>
    </row>
    <row r="65" spans="2:21" ht="6" customHeight="1">
      <c r="B65" s="1738"/>
      <c r="C65" s="1737"/>
      <c r="D65" s="1099"/>
      <c r="E65" s="1099"/>
      <c r="F65" s="1099"/>
      <c r="G65" s="1099"/>
      <c r="H65" s="1099"/>
      <c r="I65" s="1099"/>
      <c r="J65" s="1099"/>
      <c r="K65" s="1099"/>
      <c r="L65" s="1099"/>
      <c r="M65" s="1099"/>
      <c r="N65" s="1099"/>
      <c r="O65" s="1099"/>
      <c r="P65" s="1099"/>
      <c r="Q65" s="1099"/>
      <c r="R65" s="1099"/>
      <c r="S65" s="1099"/>
      <c r="T65" s="1099"/>
    </row>
    <row r="66" spans="2:21" ht="14.1" customHeight="1">
      <c r="B66" s="1728" t="s">
        <v>136</v>
      </c>
      <c r="C66" s="4276" t="s">
        <v>1628</v>
      </c>
      <c r="D66" s="4276"/>
      <c r="E66" s="4276"/>
      <c r="F66" s="4276"/>
      <c r="G66" s="4276"/>
      <c r="H66" s="4276"/>
      <c r="I66" s="4276"/>
      <c r="J66" s="4276"/>
      <c r="K66" s="4276"/>
      <c r="L66" s="4276"/>
      <c r="M66" s="4276"/>
      <c r="N66" s="4276"/>
      <c r="O66" s="4276"/>
      <c r="P66" s="4276"/>
      <c r="Q66" s="4276"/>
      <c r="R66" s="4276"/>
      <c r="S66" s="4276"/>
      <c r="T66" s="4276"/>
    </row>
    <row r="67" spans="2:21" ht="6" customHeight="1">
      <c r="B67" s="1737"/>
      <c r="C67" s="1737"/>
      <c r="D67" s="1099"/>
      <c r="E67" s="1099"/>
      <c r="F67" s="1099"/>
      <c r="G67" s="1690"/>
      <c r="H67" s="1099"/>
      <c r="I67" s="1099"/>
      <c r="J67" s="1099"/>
      <c r="K67" s="1099"/>
      <c r="L67" s="1099"/>
      <c r="M67" s="1099"/>
      <c r="N67" s="1099"/>
      <c r="O67" s="1099"/>
      <c r="P67" s="1099"/>
      <c r="Q67" s="1100"/>
      <c r="R67" s="1099"/>
      <c r="S67" s="1099"/>
      <c r="T67" s="1100"/>
    </row>
    <row r="68" spans="2:21" ht="14.1" customHeight="1">
      <c r="B68" s="1738"/>
      <c r="C68" s="4252" t="s">
        <v>954</v>
      </c>
      <c r="D68" s="4252"/>
      <c r="E68" s="4252"/>
      <c r="F68" s="2883" t="s">
        <v>1060</v>
      </c>
      <c r="G68" s="1693"/>
      <c r="H68" s="1694"/>
      <c r="I68" s="1694"/>
      <c r="J68" s="4252" t="s">
        <v>955</v>
      </c>
      <c r="K68" s="4252"/>
      <c r="L68" s="4252"/>
      <c r="M68" s="2882" t="s">
        <v>1060</v>
      </c>
      <c r="N68" s="1694"/>
      <c r="O68" s="1694"/>
      <c r="P68" s="1694"/>
      <c r="Q68" s="4252" t="s">
        <v>117</v>
      </c>
      <c r="R68" s="4252"/>
      <c r="S68" s="4252"/>
      <c r="T68" s="2883" t="s">
        <v>1060</v>
      </c>
    </row>
    <row r="69" spans="2:21" ht="7.5" customHeight="1">
      <c r="B69" s="1738"/>
      <c r="C69" s="1782"/>
      <c r="D69" s="1782"/>
      <c r="E69" s="1782"/>
      <c r="F69" s="1782"/>
      <c r="G69" s="1782"/>
      <c r="H69" s="1782"/>
      <c r="I69" s="1782"/>
      <c r="J69" s="1782"/>
      <c r="K69" s="1782"/>
      <c r="L69" s="1782"/>
      <c r="M69" s="1782"/>
      <c r="N69" s="1782"/>
      <c r="O69" s="1782"/>
      <c r="P69" s="1782"/>
      <c r="Q69" s="1782"/>
      <c r="R69" s="1782"/>
      <c r="S69" s="1782"/>
      <c r="T69" s="1782"/>
    </row>
    <row r="70" spans="2:21" s="2914" customFormat="1" ht="11.25" customHeight="1">
      <c r="B70" s="2916"/>
      <c r="C70" s="1761" t="s">
        <v>270</v>
      </c>
      <c r="D70" s="1762"/>
      <c r="E70" s="1762"/>
      <c r="F70" s="4266"/>
      <c r="G70" s="4266"/>
      <c r="H70" s="4266"/>
      <c r="I70" s="4266"/>
      <c r="J70" s="4266"/>
      <c r="K70" s="4266"/>
      <c r="L70" s="4266"/>
      <c r="M70" s="4266"/>
      <c r="N70" s="4266"/>
      <c r="O70" s="4266"/>
      <c r="P70" s="4266"/>
      <c r="Q70" s="4266"/>
      <c r="R70" s="4266"/>
      <c r="S70" s="4266"/>
      <c r="T70" s="4266"/>
      <c r="U70" s="2913"/>
    </row>
    <row r="71" spans="2:21" s="2914" customFormat="1" ht="11.25" customHeight="1">
      <c r="B71" s="2916"/>
      <c r="C71" s="4237"/>
      <c r="D71" s="4237"/>
      <c r="E71" s="4237"/>
      <c r="F71" s="4237"/>
      <c r="G71" s="4237"/>
      <c r="H71" s="4237"/>
      <c r="I71" s="4237"/>
      <c r="J71" s="4237"/>
      <c r="K71" s="4237"/>
      <c r="L71" s="4237"/>
      <c r="M71" s="4237"/>
      <c r="N71" s="4237"/>
      <c r="O71" s="4237"/>
      <c r="P71" s="4237"/>
      <c r="Q71" s="4237"/>
      <c r="R71" s="4237"/>
      <c r="S71" s="4237"/>
      <c r="T71" s="4237"/>
      <c r="U71" s="2913"/>
    </row>
    <row r="72" spans="2:21" ht="6" customHeight="1">
      <c r="B72" s="1738"/>
      <c r="C72" s="1691"/>
      <c r="D72" s="1691"/>
      <c r="E72" s="1691"/>
      <c r="F72" s="1693"/>
      <c r="G72" s="1693"/>
      <c r="H72" s="1694"/>
      <c r="I72" s="1694"/>
      <c r="J72" s="1691"/>
      <c r="K72" s="1691"/>
      <c r="L72" s="1691"/>
      <c r="M72" s="1693"/>
      <c r="N72" s="1694"/>
      <c r="O72" s="1694"/>
      <c r="P72" s="1694"/>
      <c r="Q72" s="1691"/>
      <c r="R72" s="1691"/>
      <c r="S72" s="1691"/>
      <c r="T72" s="1693"/>
    </row>
    <row r="73" spans="2:21" ht="14.1" customHeight="1">
      <c r="B73" s="1728" t="s">
        <v>138</v>
      </c>
      <c r="C73" s="4276" t="s">
        <v>1636</v>
      </c>
      <c r="D73" s="4276"/>
      <c r="E73" s="4276"/>
      <c r="F73" s="4276"/>
      <c r="G73" s="4276"/>
      <c r="H73" s="4276"/>
      <c r="I73" s="4276"/>
      <c r="J73" s="4276"/>
      <c r="K73" s="4276"/>
      <c r="L73" s="4276"/>
      <c r="M73" s="4276"/>
      <c r="N73" s="4276"/>
      <c r="O73" s="4276"/>
      <c r="P73" s="4276"/>
      <c r="Q73" s="4276"/>
      <c r="R73" s="4276"/>
      <c r="S73" s="4276"/>
      <c r="T73" s="4276"/>
    </row>
    <row r="74" spans="2:21" ht="6" customHeight="1">
      <c r="B74" s="1737"/>
      <c r="C74" s="1737"/>
      <c r="D74" s="1099"/>
      <c r="E74" s="1099"/>
      <c r="F74" s="1099"/>
      <c r="G74" s="1690"/>
      <c r="H74" s="1099"/>
      <c r="I74" s="1099"/>
      <c r="J74" s="1099"/>
      <c r="K74" s="1099"/>
      <c r="L74" s="1099"/>
      <c r="M74" s="1099"/>
      <c r="N74" s="1099"/>
      <c r="O74" s="1099"/>
      <c r="P74" s="1099"/>
      <c r="Q74" s="1100"/>
      <c r="R74" s="1099"/>
      <c r="S74" s="1101"/>
      <c r="T74" s="1100"/>
    </row>
    <row r="75" spans="2:21" ht="14.1" customHeight="1">
      <c r="B75" s="1738"/>
      <c r="C75" s="4252" t="s">
        <v>954</v>
      </c>
      <c r="D75" s="4252"/>
      <c r="E75" s="4252"/>
      <c r="F75" s="2882" t="s">
        <v>1060</v>
      </c>
      <c r="G75" s="1693"/>
      <c r="H75" s="1694"/>
      <c r="I75" s="1694"/>
      <c r="J75" s="4252" t="s">
        <v>955</v>
      </c>
      <c r="K75" s="4252"/>
      <c r="L75" s="4252"/>
      <c r="M75" s="2883" t="s">
        <v>1060</v>
      </c>
      <c r="N75" s="1694"/>
      <c r="O75" s="1694"/>
      <c r="P75" s="1694"/>
      <c r="Q75" s="4252" t="s">
        <v>117</v>
      </c>
      <c r="R75" s="4252"/>
      <c r="S75" s="4252"/>
      <c r="T75" s="2883" t="s">
        <v>1060</v>
      </c>
    </row>
    <row r="76" spans="2:21" ht="6" customHeight="1">
      <c r="B76" s="1738"/>
      <c r="C76" s="1691"/>
      <c r="D76" s="1691"/>
      <c r="E76" s="1691"/>
      <c r="F76" s="1693"/>
      <c r="G76" s="1693"/>
      <c r="H76" s="1694"/>
      <c r="I76" s="1694"/>
      <c r="J76" s="1691"/>
      <c r="K76" s="1691"/>
      <c r="L76" s="1691"/>
      <c r="M76" s="1693"/>
      <c r="N76" s="1694"/>
      <c r="O76" s="1694"/>
      <c r="P76" s="1694"/>
      <c r="Q76" s="1691"/>
      <c r="R76" s="1691"/>
      <c r="S76" s="1691"/>
      <c r="T76" s="1693"/>
    </row>
    <row r="77" spans="2:21" ht="14.1" customHeight="1">
      <c r="B77" s="1728" t="s">
        <v>139</v>
      </c>
      <c r="C77" s="4276" t="s">
        <v>1629</v>
      </c>
      <c r="D77" s="4276"/>
      <c r="E77" s="4276"/>
      <c r="F77" s="4276"/>
      <c r="G77" s="4276"/>
      <c r="H77" s="4276"/>
      <c r="I77" s="4276"/>
      <c r="J77" s="4276"/>
      <c r="K77" s="4276"/>
      <c r="L77" s="4276"/>
      <c r="M77" s="4276"/>
      <c r="N77" s="4276"/>
      <c r="O77" s="4276"/>
      <c r="P77" s="4276"/>
      <c r="Q77" s="4276"/>
      <c r="R77" s="4276"/>
      <c r="S77" s="4276"/>
      <c r="T77" s="4276"/>
    </row>
    <row r="78" spans="2:21" ht="6" customHeight="1">
      <c r="B78" s="1737"/>
      <c r="C78" s="1099"/>
      <c r="D78" s="1099"/>
      <c r="E78" s="1099"/>
      <c r="F78" s="1099"/>
      <c r="G78" s="1099"/>
      <c r="H78" s="1099"/>
      <c r="I78" s="1099"/>
      <c r="J78" s="1099"/>
      <c r="K78" s="1099"/>
      <c r="L78" s="1099"/>
      <c r="M78" s="1099"/>
      <c r="N78" s="1099"/>
      <c r="O78" s="1099"/>
      <c r="P78" s="1099"/>
      <c r="Q78" s="1099"/>
      <c r="R78" s="1099"/>
      <c r="S78" s="1099"/>
      <c r="T78" s="1099"/>
    </row>
    <row r="79" spans="2:21" ht="14.1" customHeight="1">
      <c r="B79" s="1738"/>
      <c r="C79" s="4252" t="s">
        <v>954</v>
      </c>
      <c r="D79" s="4252"/>
      <c r="E79" s="4252"/>
      <c r="F79" s="2883" t="s">
        <v>1060</v>
      </c>
      <c r="G79" s="1693"/>
      <c r="H79" s="1694"/>
      <c r="I79" s="1694"/>
      <c r="J79" s="4252" t="s">
        <v>955</v>
      </c>
      <c r="K79" s="4252"/>
      <c r="L79" s="4252"/>
      <c r="M79" s="2882" t="s">
        <v>1060</v>
      </c>
      <c r="N79" s="1694"/>
      <c r="O79" s="1694"/>
      <c r="P79" s="1694"/>
      <c r="Q79" s="4252" t="s">
        <v>117</v>
      </c>
      <c r="R79" s="4252"/>
      <c r="S79" s="4252"/>
      <c r="T79" s="2883" t="s">
        <v>1060</v>
      </c>
    </row>
    <row r="80" spans="2:21" ht="6" customHeight="1">
      <c r="B80" s="1738"/>
      <c r="C80" s="1691"/>
      <c r="D80" s="1691"/>
      <c r="E80" s="1691"/>
      <c r="F80" s="1693"/>
      <c r="G80" s="1693"/>
      <c r="H80" s="1694"/>
      <c r="I80" s="1694"/>
      <c r="J80" s="1691"/>
      <c r="K80" s="1691"/>
      <c r="L80" s="1691"/>
      <c r="M80" s="1693"/>
      <c r="N80" s="1694"/>
      <c r="O80" s="1694"/>
      <c r="P80" s="1694"/>
      <c r="Q80" s="1691"/>
      <c r="R80" s="1691"/>
      <c r="S80" s="1691"/>
      <c r="T80" s="1693"/>
    </row>
    <row r="81" spans="2:21" ht="14.1" customHeight="1">
      <c r="B81" s="1728" t="s">
        <v>141</v>
      </c>
      <c r="C81" s="4251" t="s">
        <v>1630</v>
      </c>
      <c r="D81" s="4251"/>
      <c r="E81" s="4251"/>
      <c r="F81" s="4251"/>
      <c r="G81" s="4251"/>
      <c r="H81" s="4251"/>
      <c r="I81" s="4251"/>
      <c r="J81" s="4251"/>
      <c r="K81" s="4251"/>
      <c r="L81" s="4251"/>
      <c r="M81" s="4251"/>
      <c r="N81" s="4251"/>
      <c r="O81" s="4251"/>
      <c r="P81" s="4251"/>
      <c r="Q81" s="4251"/>
      <c r="R81" s="4251"/>
      <c r="S81" s="4251"/>
      <c r="T81" s="4251"/>
    </row>
    <row r="82" spans="2:21" ht="14.1" customHeight="1">
      <c r="B82" s="1728"/>
      <c r="C82" s="4276" t="s">
        <v>1612</v>
      </c>
      <c r="D82" s="4276"/>
      <c r="E82" s="4276"/>
      <c r="F82" s="4276"/>
      <c r="G82" s="4276"/>
      <c r="H82" s="4276"/>
      <c r="I82" s="4276"/>
      <c r="J82" s="4276"/>
      <c r="K82" s="4276"/>
      <c r="L82" s="4276"/>
      <c r="M82" s="4276"/>
      <c r="N82" s="4276"/>
      <c r="O82" s="4276"/>
      <c r="P82" s="4276"/>
      <c r="Q82" s="4276"/>
      <c r="R82" s="4276"/>
      <c r="S82" s="4276"/>
      <c r="T82" s="4276"/>
    </row>
    <row r="83" spans="2:21" ht="6" customHeight="1">
      <c r="B83" s="1728"/>
      <c r="C83" s="1737"/>
      <c r="D83" s="1099"/>
      <c r="E83" s="1099"/>
      <c r="F83" s="1099"/>
      <c r="G83" s="1690"/>
      <c r="H83" s="1099"/>
      <c r="I83" s="1099"/>
      <c r="J83" s="1099"/>
      <c r="K83" s="1099"/>
      <c r="L83" s="1099"/>
      <c r="M83" s="1099"/>
      <c r="N83" s="1099"/>
      <c r="O83" s="1099"/>
      <c r="P83" s="1099"/>
      <c r="Q83" s="1100"/>
      <c r="R83" s="1101"/>
      <c r="S83" s="1101"/>
      <c r="T83" s="1100"/>
    </row>
    <row r="84" spans="2:21" ht="14.1" customHeight="1">
      <c r="B84" s="1737"/>
      <c r="C84" s="4252" t="s">
        <v>954</v>
      </c>
      <c r="D84" s="4252"/>
      <c r="E84" s="4252"/>
      <c r="F84" s="2883" t="s">
        <v>1060</v>
      </c>
      <c r="G84" s="1693"/>
      <c r="H84" s="1694"/>
      <c r="I84" s="1694"/>
      <c r="J84" s="4252" t="s">
        <v>955</v>
      </c>
      <c r="K84" s="4252"/>
      <c r="L84" s="4252"/>
      <c r="M84" s="2882" t="s">
        <v>1060</v>
      </c>
      <c r="N84" s="1694"/>
      <c r="O84" s="1694"/>
      <c r="P84" s="1694"/>
      <c r="Q84" s="4252" t="s">
        <v>117</v>
      </c>
      <c r="R84" s="4252"/>
      <c r="S84" s="4252"/>
      <c r="T84" s="2883" t="s">
        <v>1060</v>
      </c>
    </row>
    <row r="85" spans="2:21" ht="6" customHeight="1">
      <c r="B85" s="1738"/>
      <c r="C85" s="1738"/>
      <c r="D85" s="1090"/>
      <c r="E85" s="1090"/>
      <c r="F85" s="1090"/>
      <c r="G85" s="1692"/>
      <c r="H85" s="1090"/>
      <c r="I85" s="1090"/>
      <c r="J85" s="1090"/>
      <c r="K85" s="1090"/>
      <c r="L85" s="1090"/>
      <c r="M85" s="1090"/>
      <c r="N85" s="1090"/>
      <c r="O85" s="1090"/>
      <c r="P85" s="1090"/>
      <c r="Q85" s="1096"/>
      <c r="R85" s="1097"/>
      <c r="S85" s="1097"/>
      <c r="T85" s="1096"/>
    </row>
    <row r="86" spans="2:21" ht="14.1" customHeight="1">
      <c r="B86" s="1728" t="s">
        <v>143</v>
      </c>
      <c r="C86" s="4251" t="s">
        <v>1631</v>
      </c>
      <c r="D86" s="4251"/>
      <c r="E86" s="4251"/>
      <c r="F86" s="4251"/>
      <c r="G86" s="4251"/>
      <c r="H86" s="4251"/>
      <c r="I86" s="4251"/>
      <c r="J86" s="4251"/>
      <c r="K86" s="4251"/>
      <c r="L86" s="4251"/>
      <c r="M86" s="4251"/>
      <c r="N86" s="4251"/>
      <c r="O86" s="4251"/>
      <c r="P86" s="4251"/>
      <c r="Q86" s="4251"/>
      <c r="R86" s="4251"/>
      <c r="S86" s="4251"/>
      <c r="T86" s="4251"/>
    </row>
    <row r="87" spans="2:21" s="2914" customFormat="1" ht="11.25" customHeight="1">
      <c r="B87" s="2916"/>
      <c r="C87" s="4237" t="s">
        <v>2267</v>
      </c>
      <c r="D87" s="4237"/>
      <c r="E87" s="4237"/>
      <c r="F87" s="4237"/>
      <c r="G87" s="4237"/>
      <c r="H87" s="4237"/>
      <c r="I87" s="4237"/>
      <c r="J87" s="4237"/>
      <c r="K87" s="4237"/>
      <c r="L87" s="4237"/>
      <c r="M87" s="4237"/>
      <c r="N87" s="4237"/>
      <c r="O87" s="4237"/>
      <c r="P87" s="4237"/>
      <c r="Q87" s="4237"/>
      <c r="R87" s="4237"/>
      <c r="S87" s="4237"/>
      <c r="T87" s="4237"/>
      <c r="U87" s="2913"/>
    </row>
    <row r="88" spans="2:21" s="2914" customFormat="1" ht="11.25" customHeight="1">
      <c r="B88" s="2916"/>
      <c r="C88" s="4237"/>
      <c r="D88" s="4237"/>
      <c r="E88" s="4237"/>
      <c r="F88" s="4237"/>
      <c r="G88" s="4237"/>
      <c r="H88" s="4237"/>
      <c r="I88" s="4237"/>
      <c r="J88" s="4237"/>
      <c r="K88" s="4237"/>
      <c r="L88" s="4237"/>
      <c r="M88" s="4237"/>
      <c r="N88" s="4237"/>
      <c r="O88" s="4237"/>
      <c r="P88" s="4237"/>
      <c r="Q88" s="4237"/>
      <c r="R88" s="4237"/>
      <c r="S88" s="4237"/>
      <c r="T88" s="4237"/>
      <c r="U88" s="2913"/>
    </row>
    <row r="89" spans="2:21" ht="6" customHeight="1">
      <c r="B89" s="1738"/>
      <c r="C89" s="1737"/>
      <c r="D89" s="1099"/>
      <c r="E89" s="1099"/>
      <c r="F89" s="1099"/>
      <c r="G89" s="1690"/>
      <c r="H89" s="1099"/>
      <c r="I89" s="1099"/>
      <c r="J89" s="1099"/>
      <c r="K89" s="1099"/>
      <c r="L89" s="1099"/>
      <c r="M89" s="1099"/>
      <c r="N89" s="1099"/>
      <c r="O89" s="1099"/>
      <c r="P89" s="1099"/>
      <c r="Q89" s="1100"/>
      <c r="R89" s="1101"/>
      <c r="S89" s="1101"/>
      <c r="T89" s="1100"/>
    </row>
    <row r="90" spans="2:21" ht="14.1" customHeight="1">
      <c r="B90" s="1728" t="s">
        <v>1535</v>
      </c>
      <c r="C90" s="4251" t="s">
        <v>1632</v>
      </c>
      <c r="D90" s="4251"/>
      <c r="E90" s="4251"/>
      <c r="F90" s="4251"/>
      <c r="G90" s="4251"/>
      <c r="H90" s="4251"/>
      <c r="I90" s="4251"/>
      <c r="J90" s="4251"/>
      <c r="K90" s="4251"/>
      <c r="L90" s="4251"/>
      <c r="M90" s="4251"/>
      <c r="N90" s="4251"/>
      <c r="O90" s="4251"/>
      <c r="P90" s="4251"/>
      <c r="Q90" s="4251"/>
      <c r="R90" s="4251"/>
      <c r="S90" s="4251"/>
      <c r="T90" s="4251"/>
    </row>
    <row r="91" spans="2:21" s="2914" customFormat="1" ht="11.25" customHeight="1">
      <c r="B91" s="2916"/>
      <c r="C91" s="4237" t="s">
        <v>2268</v>
      </c>
      <c r="D91" s="4237"/>
      <c r="E91" s="4237"/>
      <c r="F91" s="4237"/>
      <c r="G91" s="4237"/>
      <c r="H91" s="4237"/>
      <c r="I91" s="4237"/>
      <c r="J91" s="4237"/>
      <c r="K91" s="4237"/>
      <c r="L91" s="4237"/>
      <c r="M91" s="4237"/>
      <c r="N91" s="4237"/>
      <c r="O91" s="4237"/>
      <c r="P91" s="4237"/>
      <c r="Q91" s="4237"/>
      <c r="R91" s="4237"/>
      <c r="S91" s="4237"/>
      <c r="T91" s="4237"/>
      <c r="U91" s="2913"/>
    </row>
    <row r="92" spans="2:21" s="2914" customFormat="1" ht="11.25" customHeight="1">
      <c r="B92" s="2916"/>
      <c r="C92" s="4237"/>
      <c r="D92" s="4237"/>
      <c r="E92" s="4237"/>
      <c r="F92" s="4237"/>
      <c r="G92" s="4237"/>
      <c r="H92" s="4237"/>
      <c r="I92" s="4237"/>
      <c r="J92" s="4237"/>
      <c r="K92" s="4237"/>
      <c r="L92" s="4237"/>
      <c r="M92" s="4237"/>
      <c r="N92" s="4237"/>
      <c r="O92" s="4237"/>
      <c r="P92" s="4237"/>
      <c r="Q92" s="4237"/>
      <c r="R92" s="4237"/>
      <c r="S92" s="4237"/>
      <c r="T92" s="4237"/>
      <c r="U92" s="2913"/>
    </row>
    <row r="93" spans="2:21" ht="6" customHeight="1">
      <c r="B93" s="1738"/>
      <c r="C93" s="1737"/>
      <c r="D93" s="1099"/>
      <c r="E93" s="1099"/>
      <c r="F93" s="1099"/>
      <c r="G93" s="1690"/>
      <c r="H93" s="1099"/>
      <c r="I93" s="1099"/>
      <c r="J93" s="1099"/>
      <c r="K93" s="1099"/>
      <c r="L93" s="1099"/>
      <c r="M93" s="1099"/>
      <c r="N93" s="1099"/>
      <c r="O93" s="1099"/>
      <c r="P93" s="1099"/>
      <c r="Q93" s="1100"/>
      <c r="R93" s="1101"/>
      <c r="S93" s="1101"/>
      <c r="T93" s="1100"/>
    </row>
    <row r="94" spans="2:21" ht="14.1" customHeight="1">
      <c r="B94" s="1728" t="s">
        <v>1536</v>
      </c>
      <c r="C94" s="4276" t="s">
        <v>1551</v>
      </c>
      <c r="D94" s="4276"/>
      <c r="E94" s="4276"/>
      <c r="F94" s="4276"/>
      <c r="G94" s="4276"/>
      <c r="H94" s="4276"/>
      <c r="I94" s="4276"/>
      <c r="J94" s="4276"/>
      <c r="K94" s="4276"/>
      <c r="L94" s="4276"/>
      <c r="M94" s="4276"/>
      <c r="N94" s="4276"/>
      <c r="O94" s="4276"/>
      <c r="P94" s="4276"/>
      <c r="Q94" s="4276"/>
      <c r="R94" s="4276"/>
      <c r="S94" s="4276"/>
      <c r="T94" s="4276"/>
    </row>
    <row r="95" spans="2:21" ht="6" customHeight="1">
      <c r="B95" s="1737"/>
      <c r="C95" s="1737"/>
      <c r="D95" s="1099"/>
      <c r="E95" s="1099"/>
      <c r="F95" s="1099"/>
      <c r="G95" s="1690"/>
      <c r="H95" s="1099"/>
      <c r="I95" s="1099"/>
      <c r="J95" s="1099"/>
      <c r="K95" s="1099"/>
      <c r="L95" s="1099"/>
      <c r="M95" s="1099"/>
      <c r="N95" s="1099"/>
      <c r="O95" s="1099"/>
      <c r="P95" s="1099"/>
      <c r="Q95" s="1100"/>
      <c r="R95" s="1101"/>
      <c r="S95" s="1101"/>
      <c r="T95" s="1100"/>
    </row>
    <row r="96" spans="2:21" ht="14.1" customHeight="1">
      <c r="B96" s="1738"/>
      <c r="C96" s="4252" t="s">
        <v>954</v>
      </c>
      <c r="D96" s="4252"/>
      <c r="E96" s="4252"/>
      <c r="F96" s="2883" t="s">
        <v>1060</v>
      </c>
      <c r="G96" s="1693"/>
      <c r="H96" s="1694"/>
      <c r="I96" s="1694"/>
      <c r="J96" s="4253" t="s">
        <v>955</v>
      </c>
      <c r="K96" s="4254"/>
      <c r="L96" s="4255"/>
      <c r="M96" s="2882" t="s">
        <v>1060</v>
      </c>
      <c r="N96" s="1694"/>
      <c r="O96" s="1694"/>
      <c r="P96" s="1694"/>
      <c r="Q96" s="4252" t="s">
        <v>117</v>
      </c>
      <c r="R96" s="4252"/>
      <c r="S96" s="4252"/>
      <c r="T96" s="2883" t="s">
        <v>1060</v>
      </c>
    </row>
    <row r="97" spans="2:21" ht="6" customHeight="1">
      <c r="B97" s="1738"/>
      <c r="C97" s="1691"/>
      <c r="D97" s="1691"/>
      <c r="E97" s="1691"/>
      <c r="F97" s="1693"/>
      <c r="G97" s="1693"/>
      <c r="H97" s="1694"/>
      <c r="I97" s="1694"/>
      <c r="J97" s="1691"/>
      <c r="K97" s="1691"/>
      <c r="L97" s="1691"/>
      <c r="M97" s="1693"/>
      <c r="N97" s="1694"/>
      <c r="O97" s="1694"/>
      <c r="P97" s="1694"/>
      <c r="Q97" s="1694"/>
      <c r="R97" s="1694"/>
      <c r="S97" s="1694"/>
      <c r="T97" s="1694"/>
    </row>
    <row r="98" spans="2:21" ht="14.1" customHeight="1">
      <c r="B98" s="1728" t="s">
        <v>1537</v>
      </c>
      <c r="C98" s="4276" t="s">
        <v>1550</v>
      </c>
      <c r="D98" s="4276"/>
      <c r="E98" s="4276"/>
      <c r="F98" s="4276"/>
      <c r="G98" s="4276"/>
      <c r="H98" s="4276"/>
      <c r="I98" s="4276"/>
      <c r="J98" s="4276"/>
      <c r="K98" s="4276"/>
      <c r="L98" s="4276"/>
      <c r="M98" s="4276"/>
      <c r="N98" s="4276"/>
      <c r="O98" s="4276"/>
      <c r="P98" s="4279"/>
      <c r="Q98" s="2928" t="s">
        <v>116</v>
      </c>
      <c r="R98" s="2882" t="s">
        <v>1060</v>
      </c>
      <c r="S98" s="2928" t="s">
        <v>117</v>
      </c>
      <c r="T98" s="2883" t="s">
        <v>1060</v>
      </c>
    </row>
    <row r="99" spans="2:21" ht="6" customHeight="1">
      <c r="B99" s="1728"/>
      <c r="C99" s="1099"/>
      <c r="D99" s="1099"/>
      <c r="E99" s="1099"/>
      <c r="F99" s="1099"/>
      <c r="G99" s="1099"/>
      <c r="H99" s="1099"/>
      <c r="I99" s="1099"/>
      <c r="J99" s="1099"/>
      <c r="K99" s="1099"/>
      <c r="L99" s="1099"/>
      <c r="M99" s="1099"/>
      <c r="N99" s="1099"/>
      <c r="O99" s="1099"/>
      <c r="P99" s="1099"/>
      <c r="Q99" s="1099"/>
      <c r="R99" s="1099"/>
      <c r="S99" s="1099"/>
      <c r="T99" s="1099"/>
    </row>
    <row r="100" spans="2:21" ht="14.1" customHeight="1">
      <c r="B100" s="1728" t="s">
        <v>1538</v>
      </c>
      <c r="C100" s="4276" t="s">
        <v>2029</v>
      </c>
      <c r="D100" s="4276"/>
      <c r="E100" s="4276"/>
      <c r="F100" s="4276"/>
      <c r="G100" s="4276"/>
      <c r="H100" s="4276"/>
      <c r="I100" s="4276"/>
      <c r="J100" s="4276"/>
      <c r="K100" s="4276"/>
      <c r="L100" s="4276"/>
      <c r="M100" s="4276"/>
      <c r="N100" s="4276"/>
      <c r="O100" s="4276"/>
      <c r="P100" s="4276"/>
      <c r="Q100" s="4276"/>
      <c r="R100" s="4276"/>
      <c r="S100" s="4276"/>
      <c r="T100" s="4276"/>
    </row>
    <row r="101" spans="2:21" ht="6" customHeight="1">
      <c r="B101" s="1737"/>
      <c r="C101" s="1099"/>
      <c r="D101" s="1099"/>
      <c r="E101" s="1099"/>
      <c r="F101" s="1099"/>
      <c r="G101" s="1690"/>
      <c r="H101" s="1099"/>
      <c r="I101" s="1099"/>
      <c r="J101" s="1099"/>
      <c r="K101" s="1099"/>
      <c r="L101" s="1099"/>
      <c r="M101" s="1099"/>
      <c r="N101" s="1099"/>
      <c r="O101" s="1099"/>
      <c r="P101" s="1099"/>
      <c r="Q101" s="1100"/>
      <c r="R101" s="1691"/>
      <c r="S101" s="1691"/>
      <c r="T101" s="1691"/>
    </row>
    <row r="102" spans="2:21" ht="14.1" customHeight="1">
      <c r="B102" s="1738"/>
      <c r="D102" s="1099"/>
      <c r="E102" s="1099"/>
      <c r="F102" s="1099"/>
      <c r="G102" s="1099"/>
      <c r="H102" s="1099"/>
      <c r="I102" s="1099"/>
      <c r="J102" s="1099"/>
      <c r="K102" s="1099"/>
      <c r="L102" s="1090"/>
      <c r="M102" s="1090"/>
      <c r="N102" s="1090"/>
      <c r="O102" s="1090"/>
      <c r="P102" s="1090"/>
      <c r="Q102" s="2928" t="s">
        <v>116</v>
      </c>
      <c r="R102" s="2882" t="s">
        <v>1060</v>
      </c>
      <c r="S102" s="2928" t="s">
        <v>117</v>
      </c>
      <c r="T102" s="2883" t="s">
        <v>1060</v>
      </c>
    </row>
    <row r="103" spans="2:21" ht="14.1" customHeight="1">
      <c r="B103" s="1738"/>
      <c r="C103" s="1106" t="s">
        <v>1534</v>
      </c>
      <c r="D103" s="1738"/>
      <c r="E103" s="1738"/>
      <c r="F103" s="1738"/>
      <c r="G103" s="1738"/>
      <c r="H103" s="1738"/>
      <c r="I103" s="1738"/>
      <c r="J103" s="1738"/>
      <c r="K103" s="1738"/>
      <c r="L103" s="1738"/>
      <c r="M103" s="1738"/>
      <c r="N103" s="1738"/>
      <c r="O103" s="1738"/>
      <c r="P103" s="1738"/>
      <c r="Q103" s="1738"/>
      <c r="R103" s="1738"/>
      <c r="S103" s="1738"/>
      <c r="T103" s="1738"/>
    </row>
    <row r="104" spans="2:21" s="2914" customFormat="1" ht="11.25" customHeight="1">
      <c r="B104" s="2916"/>
      <c r="C104" s="4237"/>
      <c r="D104" s="4237"/>
      <c r="E104" s="4237"/>
      <c r="F104" s="4237"/>
      <c r="G104" s="4237"/>
      <c r="H104" s="4237"/>
      <c r="I104" s="4237"/>
      <c r="J104" s="4237"/>
      <c r="K104" s="4237"/>
      <c r="L104" s="4237"/>
      <c r="M104" s="4237"/>
      <c r="N104" s="4237"/>
      <c r="O104" s="4237"/>
      <c r="P104" s="4237"/>
      <c r="Q104" s="4237"/>
      <c r="R104" s="4237"/>
      <c r="S104" s="4237"/>
      <c r="T104" s="4237"/>
      <c r="U104" s="2913"/>
    </row>
    <row r="105" spans="2:21" s="2914" customFormat="1" ht="11.25" customHeight="1">
      <c r="B105" s="2916"/>
      <c r="C105" s="4237"/>
      <c r="D105" s="4237"/>
      <c r="E105" s="4237"/>
      <c r="F105" s="4237"/>
      <c r="G105" s="4237"/>
      <c r="H105" s="4237"/>
      <c r="I105" s="4237"/>
      <c r="J105" s="4237"/>
      <c r="K105" s="4237"/>
      <c r="L105" s="4237"/>
      <c r="M105" s="4237"/>
      <c r="N105" s="4237"/>
      <c r="O105" s="4237"/>
      <c r="P105" s="4237"/>
      <c r="Q105" s="4237"/>
      <c r="R105" s="4237"/>
      <c r="S105" s="4237"/>
      <c r="T105" s="4237"/>
      <c r="U105" s="2913"/>
    </row>
    <row r="106" spans="2:21" ht="14.25" customHeight="1">
      <c r="B106" s="1097"/>
      <c r="C106" s="1738"/>
      <c r="D106" s="1090"/>
      <c r="E106" s="1090"/>
      <c r="F106" s="1090"/>
      <c r="G106" s="1692"/>
      <c r="H106" s="1090"/>
      <c r="I106" s="1090"/>
      <c r="J106" s="1090"/>
      <c r="K106" s="1090"/>
      <c r="L106" s="1090"/>
      <c r="M106" s="1090"/>
      <c r="N106" s="1090"/>
      <c r="O106" s="1090"/>
      <c r="P106" s="1090"/>
      <c r="Q106" s="1096"/>
      <c r="R106" s="1097"/>
      <c r="S106" s="1097"/>
      <c r="T106" s="1096"/>
    </row>
    <row r="107" spans="2:21" ht="14.1" customHeight="1">
      <c r="B107" s="1730" t="s">
        <v>1539</v>
      </c>
      <c r="C107" s="1738"/>
      <c r="D107" s="1090"/>
      <c r="E107" s="1090"/>
      <c r="F107" s="1090"/>
      <c r="G107" s="1692"/>
      <c r="H107" s="1090"/>
      <c r="I107" s="1090"/>
      <c r="J107" s="1090"/>
      <c r="K107" s="1090"/>
      <c r="L107" s="1090"/>
      <c r="M107" s="1090"/>
      <c r="N107" s="1090"/>
      <c r="O107" s="1090"/>
      <c r="P107" s="1090"/>
      <c r="Q107" s="1096"/>
      <c r="R107" s="1097"/>
      <c r="S107" s="1097"/>
      <c r="T107" s="1096"/>
    </row>
    <row r="108" spans="2:21" ht="6" customHeight="1">
      <c r="B108" s="1097"/>
      <c r="C108" s="1738"/>
      <c r="D108" s="1090"/>
      <c r="E108" s="1090"/>
      <c r="F108" s="1090"/>
      <c r="G108" s="1692"/>
      <c r="H108" s="1090"/>
      <c r="I108" s="1090"/>
      <c r="J108" s="1090"/>
      <c r="K108" s="1090"/>
      <c r="L108" s="1090"/>
      <c r="M108" s="1090"/>
      <c r="N108" s="1090"/>
      <c r="O108" s="1090"/>
      <c r="P108" s="1090"/>
      <c r="Q108" s="1096"/>
      <c r="R108" s="1097"/>
      <c r="S108" s="1097"/>
      <c r="T108" s="1096"/>
    </row>
    <row r="109" spans="2:21" ht="14.1" customHeight="1">
      <c r="B109" s="1738" t="s">
        <v>110</v>
      </c>
      <c r="C109" s="4276" t="s">
        <v>1613</v>
      </c>
      <c r="D109" s="4276"/>
      <c r="E109" s="4276"/>
      <c r="F109" s="4276"/>
      <c r="G109" s="4276"/>
      <c r="H109" s="4276"/>
      <c r="I109" s="4276"/>
      <c r="J109" s="4276"/>
      <c r="K109" s="4276"/>
      <c r="L109" s="4276"/>
      <c r="M109" s="4276"/>
      <c r="N109" s="4276"/>
      <c r="O109" s="4276"/>
      <c r="P109" s="4276"/>
      <c r="Q109" s="4276"/>
      <c r="R109" s="4276"/>
      <c r="S109" s="4276"/>
      <c r="T109" s="4276"/>
    </row>
    <row r="110" spans="2:21" ht="14.1" customHeight="1">
      <c r="B110" s="1738"/>
      <c r="C110" s="4287" t="s">
        <v>1614</v>
      </c>
      <c r="D110" s="4287"/>
      <c r="E110" s="4287"/>
      <c r="F110" s="4287"/>
      <c r="G110" s="4287"/>
      <c r="H110" s="4287"/>
      <c r="I110" s="4287"/>
      <c r="J110" s="4287"/>
      <c r="K110" s="4287"/>
      <c r="L110" s="4287"/>
      <c r="M110" s="4287"/>
      <c r="N110" s="4287"/>
      <c r="O110" s="4287"/>
      <c r="P110" s="4287"/>
      <c r="Q110" s="4287"/>
      <c r="R110" s="4287"/>
      <c r="S110" s="4287"/>
      <c r="T110" s="4287"/>
    </row>
    <row r="111" spans="2:21" ht="6" customHeight="1">
      <c r="B111" s="1738"/>
      <c r="C111" s="1738"/>
      <c r="D111" s="1090"/>
      <c r="E111" s="1090"/>
      <c r="F111" s="1090"/>
      <c r="G111" s="1692"/>
      <c r="H111" s="1090"/>
      <c r="I111" s="1090"/>
      <c r="J111" s="1090"/>
      <c r="K111" s="1090"/>
      <c r="L111" s="1090"/>
      <c r="M111" s="1090"/>
      <c r="N111" s="1090"/>
      <c r="O111" s="1090"/>
      <c r="P111" s="1090"/>
      <c r="Q111" s="1096"/>
      <c r="R111" s="1097"/>
      <c r="S111" s="1097"/>
      <c r="T111" s="1096"/>
    </row>
    <row r="112" spans="2:21" ht="14.1" customHeight="1">
      <c r="B112" s="1738"/>
      <c r="C112" s="4273" t="s">
        <v>1554</v>
      </c>
      <c r="D112" s="4274"/>
      <c r="E112" s="4275"/>
      <c r="F112" s="2883" t="s">
        <v>1060</v>
      </c>
      <c r="G112" s="1692"/>
      <c r="H112" s="1090"/>
      <c r="I112" s="1090"/>
      <c r="J112" s="4272" t="s">
        <v>1555</v>
      </c>
      <c r="K112" s="4272"/>
      <c r="L112" s="4272"/>
      <c r="M112" s="2883" t="s">
        <v>1060</v>
      </c>
      <c r="N112" s="1090"/>
      <c r="O112" s="1090"/>
      <c r="P112" s="1090"/>
      <c r="Q112" s="4272" t="s">
        <v>1556</v>
      </c>
      <c r="R112" s="4272"/>
      <c r="S112" s="4272"/>
      <c r="T112" s="2883" t="s">
        <v>1060</v>
      </c>
    </row>
    <row r="113" spans="2:24" ht="6" customHeight="1">
      <c r="B113" s="1738"/>
      <c r="C113" s="1746" t="s">
        <v>1557</v>
      </c>
      <c r="D113" s="801"/>
      <c r="E113" s="801"/>
      <c r="F113" s="801"/>
      <c r="G113" s="801"/>
      <c r="H113" s="801"/>
      <c r="I113" s="801"/>
      <c r="J113" s="801"/>
      <c r="K113" s="1090"/>
      <c r="L113" s="1090"/>
      <c r="M113" s="1090"/>
      <c r="N113" s="1090"/>
      <c r="O113" s="1090"/>
      <c r="P113" s="1090"/>
      <c r="Q113" s="1096"/>
      <c r="R113" s="1097"/>
      <c r="S113" s="1097"/>
      <c r="T113" s="1096"/>
    </row>
    <row r="114" spans="2:24" ht="14.1" customHeight="1">
      <c r="B114" s="1738"/>
      <c r="C114" s="4272" t="s">
        <v>1558</v>
      </c>
      <c r="D114" s="4272"/>
      <c r="E114" s="4272"/>
      <c r="F114" s="4272"/>
      <c r="G114" s="4272"/>
      <c r="H114" s="4272"/>
      <c r="I114" s="4272"/>
      <c r="J114" s="4272"/>
      <c r="K114" s="2882" t="s">
        <v>1060</v>
      </c>
      <c r="L114" s="1090"/>
      <c r="M114" s="1090"/>
      <c r="N114" s="1090"/>
      <c r="O114" s="1090"/>
      <c r="P114" s="1090"/>
      <c r="Q114" s="1096"/>
      <c r="R114" s="1096"/>
      <c r="S114" s="1097"/>
      <c r="T114" s="1096"/>
    </row>
    <row r="115" spans="2:24" ht="6" customHeight="1">
      <c r="B115" s="1728"/>
      <c r="C115" s="1738"/>
      <c r="D115" s="1090"/>
      <c r="E115" s="1090"/>
      <c r="F115" s="1090"/>
      <c r="G115" s="1692"/>
      <c r="H115" s="1090"/>
      <c r="I115" s="1090"/>
      <c r="J115" s="1090"/>
      <c r="K115" s="1090"/>
      <c r="L115" s="1099"/>
      <c r="M115" s="1099"/>
      <c r="N115" s="1099"/>
      <c r="O115" s="1099"/>
      <c r="P115" s="1099"/>
      <c r="Q115" s="1099"/>
      <c r="R115" s="1099"/>
      <c r="S115" s="1099"/>
      <c r="T115" s="1099"/>
    </row>
    <row r="116" spans="2:24" ht="14.1" customHeight="1">
      <c r="B116" s="1738" t="s">
        <v>112</v>
      </c>
      <c r="C116" s="4276" t="s">
        <v>1559</v>
      </c>
      <c r="D116" s="4276"/>
      <c r="E116" s="4276"/>
      <c r="F116" s="4276"/>
      <c r="G116" s="4276"/>
      <c r="H116" s="4276"/>
      <c r="I116" s="4276"/>
      <c r="J116" s="4276"/>
      <c r="K116" s="4276"/>
      <c r="L116" s="4276"/>
      <c r="M116" s="4276"/>
      <c r="N116" s="4276"/>
      <c r="O116" s="4276"/>
      <c r="P116" s="4276"/>
      <c r="Q116" s="4276"/>
      <c r="R116" s="4276"/>
      <c r="S116" s="4324">
        <f>SUM(U120:V125)</f>
        <v>383</v>
      </c>
      <c r="T116" s="4324"/>
    </row>
    <row r="117" spans="2:24" ht="6" customHeight="1">
      <c r="B117" s="1097"/>
      <c r="C117" s="1737"/>
      <c r="D117" s="1099"/>
      <c r="E117" s="1099"/>
      <c r="F117" s="1099"/>
      <c r="G117" s="1690"/>
      <c r="H117" s="1099"/>
      <c r="I117" s="1099"/>
      <c r="J117" s="1099"/>
      <c r="K117" s="1099"/>
      <c r="L117" s="1099"/>
      <c r="M117" s="1099"/>
      <c r="N117" s="1099"/>
      <c r="O117" s="1099"/>
      <c r="P117" s="1099"/>
      <c r="Q117" s="1100"/>
      <c r="R117" s="1101"/>
      <c r="S117" s="2929"/>
      <c r="T117" s="2929"/>
    </row>
    <row r="118" spans="2:24" ht="14.1" customHeight="1">
      <c r="B118" s="4270" t="s">
        <v>1562</v>
      </c>
      <c r="C118" s="4284" t="s">
        <v>1560</v>
      </c>
      <c r="D118" s="4284"/>
      <c r="E118" s="4284"/>
      <c r="F118" s="2931"/>
      <c r="G118" s="4284" t="s">
        <v>1563</v>
      </c>
      <c r="H118" s="4284"/>
      <c r="I118" s="4284"/>
      <c r="J118" s="2931"/>
      <c r="K118" s="4284" t="s">
        <v>2030</v>
      </c>
      <c r="L118" s="4284"/>
      <c r="M118" s="4284"/>
      <c r="N118" s="2931"/>
      <c r="O118" s="4284" t="s">
        <v>1232</v>
      </c>
      <c r="P118" s="4284"/>
      <c r="Q118" s="4284"/>
      <c r="R118" s="4284"/>
      <c r="S118" s="4284"/>
      <c r="T118" s="4284"/>
      <c r="V118" s="2949">
        <v>1</v>
      </c>
      <c r="W118" s="172">
        <f>'VISITA DE INSP.'!C17</f>
        <v>0</v>
      </c>
      <c r="X118" s="172">
        <f>'VISITA DE INSP.'!AH17</f>
        <v>0</v>
      </c>
    </row>
    <row r="119" spans="2:24" ht="21.75" customHeight="1">
      <c r="B119" s="4271"/>
      <c r="C119" s="2819" t="s">
        <v>2031</v>
      </c>
      <c r="D119" s="2819" t="s">
        <v>2032</v>
      </c>
      <c r="E119" s="2819" t="s">
        <v>2033</v>
      </c>
      <c r="F119" s="2932"/>
      <c r="G119" s="2819" t="s">
        <v>2031</v>
      </c>
      <c r="H119" s="2819" t="s">
        <v>2032</v>
      </c>
      <c r="I119" s="2819" t="s">
        <v>2033</v>
      </c>
      <c r="J119" s="2932"/>
      <c r="K119" s="2819" t="s">
        <v>2031</v>
      </c>
      <c r="L119" s="2819" t="s">
        <v>2032</v>
      </c>
      <c r="M119" s="2819" t="s">
        <v>2033</v>
      </c>
      <c r="N119" s="2931"/>
      <c r="O119" s="4285" t="s">
        <v>1565</v>
      </c>
      <c r="P119" s="4286"/>
      <c r="Q119" s="4285" t="s">
        <v>1564</v>
      </c>
      <c r="R119" s="4286"/>
      <c r="S119" s="4285" t="s">
        <v>1561</v>
      </c>
      <c r="T119" s="4286"/>
      <c r="V119" s="2949">
        <v>2</v>
      </c>
      <c r="W119" s="172" t="str">
        <f>'VISITA DE INSP.'!C18</f>
        <v>A</v>
      </c>
      <c r="X119" s="172">
        <f>'VISITA DE INSP.'!AH18</f>
        <v>29</v>
      </c>
    </row>
    <row r="120" spans="2:24" ht="14.1" customHeight="1">
      <c r="B120" s="1735" t="s">
        <v>765</v>
      </c>
      <c r="C120" s="2927">
        <v>35</v>
      </c>
      <c r="D120" s="2927"/>
      <c r="E120" s="2934"/>
      <c r="F120" s="2948" t="s">
        <v>2283</v>
      </c>
      <c r="G120" s="2935">
        <v>31</v>
      </c>
      <c r="H120" s="2927"/>
      <c r="I120" s="2927"/>
      <c r="J120" s="2948" t="s">
        <v>2289</v>
      </c>
      <c r="K120" s="2937"/>
      <c r="L120" s="2927"/>
      <c r="M120" s="2927"/>
      <c r="N120" s="2948" t="s">
        <v>2295</v>
      </c>
      <c r="O120" s="4283">
        <f>U120</f>
        <v>56</v>
      </c>
      <c r="P120" s="4283"/>
      <c r="Q120" s="4280">
        <f>D120+H120+L120</f>
        <v>0</v>
      </c>
      <c r="R120" s="4281"/>
      <c r="S120" s="4282">
        <f>E120+I120+M120</f>
        <v>0</v>
      </c>
      <c r="T120" s="4282"/>
      <c r="U120" s="1740">
        <f>'VISITA DE INSP.'!J40</f>
        <v>56</v>
      </c>
      <c r="V120" s="2949">
        <v>3</v>
      </c>
      <c r="W120" s="172" t="str">
        <f>'VISITA DE INSP.'!C19</f>
        <v>B</v>
      </c>
      <c r="X120" s="172">
        <f>'VISITA DE INSP.'!AH19</f>
        <v>27</v>
      </c>
    </row>
    <row r="121" spans="2:24" ht="14.1" customHeight="1">
      <c r="B121" s="1735" t="s">
        <v>766</v>
      </c>
      <c r="C121" s="2934">
        <v>26</v>
      </c>
      <c r="D121" s="2927"/>
      <c r="E121" s="2934"/>
      <c r="F121" s="2948" t="s">
        <v>2284</v>
      </c>
      <c r="G121" s="2935">
        <v>28</v>
      </c>
      <c r="H121" s="2927"/>
      <c r="I121" s="2927"/>
      <c r="J121" s="2948" t="s">
        <v>2290</v>
      </c>
      <c r="K121" s="2937"/>
      <c r="L121" s="2927"/>
      <c r="M121" s="2927"/>
      <c r="N121" s="2948" t="s">
        <v>2296</v>
      </c>
      <c r="O121" s="4283">
        <f t="shared" ref="O121:O125" si="0">U121</f>
        <v>64</v>
      </c>
      <c r="P121" s="4283"/>
      <c r="Q121" s="4280">
        <f t="shared" ref="Q121:Q125" si="1">D121+H121+L121</f>
        <v>0</v>
      </c>
      <c r="R121" s="4281"/>
      <c r="S121" s="4282">
        <f t="shared" ref="S121:S125" si="2">E121+I121+M121</f>
        <v>0</v>
      </c>
      <c r="T121" s="4282"/>
      <c r="U121" s="1740">
        <f>'VISITA DE INSP.'!K40</f>
        <v>64</v>
      </c>
      <c r="V121" s="2949">
        <v>4</v>
      </c>
      <c r="W121" s="172" t="str">
        <f>'VISITA DE INSP.'!C20</f>
        <v>A</v>
      </c>
      <c r="X121" s="172">
        <f>'VISITA DE INSP.'!AH20</f>
        <v>31</v>
      </c>
    </row>
    <row r="122" spans="2:24" ht="14.1" customHeight="1">
      <c r="B122" s="1735" t="s">
        <v>767</v>
      </c>
      <c r="C122" s="2934">
        <v>36</v>
      </c>
      <c r="D122" s="2927"/>
      <c r="E122" s="2934"/>
      <c r="F122" s="2948" t="s">
        <v>2285</v>
      </c>
      <c r="G122" s="2935"/>
      <c r="H122" s="2927"/>
      <c r="I122" s="2927"/>
      <c r="J122" s="2948" t="s">
        <v>2291</v>
      </c>
      <c r="K122" s="2937"/>
      <c r="L122" s="2927"/>
      <c r="M122" s="2927"/>
      <c r="N122" s="2948" t="s">
        <v>2297</v>
      </c>
      <c r="O122" s="4283">
        <f t="shared" si="0"/>
        <v>57</v>
      </c>
      <c r="P122" s="4283"/>
      <c r="Q122" s="4280">
        <f t="shared" si="1"/>
        <v>0</v>
      </c>
      <c r="R122" s="4281"/>
      <c r="S122" s="4282">
        <f t="shared" si="2"/>
        <v>0</v>
      </c>
      <c r="T122" s="4282"/>
      <c r="U122" s="1740">
        <f>'VISITA DE INSP.'!L40</f>
        <v>57</v>
      </c>
      <c r="V122" s="2949">
        <v>5</v>
      </c>
      <c r="W122" s="172" t="str">
        <f>'VISITA DE INSP.'!C21</f>
        <v>B</v>
      </c>
      <c r="X122" s="172">
        <f>'VISITA DE INSP.'!AH21</f>
        <v>33</v>
      </c>
    </row>
    <row r="123" spans="2:24" ht="14.1" customHeight="1">
      <c r="B123" s="1735" t="s">
        <v>771</v>
      </c>
      <c r="C123" s="2934">
        <v>22</v>
      </c>
      <c r="D123" s="2927"/>
      <c r="E123" s="2934"/>
      <c r="F123" s="2948" t="s">
        <v>2286</v>
      </c>
      <c r="G123" s="2935">
        <v>24</v>
      </c>
      <c r="H123" s="2927"/>
      <c r="I123" s="2927"/>
      <c r="J123" s="2948" t="s">
        <v>2292</v>
      </c>
      <c r="K123" s="2937"/>
      <c r="L123" s="2927"/>
      <c r="M123" s="2927"/>
      <c r="N123" s="2948" t="s">
        <v>2298</v>
      </c>
      <c r="O123" s="4283">
        <f t="shared" si="0"/>
        <v>60</v>
      </c>
      <c r="P123" s="4283"/>
      <c r="Q123" s="4280">
        <f t="shared" si="1"/>
        <v>0</v>
      </c>
      <c r="R123" s="4281"/>
      <c r="S123" s="4282">
        <f t="shared" si="2"/>
        <v>0</v>
      </c>
      <c r="T123" s="4282"/>
      <c r="U123" s="1740">
        <f>'VISITA DE INSP.'!M40</f>
        <v>60</v>
      </c>
      <c r="V123" s="2949">
        <v>6</v>
      </c>
      <c r="W123" s="172" t="str">
        <f>'VISITA DE INSP.'!C22</f>
        <v>A</v>
      </c>
      <c r="X123" s="172">
        <f>'VISITA DE INSP.'!AH22</f>
        <v>24</v>
      </c>
    </row>
    <row r="124" spans="2:24" ht="14.1" customHeight="1">
      <c r="B124" s="1735" t="s">
        <v>772</v>
      </c>
      <c r="C124" s="2934">
        <v>30</v>
      </c>
      <c r="D124" s="2927"/>
      <c r="E124" s="2934"/>
      <c r="F124" s="2948" t="s">
        <v>2287</v>
      </c>
      <c r="G124" s="2935">
        <v>23</v>
      </c>
      <c r="H124" s="2927"/>
      <c r="I124" s="2927"/>
      <c r="J124" s="2948" t="s">
        <v>2293</v>
      </c>
      <c r="K124" s="2937"/>
      <c r="L124" s="2927"/>
      <c r="M124" s="2927"/>
      <c r="N124" s="2948" t="s">
        <v>2299</v>
      </c>
      <c r="O124" s="4283">
        <f t="shared" si="0"/>
        <v>53</v>
      </c>
      <c r="P124" s="4283"/>
      <c r="Q124" s="4280">
        <f t="shared" si="1"/>
        <v>0</v>
      </c>
      <c r="R124" s="4281"/>
      <c r="S124" s="4282">
        <f t="shared" si="2"/>
        <v>0</v>
      </c>
      <c r="T124" s="4282"/>
      <c r="U124" s="1740">
        <f>'VISITA DE INSP.'!N40</f>
        <v>53</v>
      </c>
      <c r="V124" s="2949">
        <v>7</v>
      </c>
      <c r="W124" s="172" t="str">
        <f>'VISITA DE INSP.'!C23</f>
        <v>B</v>
      </c>
      <c r="X124" s="172">
        <f>'VISITA DE INSP.'!AH23</f>
        <v>33</v>
      </c>
    </row>
    <row r="125" spans="2:24" ht="14.1" customHeight="1">
      <c r="B125" s="1735" t="s">
        <v>773</v>
      </c>
      <c r="C125" s="2934">
        <v>23</v>
      </c>
      <c r="D125" s="2927"/>
      <c r="E125" s="2934"/>
      <c r="F125" s="2948" t="s">
        <v>2288</v>
      </c>
      <c r="G125" s="2935">
        <v>23</v>
      </c>
      <c r="H125" s="2927"/>
      <c r="I125" s="2927"/>
      <c r="J125" s="2948" t="s">
        <v>2294</v>
      </c>
      <c r="K125" s="2937"/>
      <c r="L125" s="2927"/>
      <c r="M125" s="2927"/>
      <c r="N125" s="2948" t="s">
        <v>2300</v>
      </c>
      <c r="O125" s="4283">
        <f t="shared" si="0"/>
        <v>60</v>
      </c>
      <c r="P125" s="4283"/>
      <c r="Q125" s="4280">
        <f t="shared" si="1"/>
        <v>0</v>
      </c>
      <c r="R125" s="4281"/>
      <c r="S125" s="4282">
        <f t="shared" si="2"/>
        <v>0</v>
      </c>
      <c r="T125" s="4282"/>
      <c r="U125" s="1740">
        <f>'VISITA DE INSP.'!O40</f>
        <v>60</v>
      </c>
      <c r="V125" s="2949">
        <v>8</v>
      </c>
      <c r="W125" s="172" t="str">
        <f>'VISITA DE INSP.'!C24</f>
        <v>A</v>
      </c>
      <c r="X125" s="172">
        <f>'VISITA DE INSP.'!AH24</f>
        <v>31</v>
      </c>
    </row>
    <row r="126" spans="2:24" ht="12.75" customHeight="1">
      <c r="B126" s="1735" t="s">
        <v>1623</v>
      </c>
      <c r="C126" s="2923">
        <f>SUM(C120:C125)</f>
        <v>172</v>
      </c>
      <c r="D126" s="2923">
        <f t="shared" ref="D126:E126" si="3">SUM(D120:D125)</f>
        <v>0</v>
      </c>
      <c r="E126" s="2923">
        <f t="shared" si="3"/>
        <v>0</v>
      </c>
      <c r="F126" s="2933"/>
      <c r="G126" s="2923">
        <f>SUM(G120:G125)</f>
        <v>129</v>
      </c>
      <c r="H126" s="2923">
        <f t="shared" ref="H126:I126" si="4">SUM(H120:H125)</f>
        <v>0</v>
      </c>
      <c r="I126" s="2923">
        <f t="shared" si="4"/>
        <v>0</v>
      </c>
      <c r="J126" s="2933"/>
      <c r="K126" s="2947">
        <f>SUM(K120:L125)</f>
        <v>0</v>
      </c>
      <c r="L126" s="2923">
        <f>SUM(L120:L125)</f>
        <v>0</v>
      </c>
      <c r="M126" s="2923">
        <f>SUM(M120:M125)</f>
        <v>0</v>
      </c>
      <c r="N126" s="2933"/>
      <c r="O126" s="4325">
        <f>SUM(O120:P125)</f>
        <v>350</v>
      </c>
      <c r="P126" s="4325"/>
      <c r="Q126" s="4325">
        <f>SUM(Q120:R125)</f>
        <v>0</v>
      </c>
      <c r="R126" s="4325"/>
      <c r="S126" s="4325">
        <f>SUM(S120:T125)</f>
        <v>0</v>
      </c>
      <c r="T126" s="4325"/>
      <c r="U126" s="1741">
        <f>SUM(U120:U125)</f>
        <v>350</v>
      </c>
      <c r="V126" s="2949">
        <v>9</v>
      </c>
      <c r="W126" s="172" t="str">
        <f>'VISITA DE INSP.'!C25</f>
        <v>B</v>
      </c>
      <c r="X126" s="172">
        <f>'VISITA DE INSP.'!AH25</f>
        <v>29</v>
      </c>
    </row>
    <row r="127" spans="2:24" ht="5.25" customHeight="1">
      <c r="B127" s="1097"/>
      <c r="C127" s="1739"/>
      <c r="D127" s="1739"/>
      <c r="E127" s="1739"/>
      <c r="F127" s="1739"/>
      <c r="G127" s="1739"/>
      <c r="H127" s="1739"/>
      <c r="I127" s="1739"/>
      <c r="J127" s="1739"/>
      <c r="K127" s="1739"/>
      <c r="L127" s="1739"/>
      <c r="M127" s="1739"/>
      <c r="N127" s="1739"/>
      <c r="O127" s="1739"/>
      <c r="P127" s="1739"/>
      <c r="Q127" s="1739"/>
      <c r="R127" s="1739"/>
      <c r="S127" s="1739"/>
      <c r="T127" s="1739"/>
      <c r="V127" s="2949">
        <v>10</v>
      </c>
      <c r="W127" s="172" t="str">
        <f>'VISITA DE INSP.'!C26</f>
        <v>A</v>
      </c>
      <c r="X127" s="172">
        <f>'VISITA DE INSP.'!AH26</f>
        <v>27</v>
      </c>
    </row>
    <row r="128" spans="2:24" ht="14.1" customHeight="1">
      <c r="B128" s="1738" t="s">
        <v>114</v>
      </c>
      <c r="C128" s="4251" t="s">
        <v>1634</v>
      </c>
      <c r="D128" s="4251"/>
      <c r="E128" s="4251"/>
      <c r="F128" s="4251"/>
      <c r="G128" s="4251"/>
      <c r="H128" s="4251"/>
      <c r="I128" s="4251"/>
      <c r="J128" s="4251"/>
      <c r="K128" s="4251"/>
      <c r="L128" s="4251"/>
      <c r="M128" s="4251"/>
      <c r="N128" s="4251"/>
      <c r="O128" s="4251"/>
      <c r="P128" s="4251"/>
      <c r="Q128" s="4251"/>
      <c r="R128" s="4251"/>
      <c r="S128" s="4251"/>
      <c r="T128" s="4251"/>
      <c r="V128" s="2949">
        <v>11</v>
      </c>
      <c r="W128" s="172" t="str">
        <f>'VISITA DE INSP.'!C27</f>
        <v>B</v>
      </c>
      <c r="X128" s="172">
        <f>'VISITA DE INSP.'!AH27</f>
        <v>26</v>
      </c>
    </row>
    <row r="129" spans="2:24" ht="14.1" customHeight="1">
      <c r="B129" s="1728"/>
      <c r="C129" s="4287" t="s">
        <v>1635</v>
      </c>
      <c r="D129" s="4287"/>
      <c r="E129" s="4287"/>
      <c r="F129" s="4287"/>
      <c r="G129" s="4287"/>
      <c r="H129" s="4287"/>
      <c r="I129" s="4287"/>
      <c r="J129" s="4287"/>
      <c r="K129" s="4287"/>
      <c r="L129" s="4287"/>
      <c r="M129" s="4287"/>
      <c r="N129" s="4287"/>
      <c r="O129" s="4287"/>
      <c r="P129" s="4287"/>
      <c r="Q129" s="4287"/>
      <c r="R129" s="4287"/>
      <c r="S129" s="4287"/>
      <c r="T129" s="4287"/>
      <c r="V129" s="2949">
        <v>12</v>
      </c>
      <c r="W129" s="172" t="str">
        <f>'VISITA DE INSP.'!C28</f>
        <v>A</v>
      </c>
      <c r="X129" s="172">
        <f>'VISITA DE INSP.'!AH28</f>
        <v>30</v>
      </c>
    </row>
    <row r="130" spans="2:24" ht="6" customHeight="1">
      <c r="B130" s="1728"/>
      <c r="C130" s="1737"/>
      <c r="D130" s="1099"/>
      <c r="E130" s="1099"/>
      <c r="F130" s="1099"/>
      <c r="G130" s="1690"/>
      <c r="H130" s="1099"/>
      <c r="I130" s="1099"/>
      <c r="J130" s="1099"/>
      <c r="K130" s="1099"/>
      <c r="L130" s="1099"/>
      <c r="M130" s="1099"/>
      <c r="N130" s="1099"/>
      <c r="O130" s="1099"/>
      <c r="P130" s="1099"/>
      <c r="Q130" s="1100"/>
      <c r="R130" s="1101"/>
      <c r="S130" s="1101"/>
      <c r="T130" s="1100"/>
      <c r="V130" s="2949">
        <v>13</v>
      </c>
      <c r="W130" s="172" t="str">
        <f>'VISITA DE INSP.'!C29</f>
        <v>B</v>
      </c>
      <c r="X130" s="172">
        <f>'VISITA DE INSP.'!AH29</f>
        <v>30</v>
      </c>
    </row>
    <row r="131" spans="2:24" ht="14.1" customHeight="1">
      <c r="B131" s="1728"/>
      <c r="C131" s="4272" t="s">
        <v>954</v>
      </c>
      <c r="D131" s="4272"/>
      <c r="E131" s="4272"/>
      <c r="F131" s="2882" t="s">
        <v>1060</v>
      </c>
      <c r="G131" s="1692"/>
      <c r="H131" s="1090"/>
      <c r="I131" s="1090"/>
      <c r="J131" s="4272" t="s">
        <v>955</v>
      </c>
      <c r="K131" s="4272"/>
      <c r="L131" s="4272"/>
      <c r="M131" s="2883" t="s">
        <v>1060</v>
      </c>
      <c r="N131" s="1090"/>
      <c r="O131" s="1090"/>
      <c r="P131" s="1090"/>
      <c r="Q131" s="4272" t="s">
        <v>1566</v>
      </c>
      <c r="R131" s="4272"/>
      <c r="S131" s="4272"/>
      <c r="T131" s="2883" t="s">
        <v>1060</v>
      </c>
      <c r="V131" s="2949">
        <v>14</v>
      </c>
      <c r="W131" s="172">
        <f>'VISITA DE INSP.'!C30</f>
        <v>0</v>
      </c>
      <c r="X131" s="172">
        <f>'VISITA DE INSP.'!AH30</f>
        <v>0</v>
      </c>
    </row>
    <row r="132" spans="2:24" ht="6" customHeight="1">
      <c r="B132" s="1728"/>
      <c r="C132" s="1747"/>
      <c r="D132" s="1747"/>
      <c r="E132" s="1747"/>
      <c r="F132" s="1695"/>
      <c r="G132" s="1696"/>
      <c r="H132" s="1697"/>
      <c r="I132" s="1697"/>
      <c r="J132" s="1747"/>
      <c r="K132" s="1747"/>
      <c r="L132" s="1747"/>
      <c r="M132" s="1695"/>
      <c r="N132" s="1697"/>
      <c r="O132" s="1697"/>
      <c r="P132" s="1697"/>
      <c r="Q132" s="1747"/>
      <c r="R132" s="1747"/>
      <c r="S132" s="1747"/>
      <c r="T132" s="1695"/>
      <c r="V132" s="2950">
        <v>15</v>
      </c>
      <c r="W132" s="172">
        <f>'VISITA DE INSP.'!C31</f>
        <v>0</v>
      </c>
      <c r="X132" s="172">
        <f>'VISITA DE INSP.'!AH31</f>
        <v>0</v>
      </c>
    </row>
    <row r="133" spans="2:24" ht="14.1" customHeight="1">
      <c r="B133" s="1728" t="s">
        <v>127</v>
      </c>
      <c r="C133" s="4323" t="s">
        <v>1569</v>
      </c>
      <c r="D133" s="4323"/>
      <c r="E133" s="4323"/>
      <c r="F133" s="4323"/>
      <c r="G133" s="4323"/>
      <c r="H133" s="4323"/>
      <c r="I133" s="4323"/>
      <c r="J133" s="4323"/>
      <c r="K133" s="4323"/>
      <c r="L133" s="4323"/>
      <c r="M133" s="4323"/>
      <c r="N133" s="4323"/>
      <c r="O133" s="4323"/>
      <c r="P133" s="4323"/>
      <c r="Q133" s="4323"/>
      <c r="R133" s="4323"/>
      <c r="S133" s="4323"/>
      <c r="T133" s="4323"/>
      <c r="V133" s="2950">
        <v>16</v>
      </c>
      <c r="W133" s="172">
        <f>'VISITA DE INSP.'!C32</f>
        <v>0</v>
      </c>
      <c r="X133" s="172">
        <f>'VISITA DE INSP.'!AH32</f>
        <v>0</v>
      </c>
    </row>
    <row r="134" spans="2:24" ht="14.1" customHeight="1">
      <c r="B134" s="1728"/>
      <c r="C134" s="4276" t="s">
        <v>1570</v>
      </c>
      <c r="D134" s="4276"/>
      <c r="E134" s="4276"/>
      <c r="F134" s="4276"/>
      <c r="G134" s="4276"/>
      <c r="H134" s="4276"/>
      <c r="I134" s="4276"/>
      <c r="J134" s="4276"/>
      <c r="K134" s="4276"/>
      <c r="L134" s="4276"/>
      <c r="M134" s="4276"/>
      <c r="N134" s="4276"/>
      <c r="O134" s="4276"/>
      <c r="P134" s="4276"/>
      <c r="Q134" s="4276"/>
      <c r="R134" s="4276"/>
      <c r="S134" s="4276"/>
      <c r="T134" s="4276"/>
      <c r="V134" s="2950">
        <v>17</v>
      </c>
      <c r="W134" s="172">
        <f>'VISITA DE INSP.'!C33</f>
        <v>0</v>
      </c>
      <c r="X134" s="172">
        <f>'VISITA DE INSP.'!AH33</f>
        <v>0</v>
      </c>
    </row>
    <row r="135" spans="2:24" ht="6" customHeight="1">
      <c r="B135" s="1728"/>
      <c r="C135" s="1099"/>
      <c r="D135" s="1695"/>
      <c r="E135" s="1695"/>
      <c r="F135" s="1695"/>
      <c r="G135" s="1698"/>
      <c r="H135" s="1695"/>
      <c r="I135" s="1695"/>
      <c r="J135" s="1695"/>
      <c r="K135" s="1695"/>
      <c r="L135" s="1695"/>
      <c r="M135" s="1695"/>
      <c r="N135" s="1695"/>
      <c r="O135" s="1695"/>
      <c r="P135" s="1695"/>
      <c r="Q135" s="1699"/>
      <c r="R135" s="1700"/>
      <c r="S135" s="1700"/>
      <c r="T135" s="1699"/>
      <c r="V135" s="2950">
        <v>18</v>
      </c>
      <c r="W135" s="172">
        <f>'VISITA DE INSP.'!C34</f>
        <v>0</v>
      </c>
      <c r="X135" s="172">
        <f>'VISITA DE INSP.'!AH34</f>
        <v>0</v>
      </c>
    </row>
    <row r="136" spans="2:24" ht="14.1" customHeight="1">
      <c r="B136" s="1728"/>
      <c r="C136" s="4272" t="s">
        <v>954</v>
      </c>
      <c r="D136" s="4272"/>
      <c r="E136" s="4272"/>
      <c r="F136" s="2882" t="s">
        <v>1060</v>
      </c>
      <c r="G136" s="1692"/>
      <c r="H136" s="1090"/>
      <c r="I136" s="1090"/>
      <c r="J136" s="4272" t="s">
        <v>955</v>
      </c>
      <c r="K136" s="4272"/>
      <c r="L136" s="4272"/>
      <c r="M136" s="2883" t="s">
        <v>1060</v>
      </c>
      <c r="N136" s="1090"/>
      <c r="O136" s="1090"/>
      <c r="P136" s="1090"/>
      <c r="Q136" s="4272" t="s">
        <v>1567</v>
      </c>
      <c r="R136" s="4272"/>
      <c r="S136" s="4272"/>
      <c r="T136" s="2883" t="s">
        <v>1060</v>
      </c>
      <c r="V136" s="2950">
        <v>19</v>
      </c>
      <c r="W136" s="172">
        <f>'VISITA DE INSP.'!C35</f>
        <v>0</v>
      </c>
      <c r="X136" s="172">
        <f>'VISITA DE INSP.'!AH35</f>
        <v>0</v>
      </c>
    </row>
    <row r="137" spans="2:24" ht="6" customHeight="1">
      <c r="B137" s="1728"/>
      <c r="C137" s="1747"/>
      <c r="D137" s="1747"/>
      <c r="E137" s="1747"/>
      <c r="F137" s="2900"/>
      <c r="G137" s="1692"/>
      <c r="H137" s="1090"/>
      <c r="I137" s="1090"/>
      <c r="J137" s="1747"/>
      <c r="K137" s="1747"/>
      <c r="L137" s="1747"/>
      <c r="M137" s="1099"/>
      <c r="N137" s="1090"/>
      <c r="O137" s="1090"/>
      <c r="P137" s="1090"/>
      <c r="Q137" s="1747"/>
      <c r="R137" s="1747"/>
      <c r="S137" s="1747"/>
      <c r="T137" s="1099"/>
      <c r="V137" s="2950">
        <v>20</v>
      </c>
      <c r="W137" s="172">
        <f>'VISITA DE INSP.'!C36</f>
        <v>0</v>
      </c>
      <c r="X137" s="172">
        <f>'VISITA DE INSP.'!AH36</f>
        <v>0</v>
      </c>
    </row>
    <row r="138" spans="2:24" ht="14.1" customHeight="1">
      <c r="B138" s="1728" t="s">
        <v>129</v>
      </c>
      <c r="C138" s="4251" t="s">
        <v>1633</v>
      </c>
      <c r="D138" s="4251"/>
      <c r="E138" s="4251"/>
      <c r="F138" s="4251"/>
      <c r="G138" s="4251"/>
      <c r="H138" s="4251"/>
      <c r="I138" s="4251"/>
      <c r="J138" s="4251"/>
      <c r="K138" s="4251"/>
      <c r="L138" s="4251"/>
      <c r="M138" s="4251"/>
      <c r="N138" s="4251"/>
      <c r="O138" s="4251"/>
      <c r="P138" s="4251"/>
      <c r="Q138" s="4251"/>
      <c r="R138" s="4251"/>
      <c r="S138" s="4251"/>
      <c r="T138" s="4251"/>
    </row>
    <row r="139" spans="2:24" ht="14.1" customHeight="1">
      <c r="B139" s="1731"/>
      <c r="C139" s="4276" t="s">
        <v>1568</v>
      </c>
      <c r="D139" s="4276"/>
      <c r="E139" s="4276"/>
      <c r="F139" s="4276"/>
      <c r="G139" s="4276"/>
      <c r="H139" s="4276"/>
      <c r="I139" s="4276"/>
      <c r="J139" s="4276"/>
      <c r="K139" s="4276"/>
      <c r="L139" s="4276"/>
      <c r="M139" s="4276"/>
      <c r="N139" s="4276"/>
      <c r="O139" s="4276"/>
      <c r="P139" s="4276"/>
      <c r="Q139" s="4276"/>
      <c r="R139" s="4276"/>
      <c r="S139" s="4276"/>
      <c r="T139" s="4276"/>
    </row>
    <row r="140" spans="2:24" ht="6" customHeight="1">
      <c r="B140" s="1731"/>
      <c r="C140" s="1737"/>
      <c r="D140" s="1099"/>
      <c r="E140" s="1099"/>
      <c r="F140" s="1099"/>
      <c r="G140" s="1690"/>
      <c r="H140" s="1099"/>
      <c r="I140" s="1099"/>
      <c r="J140" s="1099"/>
      <c r="K140" s="1099"/>
      <c r="L140" s="1099"/>
      <c r="M140" s="1099"/>
      <c r="N140" s="1099"/>
      <c r="O140" s="1099"/>
      <c r="P140" s="1099"/>
      <c r="Q140" s="1100"/>
      <c r="R140" s="1101"/>
      <c r="S140" s="1101"/>
      <c r="T140" s="1100"/>
    </row>
    <row r="141" spans="2:24" ht="14.1" customHeight="1">
      <c r="B141" s="1731"/>
      <c r="C141" s="4272" t="s">
        <v>954</v>
      </c>
      <c r="D141" s="4272"/>
      <c r="E141" s="4272"/>
      <c r="F141" s="2882" t="s">
        <v>1060</v>
      </c>
      <c r="G141" s="1692"/>
      <c r="H141" s="1090"/>
      <c r="I141" s="1090"/>
      <c r="J141" s="4272" t="s">
        <v>955</v>
      </c>
      <c r="K141" s="4272"/>
      <c r="L141" s="4272"/>
      <c r="M141" s="2883" t="s">
        <v>1060</v>
      </c>
      <c r="N141" s="1090"/>
      <c r="O141" s="1090"/>
      <c r="P141" s="1090"/>
      <c r="Q141" s="4272" t="s">
        <v>1567</v>
      </c>
      <c r="R141" s="4272"/>
      <c r="S141" s="4272"/>
      <c r="T141" s="2883" t="s">
        <v>1060</v>
      </c>
    </row>
    <row r="142" spans="2:24" ht="6" customHeight="1">
      <c r="B142" s="1731"/>
      <c r="C142" s="1747"/>
      <c r="D142" s="1747"/>
      <c r="E142" s="1747"/>
      <c r="F142" s="1099"/>
      <c r="G142" s="1692"/>
      <c r="H142" s="1090"/>
      <c r="I142" s="1090"/>
      <c r="J142" s="1747"/>
      <c r="K142" s="1747"/>
      <c r="L142" s="1747"/>
      <c r="M142" s="1099"/>
      <c r="N142" s="1090"/>
      <c r="O142" s="1090"/>
      <c r="P142" s="1090"/>
      <c r="Q142" s="1747"/>
      <c r="R142" s="1747"/>
      <c r="S142" s="1747"/>
      <c r="T142" s="1099"/>
    </row>
    <row r="143" spans="2:24" ht="14.1" customHeight="1">
      <c r="B143" s="1731"/>
      <c r="C143" s="4322" t="s">
        <v>1548</v>
      </c>
      <c r="D143" s="4322"/>
      <c r="E143" s="4322"/>
      <c r="F143" s="4322"/>
      <c r="G143" s="4322"/>
      <c r="H143" s="4322"/>
      <c r="I143" s="4322"/>
      <c r="J143" s="4322"/>
      <c r="K143" s="4322"/>
      <c r="L143" s="4322"/>
      <c r="M143" s="4322"/>
      <c r="N143" s="4322"/>
      <c r="O143" s="4322"/>
      <c r="P143" s="4322"/>
      <c r="Q143" s="4322"/>
      <c r="R143" s="4322"/>
      <c r="S143" s="4322"/>
      <c r="T143" s="4322"/>
    </row>
    <row r="144" spans="2:24" s="2914" customFormat="1" ht="11.25" customHeight="1">
      <c r="B144" s="2912"/>
      <c r="C144" s="4326"/>
      <c r="D144" s="4326"/>
      <c r="E144" s="4326"/>
      <c r="F144" s="4326"/>
      <c r="G144" s="4326"/>
      <c r="H144" s="4326"/>
      <c r="I144" s="4326"/>
      <c r="J144" s="4326"/>
      <c r="K144" s="4326"/>
      <c r="L144" s="4326"/>
      <c r="M144" s="4326"/>
      <c r="N144" s="4326"/>
      <c r="O144" s="4326"/>
      <c r="P144" s="4326"/>
      <c r="Q144" s="4326"/>
      <c r="R144" s="4326"/>
      <c r="S144" s="4326"/>
      <c r="T144" s="4326"/>
      <c r="U144" s="2913"/>
    </row>
    <row r="145" spans="2:21" s="2914" customFormat="1" ht="11.25" customHeight="1">
      <c r="B145" s="2912"/>
      <c r="C145" s="4326"/>
      <c r="D145" s="4326"/>
      <c r="E145" s="4326"/>
      <c r="F145" s="4326"/>
      <c r="G145" s="4326"/>
      <c r="H145" s="4326"/>
      <c r="I145" s="4326"/>
      <c r="J145" s="4326"/>
      <c r="K145" s="4326"/>
      <c r="L145" s="4326"/>
      <c r="M145" s="4326"/>
      <c r="N145" s="4326"/>
      <c r="O145" s="4326"/>
      <c r="P145" s="4326"/>
      <c r="Q145" s="4326"/>
      <c r="R145" s="4326"/>
      <c r="S145" s="4326"/>
      <c r="T145" s="4326"/>
      <c r="U145" s="2913"/>
    </row>
    <row r="146" spans="2:21" ht="15" customHeight="1">
      <c r="B146" s="1731"/>
      <c r="C146" s="1737"/>
      <c r="D146" s="1099"/>
      <c r="E146" s="1099"/>
      <c r="F146" s="1099"/>
      <c r="G146" s="1690"/>
      <c r="H146" s="1099"/>
      <c r="I146" s="1099"/>
      <c r="J146" s="1099"/>
      <c r="K146" s="1099"/>
      <c r="L146" s="1099"/>
      <c r="M146" s="1099"/>
      <c r="N146" s="1099"/>
      <c r="O146" s="1099"/>
      <c r="P146" s="1099"/>
      <c r="Q146" s="1100"/>
      <c r="R146" s="1101"/>
      <c r="S146" s="1101"/>
      <c r="T146" s="1100"/>
    </row>
    <row r="147" spans="2:21" ht="14.1" customHeight="1">
      <c r="B147" s="1730" t="s">
        <v>1547</v>
      </c>
      <c r="C147" s="1099"/>
      <c r="D147" s="1099"/>
      <c r="E147" s="1099"/>
      <c r="F147" s="1099"/>
      <c r="G147" s="1690"/>
      <c r="H147" s="1099"/>
      <c r="I147" s="1099"/>
      <c r="J147" s="1099"/>
      <c r="K147" s="1099"/>
      <c r="L147" s="1099"/>
      <c r="M147" s="1099"/>
      <c r="N147" s="1099"/>
      <c r="O147" s="1099"/>
      <c r="P147" s="1099"/>
      <c r="Q147" s="1100"/>
      <c r="R147" s="1101"/>
      <c r="S147" s="1101"/>
      <c r="T147" s="1100"/>
    </row>
    <row r="148" spans="2:21" ht="6" customHeight="1">
      <c r="B148" s="1730"/>
      <c r="C148" s="1099"/>
      <c r="D148" s="1099"/>
      <c r="E148" s="1099"/>
      <c r="F148" s="1099"/>
      <c r="G148" s="1690"/>
      <c r="H148" s="1099"/>
      <c r="I148" s="1099"/>
      <c r="J148" s="1099"/>
      <c r="K148" s="1099"/>
      <c r="L148" s="1099"/>
      <c r="M148" s="1099"/>
      <c r="N148" s="1099"/>
      <c r="O148" s="1099"/>
      <c r="P148" s="1099"/>
      <c r="Q148" s="1100"/>
      <c r="R148" s="1101"/>
      <c r="S148" s="1101"/>
      <c r="T148" s="1100"/>
    </row>
    <row r="149" spans="2:21" ht="14.1" customHeight="1">
      <c r="B149" s="1728" t="s">
        <v>110</v>
      </c>
      <c r="C149" s="4276" t="s">
        <v>1571</v>
      </c>
      <c r="D149" s="4276"/>
      <c r="E149" s="4276"/>
      <c r="F149" s="4276"/>
      <c r="G149" s="4276"/>
      <c r="H149" s="4276"/>
      <c r="I149" s="4276"/>
      <c r="J149" s="4276"/>
      <c r="K149" s="4276"/>
      <c r="L149" s="4276"/>
      <c r="M149" s="4276"/>
      <c r="N149" s="4276"/>
      <c r="O149" s="4276"/>
      <c r="P149" s="4276"/>
      <c r="Q149" s="4276"/>
      <c r="R149" s="4276"/>
      <c r="S149" s="4276"/>
      <c r="T149" s="4276"/>
    </row>
    <row r="150" spans="2:21" ht="6" customHeight="1">
      <c r="B150" s="1732"/>
      <c r="C150" s="1099"/>
      <c r="D150" s="1099"/>
      <c r="E150" s="1099"/>
      <c r="F150" s="1099"/>
      <c r="G150" s="1690"/>
      <c r="H150" s="1099"/>
      <c r="I150" s="1099"/>
      <c r="J150" s="1099"/>
      <c r="K150" s="1099"/>
      <c r="L150" s="1099"/>
      <c r="M150" s="1099"/>
      <c r="N150" s="1099"/>
      <c r="O150" s="1099"/>
      <c r="P150" s="1099"/>
      <c r="Q150" s="1102"/>
      <c r="R150" s="1099"/>
      <c r="S150" s="1099"/>
      <c r="T150" s="1100"/>
    </row>
    <row r="151" spans="2:21" ht="14.1" customHeight="1">
      <c r="B151" s="4293" t="s">
        <v>1572</v>
      </c>
      <c r="C151" s="4293"/>
      <c r="D151" s="4293"/>
      <c r="E151" s="4293"/>
      <c r="F151" s="4293"/>
      <c r="G151" s="4293"/>
      <c r="H151" s="4293"/>
      <c r="I151" s="4293"/>
      <c r="J151" s="2926" t="s">
        <v>116</v>
      </c>
      <c r="K151" s="2926" t="s">
        <v>117</v>
      </c>
      <c r="L151" s="4289" t="s">
        <v>270</v>
      </c>
      <c r="M151" s="4290"/>
      <c r="N151" s="4290"/>
      <c r="O151" s="4290"/>
      <c r="P151" s="4290"/>
      <c r="Q151" s="4290"/>
      <c r="R151" s="4290"/>
      <c r="S151" s="4290"/>
      <c r="T151" s="4291"/>
    </row>
    <row r="152" spans="2:21" ht="12.75" customHeight="1">
      <c r="B152" s="4288" t="s">
        <v>1573</v>
      </c>
      <c r="C152" s="4288"/>
      <c r="D152" s="4288"/>
      <c r="E152" s="4288"/>
      <c r="F152" s="4288"/>
      <c r="G152" s="4288"/>
      <c r="H152" s="4288"/>
      <c r="I152" s="4288"/>
      <c r="J152" s="2922" t="s">
        <v>1060</v>
      </c>
      <c r="K152" s="2883" t="s">
        <v>1060</v>
      </c>
      <c r="L152" s="4292" t="s">
        <v>2021</v>
      </c>
      <c r="M152" s="4292"/>
      <c r="N152" s="4292"/>
      <c r="O152" s="4292"/>
      <c r="P152" s="4292"/>
      <c r="Q152" s="4292"/>
      <c r="R152" s="4292"/>
      <c r="S152" s="4292"/>
      <c r="T152" s="4292"/>
    </row>
    <row r="153" spans="2:21" ht="12.75" customHeight="1">
      <c r="B153" s="4288" t="s">
        <v>1574</v>
      </c>
      <c r="C153" s="4288"/>
      <c r="D153" s="4288"/>
      <c r="E153" s="4288"/>
      <c r="F153" s="4288"/>
      <c r="G153" s="4288"/>
      <c r="H153" s="4288"/>
      <c r="I153" s="4288"/>
      <c r="J153" s="2921" t="s">
        <v>1060</v>
      </c>
      <c r="K153" s="2882" t="s">
        <v>1060</v>
      </c>
      <c r="L153" s="4292" t="s">
        <v>2269</v>
      </c>
      <c r="M153" s="4292"/>
      <c r="N153" s="4292"/>
      <c r="O153" s="4292"/>
      <c r="P153" s="4292"/>
      <c r="Q153" s="4292"/>
      <c r="R153" s="4292"/>
      <c r="S153" s="4292"/>
      <c r="T153" s="4292"/>
    </row>
    <row r="154" spans="2:21" ht="12.75" customHeight="1">
      <c r="B154" s="4288" t="s">
        <v>1575</v>
      </c>
      <c r="C154" s="4288"/>
      <c r="D154" s="4288"/>
      <c r="E154" s="4288"/>
      <c r="F154" s="4288"/>
      <c r="G154" s="4288"/>
      <c r="H154" s="4288"/>
      <c r="I154" s="4288"/>
      <c r="J154" s="2922" t="s">
        <v>1060</v>
      </c>
      <c r="K154" s="2883" t="s">
        <v>1060</v>
      </c>
      <c r="L154" s="4292" t="s">
        <v>2022</v>
      </c>
      <c r="M154" s="4292"/>
      <c r="N154" s="4292"/>
      <c r="O154" s="4292"/>
      <c r="P154" s="4292"/>
      <c r="Q154" s="4292"/>
      <c r="R154" s="4292"/>
      <c r="S154" s="4292"/>
      <c r="T154" s="4292"/>
    </row>
    <row r="155" spans="2:21" ht="12.75" customHeight="1">
      <c r="B155" s="4288" t="s">
        <v>1576</v>
      </c>
      <c r="C155" s="4288"/>
      <c r="D155" s="4288"/>
      <c r="E155" s="4288"/>
      <c r="F155" s="4288"/>
      <c r="G155" s="4288"/>
      <c r="H155" s="4288"/>
      <c r="I155" s="4288"/>
      <c r="J155" s="2922" t="s">
        <v>1060</v>
      </c>
      <c r="K155" s="2883" t="s">
        <v>1060</v>
      </c>
      <c r="L155" s="4292" t="s">
        <v>2023</v>
      </c>
      <c r="M155" s="4292"/>
      <c r="N155" s="4292"/>
      <c r="O155" s="4292"/>
      <c r="P155" s="4292"/>
      <c r="Q155" s="4292"/>
      <c r="R155" s="4292"/>
      <c r="S155" s="4292"/>
      <c r="T155" s="4292"/>
    </row>
    <row r="156" spans="2:21" ht="12.75" customHeight="1">
      <c r="B156" s="4294" t="s">
        <v>1577</v>
      </c>
      <c r="C156" s="4295"/>
      <c r="D156" s="4295"/>
      <c r="E156" s="4295"/>
      <c r="F156" s="4295"/>
      <c r="G156" s="4295"/>
      <c r="H156" s="4295"/>
      <c r="I156" s="4296"/>
      <c r="J156" s="2922" t="s">
        <v>1060</v>
      </c>
      <c r="K156" s="2883" t="s">
        <v>1060</v>
      </c>
      <c r="L156" s="4292" t="s">
        <v>2027</v>
      </c>
      <c r="M156" s="4292"/>
      <c r="N156" s="4292"/>
      <c r="O156" s="4292"/>
      <c r="P156" s="4292"/>
      <c r="Q156" s="4292"/>
      <c r="R156" s="4292"/>
      <c r="S156" s="4292"/>
      <c r="T156" s="4292"/>
    </row>
    <row r="157" spans="2:21" ht="12.75" customHeight="1">
      <c r="B157" s="4288" t="s">
        <v>1578</v>
      </c>
      <c r="C157" s="4288"/>
      <c r="D157" s="4288"/>
      <c r="E157" s="4288"/>
      <c r="F157" s="4288"/>
      <c r="G157" s="4288"/>
      <c r="H157" s="4288"/>
      <c r="I157" s="4288"/>
      <c r="J157" s="2922" t="s">
        <v>1060</v>
      </c>
      <c r="K157" s="2883" t="s">
        <v>1060</v>
      </c>
      <c r="L157" s="4292" t="s">
        <v>2270</v>
      </c>
      <c r="M157" s="4292"/>
      <c r="N157" s="4292"/>
      <c r="O157" s="4292"/>
      <c r="P157" s="4292"/>
      <c r="Q157" s="4292"/>
      <c r="R157" s="4292"/>
      <c r="S157" s="4292"/>
      <c r="T157" s="4292"/>
    </row>
    <row r="158" spans="2:21" ht="12.75" customHeight="1">
      <c r="B158" s="4288" t="s">
        <v>1579</v>
      </c>
      <c r="C158" s="4288"/>
      <c r="D158" s="4288"/>
      <c r="E158" s="4288"/>
      <c r="F158" s="4288"/>
      <c r="G158" s="4288"/>
      <c r="H158" s="4288"/>
      <c r="I158" s="4288"/>
      <c r="J158" s="2922" t="s">
        <v>1060</v>
      </c>
      <c r="K158" s="2883" t="s">
        <v>1060</v>
      </c>
      <c r="L158" s="4292" t="s">
        <v>2264</v>
      </c>
      <c r="M158" s="4292"/>
      <c r="N158" s="4292"/>
      <c r="O158" s="4292"/>
      <c r="P158" s="4292"/>
      <c r="Q158" s="4292"/>
      <c r="R158" s="4292"/>
      <c r="S158" s="4292"/>
      <c r="T158" s="4292"/>
    </row>
    <row r="159" spans="2:21" ht="12.75" customHeight="1">
      <c r="B159" s="4288" t="s">
        <v>1580</v>
      </c>
      <c r="C159" s="4288"/>
      <c r="D159" s="4288"/>
      <c r="E159" s="4288"/>
      <c r="F159" s="4288"/>
      <c r="G159" s="4288"/>
      <c r="H159" s="4288"/>
      <c r="I159" s="4288"/>
      <c r="J159" s="2922" t="s">
        <v>1060</v>
      </c>
      <c r="K159" s="2883" t="s">
        <v>1060</v>
      </c>
      <c r="L159" s="4292" t="s">
        <v>2024</v>
      </c>
      <c r="M159" s="4292"/>
      <c r="N159" s="4292"/>
      <c r="O159" s="4292"/>
      <c r="P159" s="4292"/>
      <c r="Q159" s="4292"/>
      <c r="R159" s="4292"/>
      <c r="S159" s="4292"/>
      <c r="T159" s="4292"/>
    </row>
    <row r="160" spans="2:21" ht="4.5" customHeight="1">
      <c r="B160" s="1748"/>
      <c r="C160" s="1749"/>
      <c r="D160" s="1749"/>
      <c r="E160" s="1749"/>
      <c r="F160" s="1749"/>
      <c r="G160" s="1749"/>
      <c r="H160" s="1749"/>
      <c r="I160" s="1749"/>
      <c r="J160" s="1750"/>
      <c r="K160" s="1737"/>
      <c r="L160" s="1737"/>
      <c r="M160" s="1737"/>
      <c r="N160" s="1737"/>
      <c r="O160" s="1737"/>
      <c r="P160" s="1737"/>
      <c r="Q160" s="1737"/>
      <c r="R160" s="1737"/>
      <c r="S160" s="1737"/>
      <c r="T160" s="1737"/>
    </row>
    <row r="161" spans="2:20" ht="12.75" customHeight="1">
      <c r="B161" s="1728" t="s">
        <v>112</v>
      </c>
      <c r="C161" s="4276" t="s">
        <v>1599</v>
      </c>
      <c r="D161" s="4276"/>
      <c r="E161" s="4276"/>
      <c r="F161" s="4276"/>
      <c r="G161" s="4276"/>
      <c r="H161" s="4276"/>
      <c r="I161" s="4276"/>
      <c r="J161" s="4276"/>
      <c r="K161" s="4276"/>
      <c r="L161" s="4276"/>
      <c r="M161" s="4276"/>
      <c r="N161" s="4276"/>
      <c r="O161" s="4276"/>
      <c r="P161" s="4276"/>
      <c r="Q161" s="4276"/>
      <c r="R161" s="4276"/>
      <c r="S161" s="4276"/>
      <c r="T161" s="4276"/>
    </row>
    <row r="162" spans="2:20" ht="4.5" customHeight="1">
      <c r="B162" s="1099"/>
      <c r="C162" s="1099"/>
      <c r="D162" s="1099"/>
      <c r="E162" s="1099"/>
      <c r="F162" s="1099"/>
      <c r="G162" s="1099"/>
      <c r="H162" s="1099"/>
      <c r="I162" s="1099"/>
      <c r="J162" s="1751"/>
      <c r="K162" s="1099"/>
      <c r="L162" s="1099"/>
      <c r="M162" s="1099"/>
      <c r="N162" s="1751"/>
      <c r="O162" s="1099"/>
      <c r="P162" s="1099"/>
      <c r="Q162" s="1099"/>
      <c r="R162" s="1099"/>
      <c r="S162" s="1099"/>
      <c r="T162" s="1099"/>
    </row>
    <row r="163" spans="2:20" ht="33.75" customHeight="1">
      <c r="B163" s="4303" t="s">
        <v>1581</v>
      </c>
      <c r="C163" s="4304"/>
      <c r="D163" s="4304"/>
      <c r="E163" s="4304"/>
      <c r="F163" s="4305"/>
      <c r="G163" s="4301" t="s">
        <v>1582</v>
      </c>
      <c r="H163" s="4302"/>
      <c r="I163" s="4301" t="s">
        <v>2036</v>
      </c>
      <c r="J163" s="4302"/>
      <c r="K163" s="4301" t="s">
        <v>2037</v>
      </c>
      <c r="L163" s="4302"/>
      <c r="M163" s="4301" t="s">
        <v>1583</v>
      </c>
      <c r="N163" s="4302"/>
      <c r="O163" s="4301" t="s">
        <v>2034</v>
      </c>
      <c r="P163" s="4302"/>
      <c r="Q163" s="4301" t="s">
        <v>2035</v>
      </c>
      <c r="R163" s="4302"/>
      <c r="S163" s="4301" t="s">
        <v>1584</v>
      </c>
      <c r="T163" s="4302"/>
    </row>
    <row r="164" spans="2:20" ht="12" customHeight="1">
      <c r="B164" s="4297" t="str">
        <f>'VISITA DE INSP.'!D17</f>
        <v>CERVANTES BENITEZ * ANTONIA</v>
      </c>
      <c r="C164" s="4298"/>
      <c r="D164" s="4298"/>
      <c r="E164" s="4298"/>
      <c r="F164" s="4299"/>
      <c r="G164" s="4300" t="s">
        <v>1060</v>
      </c>
      <c r="H164" s="4300"/>
      <c r="I164" s="4300" t="s">
        <v>1060</v>
      </c>
      <c r="J164" s="4300"/>
      <c r="K164" s="4300" t="s">
        <v>1060</v>
      </c>
      <c r="L164" s="4300"/>
      <c r="M164" s="4300" t="s">
        <v>1060</v>
      </c>
      <c r="N164" s="4300"/>
      <c r="O164" s="4300" t="s">
        <v>1060</v>
      </c>
      <c r="P164" s="4300"/>
      <c r="Q164" s="4300" t="s">
        <v>1060</v>
      </c>
      <c r="R164" s="4300"/>
      <c r="S164" s="4300" t="s">
        <v>1060</v>
      </c>
      <c r="T164" s="4300"/>
    </row>
    <row r="165" spans="2:20" ht="12" customHeight="1">
      <c r="B165" s="4297" t="str">
        <f>'VISITA DE INSP.'!D18</f>
        <v>ARANDA ESCALANTE * ARELI GUADALUPE</v>
      </c>
      <c r="C165" s="4298"/>
      <c r="D165" s="4298"/>
      <c r="E165" s="4298"/>
      <c r="F165" s="4299"/>
      <c r="G165" s="4300" t="s">
        <v>1060</v>
      </c>
      <c r="H165" s="4300"/>
      <c r="I165" s="4300" t="s">
        <v>1060</v>
      </c>
      <c r="J165" s="4300"/>
      <c r="K165" s="4300" t="s">
        <v>1060</v>
      </c>
      <c r="L165" s="4300"/>
      <c r="M165" s="4300" t="s">
        <v>1060</v>
      </c>
      <c r="N165" s="4300"/>
      <c r="O165" s="4300" t="s">
        <v>1060</v>
      </c>
      <c r="P165" s="4300"/>
      <c r="Q165" s="4300" t="s">
        <v>1060</v>
      </c>
      <c r="R165" s="4300"/>
      <c r="S165" s="4300" t="s">
        <v>1060</v>
      </c>
      <c r="T165" s="4300"/>
    </row>
    <row r="166" spans="2:20" ht="12" customHeight="1">
      <c r="B166" s="4297" t="str">
        <f>'VISITA DE INSP.'!D19</f>
        <v>AKE QUEB * MARIANA DEL CONSUELO</v>
      </c>
      <c r="C166" s="4298"/>
      <c r="D166" s="4298"/>
      <c r="E166" s="4298"/>
      <c r="F166" s="4299"/>
      <c r="G166" s="4300" t="s">
        <v>1060</v>
      </c>
      <c r="H166" s="4300"/>
      <c r="I166" s="4300" t="s">
        <v>1060</v>
      </c>
      <c r="J166" s="4300"/>
      <c r="K166" s="4300" t="s">
        <v>1060</v>
      </c>
      <c r="L166" s="4300"/>
      <c r="M166" s="4300" t="s">
        <v>1060</v>
      </c>
      <c r="N166" s="4300"/>
      <c r="O166" s="4300" t="s">
        <v>1060</v>
      </c>
      <c r="P166" s="4300"/>
      <c r="Q166" s="4300" t="s">
        <v>1060</v>
      </c>
      <c r="R166" s="4300"/>
      <c r="S166" s="4300" t="s">
        <v>1060</v>
      </c>
      <c r="T166" s="4300"/>
    </row>
    <row r="167" spans="2:20" ht="12" customHeight="1">
      <c r="B167" s="4297" t="str">
        <f>'VISITA DE INSP.'!D20</f>
        <v>MORENO CARDENAS * IGNACIA</v>
      </c>
      <c r="C167" s="4298"/>
      <c r="D167" s="4298"/>
      <c r="E167" s="4298"/>
      <c r="F167" s="4299"/>
      <c r="G167" s="4300" t="s">
        <v>1060</v>
      </c>
      <c r="H167" s="4300"/>
      <c r="I167" s="4300" t="s">
        <v>1060</v>
      </c>
      <c r="J167" s="4300"/>
      <c r="K167" s="4300" t="s">
        <v>1060</v>
      </c>
      <c r="L167" s="4300"/>
      <c r="M167" s="4300" t="s">
        <v>1060</v>
      </c>
      <c r="N167" s="4300"/>
      <c r="O167" s="4300" t="s">
        <v>1060</v>
      </c>
      <c r="P167" s="4300"/>
      <c r="Q167" s="4300" t="s">
        <v>1060</v>
      </c>
      <c r="R167" s="4300"/>
      <c r="S167" s="4300" t="s">
        <v>1060</v>
      </c>
      <c r="T167" s="4300"/>
    </row>
    <row r="168" spans="2:20" ht="12" customHeight="1">
      <c r="B168" s="4297" t="str">
        <f>'VISITA DE INSP.'!D21</f>
        <v>GONGORA SANTOS * GRACIELA</v>
      </c>
      <c r="C168" s="4298"/>
      <c r="D168" s="4298"/>
      <c r="E168" s="4298"/>
      <c r="F168" s="4299"/>
      <c r="G168" s="4300" t="s">
        <v>1060</v>
      </c>
      <c r="H168" s="4300"/>
      <c r="I168" s="4300" t="s">
        <v>1060</v>
      </c>
      <c r="J168" s="4300"/>
      <c r="K168" s="4300" t="s">
        <v>1060</v>
      </c>
      <c r="L168" s="4300"/>
      <c r="M168" s="4300" t="s">
        <v>1060</v>
      </c>
      <c r="N168" s="4300"/>
      <c r="O168" s="4300" t="s">
        <v>1060</v>
      </c>
      <c r="P168" s="4300"/>
      <c r="Q168" s="4300" t="s">
        <v>1060</v>
      </c>
      <c r="R168" s="4300"/>
      <c r="S168" s="4300" t="s">
        <v>1060</v>
      </c>
      <c r="T168" s="4300"/>
    </row>
    <row r="169" spans="2:20" ht="12" customHeight="1">
      <c r="B169" s="4297" t="str">
        <f>'VISITA DE INSP.'!D22</f>
        <v>VARGAS GARCIA * DEBRA DORIS DEL SAGRARIO</v>
      </c>
      <c r="C169" s="4298"/>
      <c r="D169" s="4298"/>
      <c r="E169" s="4298"/>
      <c r="F169" s="4299"/>
      <c r="G169" s="4300" t="s">
        <v>1060</v>
      </c>
      <c r="H169" s="4300"/>
      <c r="I169" s="4300" t="s">
        <v>1060</v>
      </c>
      <c r="J169" s="4300"/>
      <c r="K169" s="4300" t="s">
        <v>1060</v>
      </c>
      <c r="L169" s="4300"/>
      <c r="M169" s="4300" t="s">
        <v>1060</v>
      </c>
      <c r="N169" s="4300"/>
      <c r="O169" s="4300" t="s">
        <v>1060</v>
      </c>
      <c r="P169" s="4300"/>
      <c r="Q169" s="4300" t="s">
        <v>1060</v>
      </c>
      <c r="R169" s="4300"/>
      <c r="S169" s="4300" t="s">
        <v>1060</v>
      </c>
      <c r="T169" s="4300"/>
    </row>
    <row r="170" spans="2:20" ht="12" customHeight="1">
      <c r="B170" s="4297" t="str">
        <f>'VISITA DE INSP.'!D23</f>
        <v>CASTRO LOPEZ * SOSIMA PETRA</v>
      </c>
      <c r="C170" s="4298"/>
      <c r="D170" s="4298"/>
      <c r="E170" s="4298"/>
      <c r="F170" s="4299"/>
      <c r="G170" s="4300" t="s">
        <v>1060</v>
      </c>
      <c r="H170" s="4300"/>
      <c r="I170" s="4300" t="s">
        <v>1060</v>
      </c>
      <c r="J170" s="4300"/>
      <c r="K170" s="4300" t="s">
        <v>1060</v>
      </c>
      <c r="L170" s="4300"/>
      <c r="M170" s="4300" t="s">
        <v>1060</v>
      </c>
      <c r="N170" s="4300"/>
      <c r="O170" s="4300" t="s">
        <v>1060</v>
      </c>
      <c r="P170" s="4300"/>
      <c r="Q170" s="4300" t="s">
        <v>1060</v>
      </c>
      <c r="R170" s="4300"/>
      <c r="S170" s="4300" t="s">
        <v>1060</v>
      </c>
      <c r="T170" s="4300"/>
    </row>
    <row r="171" spans="2:20" ht="12" customHeight="1">
      <c r="B171" s="4297" t="str">
        <f>'VISITA DE INSP.'!D24</f>
        <v>SANCHEZ BUSTAMANTE * CONCEPCION</v>
      </c>
      <c r="C171" s="4298"/>
      <c r="D171" s="4298"/>
      <c r="E171" s="4298"/>
      <c r="F171" s="4299"/>
      <c r="G171" s="4300" t="s">
        <v>1060</v>
      </c>
      <c r="H171" s="4300"/>
      <c r="I171" s="4300" t="s">
        <v>1060</v>
      </c>
      <c r="J171" s="4300"/>
      <c r="K171" s="4300" t="s">
        <v>1060</v>
      </c>
      <c r="L171" s="4300"/>
      <c r="M171" s="4300" t="s">
        <v>1060</v>
      </c>
      <c r="N171" s="4300"/>
      <c r="O171" s="4300" t="s">
        <v>1060</v>
      </c>
      <c r="P171" s="4300"/>
      <c r="Q171" s="4300" t="s">
        <v>1060</v>
      </c>
      <c r="R171" s="4300"/>
      <c r="S171" s="4300" t="s">
        <v>1060</v>
      </c>
      <c r="T171" s="4300"/>
    </row>
    <row r="172" spans="2:20" ht="12" customHeight="1">
      <c r="B172" s="4297" t="str">
        <f>'VISITA DE INSP.'!D25</f>
        <v>VIVEROS SALAZAR *NORA</v>
      </c>
      <c r="C172" s="4298"/>
      <c r="D172" s="4298"/>
      <c r="E172" s="4298"/>
      <c r="F172" s="4299"/>
      <c r="G172" s="4300" t="s">
        <v>1060</v>
      </c>
      <c r="H172" s="4300"/>
      <c r="I172" s="4300" t="s">
        <v>1060</v>
      </c>
      <c r="J172" s="4300"/>
      <c r="K172" s="4300" t="s">
        <v>1060</v>
      </c>
      <c r="L172" s="4300"/>
      <c r="M172" s="4300" t="s">
        <v>1060</v>
      </c>
      <c r="N172" s="4300"/>
      <c r="O172" s="4300" t="s">
        <v>1060</v>
      </c>
      <c r="P172" s="4300"/>
      <c r="Q172" s="4300" t="s">
        <v>1060</v>
      </c>
      <c r="R172" s="4300"/>
      <c r="S172" s="4300" t="s">
        <v>1060</v>
      </c>
      <c r="T172" s="4300"/>
    </row>
    <row r="173" spans="2:20" ht="12" customHeight="1">
      <c r="B173" s="4297" t="str">
        <f>'VISITA DE INSP.'!D26</f>
        <v>XIU VELAZQUEZ * JOSE MANUEL</v>
      </c>
      <c r="C173" s="4298"/>
      <c r="D173" s="4298"/>
      <c r="E173" s="4298"/>
      <c r="F173" s="4299"/>
      <c r="G173" s="4300" t="s">
        <v>1060</v>
      </c>
      <c r="H173" s="4300"/>
      <c r="I173" s="4300" t="s">
        <v>1060</v>
      </c>
      <c r="J173" s="4300"/>
      <c r="K173" s="4300" t="s">
        <v>1060</v>
      </c>
      <c r="L173" s="4300"/>
      <c r="M173" s="4300" t="s">
        <v>1060</v>
      </c>
      <c r="N173" s="4300"/>
      <c r="O173" s="4300" t="s">
        <v>1060</v>
      </c>
      <c r="P173" s="4300"/>
      <c r="Q173" s="4300" t="s">
        <v>1060</v>
      </c>
      <c r="R173" s="4300"/>
      <c r="S173" s="4300" t="s">
        <v>1060</v>
      </c>
      <c r="T173" s="4300"/>
    </row>
    <row r="174" spans="2:20" ht="12" customHeight="1">
      <c r="B174" s="4297" t="str">
        <f>'VISITA DE INSP.'!D27</f>
        <v>MARTIN QUINTAL * SIHARELI CONCEPCION</v>
      </c>
      <c r="C174" s="4298"/>
      <c r="D174" s="4298"/>
      <c r="E174" s="4298"/>
      <c r="F174" s="4299"/>
      <c r="G174" s="4300" t="s">
        <v>1060</v>
      </c>
      <c r="H174" s="4300"/>
      <c r="I174" s="4300" t="s">
        <v>1060</v>
      </c>
      <c r="J174" s="4300"/>
      <c r="K174" s="4300" t="s">
        <v>1060</v>
      </c>
      <c r="L174" s="4300"/>
      <c r="M174" s="4300" t="s">
        <v>1060</v>
      </c>
      <c r="N174" s="4300"/>
      <c r="O174" s="4300" t="s">
        <v>1060</v>
      </c>
      <c r="P174" s="4300"/>
      <c r="Q174" s="4300" t="s">
        <v>1060</v>
      </c>
      <c r="R174" s="4300"/>
      <c r="S174" s="4300" t="s">
        <v>1060</v>
      </c>
      <c r="T174" s="4300"/>
    </row>
    <row r="175" spans="2:20" ht="12" customHeight="1">
      <c r="B175" s="4297" t="str">
        <f>'VISITA DE INSP.'!D28</f>
        <v>ALEMAN SANTOS * MIRIAM</v>
      </c>
      <c r="C175" s="4298"/>
      <c r="D175" s="4298"/>
      <c r="E175" s="4298"/>
      <c r="F175" s="4299"/>
      <c r="G175" s="4300" t="s">
        <v>1060</v>
      </c>
      <c r="H175" s="4300"/>
      <c r="I175" s="4300" t="s">
        <v>1060</v>
      </c>
      <c r="J175" s="4300"/>
      <c r="K175" s="4300" t="s">
        <v>1060</v>
      </c>
      <c r="L175" s="4300"/>
      <c r="M175" s="4300" t="s">
        <v>1060</v>
      </c>
      <c r="N175" s="4300"/>
      <c r="O175" s="4300" t="s">
        <v>1060</v>
      </c>
      <c r="P175" s="4300"/>
      <c r="Q175" s="4300" t="s">
        <v>1060</v>
      </c>
      <c r="R175" s="4300"/>
      <c r="S175" s="4300" t="s">
        <v>1060</v>
      </c>
      <c r="T175" s="4300"/>
    </row>
    <row r="176" spans="2:20" ht="12" customHeight="1">
      <c r="B176" s="4297" t="str">
        <f>'VISITA DE INSP.'!D29</f>
        <v>CRUZ PEREZ * FRANCISCO</v>
      </c>
      <c r="C176" s="4298"/>
      <c r="D176" s="4298"/>
      <c r="E176" s="4298"/>
      <c r="F176" s="4299"/>
      <c r="G176" s="4300" t="s">
        <v>1060</v>
      </c>
      <c r="H176" s="4300"/>
      <c r="I176" s="4300" t="s">
        <v>1060</v>
      </c>
      <c r="J176" s="4300"/>
      <c r="K176" s="4300" t="s">
        <v>1060</v>
      </c>
      <c r="L176" s="4300"/>
      <c r="M176" s="4300" t="s">
        <v>1060</v>
      </c>
      <c r="N176" s="4300"/>
      <c r="O176" s="4300" t="s">
        <v>1060</v>
      </c>
      <c r="P176" s="4300"/>
      <c r="Q176" s="4300" t="s">
        <v>1060</v>
      </c>
      <c r="R176" s="4300"/>
      <c r="S176" s="4300" t="s">
        <v>1060</v>
      </c>
      <c r="T176" s="4300"/>
    </row>
    <row r="177" spans="2:20" ht="12" customHeight="1">
      <c r="B177" s="4297" t="str">
        <f>'VISITA DE INSP.'!D30</f>
        <v>GONGORA * TERESITA DEL CARMEN</v>
      </c>
      <c r="C177" s="4298"/>
      <c r="D177" s="4298"/>
      <c r="E177" s="4298"/>
      <c r="F177" s="4299"/>
      <c r="G177" s="4312" t="s">
        <v>1060</v>
      </c>
      <c r="H177" s="4312"/>
      <c r="I177" s="4312" t="s">
        <v>1060</v>
      </c>
      <c r="J177" s="4312"/>
      <c r="K177" s="4312" t="s">
        <v>1060</v>
      </c>
      <c r="L177" s="4312"/>
      <c r="M177" s="4312" t="s">
        <v>1060</v>
      </c>
      <c r="N177" s="4312"/>
      <c r="O177" s="4312" t="s">
        <v>1060</v>
      </c>
      <c r="P177" s="4312"/>
      <c r="Q177" s="4312" t="s">
        <v>1060</v>
      </c>
      <c r="R177" s="4312"/>
      <c r="S177" s="4312" t="s">
        <v>1060</v>
      </c>
      <c r="T177" s="4312"/>
    </row>
    <row r="178" spans="2:20" ht="12" customHeight="1">
      <c r="B178" s="4297" t="str">
        <f>'VISITA DE INSP.'!D31</f>
        <v>ARGUELLES GARCIA * MAYRA LUCELY</v>
      </c>
      <c r="C178" s="4298"/>
      <c r="D178" s="4298"/>
      <c r="E178" s="4298"/>
      <c r="F178" s="4299"/>
      <c r="G178" s="4312" t="s">
        <v>1060</v>
      </c>
      <c r="H178" s="4312"/>
      <c r="I178" s="4312" t="s">
        <v>1060</v>
      </c>
      <c r="J178" s="4312"/>
      <c r="K178" s="4312" t="s">
        <v>1060</v>
      </c>
      <c r="L178" s="4312"/>
      <c r="M178" s="4312" t="s">
        <v>1060</v>
      </c>
      <c r="N178" s="4312"/>
      <c r="O178" s="4312" t="s">
        <v>1060</v>
      </c>
      <c r="P178" s="4312"/>
      <c r="Q178" s="4312" t="s">
        <v>1060</v>
      </c>
      <c r="R178" s="4312"/>
      <c r="S178" s="4312" t="s">
        <v>1060</v>
      </c>
      <c r="T178" s="4312"/>
    </row>
    <row r="179" spans="2:20" ht="12" customHeight="1">
      <c r="B179" s="4297">
        <f>'VISITA DE INSP.'!D32</f>
        <v>0</v>
      </c>
      <c r="C179" s="4298"/>
      <c r="D179" s="4298"/>
      <c r="E179" s="4298"/>
      <c r="F179" s="4299"/>
      <c r="G179" s="4312" t="s">
        <v>1060</v>
      </c>
      <c r="H179" s="4312"/>
      <c r="I179" s="4312" t="s">
        <v>1060</v>
      </c>
      <c r="J179" s="4312"/>
      <c r="K179" s="4312" t="s">
        <v>1060</v>
      </c>
      <c r="L179" s="4312"/>
      <c r="M179" s="4312" t="s">
        <v>1060</v>
      </c>
      <c r="N179" s="4312"/>
      <c r="O179" s="4312" t="s">
        <v>1060</v>
      </c>
      <c r="P179" s="4312"/>
      <c r="Q179" s="4312" t="s">
        <v>1060</v>
      </c>
      <c r="R179" s="4312"/>
      <c r="S179" s="4312" t="s">
        <v>1060</v>
      </c>
      <c r="T179" s="4312"/>
    </row>
    <row r="180" spans="2:20" ht="12" customHeight="1">
      <c r="B180" s="4297">
        <f>'VISITA DE INSP.'!D33</f>
        <v>0</v>
      </c>
      <c r="C180" s="4298"/>
      <c r="D180" s="4298"/>
      <c r="E180" s="4298"/>
      <c r="F180" s="4299"/>
      <c r="G180" s="4312" t="s">
        <v>1060</v>
      </c>
      <c r="H180" s="4312"/>
      <c r="I180" s="4312" t="s">
        <v>1060</v>
      </c>
      <c r="J180" s="4312"/>
      <c r="K180" s="4312" t="s">
        <v>1060</v>
      </c>
      <c r="L180" s="4312"/>
      <c r="M180" s="4312" t="s">
        <v>1060</v>
      </c>
      <c r="N180" s="4312"/>
      <c r="O180" s="4312" t="s">
        <v>1060</v>
      </c>
      <c r="P180" s="4312"/>
      <c r="Q180" s="4312" t="s">
        <v>1060</v>
      </c>
      <c r="R180" s="4312"/>
      <c r="S180" s="4312" t="s">
        <v>1060</v>
      </c>
      <c r="T180" s="4312"/>
    </row>
    <row r="181" spans="2:20" ht="12" customHeight="1">
      <c r="B181" s="4297" t="str">
        <f>'VISITA DE INSP.'!D34</f>
        <v>GARDUÑO CASTILLO * MERLI ROCIO</v>
      </c>
      <c r="C181" s="4298"/>
      <c r="D181" s="4298"/>
      <c r="E181" s="4298"/>
      <c r="F181" s="4299"/>
      <c r="G181" s="4312" t="s">
        <v>1060</v>
      </c>
      <c r="H181" s="4312"/>
      <c r="I181" s="4312" t="s">
        <v>1060</v>
      </c>
      <c r="J181" s="4312"/>
      <c r="K181" s="4312" t="s">
        <v>1060</v>
      </c>
      <c r="L181" s="4312"/>
      <c r="M181" s="4312" t="s">
        <v>1060</v>
      </c>
      <c r="N181" s="4312"/>
      <c r="O181" s="4312" t="s">
        <v>1060</v>
      </c>
      <c r="P181" s="4312"/>
      <c r="Q181" s="4312" t="s">
        <v>1060</v>
      </c>
      <c r="R181" s="4312"/>
      <c r="S181" s="4312" t="s">
        <v>1060</v>
      </c>
      <c r="T181" s="4312"/>
    </row>
    <row r="182" spans="2:20" ht="10.5" customHeight="1">
      <c r="B182" s="4297" t="str">
        <f>'VISITA DE INSP.'!D35</f>
        <v>POOT QUEB *LUIS ARMANDO</v>
      </c>
      <c r="C182" s="4298"/>
      <c r="D182" s="4298"/>
      <c r="E182" s="4298"/>
      <c r="F182" s="4299"/>
      <c r="G182" s="4312" t="s">
        <v>1060</v>
      </c>
      <c r="H182" s="4312"/>
      <c r="I182" s="4312" t="s">
        <v>1060</v>
      </c>
      <c r="J182" s="4312"/>
      <c r="K182" s="4312" t="s">
        <v>1060</v>
      </c>
      <c r="L182" s="4312"/>
      <c r="M182" s="4312" t="s">
        <v>1060</v>
      </c>
      <c r="N182" s="4312"/>
      <c r="O182" s="4312" t="s">
        <v>1060</v>
      </c>
      <c r="P182" s="4312"/>
      <c r="Q182" s="4312" t="s">
        <v>1060</v>
      </c>
      <c r="R182" s="4312"/>
      <c r="S182" s="4312" t="s">
        <v>1060</v>
      </c>
      <c r="T182" s="4312"/>
    </row>
    <row r="183" spans="2:20" ht="10.5" customHeight="1">
      <c r="B183" s="4297">
        <f>'VISITA DE INSP.'!D36</f>
        <v>0</v>
      </c>
      <c r="C183" s="4298"/>
      <c r="D183" s="4298"/>
      <c r="E183" s="4298"/>
      <c r="F183" s="4299"/>
      <c r="G183" s="4312" t="s">
        <v>1060</v>
      </c>
      <c r="H183" s="4312"/>
      <c r="I183" s="4312" t="s">
        <v>1060</v>
      </c>
      <c r="J183" s="4312"/>
      <c r="K183" s="4312" t="s">
        <v>1060</v>
      </c>
      <c r="L183" s="4312"/>
      <c r="M183" s="4312" t="s">
        <v>1060</v>
      </c>
      <c r="N183" s="4312"/>
      <c r="O183" s="4312" t="s">
        <v>1060</v>
      </c>
      <c r="P183" s="4312"/>
      <c r="Q183" s="4312" t="s">
        <v>1060</v>
      </c>
      <c r="R183" s="4312"/>
      <c r="S183" s="4312" t="s">
        <v>1060</v>
      </c>
      <c r="T183" s="4312"/>
    </row>
    <row r="184" spans="2:20" ht="14.1" customHeight="1">
      <c r="B184" s="1728" t="s">
        <v>114</v>
      </c>
      <c r="C184" s="4276" t="s">
        <v>1598</v>
      </c>
      <c r="D184" s="4276"/>
      <c r="E184" s="4276"/>
      <c r="F184" s="4276"/>
      <c r="G184" s="4276"/>
      <c r="H184" s="4276"/>
      <c r="I184" s="4276"/>
      <c r="J184" s="4276"/>
      <c r="K184" s="4276"/>
      <c r="L184" s="4276"/>
      <c r="M184" s="4276"/>
      <c r="N184" s="4276"/>
      <c r="O184" s="4276"/>
      <c r="P184" s="4276"/>
      <c r="Q184" s="4276"/>
      <c r="R184" s="4276"/>
      <c r="S184" s="4276"/>
      <c r="T184" s="4276"/>
    </row>
    <row r="185" spans="2:20" ht="6" customHeight="1">
      <c r="B185" s="1101"/>
      <c r="C185" s="1737"/>
      <c r="D185" s="1099"/>
      <c r="E185" s="1099"/>
      <c r="F185" s="1099"/>
      <c r="G185" s="1690"/>
      <c r="H185" s="1099"/>
      <c r="I185" s="1099"/>
      <c r="J185" s="1099"/>
      <c r="K185" s="1099"/>
      <c r="L185" s="1099"/>
      <c r="M185" s="1099"/>
      <c r="N185" s="1099"/>
      <c r="O185" s="1099"/>
      <c r="P185" s="1099"/>
      <c r="Q185" s="1100"/>
      <c r="R185" s="1099"/>
      <c r="S185" s="1099"/>
      <c r="T185" s="1100"/>
    </row>
    <row r="186" spans="2:20" ht="12" customHeight="1">
      <c r="B186" s="4313" t="s">
        <v>1586</v>
      </c>
      <c r="C186" s="4313"/>
      <c r="D186" s="4313"/>
      <c r="E186" s="4313"/>
      <c r="F186" s="4313"/>
      <c r="G186" s="4313"/>
      <c r="H186" s="4313"/>
      <c r="I186" s="4313" t="s">
        <v>1587</v>
      </c>
      <c r="J186" s="4313"/>
      <c r="K186" s="4313"/>
      <c r="L186" s="4313" t="s">
        <v>1589</v>
      </c>
      <c r="M186" s="4313"/>
      <c r="N186" s="4313"/>
      <c r="O186" s="4313" t="s">
        <v>1588</v>
      </c>
      <c r="P186" s="4313"/>
      <c r="Q186" s="4313"/>
      <c r="R186" s="4313" t="s">
        <v>1590</v>
      </c>
      <c r="S186" s="4313"/>
      <c r="T186" s="4313"/>
    </row>
    <row r="187" spans="2:20" ht="11.25" customHeight="1">
      <c r="B187" s="4288" t="s">
        <v>1591</v>
      </c>
      <c r="C187" s="4288"/>
      <c r="D187" s="4288"/>
      <c r="E187" s="4288"/>
      <c r="F187" s="4288"/>
      <c r="G187" s="4288"/>
      <c r="H187" s="4288"/>
      <c r="I187" s="4300" t="s">
        <v>1060</v>
      </c>
      <c r="J187" s="4300"/>
      <c r="K187" s="4300"/>
      <c r="L187" s="4312" t="s">
        <v>1060</v>
      </c>
      <c r="M187" s="4312"/>
      <c r="N187" s="4312"/>
      <c r="O187" s="4312" t="s">
        <v>1060</v>
      </c>
      <c r="P187" s="4312"/>
      <c r="Q187" s="4312"/>
      <c r="R187" s="4312" t="s">
        <v>1060</v>
      </c>
      <c r="S187" s="4312"/>
      <c r="T187" s="4312"/>
    </row>
    <row r="188" spans="2:20" ht="11.25" customHeight="1">
      <c r="B188" s="4288" t="s">
        <v>1592</v>
      </c>
      <c r="C188" s="4288"/>
      <c r="D188" s="4288"/>
      <c r="E188" s="4288"/>
      <c r="F188" s="4288"/>
      <c r="G188" s="4288"/>
      <c r="H188" s="4288"/>
      <c r="I188" s="4300" t="s">
        <v>1060</v>
      </c>
      <c r="J188" s="4300"/>
      <c r="K188" s="4300"/>
      <c r="L188" s="4312" t="s">
        <v>1060</v>
      </c>
      <c r="M188" s="4312"/>
      <c r="N188" s="4312"/>
      <c r="O188" s="4312" t="s">
        <v>1060</v>
      </c>
      <c r="P188" s="4312"/>
      <c r="Q188" s="4312"/>
      <c r="R188" s="4312" t="s">
        <v>1060</v>
      </c>
      <c r="S188" s="4312"/>
      <c r="T188" s="4312"/>
    </row>
    <row r="189" spans="2:20" ht="11.25" customHeight="1">
      <c r="B189" s="4288" t="s">
        <v>1593</v>
      </c>
      <c r="C189" s="4288"/>
      <c r="D189" s="4288"/>
      <c r="E189" s="4288"/>
      <c r="F189" s="4288"/>
      <c r="G189" s="4288"/>
      <c r="H189" s="4288"/>
      <c r="I189" s="4300" t="s">
        <v>1060</v>
      </c>
      <c r="J189" s="4300"/>
      <c r="K189" s="4300"/>
      <c r="L189" s="4312" t="s">
        <v>1060</v>
      </c>
      <c r="M189" s="4312"/>
      <c r="N189" s="4312"/>
      <c r="O189" s="4312" t="s">
        <v>1060</v>
      </c>
      <c r="P189" s="4312"/>
      <c r="Q189" s="4312"/>
      <c r="R189" s="4312" t="s">
        <v>1060</v>
      </c>
      <c r="S189" s="4312"/>
      <c r="T189" s="4312"/>
    </row>
    <row r="190" spans="2:20" ht="11.25" customHeight="1">
      <c r="B190" s="4288" t="s">
        <v>1594</v>
      </c>
      <c r="C190" s="4288"/>
      <c r="D190" s="4288"/>
      <c r="E190" s="4288"/>
      <c r="F190" s="4288"/>
      <c r="G190" s="4288"/>
      <c r="H190" s="4288"/>
      <c r="I190" s="4300" t="s">
        <v>1060</v>
      </c>
      <c r="J190" s="4300"/>
      <c r="K190" s="4300"/>
      <c r="L190" s="4312" t="s">
        <v>1060</v>
      </c>
      <c r="M190" s="4312"/>
      <c r="N190" s="4312"/>
      <c r="O190" s="4312" t="s">
        <v>1060</v>
      </c>
      <c r="P190" s="4312"/>
      <c r="Q190" s="4312"/>
      <c r="R190" s="4312" t="s">
        <v>1060</v>
      </c>
      <c r="S190" s="4312"/>
      <c r="T190" s="4312"/>
    </row>
    <row r="191" spans="2:20" ht="11.25" customHeight="1">
      <c r="B191" s="4288" t="s">
        <v>1595</v>
      </c>
      <c r="C191" s="4288"/>
      <c r="D191" s="4288"/>
      <c r="E191" s="4288"/>
      <c r="F191" s="4288"/>
      <c r="G191" s="4288"/>
      <c r="H191" s="4288"/>
      <c r="I191" s="4300" t="s">
        <v>1060</v>
      </c>
      <c r="J191" s="4300"/>
      <c r="K191" s="4300"/>
      <c r="L191" s="4312" t="s">
        <v>1060</v>
      </c>
      <c r="M191" s="4312"/>
      <c r="N191" s="4312"/>
      <c r="O191" s="4312" t="s">
        <v>1060</v>
      </c>
      <c r="P191" s="4312"/>
      <c r="Q191" s="4312"/>
      <c r="R191" s="4312" t="s">
        <v>1060</v>
      </c>
      <c r="S191" s="4312"/>
      <c r="T191" s="4312"/>
    </row>
    <row r="192" spans="2:20" ht="11.25" customHeight="1">
      <c r="B192" s="4288" t="s">
        <v>1596</v>
      </c>
      <c r="C192" s="4288"/>
      <c r="D192" s="4288"/>
      <c r="E192" s="4288"/>
      <c r="F192" s="4288"/>
      <c r="G192" s="4288"/>
      <c r="H192" s="4288"/>
      <c r="I192" s="4300" t="s">
        <v>1060</v>
      </c>
      <c r="J192" s="4300"/>
      <c r="K192" s="4300"/>
      <c r="L192" s="4312" t="s">
        <v>1060</v>
      </c>
      <c r="M192" s="4312"/>
      <c r="N192" s="4312"/>
      <c r="O192" s="4312" t="s">
        <v>1060</v>
      </c>
      <c r="P192" s="4312"/>
      <c r="Q192" s="4312"/>
      <c r="R192" s="4312" t="s">
        <v>1060</v>
      </c>
      <c r="S192" s="4312"/>
      <c r="T192" s="4312"/>
    </row>
    <row r="193" spans="2:21" ht="11.25" customHeight="1">
      <c r="B193" s="4288" t="s">
        <v>1597</v>
      </c>
      <c r="C193" s="4288"/>
      <c r="D193" s="4288"/>
      <c r="E193" s="4288"/>
      <c r="F193" s="4288"/>
      <c r="G193" s="4288"/>
      <c r="H193" s="4288"/>
      <c r="I193" s="4312" t="s">
        <v>1060</v>
      </c>
      <c r="J193" s="4312"/>
      <c r="K193" s="4312"/>
      <c r="L193" s="4300" t="s">
        <v>1060</v>
      </c>
      <c r="M193" s="4300"/>
      <c r="N193" s="4300"/>
      <c r="O193" s="4312" t="s">
        <v>1060</v>
      </c>
      <c r="P193" s="4312"/>
      <c r="Q193" s="4312"/>
      <c r="R193" s="4312" t="s">
        <v>1060</v>
      </c>
      <c r="S193" s="4312"/>
      <c r="T193" s="4312"/>
    </row>
    <row r="194" spans="2:21" ht="6" customHeight="1">
      <c r="B194" s="1090"/>
      <c r="C194" s="1090"/>
      <c r="D194" s="1090"/>
      <c r="E194" s="1090"/>
      <c r="F194" s="1090"/>
      <c r="G194" s="1690"/>
      <c r="H194" s="1099"/>
      <c r="I194" s="1099"/>
      <c r="J194" s="1099"/>
      <c r="K194" s="1099"/>
      <c r="L194" s="1099"/>
      <c r="M194" s="1099"/>
      <c r="N194" s="1099"/>
      <c r="O194" s="1099"/>
      <c r="P194" s="1099"/>
      <c r="Q194" s="1100"/>
      <c r="R194" s="1101"/>
      <c r="S194" s="1101"/>
      <c r="T194" s="1100"/>
    </row>
    <row r="195" spans="2:21" ht="14.1" customHeight="1">
      <c r="B195" s="1738" t="s">
        <v>127</v>
      </c>
      <c r="C195" s="4327" t="s">
        <v>1624</v>
      </c>
      <c r="D195" s="4327"/>
      <c r="E195" s="4327"/>
      <c r="F195" s="4327"/>
      <c r="G195" s="4327"/>
      <c r="H195" s="4327"/>
      <c r="I195" s="4327"/>
      <c r="J195" s="4327"/>
      <c r="K195" s="4327"/>
      <c r="L195" s="4327"/>
      <c r="M195" s="4327"/>
      <c r="N195" s="4327"/>
      <c r="O195" s="4327"/>
      <c r="P195" s="4327"/>
      <c r="Q195" s="4327"/>
      <c r="R195" s="4327"/>
      <c r="S195" s="4327"/>
      <c r="T195" s="4327"/>
    </row>
    <row r="196" spans="2:21" ht="14.1" customHeight="1">
      <c r="B196" s="1090"/>
      <c r="C196" s="4287" t="s">
        <v>1615</v>
      </c>
      <c r="D196" s="4287"/>
      <c r="E196" s="4287"/>
      <c r="F196" s="4287"/>
      <c r="G196" s="4287"/>
      <c r="H196" s="4287"/>
      <c r="I196" s="4287"/>
      <c r="J196" s="4287"/>
      <c r="K196" s="4287"/>
      <c r="L196" s="4287"/>
      <c r="M196" s="4287"/>
      <c r="N196" s="4287"/>
      <c r="O196" s="4287"/>
      <c r="P196" s="4287"/>
      <c r="Q196" s="4287"/>
      <c r="R196" s="4287"/>
      <c r="S196" s="4287"/>
      <c r="T196" s="4287"/>
    </row>
    <row r="197" spans="2:21" s="2914" customFormat="1" ht="11.25" customHeight="1">
      <c r="B197" s="2915"/>
      <c r="C197" s="4237" t="s">
        <v>2101</v>
      </c>
      <c r="D197" s="4237"/>
      <c r="E197" s="4237"/>
      <c r="F197" s="4237"/>
      <c r="G197" s="4237"/>
      <c r="H197" s="4237"/>
      <c r="I197" s="4237"/>
      <c r="J197" s="4237"/>
      <c r="K197" s="4237"/>
      <c r="L197" s="4237"/>
      <c r="M197" s="4237"/>
      <c r="N197" s="4237"/>
      <c r="O197" s="4237"/>
      <c r="P197" s="4237"/>
      <c r="Q197" s="4237"/>
      <c r="R197" s="4237"/>
      <c r="S197" s="4237"/>
      <c r="T197" s="4237"/>
      <c r="U197" s="2913"/>
    </row>
    <row r="198" spans="2:21" s="2914" customFormat="1" ht="11.25" customHeight="1">
      <c r="B198" s="2915"/>
      <c r="C198" s="4237" t="s">
        <v>2102</v>
      </c>
      <c r="D198" s="4237"/>
      <c r="E198" s="4237"/>
      <c r="F198" s="4237"/>
      <c r="G198" s="4237"/>
      <c r="H198" s="4237"/>
      <c r="I198" s="4237"/>
      <c r="J198" s="4237"/>
      <c r="K198" s="4237"/>
      <c r="L198" s="4237"/>
      <c r="M198" s="4237"/>
      <c r="N198" s="4237"/>
      <c r="O198" s="4237"/>
      <c r="P198" s="4237"/>
      <c r="Q198" s="4237"/>
      <c r="R198" s="4237"/>
      <c r="S198" s="4237"/>
      <c r="T198" s="4237"/>
      <c r="U198" s="2913"/>
    </row>
    <row r="199" spans="2:21" s="2914" customFormat="1" ht="11.25" customHeight="1">
      <c r="B199" s="2915"/>
      <c r="C199" s="4237"/>
      <c r="D199" s="4237"/>
      <c r="E199" s="4237"/>
      <c r="F199" s="4237"/>
      <c r="G199" s="4237"/>
      <c r="H199" s="4237"/>
      <c r="I199" s="4237"/>
      <c r="J199" s="4237"/>
      <c r="K199" s="4237"/>
      <c r="L199" s="4237"/>
      <c r="M199" s="4237"/>
      <c r="N199" s="4237"/>
      <c r="O199" s="4237"/>
      <c r="P199" s="4237"/>
      <c r="Q199" s="4237"/>
      <c r="R199" s="4237"/>
      <c r="S199" s="4237"/>
      <c r="T199" s="4237"/>
      <c r="U199" s="2913"/>
    </row>
    <row r="200" spans="2:21" ht="6" customHeight="1">
      <c r="B200" s="1090"/>
      <c r="C200" s="1090"/>
      <c r="D200" s="1090"/>
      <c r="E200" s="1090"/>
      <c r="F200" s="1090"/>
      <c r="G200" s="1090"/>
      <c r="H200" s="1090"/>
      <c r="I200" s="1099"/>
      <c r="J200" s="1099"/>
      <c r="K200" s="1099"/>
      <c r="L200" s="1099"/>
      <c r="M200" s="1099"/>
      <c r="N200" s="1099"/>
      <c r="O200" s="1099"/>
      <c r="P200" s="1099"/>
      <c r="Q200" s="1100"/>
      <c r="R200" s="1101"/>
      <c r="S200" s="1101"/>
      <c r="T200" s="1100"/>
    </row>
    <row r="201" spans="2:21" ht="14.1" customHeight="1">
      <c r="B201" s="1731"/>
      <c r="C201" s="4322" t="s">
        <v>1548</v>
      </c>
      <c r="D201" s="4322"/>
      <c r="E201" s="4322"/>
      <c r="F201" s="4322"/>
      <c r="G201" s="4322"/>
      <c r="H201" s="4322"/>
      <c r="I201" s="4322"/>
      <c r="J201" s="4322"/>
      <c r="K201" s="4322"/>
      <c r="L201" s="4322"/>
      <c r="M201" s="4322"/>
      <c r="N201" s="4322"/>
      <c r="O201" s="4322"/>
      <c r="P201" s="4322"/>
      <c r="Q201" s="4322"/>
      <c r="R201" s="4322"/>
      <c r="S201" s="4322"/>
      <c r="T201" s="4322"/>
    </row>
    <row r="202" spans="2:21" s="2914" customFormat="1" ht="11.25" customHeight="1">
      <c r="B202" s="2912"/>
      <c r="C202" s="4237"/>
      <c r="D202" s="4237"/>
      <c r="E202" s="4237"/>
      <c r="F202" s="4237"/>
      <c r="G202" s="4237"/>
      <c r="H202" s="4237"/>
      <c r="I202" s="4237"/>
      <c r="J202" s="4237"/>
      <c r="K202" s="4237"/>
      <c r="L202" s="4237"/>
      <c r="M202" s="4237"/>
      <c r="N202" s="4237"/>
      <c r="O202" s="4237"/>
      <c r="P202" s="4237"/>
      <c r="Q202" s="4237"/>
      <c r="R202" s="4237"/>
      <c r="S202" s="4237"/>
      <c r="T202" s="4237"/>
      <c r="U202" s="2913"/>
    </row>
    <row r="203" spans="2:21" s="2914" customFormat="1" ht="11.25" customHeight="1">
      <c r="B203" s="2912"/>
      <c r="C203" s="4237"/>
      <c r="D203" s="4237"/>
      <c r="E203" s="4237"/>
      <c r="F203" s="4237"/>
      <c r="G203" s="4237"/>
      <c r="H203" s="4237"/>
      <c r="I203" s="4237"/>
      <c r="J203" s="4237"/>
      <c r="K203" s="4237"/>
      <c r="L203" s="4237"/>
      <c r="M203" s="4237"/>
      <c r="N203" s="4237"/>
      <c r="O203" s="4237"/>
      <c r="P203" s="4237"/>
      <c r="Q203" s="4237"/>
      <c r="R203" s="4237"/>
      <c r="S203" s="4237"/>
      <c r="T203" s="4237"/>
      <c r="U203" s="2913"/>
    </row>
    <row r="204" spans="2:21" ht="14.1" customHeight="1">
      <c r="B204" s="1731"/>
      <c r="C204" s="2924"/>
      <c r="D204" s="1099"/>
      <c r="E204" s="1099"/>
      <c r="F204" s="1099"/>
      <c r="G204" s="1690"/>
      <c r="H204" s="1099"/>
      <c r="I204" s="1099"/>
      <c r="J204" s="1099"/>
      <c r="K204" s="1099"/>
      <c r="L204" s="1099"/>
      <c r="M204" s="1099"/>
      <c r="N204" s="1099"/>
      <c r="O204" s="1099"/>
      <c r="P204" s="1099"/>
      <c r="Q204" s="1100"/>
      <c r="R204" s="1101"/>
      <c r="S204" s="1101"/>
      <c r="T204" s="1100"/>
    </row>
    <row r="205" spans="2:21" ht="14.1" customHeight="1">
      <c r="B205" s="1730" t="s">
        <v>1549</v>
      </c>
      <c r="C205" s="1737"/>
      <c r="D205" s="1099"/>
      <c r="E205" s="1099"/>
      <c r="F205" s="1099"/>
      <c r="G205" s="1690"/>
      <c r="H205" s="1099"/>
      <c r="I205" s="1099"/>
      <c r="J205" s="1099"/>
      <c r="K205" s="1099"/>
      <c r="L205" s="1099"/>
      <c r="M205" s="1099"/>
      <c r="N205" s="1099"/>
      <c r="O205" s="1099"/>
      <c r="P205" s="1099"/>
      <c r="Q205" s="1100"/>
      <c r="R205" s="1101"/>
      <c r="S205" s="1101"/>
      <c r="T205" s="1100"/>
    </row>
    <row r="206" spans="2:21" ht="6" customHeight="1">
      <c r="B206" s="1730"/>
      <c r="C206" s="1737"/>
      <c r="D206" s="1099"/>
      <c r="E206" s="1099"/>
      <c r="F206" s="1099"/>
      <c r="G206" s="1690"/>
      <c r="H206" s="1099"/>
      <c r="I206" s="1099"/>
      <c r="J206" s="1099"/>
      <c r="K206" s="1099"/>
      <c r="L206" s="1099"/>
      <c r="M206" s="1099"/>
      <c r="N206" s="1099"/>
      <c r="O206" s="1099"/>
      <c r="P206" s="1099"/>
      <c r="Q206" s="1100"/>
      <c r="R206" s="1101"/>
      <c r="S206" s="1101"/>
      <c r="T206" s="1100"/>
    </row>
    <row r="207" spans="2:21" ht="14.1" customHeight="1">
      <c r="B207" s="1728" t="s">
        <v>110</v>
      </c>
      <c r="C207" s="4276" t="s">
        <v>1625</v>
      </c>
      <c r="D207" s="4276"/>
      <c r="E207" s="4276"/>
      <c r="F207" s="4276"/>
      <c r="G207" s="4276"/>
      <c r="H207" s="4276"/>
      <c r="I207" s="4276"/>
      <c r="J207" s="4276"/>
      <c r="K207" s="4276"/>
      <c r="L207" s="4276"/>
      <c r="M207" s="4276"/>
      <c r="N207" s="4276"/>
      <c r="O207" s="4276"/>
      <c r="P207" s="4276"/>
      <c r="Q207" s="4276"/>
      <c r="R207" s="4276"/>
      <c r="S207" s="4276"/>
      <c r="T207" s="4276"/>
    </row>
    <row r="208" spans="2:21" ht="6" customHeight="1">
      <c r="B208" s="1728"/>
      <c r="C208" s="1737"/>
      <c r="D208" s="1099"/>
      <c r="E208" s="1099"/>
      <c r="F208" s="1099"/>
      <c r="G208" s="1690"/>
      <c r="H208" s="1099"/>
      <c r="I208" s="1099"/>
      <c r="J208" s="1099"/>
      <c r="K208" s="1099"/>
      <c r="L208" s="1099"/>
      <c r="M208" s="1099"/>
      <c r="N208" s="1099"/>
      <c r="O208" s="1099"/>
      <c r="P208" s="1099"/>
      <c r="Q208" s="1099"/>
      <c r="R208" s="1099"/>
      <c r="S208" s="1099"/>
      <c r="T208" s="1100"/>
    </row>
    <row r="209" spans="2:21" ht="14.1" customHeight="1">
      <c r="B209" s="1728"/>
      <c r="C209" s="4272" t="s">
        <v>954</v>
      </c>
      <c r="D209" s="4272"/>
      <c r="E209" s="4272"/>
      <c r="F209" s="2882" t="s">
        <v>1060</v>
      </c>
      <c r="G209" s="1692"/>
      <c r="H209" s="1090"/>
      <c r="I209" s="1090"/>
      <c r="J209" s="4272" t="s">
        <v>955</v>
      </c>
      <c r="K209" s="4272"/>
      <c r="L209" s="4272"/>
      <c r="M209" s="2883" t="s">
        <v>1060</v>
      </c>
      <c r="N209" s="1090"/>
      <c r="O209" s="1090"/>
      <c r="P209" s="1090"/>
      <c r="Q209" s="4272" t="s">
        <v>1567</v>
      </c>
      <c r="R209" s="4272"/>
      <c r="S209" s="4272"/>
      <c r="T209" s="2883" t="s">
        <v>1060</v>
      </c>
    </row>
    <row r="210" spans="2:21" ht="6" customHeight="1">
      <c r="B210" s="1728"/>
      <c r="C210" s="1737"/>
      <c r="D210" s="1099"/>
      <c r="E210" s="1099"/>
      <c r="F210" s="1099"/>
      <c r="G210" s="1690"/>
      <c r="H210" s="1099"/>
      <c r="I210" s="1099"/>
      <c r="J210" s="1099"/>
      <c r="K210" s="1099"/>
      <c r="L210" s="1099"/>
      <c r="M210" s="1099"/>
      <c r="N210" s="1099"/>
      <c r="O210" s="1099"/>
      <c r="P210" s="1099"/>
      <c r="Q210" s="1099"/>
      <c r="R210" s="1099"/>
      <c r="S210" s="1099"/>
      <c r="T210" s="1100"/>
    </row>
    <row r="211" spans="2:21" ht="14.1" customHeight="1">
      <c r="B211" s="1728" t="s">
        <v>112</v>
      </c>
      <c r="C211" s="4276" t="s">
        <v>1611</v>
      </c>
      <c r="D211" s="4276"/>
      <c r="E211" s="4276"/>
      <c r="F211" s="4276"/>
      <c r="G211" s="4276"/>
      <c r="H211" s="4276"/>
      <c r="I211" s="4276"/>
      <c r="J211" s="4276"/>
      <c r="K211" s="4276"/>
      <c r="L211" s="4276"/>
      <c r="M211" s="4276"/>
      <c r="N211" s="4276"/>
      <c r="O211" s="4276"/>
      <c r="P211" s="4276"/>
      <c r="Q211" s="4276"/>
      <c r="R211" s="4276"/>
      <c r="S211" s="4276"/>
      <c r="T211" s="4276"/>
    </row>
    <row r="212" spans="2:21" ht="6" customHeight="1">
      <c r="B212" s="1728"/>
      <c r="C212" s="1737"/>
      <c r="D212" s="1099"/>
      <c r="E212" s="1099"/>
      <c r="F212" s="1099"/>
      <c r="G212" s="1690"/>
      <c r="H212" s="1099"/>
      <c r="I212" s="1099"/>
      <c r="J212" s="1099"/>
      <c r="K212" s="1099"/>
      <c r="L212" s="1099"/>
      <c r="M212" s="1099"/>
      <c r="N212" s="1099"/>
      <c r="O212" s="1099"/>
      <c r="P212" s="1099"/>
      <c r="Q212" s="1100"/>
      <c r="R212" s="1101"/>
      <c r="S212" s="1101"/>
      <c r="T212" s="1100"/>
    </row>
    <row r="213" spans="2:21" ht="14.1" customHeight="1">
      <c r="B213" s="1728"/>
      <c r="C213" s="4272" t="s">
        <v>954</v>
      </c>
      <c r="D213" s="4272"/>
      <c r="E213" s="4272"/>
      <c r="F213" s="2883" t="s">
        <v>1060</v>
      </c>
      <c r="G213" s="1692"/>
      <c r="H213" s="1090"/>
      <c r="I213" s="1090"/>
      <c r="J213" s="4272" t="s">
        <v>955</v>
      </c>
      <c r="K213" s="4272"/>
      <c r="L213" s="4272"/>
      <c r="M213" s="2882" t="s">
        <v>1060</v>
      </c>
      <c r="N213" s="1090"/>
      <c r="O213" s="1090"/>
      <c r="P213" s="1090"/>
      <c r="Q213" s="4272" t="s">
        <v>1567</v>
      </c>
      <c r="R213" s="4272"/>
      <c r="S213" s="4272"/>
      <c r="T213" s="2883" t="s">
        <v>1060</v>
      </c>
    </row>
    <row r="214" spans="2:21" ht="6" customHeight="1">
      <c r="B214" s="1728"/>
      <c r="C214" s="1737"/>
      <c r="D214" s="1099"/>
      <c r="E214" s="1099"/>
      <c r="F214" s="1099"/>
      <c r="G214" s="1690"/>
      <c r="H214" s="1099"/>
      <c r="I214" s="1099"/>
      <c r="J214" s="1099"/>
      <c r="K214" s="1099"/>
      <c r="L214" s="1099"/>
      <c r="M214" s="1099"/>
      <c r="N214" s="1099"/>
      <c r="O214" s="1099"/>
      <c r="P214" s="1099"/>
      <c r="Q214" s="1100"/>
      <c r="R214" s="1101"/>
      <c r="S214" s="1101"/>
      <c r="T214" s="1100"/>
    </row>
    <row r="215" spans="2:21" ht="14.1" customHeight="1">
      <c r="B215" s="1728" t="s">
        <v>114</v>
      </c>
      <c r="C215" s="4251" t="s">
        <v>2271</v>
      </c>
      <c r="D215" s="4251"/>
      <c r="E215" s="4251"/>
      <c r="F215" s="4251"/>
      <c r="G215" s="4251"/>
      <c r="H215" s="4251"/>
      <c r="I215" s="4251"/>
      <c r="J215" s="4251"/>
      <c r="K215" s="4251"/>
      <c r="L215" s="4251"/>
      <c r="M215" s="4251"/>
      <c r="N215" s="4251"/>
      <c r="O215" s="4251"/>
      <c r="P215" s="4251"/>
      <c r="Q215" s="4251"/>
      <c r="R215" s="4251"/>
      <c r="S215" s="4251"/>
      <c r="T215" s="4251"/>
    </row>
    <row r="216" spans="2:21" ht="14.1" customHeight="1">
      <c r="B216" s="1728"/>
      <c r="C216" s="4276" t="s">
        <v>1616</v>
      </c>
      <c r="D216" s="4276"/>
      <c r="E216" s="4276"/>
      <c r="F216" s="4276"/>
      <c r="G216" s="4276"/>
      <c r="H216" s="4276"/>
      <c r="I216" s="4276"/>
      <c r="J216" s="4276"/>
      <c r="K216" s="4276"/>
      <c r="L216" s="4276"/>
      <c r="M216" s="4276"/>
      <c r="N216" s="4276"/>
      <c r="O216" s="4276"/>
      <c r="P216" s="4276"/>
      <c r="Q216" s="4276"/>
      <c r="R216" s="4276"/>
      <c r="S216" s="4276"/>
      <c r="T216" s="4276"/>
    </row>
    <row r="217" spans="2:21" ht="6" customHeight="1">
      <c r="B217" s="1728"/>
      <c r="C217" s="1099"/>
      <c r="D217" s="1099"/>
      <c r="E217" s="1099"/>
      <c r="F217" s="1099"/>
      <c r="G217" s="1099"/>
      <c r="H217" s="1099"/>
      <c r="I217" s="1099"/>
      <c r="J217" s="1099"/>
      <c r="K217" s="1099"/>
      <c r="L217" s="1099"/>
      <c r="M217" s="1099"/>
      <c r="N217" s="1099"/>
      <c r="O217" s="1099"/>
      <c r="P217" s="1099"/>
      <c r="Q217" s="1100"/>
      <c r="R217" s="1101"/>
      <c r="S217" s="1101"/>
      <c r="T217" s="1100"/>
    </row>
    <row r="218" spans="2:21" ht="14.1" customHeight="1">
      <c r="B218" s="1728"/>
      <c r="C218" s="4272" t="s">
        <v>1600</v>
      </c>
      <c r="D218" s="4272"/>
      <c r="E218" s="4272"/>
      <c r="F218" s="2883" t="s">
        <v>1060</v>
      </c>
      <c r="G218" s="1692"/>
      <c r="H218" s="1090"/>
      <c r="I218" s="1090"/>
      <c r="J218" s="4272" t="s">
        <v>1601</v>
      </c>
      <c r="K218" s="4272"/>
      <c r="L218" s="4272"/>
      <c r="M218" s="2882" t="s">
        <v>1060</v>
      </c>
      <c r="N218" s="1090"/>
      <c r="O218" s="1090"/>
      <c r="P218" s="1090"/>
      <c r="Q218" s="4272" t="s">
        <v>1602</v>
      </c>
      <c r="R218" s="4272"/>
      <c r="S218" s="4272"/>
      <c r="T218" s="2883" t="s">
        <v>1060</v>
      </c>
    </row>
    <row r="219" spans="2:21" ht="6" customHeight="1">
      <c r="B219" s="1731"/>
      <c r="C219" s="1099"/>
      <c r="D219" s="1099"/>
      <c r="E219" s="1099"/>
      <c r="F219" s="1099"/>
      <c r="G219" s="1099"/>
      <c r="H219" s="1099"/>
      <c r="I219" s="1099"/>
      <c r="J219" s="1099"/>
      <c r="K219" s="1099"/>
      <c r="L219" s="1099"/>
      <c r="M219" s="1099"/>
      <c r="N219" s="1099"/>
      <c r="O219" s="1099"/>
      <c r="P219" s="1099"/>
      <c r="Q219" s="1100"/>
      <c r="R219" s="1101"/>
      <c r="S219" s="1101"/>
      <c r="T219" s="1100"/>
    </row>
    <row r="220" spans="2:21" ht="14.1" customHeight="1">
      <c r="B220" s="1731"/>
      <c r="C220" s="4345" t="s">
        <v>1548</v>
      </c>
      <c r="D220" s="4345"/>
      <c r="E220" s="4345"/>
      <c r="F220" s="4345"/>
      <c r="G220" s="4345"/>
      <c r="H220" s="4345"/>
      <c r="I220" s="4345"/>
      <c r="J220" s="4345"/>
      <c r="K220" s="4345"/>
      <c r="L220" s="4345"/>
      <c r="M220" s="4345"/>
      <c r="N220" s="4345"/>
      <c r="O220" s="4345"/>
      <c r="P220" s="4345"/>
      <c r="Q220" s="4345"/>
      <c r="R220" s="4345"/>
      <c r="S220" s="4345"/>
      <c r="T220" s="4345"/>
    </row>
    <row r="221" spans="2:21" s="2914" customFormat="1" ht="11.25" customHeight="1">
      <c r="B221" s="2912"/>
      <c r="C221" s="4237"/>
      <c r="D221" s="4237"/>
      <c r="E221" s="4237"/>
      <c r="F221" s="4237"/>
      <c r="G221" s="4237"/>
      <c r="H221" s="4237"/>
      <c r="I221" s="4237"/>
      <c r="J221" s="4237"/>
      <c r="K221" s="4237"/>
      <c r="L221" s="4237"/>
      <c r="M221" s="4237"/>
      <c r="N221" s="4237"/>
      <c r="O221" s="4237"/>
      <c r="P221" s="4237"/>
      <c r="Q221" s="4237"/>
      <c r="R221" s="4237"/>
      <c r="S221" s="4237"/>
      <c r="T221" s="4237"/>
      <c r="U221" s="2913"/>
    </row>
    <row r="222" spans="2:21" s="2914" customFormat="1" ht="11.25" customHeight="1">
      <c r="B222" s="2912"/>
      <c r="C222" s="4237"/>
      <c r="D222" s="4237"/>
      <c r="E222" s="4237"/>
      <c r="F222" s="4237"/>
      <c r="G222" s="4237"/>
      <c r="H222" s="4237"/>
      <c r="I222" s="4237"/>
      <c r="J222" s="4237"/>
      <c r="K222" s="4237"/>
      <c r="L222" s="4237"/>
      <c r="M222" s="4237"/>
      <c r="N222" s="4237"/>
      <c r="O222" s="4237"/>
      <c r="P222" s="4237"/>
      <c r="Q222" s="4237"/>
      <c r="R222" s="4237"/>
      <c r="S222" s="4237"/>
      <c r="T222" s="4237"/>
      <c r="U222" s="2913"/>
    </row>
    <row r="223" spans="2:21" ht="6" customHeight="1">
      <c r="B223" s="1731"/>
      <c r="C223" s="1737"/>
      <c r="D223" s="1099"/>
      <c r="E223" s="1099"/>
      <c r="F223" s="1099"/>
      <c r="G223" s="1690"/>
      <c r="H223" s="1099"/>
      <c r="I223" s="1099"/>
      <c r="J223" s="1099"/>
      <c r="K223" s="1099"/>
      <c r="L223" s="1099"/>
      <c r="M223" s="1099"/>
      <c r="N223" s="1099"/>
      <c r="O223" s="1099"/>
      <c r="P223" s="1099"/>
      <c r="Q223" s="1100"/>
      <c r="R223" s="1101"/>
      <c r="S223" s="1101"/>
      <c r="T223" s="1100"/>
    </row>
    <row r="224" spans="2:21" ht="14.1" customHeight="1">
      <c r="B224" s="1731"/>
      <c r="C224" s="4346" t="s">
        <v>1617</v>
      </c>
      <c r="D224" s="4346"/>
      <c r="E224" s="4346"/>
      <c r="F224" s="4346"/>
      <c r="G224" s="4346"/>
      <c r="H224" s="4346"/>
      <c r="I224" s="4346"/>
      <c r="J224" s="4346"/>
      <c r="K224" s="4346"/>
      <c r="L224" s="4346"/>
      <c r="M224" s="4346"/>
      <c r="N224" s="4346"/>
      <c r="O224" s="4346"/>
      <c r="P224" s="4346"/>
      <c r="Q224" s="4346"/>
      <c r="R224" s="4346"/>
      <c r="S224" s="4346"/>
      <c r="T224" s="4346"/>
    </row>
    <row r="225" spans="2:21" s="2914" customFormat="1" ht="11.25" customHeight="1">
      <c r="B225" s="2912"/>
      <c r="C225" s="4237"/>
      <c r="D225" s="4237"/>
      <c r="E225" s="4237"/>
      <c r="F225" s="4237"/>
      <c r="G225" s="4237"/>
      <c r="H225" s="4237"/>
      <c r="I225" s="4237"/>
      <c r="J225" s="4237"/>
      <c r="K225" s="4237"/>
      <c r="L225" s="4237"/>
      <c r="M225" s="4237"/>
      <c r="N225" s="4237"/>
      <c r="O225" s="4237"/>
      <c r="P225" s="4237"/>
      <c r="Q225" s="4237"/>
      <c r="R225" s="4237"/>
      <c r="S225" s="4237"/>
      <c r="T225" s="4237"/>
      <c r="U225" s="2913"/>
    </row>
    <row r="226" spans="2:21" s="2914" customFormat="1" ht="11.25" customHeight="1">
      <c r="B226" s="2912"/>
      <c r="C226" s="4237"/>
      <c r="D226" s="4237"/>
      <c r="E226" s="4237"/>
      <c r="F226" s="4237"/>
      <c r="G226" s="4237"/>
      <c r="H226" s="4237"/>
      <c r="I226" s="4237"/>
      <c r="J226" s="4237"/>
      <c r="K226" s="4237"/>
      <c r="L226" s="4237"/>
      <c r="M226" s="4237"/>
      <c r="N226" s="4237"/>
      <c r="O226" s="4237"/>
      <c r="P226" s="4237"/>
      <c r="Q226" s="4237"/>
      <c r="R226" s="4237"/>
      <c r="S226" s="4237"/>
      <c r="T226" s="4237"/>
      <c r="U226" s="2913"/>
    </row>
    <row r="227" spans="2:21" ht="14.1" customHeight="1">
      <c r="B227" s="1731"/>
      <c r="C227" s="2924"/>
      <c r="D227" s="1099"/>
      <c r="E227" s="1099"/>
      <c r="F227" s="1099"/>
      <c r="G227" s="1690"/>
      <c r="H227" s="1099"/>
      <c r="I227" s="1099"/>
      <c r="J227" s="1099"/>
      <c r="K227" s="1099"/>
      <c r="L227" s="1099"/>
      <c r="M227" s="1099"/>
      <c r="N227" s="1099"/>
      <c r="O227" s="1099"/>
      <c r="P227" s="1099"/>
      <c r="Q227" s="1100"/>
      <c r="R227" s="1101"/>
      <c r="S227" s="1101"/>
      <c r="T227" s="1100"/>
    </row>
    <row r="228" spans="2:21" ht="14.1" customHeight="1">
      <c r="B228" s="1731"/>
      <c r="C228" s="4267" t="str">
        <f>VLOOKUP(M6,'VISITA DE INSP.'!A17:AI36,4,4)</f>
        <v>CERVANTES BENITEZ * ANTONIA</v>
      </c>
      <c r="D228" s="4267"/>
      <c r="E228" s="4267"/>
      <c r="F228" s="4267"/>
      <c r="G228" s="4267"/>
      <c r="H228" s="4267"/>
      <c r="I228" s="4267"/>
      <c r="J228" s="4267"/>
      <c r="K228" s="4267"/>
      <c r="L228" s="1679"/>
      <c r="M228" s="1141"/>
      <c r="N228" s="1141"/>
      <c r="O228" s="1141"/>
      <c r="P228" s="1141"/>
      <c r="Q228" s="1142"/>
      <c r="R228" s="1143"/>
      <c r="S228" s="1144"/>
      <c r="T228" s="1151"/>
    </row>
    <row r="229" spans="2:21" ht="14.1" customHeight="1">
      <c r="B229" s="1723"/>
      <c r="C229" s="4343" t="s">
        <v>26</v>
      </c>
      <c r="D229" s="4344"/>
      <c r="E229" s="4344"/>
      <c r="F229" s="4344"/>
      <c r="G229" s="4344"/>
      <c r="H229" s="4344"/>
      <c r="I229" s="4344"/>
      <c r="J229" s="1705"/>
      <c r="K229" s="1705"/>
      <c r="L229" s="1705">
        <f>VLOOKUP(M6,'VISITA DE INSP.'!A17:AE38,30,30)</f>
        <v>0</v>
      </c>
      <c r="M229" s="1654" t="s">
        <v>1060</v>
      </c>
      <c r="N229" s="4268" t="str">
        <f>VLOOKUP(M6,'VISITA DE INSP.'!A17:AI36,4,4)</f>
        <v>CERVANTES BENITEZ * ANTONIA</v>
      </c>
      <c r="O229" s="4269"/>
      <c r="P229" s="4269"/>
      <c r="Q229" s="4269"/>
      <c r="R229" s="4269"/>
      <c r="S229" s="4269"/>
      <c r="T229" s="4269"/>
    </row>
    <row r="230" spans="2:21" ht="14.1" customHeight="1">
      <c r="B230" s="1733"/>
      <c r="C230" s="4246" t="s">
        <v>1604</v>
      </c>
      <c r="D230" s="4247"/>
      <c r="E230" s="4247"/>
      <c r="F230" s="4247"/>
      <c r="G230" s="4247"/>
      <c r="H230" s="4247"/>
      <c r="I230" s="4247"/>
      <c r="J230" s="164"/>
      <c r="K230" s="164"/>
      <c r="L230" s="164"/>
      <c r="M230" s="164"/>
      <c r="N230" s="4246" t="s">
        <v>1603</v>
      </c>
      <c r="O230" s="4247"/>
      <c r="P230" s="4247"/>
      <c r="Q230" s="4247"/>
      <c r="R230" s="4247"/>
      <c r="S230" s="4247"/>
      <c r="T230" s="4247"/>
    </row>
    <row r="231" spans="2:21" ht="4.5" customHeight="1">
      <c r="B231" s="1734"/>
      <c r="C231" s="170"/>
      <c r="D231" s="164"/>
      <c r="E231" s="164"/>
      <c r="F231" s="164"/>
      <c r="G231" s="1672"/>
      <c r="H231" s="164"/>
      <c r="I231" s="164"/>
      <c r="J231" s="164"/>
      <c r="K231" s="164"/>
      <c r="L231" s="164"/>
      <c r="M231" s="164"/>
      <c r="N231" s="164"/>
      <c r="O231" s="164"/>
      <c r="P231" s="164"/>
      <c r="Q231" s="226"/>
      <c r="R231" s="160"/>
      <c r="S231" s="161"/>
      <c r="T231" s="236"/>
    </row>
  </sheetData>
  <sheetProtection selectLockedCells="1"/>
  <mergeCells count="441">
    <mergeCell ref="C229:I229"/>
    <mergeCell ref="C230:I230"/>
    <mergeCell ref="B182:F182"/>
    <mergeCell ref="G182:H182"/>
    <mergeCell ref="I182:J182"/>
    <mergeCell ref="K182:L182"/>
    <mergeCell ref="M182:N182"/>
    <mergeCell ref="O182:P182"/>
    <mergeCell ref="Q182:R182"/>
    <mergeCell ref="B183:F183"/>
    <mergeCell ref="G183:H183"/>
    <mergeCell ref="I183:J183"/>
    <mergeCell ref="K183:L183"/>
    <mergeCell ref="M183:N183"/>
    <mergeCell ref="O183:P183"/>
    <mergeCell ref="Q183:R183"/>
    <mergeCell ref="C221:T221"/>
    <mergeCell ref="C220:T220"/>
    <mergeCell ref="C225:T225"/>
    <mergeCell ref="C226:T226"/>
    <mergeCell ref="C224:T224"/>
    <mergeCell ref="C222:T222"/>
    <mergeCell ref="B192:H192"/>
    <mergeCell ref="B191:H191"/>
    <mergeCell ref="D34:E34"/>
    <mergeCell ref="D31:E31"/>
    <mergeCell ref="C30:C40"/>
    <mergeCell ref="D20:L20"/>
    <mergeCell ref="M20:T20"/>
    <mergeCell ref="D21:L21"/>
    <mergeCell ref="D22:L22"/>
    <mergeCell ref="M21:T21"/>
    <mergeCell ref="M22:T22"/>
    <mergeCell ref="M23:T23"/>
    <mergeCell ref="M24:T24"/>
    <mergeCell ref="M25:T25"/>
    <mergeCell ref="D23:L23"/>
    <mergeCell ref="D24:L24"/>
    <mergeCell ref="D25:L25"/>
    <mergeCell ref="D26:L26"/>
    <mergeCell ref="M26:T26"/>
    <mergeCell ref="F34:H34"/>
    <mergeCell ref="R30:T30"/>
    <mergeCell ref="F30:H30"/>
    <mergeCell ref="R36:T36"/>
    <mergeCell ref="C184:T184"/>
    <mergeCell ref="C196:T196"/>
    <mergeCell ref="C195:T195"/>
    <mergeCell ref="C201:T201"/>
    <mergeCell ref="C207:T207"/>
    <mergeCell ref="C92:T92"/>
    <mergeCell ref="C91:T91"/>
    <mergeCell ref="O124:P124"/>
    <mergeCell ref="O125:P125"/>
    <mergeCell ref="B179:F179"/>
    <mergeCell ref="B178:F178"/>
    <mergeCell ref="C104:T104"/>
    <mergeCell ref="S182:T182"/>
    <mergeCell ref="S183:T183"/>
    <mergeCell ref="C94:T94"/>
    <mergeCell ref="B181:F181"/>
    <mergeCell ref="S179:T179"/>
    <mergeCell ref="G180:H180"/>
    <mergeCell ref="I180:J180"/>
    <mergeCell ref="K180:L180"/>
    <mergeCell ref="M180:N180"/>
    <mergeCell ref="O180:P180"/>
    <mergeCell ref="Q180:R180"/>
    <mergeCell ref="G174:H174"/>
    <mergeCell ref="C82:T82"/>
    <mergeCell ref="C81:T81"/>
    <mergeCell ref="S116:T116"/>
    <mergeCell ref="S180:T180"/>
    <mergeCell ref="G179:H179"/>
    <mergeCell ref="I179:J179"/>
    <mergeCell ref="K179:L179"/>
    <mergeCell ref="M179:N179"/>
    <mergeCell ref="O179:P179"/>
    <mergeCell ref="Q179:R179"/>
    <mergeCell ref="S172:T172"/>
    <mergeCell ref="G176:H176"/>
    <mergeCell ref="S126:T126"/>
    <mergeCell ref="O126:P126"/>
    <mergeCell ref="Q126:R126"/>
    <mergeCell ref="C118:E118"/>
    <mergeCell ref="C144:T144"/>
    <mergeCell ref="C145:T145"/>
    <mergeCell ref="B180:F180"/>
    <mergeCell ref="B177:F177"/>
    <mergeCell ref="B176:F176"/>
    <mergeCell ref="B175:F175"/>
    <mergeCell ref="B173:F173"/>
    <mergeCell ref="C149:T149"/>
    <mergeCell ref="O178:P178"/>
    <mergeCell ref="I177:J177"/>
    <mergeCell ref="K177:L177"/>
    <mergeCell ref="M177:N177"/>
    <mergeCell ref="O177:P177"/>
    <mergeCell ref="Q177:R177"/>
    <mergeCell ref="S177:T177"/>
    <mergeCell ref="I175:J175"/>
    <mergeCell ref="K175:L175"/>
    <mergeCell ref="M175:N175"/>
    <mergeCell ref="O175:P175"/>
    <mergeCell ref="Q175:R175"/>
    <mergeCell ref="G175:H175"/>
    <mergeCell ref="G177:H177"/>
    <mergeCell ref="C143:T143"/>
    <mergeCell ref="C139:T139"/>
    <mergeCell ref="C138:T138"/>
    <mergeCell ref="C134:T134"/>
    <mergeCell ref="C133:T133"/>
    <mergeCell ref="C129:T129"/>
    <mergeCell ref="C128:T128"/>
    <mergeCell ref="K176:L176"/>
    <mergeCell ref="M176:N176"/>
    <mergeCell ref="O176:P176"/>
    <mergeCell ref="Q176:R176"/>
    <mergeCell ref="S176:T176"/>
    <mergeCell ref="G172:H172"/>
    <mergeCell ref="I172:J172"/>
    <mergeCell ref="K172:L172"/>
    <mergeCell ref="M172:N172"/>
    <mergeCell ref="O172:P172"/>
    <mergeCell ref="Q172:R172"/>
    <mergeCell ref="I173:J173"/>
    <mergeCell ref="K173:L173"/>
    <mergeCell ref="M173:N173"/>
    <mergeCell ref="O173:P173"/>
    <mergeCell ref="Q173:R173"/>
    <mergeCell ref="C161:T161"/>
    <mergeCell ref="C19:T19"/>
    <mergeCell ref="C28:T28"/>
    <mergeCell ref="C62:T62"/>
    <mergeCell ref="C61:T61"/>
    <mergeCell ref="C56:T56"/>
    <mergeCell ref="C46:T46"/>
    <mergeCell ref="C42:T42"/>
    <mergeCell ref="C73:T73"/>
    <mergeCell ref="C66:T66"/>
    <mergeCell ref="N36:P36"/>
    <mergeCell ref="N34:P34"/>
    <mergeCell ref="N33:P33"/>
    <mergeCell ref="N31:P31"/>
    <mergeCell ref="N30:P30"/>
    <mergeCell ref="J36:L36"/>
    <mergeCell ref="J34:L34"/>
    <mergeCell ref="J33:L33"/>
    <mergeCell ref="J31:L31"/>
    <mergeCell ref="J30:L30"/>
    <mergeCell ref="F40:H40"/>
    <mergeCell ref="F36:H36"/>
    <mergeCell ref="R40:T40"/>
    <mergeCell ref="K165:L165"/>
    <mergeCell ref="M165:N165"/>
    <mergeCell ref="O165:P165"/>
    <mergeCell ref="Q165:R165"/>
    <mergeCell ref="S165:T165"/>
    <mergeCell ref="G168:H168"/>
    <mergeCell ref="O170:P170"/>
    <mergeCell ref="Q170:R170"/>
    <mergeCell ref="K169:L169"/>
    <mergeCell ref="M169:N169"/>
    <mergeCell ref="O169:P169"/>
    <mergeCell ref="S170:T170"/>
    <mergeCell ref="I169:J169"/>
    <mergeCell ref="K166:L166"/>
    <mergeCell ref="M166:N166"/>
    <mergeCell ref="O166:P166"/>
    <mergeCell ref="Q166:R166"/>
    <mergeCell ref="S166:T166"/>
    <mergeCell ref="K167:L167"/>
    <mergeCell ref="M167:N167"/>
    <mergeCell ref="O167:P167"/>
    <mergeCell ref="Q167:R167"/>
    <mergeCell ref="S167:T167"/>
    <mergeCell ref="G171:H171"/>
    <mergeCell ref="I171:J171"/>
    <mergeCell ref="K171:L171"/>
    <mergeCell ref="M171:N171"/>
    <mergeCell ref="O171:P171"/>
    <mergeCell ref="Q171:R171"/>
    <mergeCell ref="S171:T171"/>
    <mergeCell ref="G170:H170"/>
    <mergeCell ref="I170:J170"/>
    <mergeCell ref="K170:L170"/>
    <mergeCell ref="M170:N170"/>
    <mergeCell ref="I192:K192"/>
    <mergeCell ref="L192:N192"/>
    <mergeCell ref="O192:Q192"/>
    <mergeCell ref="R192:T192"/>
    <mergeCell ref="Q169:R169"/>
    <mergeCell ref="S169:T169"/>
    <mergeCell ref="I176:J176"/>
    <mergeCell ref="S168:T168"/>
    <mergeCell ref="R186:T186"/>
    <mergeCell ref="O186:Q186"/>
    <mergeCell ref="L186:N186"/>
    <mergeCell ref="I186:K186"/>
    <mergeCell ref="O189:Q189"/>
    <mergeCell ref="R189:T189"/>
    <mergeCell ref="I190:K190"/>
    <mergeCell ref="L190:N190"/>
    <mergeCell ref="O190:Q190"/>
    <mergeCell ref="S174:T174"/>
    <mergeCell ref="S173:T173"/>
    <mergeCell ref="I168:J168"/>
    <mergeCell ref="K168:L168"/>
    <mergeCell ref="M168:N168"/>
    <mergeCell ref="O168:P168"/>
    <mergeCell ref="Q168:R168"/>
    <mergeCell ref="C218:E218"/>
    <mergeCell ref="J218:L218"/>
    <mergeCell ref="Q218:S218"/>
    <mergeCell ref="I193:K193"/>
    <mergeCell ref="L193:N193"/>
    <mergeCell ref="O193:Q193"/>
    <mergeCell ref="R193:T193"/>
    <mergeCell ref="C209:E209"/>
    <mergeCell ref="J209:L209"/>
    <mergeCell ref="Q209:S209"/>
    <mergeCell ref="C202:T202"/>
    <mergeCell ref="C203:T203"/>
    <mergeCell ref="C197:T197"/>
    <mergeCell ref="C198:T198"/>
    <mergeCell ref="C199:T199"/>
    <mergeCell ref="C216:T216"/>
    <mergeCell ref="C215:T215"/>
    <mergeCell ref="C211:T211"/>
    <mergeCell ref="B186:H186"/>
    <mergeCell ref="B193:H193"/>
    <mergeCell ref="C213:E213"/>
    <mergeCell ref="J213:L213"/>
    <mergeCell ref="Q213:S213"/>
    <mergeCell ref="I191:K191"/>
    <mergeCell ref="L191:N191"/>
    <mergeCell ref="O191:Q191"/>
    <mergeCell ref="R191:T191"/>
    <mergeCell ref="B190:H190"/>
    <mergeCell ref="B189:H189"/>
    <mergeCell ref="R190:T190"/>
    <mergeCell ref="B188:H188"/>
    <mergeCell ref="B187:H187"/>
    <mergeCell ref="R187:T187"/>
    <mergeCell ref="O187:Q187"/>
    <mergeCell ref="L187:N187"/>
    <mergeCell ref="I187:K187"/>
    <mergeCell ref="I188:K188"/>
    <mergeCell ref="L188:N188"/>
    <mergeCell ref="O188:Q188"/>
    <mergeCell ref="R188:T188"/>
    <mergeCell ref="I189:K189"/>
    <mergeCell ref="L189:N189"/>
    <mergeCell ref="F1:P1"/>
    <mergeCell ref="F2:P2"/>
    <mergeCell ref="F3:P3"/>
    <mergeCell ref="F4:P4"/>
    <mergeCell ref="E5:Q5"/>
    <mergeCell ref="Q178:R178"/>
    <mergeCell ref="S178:T178"/>
    <mergeCell ref="G181:H181"/>
    <mergeCell ref="I181:J181"/>
    <mergeCell ref="K181:L181"/>
    <mergeCell ref="M181:N181"/>
    <mergeCell ref="O181:P181"/>
    <mergeCell ref="Q181:R181"/>
    <mergeCell ref="S181:T181"/>
    <mergeCell ref="G178:H178"/>
    <mergeCell ref="I178:J178"/>
    <mergeCell ref="K178:L178"/>
    <mergeCell ref="M178:N178"/>
    <mergeCell ref="S175:T175"/>
    <mergeCell ref="I174:J174"/>
    <mergeCell ref="K174:L174"/>
    <mergeCell ref="M174:N174"/>
    <mergeCell ref="O174:P174"/>
    <mergeCell ref="Q174:R174"/>
    <mergeCell ref="S163:T163"/>
    <mergeCell ref="Q163:R163"/>
    <mergeCell ref="O163:P163"/>
    <mergeCell ref="M163:N163"/>
    <mergeCell ref="K163:L163"/>
    <mergeCell ref="B163:F163"/>
    <mergeCell ref="I163:J163"/>
    <mergeCell ref="G163:H163"/>
    <mergeCell ref="B164:F164"/>
    <mergeCell ref="B174:F174"/>
    <mergeCell ref="I165:J165"/>
    <mergeCell ref="G165:H165"/>
    <mergeCell ref="G166:H166"/>
    <mergeCell ref="G173:H173"/>
    <mergeCell ref="S164:T164"/>
    <mergeCell ref="Q164:R164"/>
    <mergeCell ref="O164:P164"/>
    <mergeCell ref="M164:N164"/>
    <mergeCell ref="K164:L164"/>
    <mergeCell ref="I164:J164"/>
    <mergeCell ref="G164:H164"/>
    <mergeCell ref="G167:H167"/>
    <mergeCell ref="I166:J166"/>
    <mergeCell ref="I167:J167"/>
    <mergeCell ref="G169:H169"/>
    <mergeCell ref="B172:F172"/>
    <mergeCell ref="B171:F171"/>
    <mergeCell ref="B170:F170"/>
    <mergeCell ref="B169:F169"/>
    <mergeCell ref="B168:F168"/>
    <mergeCell ref="B167:F167"/>
    <mergeCell ref="B166:F166"/>
    <mergeCell ref="B165:F165"/>
    <mergeCell ref="B158:I158"/>
    <mergeCell ref="B157:I157"/>
    <mergeCell ref="B159:I159"/>
    <mergeCell ref="L151:T151"/>
    <mergeCell ref="L152:T152"/>
    <mergeCell ref="L153:T153"/>
    <mergeCell ref="L154:T154"/>
    <mergeCell ref="L155:T155"/>
    <mergeCell ref="B153:I153"/>
    <mergeCell ref="B151:I151"/>
    <mergeCell ref="B152:I152"/>
    <mergeCell ref="B156:I156"/>
    <mergeCell ref="B155:I155"/>
    <mergeCell ref="B154:I154"/>
    <mergeCell ref="L156:T156"/>
    <mergeCell ref="L157:T157"/>
    <mergeCell ref="L158:T158"/>
    <mergeCell ref="L159:T159"/>
    <mergeCell ref="Q125:R125"/>
    <mergeCell ref="S125:T125"/>
    <mergeCell ref="Q124:R124"/>
    <mergeCell ref="S124:T124"/>
    <mergeCell ref="Q122:R122"/>
    <mergeCell ref="S122:T122"/>
    <mergeCell ref="Q123:R123"/>
    <mergeCell ref="S123:T123"/>
    <mergeCell ref="O122:P122"/>
    <mergeCell ref="O123:P123"/>
    <mergeCell ref="C131:E131"/>
    <mergeCell ref="J131:L131"/>
    <mergeCell ref="Q131:S131"/>
    <mergeCell ref="C141:E141"/>
    <mergeCell ref="J141:L141"/>
    <mergeCell ref="Q141:S141"/>
    <mergeCell ref="C136:E136"/>
    <mergeCell ref="J136:L136"/>
    <mergeCell ref="Q136:S136"/>
    <mergeCell ref="C100:T100"/>
    <mergeCell ref="C71:T71"/>
    <mergeCell ref="Q121:R121"/>
    <mergeCell ref="S121:T121"/>
    <mergeCell ref="O120:P120"/>
    <mergeCell ref="O121:P121"/>
    <mergeCell ref="O118:T118"/>
    <mergeCell ref="O119:P119"/>
    <mergeCell ref="Q119:R119"/>
    <mergeCell ref="S119:T119"/>
    <mergeCell ref="G118:I118"/>
    <mergeCell ref="K118:M118"/>
    <mergeCell ref="C84:E84"/>
    <mergeCell ref="J84:L84"/>
    <mergeCell ref="Q84:S84"/>
    <mergeCell ref="Q120:R120"/>
    <mergeCell ref="S120:T120"/>
    <mergeCell ref="C110:T110"/>
    <mergeCell ref="C109:T109"/>
    <mergeCell ref="C116:R116"/>
    <mergeCell ref="C87:T87"/>
    <mergeCell ref="C88:T88"/>
    <mergeCell ref="C105:T105"/>
    <mergeCell ref="C86:T86"/>
    <mergeCell ref="B118:B119"/>
    <mergeCell ref="Q112:S112"/>
    <mergeCell ref="C114:J114"/>
    <mergeCell ref="J112:L112"/>
    <mergeCell ref="C112:E112"/>
    <mergeCell ref="N40:P40"/>
    <mergeCell ref="J40:L40"/>
    <mergeCell ref="J68:L68"/>
    <mergeCell ref="C68:E68"/>
    <mergeCell ref="C75:E75"/>
    <mergeCell ref="J75:L75"/>
    <mergeCell ref="Q75:S75"/>
    <mergeCell ref="C79:E79"/>
    <mergeCell ref="J79:L79"/>
    <mergeCell ref="Q79:S79"/>
    <mergeCell ref="C77:T77"/>
    <mergeCell ref="M59:T59"/>
    <mergeCell ref="M58:T58"/>
    <mergeCell ref="C59:J59"/>
    <mergeCell ref="C58:J58"/>
    <mergeCell ref="C49:T49"/>
    <mergeCell ref="C50:T50"/>
    <mergeCell ref="Q68:S68"/>
    <mergeCell ref="C98:P98"/>
    <mergeCell ref="N230:T230"/>
    <mergeCell ref="P7:Q7"/>
    <mergeCell ref="B13:T13"/>
    <mergeCell ref="C90:T90"/>
    <mergeCell ref="C96:E96"/>
    <mergeCell ref="J96:L96"/>
    <mergeCell ref="Q96:S96"/>
    <mergeCell ref="C47:T47"/>
    <mergeCell ref="C52:T52"/>
    <mergeCell ref="R31:T31"/>
    <mergeCell ref="F31:H31"/>
    <mergeCell ref="S7:T7"/>
    <mergeCell ref="M9:T9"/>
    <mergeCell ref="M11:T11"/>
    <mergeCell ref="R34:T34"/>
    <mergeCell ref="R33:T33"/>
    <mergeCell ref="F33:H33"/>
    <mergeCell ref="B14:T14"/>
    <mergeCell ref="B15:M15"/>
    <mergeCell ref="C16:T16"/>
    <mergeCell ref="F70:T70"/>
    <mergeCell ref="F37:H37"/>
    <mergeCell ref="C228:K228"/>
    <mergeCell ref="N229:T229"/>
    <mergeCell ref="C64:T64"/>
    <mergeCell ref="C53:T53"/>
    <mergeCell ref="C54:T54"/>
    <mergeCell ref="C48:T48"/>
    <mergeCell ref="J37:L37"/>
    <mergeCell ref="N37:P37"/>
    <mergeCell ref="R37:T37"/>
    <mergeCell ref="F38:H38"/>
    <mergeCell ref="F39:H39"/>
    <mergeCell ref="J38:L38"/>
    <mergeCell ref="J39:L39"/>
    <mergeCell ref="N38:P38"/>
    <mergeCell ref="N39:P39"/>
    <mergeCell ref="R38:T38"/>
    <mergeCell ref="R39:T39"/>
    <mergeCell ref="C43:T43"/>
    <mergeCell ref="C44:T44"/>
    <mergeCell ref="D40:E40"/>
    <mergeCell ref="D39:E39"/>
    <mergeCell ref="D38:E38"/>
    <mergeCell ref="D37:E37"/>
    <mergeCell ref="C63:T63"/>
  </mergeCells>
  <conditionalFormatting sqref="C228:K228 L7 G8 D11:M12 M9:T9 D8 E7 Q120:U125 V132:V137">
    <cfRule type="cellIs" dxfId="825" priority="8" stopIfTrue="1" operator="equal">
      <formula>0</formula>
    </cfRule>
  </conditionalFormatting>
  <conditionalFormatting sqref="B164:B183">
    <cfRule type="cellIs" dxfId="824" priority="7" operator="between">
      <formula>0</formula>
      <formula>0</formula>
    </cfRule>
  </conditionalFormatting>
  <conditionalFormatting sqref="O126:T126 K126:M126 G126:I126 C126:E126">
    <cfRule type="cellIs" dxfId="823" priority="5" operator="equal">
      <formula>0</formula>
    </cfRule>
  </conditionalFormatting>
  <conditionalFormatting sqref="R31:T31 R34:T34 R37:T40">
    <cfRule type="cellIs" priority="3" operator="between">
      <formula>1</formula>
      <formula>1</formula>
    </cfRule>
  </conditionalFormatting>
  <conditionalFormatting sqref="F31:H31 J31:L31 N31:P31 F34:H34 F37:H40 J37:L40 J34:L34 N34:P34 N37:P40 R31:T31 R34:T34 R37:T40">
    <cfRule type="cellIs" dxfId="822" priority="2" operator="equal">
      <formula>0</formula>
    </cfRule>
  </conditionalFormatting>
  <conditionalFormatting sqref="R31:T31">
    <cfRule type="cellIs" dxfId="821" priority="1" operator="equal">
      <formula>0</formula>
    </cfRule>
  </conditionalFormatting>
  <printOptions horizontalCentered="1"/>
  <pageMargins left="0.39370078740157483" right="0.31496062992125984" top="0.55118110236220474" bottom="0.35433070866141736" header="0.31496062992125984" footer="0"/>
  <pageSetup paperSize="9" scale="84" orientation="portrait" horizontalDpi="300" verticalDpi="300" r:id="rId1"/>
  <rowBreaks count="2" manualBreakCount="2">
    <brk id="76" max="20" man="1"/>
    <brk id="155" max="20" man="1"/>
  </rowBreaks>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2">
    <tabColor rgb="FF92D050"/>
  </sheetPr>
  <dimension ref="A1:U156"/>
  <sheetViews>
    <sheetView tabSelected="1" view="pageBreakPreview" topLeftCell="A139" zoomScaleSheetLayoutView="100" workbookViewId="0">
      <selection activeCell="N154" sqref="N154:T154"/>
    </sheetView>
  </sheetViews>
  <sheetFormatPr baseColWidth="10" defaultRowHeight="15.75"/>
  <cols>
    <col min="1" max="1" width="0.42578125" style="146" customWidth="1"/>
    <col min="2" max="2" width="3.85546875" style="146" customWidth="1"/>
    <col min="3" max="3" width="6.42578125" style="171" customWidth="1"/>
    <col min="4" max="4" width="5.7109375" style="146" customWidth="1"/>
    <col min="5" max="5" width="5.85546875" style="146" customWidth="1"/>
    <col min="6" max="7" width="5.7109375" style="146" customWidth="1"/>
    <col min="8" max="8" width="5.85546875" style="146" customWidth="1"/>
    <col min="9" max="10" width="5.7109375" style="146" customWidth="1"/>
    <col min="11" max="11" width="5.85546875" style="146" customWidth="1"/>
    <col min="12" max="13" width="5.7109375" style="146" customWidth="1"/>
    <col min="14" max="14" width="5.85546875" style="146" customWidth="1"/>
    <col min="15" max="16" width="6.28515625" style="146" customWidth="1"/>
    <col min="17" max="17" width="6.140625" style="231" customWidth="1"/>
    <col min="18" max="19" width="5.7109375" style="172" customWidth="1"/>
    <col min="20" max="20" width="5.85546875" style="231" customWidth="1"/>
    <col min="21" max="21" width="0.42578125" style="146" customWidth="1"/>
    <col min="22" max="16384" width="11.42578125" style="146"/>
  </cols>
  <sheetData>
    <row r="1" spans="1:20" ht="16.5" customHeight="1">
      <c r="A1" s="1232"/>
      <c r="B1" s="1185" t="str">
        <f>VLOOKUP(M5,'VISITA DE INSP.'!A17:AI36,2,2)</f>
        <v>1º</v>
      </c>
      <c r="C1" s="1186" t="str">
        <f>VLOOKUP(M5,'VISITA DE INSP.'!A17:AI36,3,3)</f>
        <v>B</v>
      </c>
      <c r="D1" s="1168" t="str">
        <f>VLOOKUP(M5,'VISITA DE INSP.'!A17:AI36,4,4)</f>
        <v>AKE QUEB * MARIANA DEL CONSUELO</v>
      </c>
      <c r="E1" s="144"/>
      <c r="F1" s="144"/>
      <c r="G1" s="144"/>
      <c r="H1" s="144"/>
      <c r="J1" s="144"/>
      <c r="K1" s="144"/>
      <c r="L1" s="144"/>
      <c r="M1" s="1303" t="s">
        <v>925</v>
      </c>
      <c r="N1" s="1147"/>
      <c r="O1" s="1090"/>
      <c r="P1" s="1201"/>
      <c r="Q1" s="220"/>
      <c r="R1" s="145"/>
      <c r="S1" s="145"/>
    </row>
    <row r="2" spans="1:20" ht="16.5" customHeight="1">
      <c r="A2" s="1232"/>
      <c r="B2" s="1233"/>
      <c r="C2" s="1234"/>
      <c r="D2" s="149"/>
      <c r="E2" s="149"/>
      <c r="F2" s="149"/>
      <c r="G2" s="149"/>
      <c r="H2" s="149"/>
      <c r="I2" s="149"/>
      <c r="J2" s="149"/>
      <c r="K2" s="149"/>
      <c r="L2" s="149"/>
      <c r="M2" s="1303" t="s">
        <v>926</v>
      </c>
      <c r="N2" s="1178"/>
      <c r="O2" s="1090"/>
      <c r="P2" s="1203"/>
      <c r="Q2" s="221"/>
      <c r="R2" s="151"/>
      <c r="S2" s="151"/>
      <c r="T2" s="221"/>
    </row>
    <row r="3" spans="1:20" ht="16.5" customHeight="1">
      <c r="A3" s="1232"/>
      <c r="B3" s="1233"/>
      <c r="C3" s="1234"/>
      <c r="D3" s="149"/>
      <c r="E3" s="149"/>
      <c r="F3" s="149"/>
      <c r="G3" s="149"/>
      <c r="H3" s="149"/>
      <c r="I3" s="149"/>
      <c r="J3" s="149"/>
      <c r="K3" s="149"/>
      <c r="L3" s="149"/>
      <c r="M3" s="1303" t="s">
        <v>927</v>
      </c>
      <c r="N3" s="1131"/>
      <c r="O3" s="1090"/>
      <c r="P3" s="1205"/>
      <c r="Q3" s="219"/>
      <c r="R3" s="149"/>
      <c r="S3" s="149"/>
      <c r="T3" s="221"/>
    </row>
    <row r="4" spans="1:20" ht="16.5" customHeight="1">
      <c r="A4" s="1232"/>
      <c r="B4" s="1233"/>
      <c r="C4" s="1234"/>
      <c r="D4" s="149"/>
      <c r="E4" s="149"/>
      <c r="F4" s="149"/>
      <c r="G4" s="149"/>
      <c r="H4" s="149"/>
      <c r="I4" s="149"/>
      <c r="J4" s="149"/>
      <c r="K4" s="149"/>
      <c r="L4" s="1090"/>
      <c r="M4" s="1310" t="s">
        <v>928</v>
      </c>
      <c r="N4" s="1131"/>
      <c r="O4" s="1090"/>
      <c r="P4" s="1131"/>
      <c r="Q4" s="222"/>
      <c r="R4" s="150"/>
      <c r="S4" s="149"/>
      <c r="T4" s="221"/>
    </row>
    <row r="5" spans="1:20" ht="10.5" customHeight="1">
      <c r="A5" s="1232"/>
      <c r="B5" s="1235"/>
      <c r="C5" s="1236"/>
      <c r="D5" s="1090"/>
      <c r="E5" s="1090"/>
      <c r="F5" s="1090"/>
      <c r="G5" s="1090"/>
      <c r="H5" s="1090"/>
      <c r="I5" s="1090"/>
      <c r="J5" s="1090"/>
      <c r="K5" s="1090"/>
      <c r="L5" s="1311">
        <f>'VISITA DE INSP.'!T6</f>
        <v>1</v>
      </c>
      <c r="M5" s="1312">
        <v>3</v>
      </c>
      <c r="N5" s="1090"/>
      <c r="O5" s="1090"/>
      <c r="P5" s="1090"/>
      <c r="Q5" s="1096"/>
      <c r="R5" s="1097"/>
      <c r="S5" s="1097"/>
      <c r="T5" s="1096"/>
    </row>
    <row r="6" spans="1:20" ht="18.75" customHeight="1">
      <c r="B6" s="1090"/>
      <c r="C6" s="1094"/>
      <c r="D6" s="1090"/>
      <c r="E6" s="1090"/>
      <c r="F6" s="1090"/>
      <c r="G6" s="1090"/>
      <c r="H6" s="1090"/>
      <c r="I6" s="1090"/>
      <c r="J6" s="1090"/>
      <c r="K6" s="1095" t="s">
        <v>924</v>
      </c>
      <c r="M6" s="1090"/>
      <c r="N6" s="1090"/>
      <c r="O6" s="1090"/>
      <c r="P6" s="1090"/>
      <c r="Q6" s="1096"/>
      <c r="R6" s="1097"/>
      <c r="S6" s="1097"/>
      <c r="T6" s="1096"/>
    </row>
    <row r="7" spans="1:20" ht="18.75" customHeight="1">
      <c r="B7" s="1248" t="s">
        <v>107</v>
      </c>
      <c r="C7" s="1249"/>
      <c r="D7" s="4358" t="str">
        <f>'VISITA DE INSP.'!E7</f>
        <v>KABAH</v>
      </c>
      <c r="E7" s="4358"/>
      <c r="F7" s="4358"/>
      <c r="G7" s="4358"/>
      <c r="H7" s="4358"/>
      <c r="I7" s="4358"/>
      <c r="J7" s="4358"/>
      <c r="K7" s="4358"/>
      <c r="L7" s="4358"/>
      <c r="M7" s="1322"/>
      <c r="N7" s="1253" t="s">
        <v>19</v>
      </c>
      <c r="O7" s="4396" t="str">
        <f>'VISITA DE INSP.'!V7</f>
        <v>23DPR0055K</v>
      </c>
      <c r="P7" s="4396"/>
      <c r="Q7" s="1328"/>
      <c r="R7" s="1253" t="s">
        <v>183</v>
      </c>
      <c r="S7" s="4397" t="s">
        <v>100</v>
      </c>
      <c r="T7" s="4397"/>
    </row>
    <row r="8" spans="1:20" ht="18.75" customHeight="1">
      <c r="B8" s="1248" t="s">
        <v>921</v>
      </c>
      <c r="C8" s="1249"/>
      <c r="D8" s="1250"/>
      <c r="E8" s="1319" t="s">
        <v>1038</v>
      </c>
      <c r="F8" s="1321"/>
      <c r="G8" s="1322"/>
      <c r="H8" s="1250"/>
      <c r="I8" s="1250"/>
      <c r="J8" s="1253" t="s">
        <v>922</v>
      </c>
      <c r="K8" s="1319" t="s">
        <v>554</v>
      </c>
      <c r="L8" s="1323"/>
      <c r="M8" s="1322"/>
      <c r="N8" s="1250"/>
      <c r="O8" s="1253" t="s">
        <v>40</v>
      </c>
      <c r="P8" s="1320" t="s">
        <v>1039</v>
      </c>
      <c r="Q8" s="1319"/>
      <c r="R8" s="1319"/>
      <c r="S8" s="1319"/>
      <c r="T8" s="1319"/>
    </row>
    <row r="9" spans="1:20" ht="18.75" customHeight="1">
      <c r="B9" s="1316" t="s">
        <v>1133</v>
      </c>
      <c r="C9" s="1317"/>
      <c r="D9" s="1250"/>
      <c r="E9" s="1250"/>
      <c r="F9" s="1322"/>
      <c r="G9" s="1319" t="str">
        <f>'VISITA DE INSP.'!P41</f>
        <v>CERVANTES BENITEZ * ANTONIA</v>
      </c>
      <c r="H9" s="1321"/>
      <c r="I9" s="1321"/>
      <c r="J9" s="1321"/>
      <c r="K9" s="1321"/>
      <c r="L9" s="1321"/>
      <c r="M9" s="1321"/>
      <c r="N9" s="1321"/>
      <c r="O9" s="1321"/>
      <c r="P9" s="1321"/>
      <c r="Q9" s="1324"/>
      <c r="R9" s="1325"/>
      <c r="S9" s="1325"/>
      <c r="T9" s="1324"/>
    </row>
    <row r="10" spans="1:20" ht="18.75" customHeight="1">
      <c r="B10" s="1316" t="s">
        <v>923</v>
      </c>
      <c r="C10" s="1318"/>
      <c r="D10" s="1250"/>
      <c r="E10" s="1250"/>
      <c r="F10" s="1250"/>
      <c r="G10" s="1253"/>
      <c r="H10" s="1326" t="s">
        <v>26</v>
      </c>
      <c r="I10" s="1321"/>
      <c r="J10" s="1327"/>
      <c r="K10" s="1321"/>
      <c r="L10" s="1321"/>
      <c r="M10" s="1321"/>
      <c r="N10" s="1322"/>
      <c r="O10" s="1253" t="s">
        <v>109</v>
      </c>
      <c r="P10" s="4395">
        <f ca="1">TODAY()</f>
        <v>41787</v>
      </c>
      <c r="Q10" s="4395"/>
      <c r="R10" s="4395"/>
      <c r="S10" s="4395"/>
      <c r="T10" s="4395"/>
    </row>
    <row r="11" spans="1:20" ht="6" customHeight="1">
      <c r="B11" s="152"/>
      <c r="C11" s="151"/>
      <c r="D11" s="1101"/>
      <c r="E11" s="1101"/>
      <c r="F11" s="1101"/>
      <c r="G11" s="1101"/>
      <c r="H11" s="1101"/>
      <c r="I11" s="1101"/>
      <c r="J11" s="1101"/>
      <c r="K11" s="1101"/>
      <c r="L11" s="1101"/>
      <c r="M11" s="1101"/>
      <c r="N11" s="1101"/>
      <c r="O11" s="1101"/>
      <c r="P11" s="1101"/>
      <c r="Q11" s="1101"/>
      <c r="R11" s="1101"/>
      <c r="S11" s="1101"/>
      <c r="T11" s="1101"/>
    </row>
    <row r="12" spans="1:20" ht="17.25" customHeight="1">
      <c r="B12" s="152"/>
      <c r="C12" s="149"/>
      <c r="D12" s="144"/>
      <c r="E12" s="144"/>
      <c r="F12" s="144"/>
      <c r="G12" s="144"/>
      <c r="H12" s="144"/>
      <c r="I12" s="144"/>
      <c r="J12" s="144"/>
      <c r="K12" s="1337" t="s">
        <v>929</v>
      </c>
      <c r="M12" s="144"/>
      <c r="N12" s="144"/>
      <c r="O12" s="144"/>
      <c r="P12" s="144"/>
      <c r="Q12" s="220"/>
      <c r="R12" s="145"/>
      <c r="S12" s="159"/>
      <c r="T12" s="235"/>
    </row>
    <row r="13" spans="1:20" ht="6" customHeight="1">
      <c r="B13" s="152"/>
      <c r="C13" s="149"/>
      <c r="D13" s="149"/>
      <c r="E13" s="149"/>
      <c r="F13" s="149"/>
      <c r="G13" s="149"/>
      <c r="H13" s="149"/>
      <c r="I13" s="149"/>
      <c r="J13" s="149"/>
      <c r="K13" s="149"/>
      <c r="L13" s="149"/>
      <c r="M13" s="149"/>
      <c r="N13" s="149"/>
      <c r="O13" s="149"/>
      <c r="P13" s="149"/>
      <c r="Q13" s="149"/>
      <c r="R13" s="149"/>
      <c r="S13" s="149"/>
      <c r="T13" s="149"/>
    </row>
    <row r="14" spans="1:20" ht="17.25" customHeight="1">
      <c r="B14" s="4399" t="s">
        <v>930</v>
      </c>
      <c r="C14" s="4399"/>
      <c r="D14" s="4399"/>
      <c r="E14" s="4399"/>
      <c r="F14" s="4399"/>
      <c r="G14" s="4399"/>
      <c r="H14" s="4399"/>
      <c r="I14" s="4399"/>
      <c r="J14" s="4399"/>
      <c r="K14" s="4399"/>
      <c r="L14" s="4399"/>
      <c r="M14" s="4399"/>
      <c r="N14" s="4399"/>
      <c r="O14" s="4399"/>
      <c r="P14" s="4399"/>
      <c r="Q14" s="4399"/>
      <c r="R14" s="4399"/>
      <c r="S14" s="4399"/>
      <c r="T14" s="4400"/>
    </row>
    <row r="15" spans="1:20" ht="17.25" customHeight="1">
      <c r="B15" s="4382" t="s">
        <v>1091</v>
      </c>
      <c r="C15" s="4382"/>
      <c r="D15" s="4382"/>
      <c r="E15" s="4382"/>
      <c r="F15" s="4382"/>
      <c r="G15" s="4382"/>
      <c r="H15" s="4382"/>
      <c r="I15" s="4382"/>
      <c r="J15" s="4382"/>
      <c r="K15" s="4382"/>
      <c r="L15" s="4382"/>
      <c r="M15" s="4382"/>
      <c r="N15" s="4382"/>
      <c r="O15" s="4382"/>
      <c r="P15" s="4382"/>
      <c r="Q15" s="4382"/>
      <c r="R15" s="4382"/>
      <c r="S15" s="4382"/>
      <c r="T15" s="4383"/>
    </row>
    <row r="16" spans="1:20" ht="17.25" customHeight="1">
      <c r="B16" s="4402" t="s">
        <v>931</v>
      </c>
      <c r="C16" s="4402"/>
      <c r="D16" s="4402"/>
      <c r="E16" s="4403"/>
      <c r="F16" s="1171"/>
      <c r="G16" s="1171"/>
      <c r="H16" s="1171"/>
      <c r="I16" s="1171"/>
      <c r="J16" s="1171"/>
      <c r="K16" s="1171"/>
      <c r="L16" s="1171"/>
      <c r="M16" s="1171"/>
      <c r="N16" s="1171"/>
      <c r="O16" s="1171"/>
      <c r="P16" s="1171"/>
      <c r="Q16" s="1171"/>
      <c r="R16" s="1171"/>
      <c r="S16" s="1171"/>
      <c r="T16" s="1171"/>
    </row>
    <row r="17" spans="2:20" ht="6" customHeight="1">
      <c r="B17" s="1131"/>
      <c r="C17" s="1131"/>
      <c r="D17" s="1131"/>
      <c r="E17" s="1131"/>
      <c r="F17" s="1131"/>
      <c r="G17" s="1131"/>
      <c r="H17" s="1131"/>
      <c r="I17" s="1131"/>
      <c r="J17" s="1131"/>
      <c r="K17" s="1131"/>
      <c r="L17" s="1131"/>
      <c r="M17" s="1131"/>
      <c r="N17" s="1131"/>
      <c r="O17" s="1131"/>
      <c r="P17" s="1131"/>
      <c r="Q17" s="1131"/>
      <c r="R17" s="1131"/>
      <c r="S17" s="1131"/>
      <c r="T17" s="1131"/>
    </row>
    <row r="18" spans="2:20" ht="17.25" customHeight="1">
      <c r="B18" s="1172" t="s">
        <v>110</v>
      </c>
      <c r="C18" s="4399" t="s">
        <v>950</v>
      </c>
      <c r="D18" s="4399"/>
      <c r="E18" s="4399"/>
      <c r="F18" s="4399"/>
      <c r="G18" s="4399"/>
      <c r="H18" s="4399"/>
      <c r="I18" s="4399"/>
      <c r="J18" s="4399"/>
      <c r="K18" s="4399"/>
      <c r="L18" s="4399"/>
      <c r="M18" s="4399"/>
      <c r="N18" s="4399"/>
      <c r="O18" s="4399"/>
      <c r="P18" s="4399"/>
      <c r="Q18" s="4399"/>
      <c r="R18" s="4399"/>
      <c r="S18" s="4399"/>
      <c r="T18" s="4400"/>
    </row>
    <row r="19" spans="2:20" ht="17.25" customHeight="1">
      <c r="B19" s="1172"/>
      <c r="C19" s="4401" t="s">
        <v>1134</v>
      </c>
      <c r="D19" s="4401"/>
      <c r="E19" s="4401"/>
      <c r="F19" s="4401"/>
      <c r="G19" s="4401"/>
      <c r="H19" s="4401"/>
      <c r="I19" s="4401"/>
      <c r="J19" s="4401"/>
      <c r="K19" s="4401"/>
      <c r="L19" s="4401"/>
      <c r="M19" s="4401"/>
      <c r="N19" s="4401"/>
      <c r="O19" s="4401"/>
      <c r="P19" s="4401"/>
      <c r="Q19" s="4401"/>
      <c r="R19" s="4401"/>
      <c r="S19" s="4401"/>
      <c r="T19" s="4401"/>
    </row>
    <row r="20" spans="2:20" ht="6" customHeight="1">
      <c r="B20" s="152"/>
      <c r="C20" s="164"/>
      <c r="D20" s="164"/>
      <c r="E20" s="164"/>
      <c r="F20" s="164"/>
      <c r="G20" s="164"/>
      <c r="H20" s="164"/>
      <c r="I20" s="164"/>
      <c r="J20" s="164"/>
      <c r="K20" s="164"/>
      <c r="L20" s="164"/>
      <c r="M20" s="164"/>
      <c r="N20" s="164"/>
      <c r="O20" s="164"/>
      <c r="P20" s="164"/>
      <c r="Q20" s="226"/>
      <c r="R20" s="160"/>
      <c r="S20" s="161"/>
      <c r="T20" s="236"/>
    </row>
    <row r="21" spans="2:20" ht="24.75" customHeight="1">
      <c r="B21" s="1109"/>
      <c r="C21" s="4365" t="s">
        <v>932</v>
      </c>
      <c r="D21" s="4365"/>
      <c r="E21" s="3753" t="s">
        <v>474</v>
      </c>
      <c r="F21" s="4365" t="s">
        <v>933</v>
      </c>
      <c r="G21" s="4365"/>
      <c r="H21" s="3753" t="s">
        <v>474</v>
      </c>
      <c r="I21" s="4365" t="s">
        <v>934</v>
      </c>
      <c r="J21" s="4365"/>
      <c r="K21" s="3753" t="s">
        <v>474</v>
      </c>
      <c r="L21" s="4365" t="s">
        <v>935</v>
      </c>
      <c r="M21" s="4365"/>
      <c r="N21" s="3753" t="s">
        <v>474</v>
      </c>
      <c r="O21" s="4365" t="s">
        <v>936</v>
      </c>
      <c r="P21" s="4365"/>
      <c r="Q21" s="3753" t="s">
        <v>474</v>
      </c>
      <c r="R21" s="4365" t="s">
        <v>937</v>
      </c>
      <c r="S21" s="4365"/>
      <c r="T21" s="3753" t="s">
        <v>474</v>
      </c>
    </row>
    <row r="22" spans="2:20" ht="24.75" customHeight="1">
      <c r="B22" s="1099"/>
      <c r="C22" s="4365" t="s">
        <v>938</v>
      </c>
      <c r="D22" s="4365"/>
      <c r="E22" s="3753" t="s">
        <v>474</v>
      </c>
      <c r="F22" s="4365" t="s">
        <v>939</v>
      </c>
      <c r="G22" s="4365"/>
      <c r="H22" s="3753" t="s">
        <v>474</v>
      </c>
      <c r="I22" s="4365" t="s">
        <v>940</v>
      </c>
      <c r="J22" s="4365"/>
      <c r="K22" s="3753" t="s">
        <v>474</v>
      </c>
      <c r="L22" s="4365" t="s">
        <v>941</v>
      </c>
      <c r="M22" s="4365"/>
      <c r="N22" s="3753" t="s">
        <v>474</v>
      </c>
      <c r="O22" s="4365" t="s">
        <v>942</v>
      </c>
      <c r="P22" s="4365"/>
      <c r="Q22" s="3753" t="s">
        <v>474</v>
      </c>
      <c r="R22" s="4365" t="s">
        <v>943</v>
      </c>
      <c r="S22" s="4365"/>
      <c r="T22" s="3753" t="s">
        <v>474</v>
      </c>
    </row>
    <row r="23" spans="2:20" ht="24.75" customHeight="1">
      <c r="B23" s="1099"/>
      <c r="C23" s="4365" t="s">
        <v>944</v>
      </c>
      <c r="D23" s="4365"/>
      <c r="E23" s="3753"/>
      <c r="F23" s="4365" t="s">
        <v>945</v>
      </c>
      <c r="G23" s="4365"/>
      <c r="H23" s="3753"/>
      <c r="I23" s="4365" t="s">
        <v>946</v>
      </c>
      <c r="J23" s="4365"/>
      <c r="K23" s="3753"/>
      <c r="L23" s="4365" t="s">
        <v>947</v>
      </c>
      <c r="M23" s="4365"/>
      <c r="N23" s="3753"/>
      <c r="O23" s="4365" t="s">
        <v>948</v>
      </c>
      <c r="P23" s="4365"/>
      <c r="Q23" s="3753"/>
      <c r="R23" s="4365" t="s">
        <v>949</v>
      </c>
      <c r="S23" s="4365"/>
      <c r="T23" s="3753"/>
    </row>
    <row r="24" spans="2:20" ht="6" customHeight="1">
      <c r="B24" s="1099"/>
      <c r="C24" s="1106"/>
      <c r="D24" s="1106"/>
      <c r="E24" s="1106"/>
      <c r="F24" s="1106"/>
      <c r="G24" s="1106"/>
      <c r="H24" s="1106"/>
      <c r="I24" s="1106"/>
      <c r="J24" s="1106"/>
      <c r="K24" s="1106"/>
      <c r="L24" s="1106"/>
      <c r="M24" s="1106"/>
      <c r="N24" s="1106"/>
      <c r="O24" s="1106"/>
      <c r="P24" s="1106"/>
      <c r="Q24" s="1107"/>
      <c r="R24" s="1106"/>
      <c r="S24" s="1101"/>
      <c r="T24" s="1107"/>
    </row>
    <row r="25" spans="2:20" ht="17.25" customHeight="1">
      <c r="B25" s="1126" t="s">
        <v>112</v>
      </c>
      <c r="C25" s="1126" t="s">
        <v>951</v>
      </c>
      <c r="D25" s="1099"/>
      <c r="E25" s="1099"/>
      <c r="F25" s="1099"/>
      <c r="G25" s="1099"/>
      <c r="H25" s="1099"/>
      <c r="I25" s="1099"/>
      <c r="J25" s="1099"/>
      <c r="K25" s="1099"/>
      <c r="L25" s="1099"/>
      <c r="M25" s="1099"/>
      <c r="N25" s="1099"/>
      <c r="O25" s="1099"/>
      <c r="P25" s="1099"/>
      <c r="Q25" s="1102"/>
      <c r="R25" s="1099"/>
      <c r="S25" s="1099"/>
      <c r="T25" s="1102"/>
    </row>
    <row r="26" spans="2:20" ht="17.25" customHeight="1">
      <c r="B26" s="1099"/>
      <c r="C26" s="3754"/>
      <c r="D26" s="1110"/>
      <c r="E26" s="1111"/>
      <c r="F26" s="1111"/>
      <c r="G26" s="1112"/>
      <c r="H26" s="1113"/>
      <c r="I26" s="1110"/>
      <c r="J26" s="1111"/>
      <c r="K26" s="1111"/>
      <c r="L26" s="1112"/>
      <c r="M26" s="1112"/>
      <c r="N26" s="1110"/>
      <c r="O26" s="1111"/>
      <c r="P26" s="1112"/>
      <c r="Q26" s="1111"/>
      <c r="R26" s="1110"/>
      <c r="S26" s="1110"/>
      <c r="T26" s="1114"/>
    </row>
    <row r="27" spans="2:20" ht="17.25" customHeight="1">
      <c r="B27" s="1099"/>
      <c r="C27" s="3755"/>
      <c r="D27" s="1113"/>
      <c r="E27" s="1112"/>
      <c r="F27" s="1112"/>
      <c r="G27" s="1112"/>
      <c r="H27" s="1113"/>
      <c r="I27" s="1113"/>
      <c r="J27" s="1112"/>
      <c r="K27" s="1112"/>
      <c r="L27" s="1112"/>
      <c r="M27" s="1112"/>
      <c r="N27" s="1113"/>
      <c r="O27" s="1112"/>
      <c r="P27" s="1112"/>
      <c r="Q27" s="1111"/>
      <c r="R27" s="1113"/>
      <c r="S27" s="1113"/>
      <c r="T27" s="1114"/>
    </row>
    <row r="28" spans="2:20" ht="17.25" customHeight="1">
      <c r="B28" s="1099"/>
      <c r="C28" s="3756"/>
      <c r="D28" s="1112"/>
      <c r="E28" s="1112"/>
      <c r="F28" s="1112"/>
      <c r="G28" s="1112"/>
      <c r="H28" s="1112"/>
      <c r="I28" s="1112"/>
      <c r="J28" s="1112"/>
      <c r="K28" s="1112"/>
      <c r="L28" s="1112"/>
      <c r="M28" s="1112"/>
      <c r="N28" s="1112"/>
      <c r="O28" s="1112"/>
      <c r="P28" s="1112"/>
      <c r="Q28" s="1114"/>
      <c r="R28" s="1115"/>
      <c r="S28" s="1113"/>
      <c r="T28" s="1114"/>
    </row>
    <row r="29" spans="2:20" ht="6" customHeight="1">
      <c r="B29" s="1099"/>
      <c r="C29" s="1099"/>
      <c r="D29" s="1099"/>
      <c r="E29" s="1099"/>
      <c r="F29" s="1099"/>
      <c r="G29" s="1099"/>
      <c r="H29" s="1099"/>
      <c r="I29" s="1099"/>
      <c r="J29" s="1099"/>
      <c r="K29" s="1099"/>
      <c r="L29" s="1099"/>
      <c r="M29" s="1099"/>
      <c r="N29" s="1099"/>
      <c r="O29" s="1099"/>
      <c r="P29" s="1099"/>
      <c r="Q29" s="1100"/>
      <c r="R29" s="1101"/>
      <c r="S29" s="1108"/>
      <c r="T29" s="1100"/>
    </row>
    <row r="30" spans="2:20" ht="17.25" customHeight="1">
      <c r="B30" s="1129" t="s">
        <v>114</v>
      </c>
      <c r="C30" s="4389" t="s">
        <v>1108</v>
      </c>
      <c r="D30" s="4389"/>
      <c r="E30" s="4389"/>
      <c r="F30" s="4389"/>
      <c r="G30" s="4389"/>
      <c r="H30" s="4389"/>
      <c r="I30" s="4389"/>
      <c r="J30" s="4389"/>
      <c r="K30" s="4389"/>
      <c r="L30" s="4389"/>
      <c r="M30" s="4389"/>
      <c r="N30" s="4389"/>
      <c r="O30" s="4389"/>
      <c r="P30" s="4389"/>
      <c r="Q30" s="4389"/>
      <c r="R30" s="4389"/>
      <c r="S30" s="4389"/>
      <c r="T30" s="4389"/>
    </row>
    <row r="31" spans="2:20" ht="17.25" customHeight="1">
      <c r="B31" s="1099"/>
      <c r="C31" s="4389" t="s">
        <v>953</v>
      </c>
      <c r="D31" s="4389"/>
      <c r="E31" s="4389"/>
      <c r="F31" s="4389"/>
      <c r="G31" s="4389"/>
      <c r="H31" s="4389"/>
      <c r="I31" s="4389"/>
      <c r="J31" s="4389"/>
      <c r="K31" s="4389"/>
      <c r="L31" s="4389"/>
      <c r="M31" s="4389"/>
      <c r="N31" s="4389"/>
      <c r="O31" s="4389"/>
      <c r="P31" s="4389"/>
      <c r="Q31" s="4389"/>
      <c r="R31" s="4389"/>
      <c r="S31" s="4389"/>
      <c r="T31" s="4389"/>
    </row>
    <row r="32" spans="2:20" ht="17.25" customHeight="1">
      <c r="B32" s="1099"/>
      <c r="C32" s="4389" t="s">
        <v>952</v>
      </c>
      <c r="D32" s="4389"/>
      <c r="E32" s="4389"/>
      <c r="F32" s="4389"/>
      <c r="G32" s="4389"/>
      <c r="H32" s="4389"/>
      <c r="I32" s="4389"/>
      <c r="J32" s="4389"/>
      <c r="K32" s="4389"/>
      <c r="L32" s="4389"/>
      <c r="M32" s="4389"/>
      <c r="N32" s="4389"/>
      <c r="O32" s="4389"/>
      <c r="P32" s="1116"/>
      <c r="Q32" s="1117"/>
      <c r="R32" s="1116"/>
      <c r="S32" s="1116"/>
      <c r="T32" s="1117"/>
    </row>
    <row r="33" spans="2:20" ht="6" customHeight="1">
      <c r="B33" s="1099"/>
      <c r="C33" s="1105"/>
      <c r="D33" s="1099"/>
      <c r="E33" s="1099"/>
      <c r="F33" s="1099"/>
      <c r="G33" s="1099"/>
      <c r="H33" s="1099"/>
      <c r="I33" s="1099"/>
      <c r="J33" s="1099"/>
      <c r="K33" s="1099"/>
      <c r="L33" s="1099"/>
      <c r="M33" s="1099"/>
      <c r="N33" s="1099"/>
      <c r="O33" s="1099"/>
      <c r="P33" s="1099"/>
      <c r="Q33" s="1100"/>
      <c r="R33" s="1099"/>
      <c r="S33" s="1099"/>
      <c r="T33" s="1100"/>
    </row>
    <row r="34" spans="2:20" ht="17.25" customHeight="1">
      <c r="B34" s="1099"/>
      <c r="C34" s="4387"/>
      <c r="D34" s="4387"/>
      <c r="E34" s="4387"/>
      <c r="F34" s="4387"/>
      <c r="G34" s="4387"/>
      <c r="H34" s="4387"/>
      <c r="I34" s="4387"/>
      <c r="J34" s="4387"/>
      <c r="K34" s="4387"/>
      <c r="L34" s="4387"/>
      <c r="M34" s="4387"/>
      <c r="N34" s="4387"/>
      <c r="O34" s="4398" t="s">
        <v>954</v>
      </c>
      <c r="P34" s="4398"/>
      <c r="Q34" s="4398" t="s">
        <v>955</v>
      </c>
      <c r="R34" s="4398"/>
      <c r="S34" s="4398" t="s">
        <v>117</v>
      </c>
      <c r="T34" s="4398"/>
    </row>
    <row r="35" spans="2:20" ht="25.5" customHeight="1">
      <c r="B35" s="1099"/>
      <c r="C35" s="1120" t="s">
        <v>956</v>
      </c>
      <c r="D35" s="4384" t="s">
        <v>957</v>
      </c>
      <c r="E35" s="4385"/>
      <c r="F35" s="4385"/>
      <c r="G35" s="4385"/>
      <c r="H35" s="4385"/>
      <c r="I35" s="4385"/>
      <c r="J35" s="4385"/>
      <c r="K35" s="4385"/>
      <c r="L35" s="4385"/>
      <c r="M35" s="4385"/>
      <c r="N35" s="4386"/>
      <c r="O35" s="4368" t="s">
        <v>1060</v>
      </c>
      <c r="P35" s="4369"/>
      <c r="Q35" s="4368" t="s">
        <v>1060</v>
      </c>
      <c r="R35" s="4369"/>
      <c r="S35" s="4368" t="s">
        <v>1060</v>
      </c>
      <c r="T35" s="4369"/>
    </row>
    <row r="36" spans="2:20" ht="25.5" customHeight="1">
      <c r="B36" s="1099"/>
      <c r="C36" s="1120" t="s">
        <v>958</v>
      </c>
      <c r="D36" s="4384" t="s">
        <v>959</v>
      </c>
      <c r="E36" s="4385"/>
      <c r="F36" s="4385"/>
      <c r="G36" s="4385"/>
      <c r="H36" s="4385"/>
      <c r="I36" s="4385"/>
      <c r="J36" s="4385"/>
      <c r="K36" s="4385"/>
      <c r="L36" s="4385"/>
      <c r="M36" s="4385"/>
      <c r="N36" s="4386"/>
      <c r="O36" s="4368" t="s">
        <v>1060</v>
      </c>
      <c r="P36" s="4369"/>
      <c r="Q36" s="4368" t="s">
        <v>1060</v>
      </c>
      <c r="R36" s="4369"/>
      <c r="S36" s="4368" t="s">
        <v>1060</v>
      </c>
      <c r="T36" s="4369"/>
    </row>
    <row r="37" spans="2:20" ht="25.5" customHeight="1">
      <c r="B37" s="1099"/>
      <c r="C37" s="1120" t="s">
        <v>960</v>
      </c>
      <c r="D37" s="4364" t="s">
        <v>961</v>
      </c>
      <c r="E37" s="4364"/>
      <c r="F37" s="4364"/>
      <c r="G37" s="4364"/>
      <c r="H37" s="4364"/>
      <c r="I37" s="4364"/>
      <c r="J37" s="4364"/>
      <c r="K37" s="4364"/>
      <c r="L37" s="4364"/>
      <c r="M37" s="4364"/>
      <c r="N37" s="4364"/>
      <c r="O37" s="4368" t="s">
        <v>1060</v>
      </c>
      <c r="P37" s="4369"/>
      <c r="Q37" s="4368" t="s">
        <v>1060</v>
      </c>
      <c r="R37" s="4369"/>
      <c r="S37" s="4368" t="s">
        <v>1060</v>
      </c>
      <c r="T37" s="4369"/>
    </row>
    <row r="38" spans="2:20" ht="25.5" customHeight="1">
      <c r="B38" s="1099"/>
      <c r="C38" s="1120" t="s">
        <v>962</v>
      </c>
      <c r="D38" s="4364" t="s">
        <v>963</v>
      </c>
      <c r="E38" s="4364"/>
      <c r="F38" s="4364"/>
      <c r="G38" s="4364"/>
      <c r="H38" s="4364"/>
      <c r="I38" s="4364"/>
      <c r="J38" s="4364"/>
      <c r="K38" s="4364"/>
      <c r="L38" s="4364"/>
      <c r="M38" s="4364"/>
      <c r="N38" s="4364"/>
      <c r="O38" s="4368" t="s">
        <v>1060</v>
      </c>
      <c r="P38" s="4369"/>
      <c r="Q38" s="4368" t="s">
        <v>1060</v>
      </c>
      <c r="R38" s="4369"/>
      <c r="S38" s="4368" t="s">
        <v>1060</v>
      </c>
      <c r="T38" s="4369"/>
    </row>
    <row r="39" spans="2:20" ht="25.5" customHeight="1">
      <c r="B39" s="1099"/>
      <c r="C39" s="1120" t="s">
        <v>964</v>
      </c>
      <c r="D39" s="4364" t="s">
        <v>965</v>
      </c>
      <c r="E39" s="4364"/>
      <c r="F39" s="4364"/>
      <c r="G39" s="4364"/>
      <c r="H39" s="4364"/>
      <c r="I39" s="4364"/>
      <c r="J39" s="4364"/>
      <c r="K39" s="4364"/>
      <c r="L39" s="4364"/>
      <c r="M39" s="4364"/>
      <c r="N39" s="4364"/>
      <c r="O39" s="4368" t="s">
        <v>1060</v>
      </c>
      <c r="P39" s="4369"/>
      <c r="Q39" s="4368" t="s">
        <v>1060</v>
      </c>
      <c r="R39" s="4369"/>
      <c r="S39" s="4368" t="s">
        <v>1060</v>
      </c>
      <c r="T39" s="4369"/>
    </row>
    <row r="40" spans="2:20" ht="32.25" customHeight="1">
      <c r="B40" s="1099"/>
      <c r="C40" s="1120" t="s">
        <v>966</v>
      </c>
      <c r="D40" s="4364" t="s">
        <v>967</v>
      </c>
      <c r="E40" s="4364"/>
      <c r="F40" s="4364"/>
      <c r="G40" s="4364"/>
      <c r="H40" s="4364"/>
      <c r="I40" s="4364"/>
      <c r="J40" s="4364"/>
      <c r="K40" s="4364"/>
      <c r="L40" s="4364"/>
      <c r="M40" s="4364"/>
      <c r="N40" s="4364"/>
      <c r="O40" s="4368" t="s">
        <v>1060</v>
      </c>
      <c r="P40" s="4369"/>
      <c r="Q40" s="4368" t="s">
        <v>1060</v>
      </c>
      <c r="R40" s="4369"/>
      <c r="S40" s="4368" t="s">
        <v>1060</v>
      </c>
      <c r="T40" s="4369"/>
    </row>
    <row r="41" spans="2:20" ht="25.5" customHeight="1">
      <c r="B41" s="1099"/>
      <c r="C41" s="1120" t="s">
        <v>968</v>
      </c>
      <c r="D41" s="4364" t="s">
        <v>969</v>
      </c>
      <c r="E41" s="4364"/>
      <c r="F41" s="4364"/>
      <c r="G41" s="4364"/>
      <c r="H41" s="4364"/>
      <c r="I41" s="4364"/>
      <c r="J41" s="4364"/>
      <c r="K41" s="4364"/>
      <c r="L41" s="4364"/>
      <c r="M41" s="4364"/>
      <c r="N41" s="4364"/>
      <c r="O41" s="4368" t="s">
        <v>1060</v>
      </c>
      <c r="P41" s="4369"/>
      <c r="Q41" s="4368" t="s">
        <v>1060</v>
      </c>
      <c r="R41" s="4369"/>
      <c r="S41" s="4368" t="s">
        <v>1060</v>
      </c>
      <c r="T41" s="4369"/>
    </row>
    <row r="42" spans="2:20" ht="25.5" customHeight="1">
      <c r="B42" s="1119"/>
      <c r="C42" s="1120" t="s">
        <v>970</v>
      </c>
      <c r="D42" s="4364" t="s">
        <v>971</v>
      </c>
      <c r="E42" s="4364"/>
      <c r="F42" s="4364"/>
      <c r="G42" s="4364"/>
      <c r="H42" s="4364"/>
      <c r="I42" s="4364"/>
      <c r="J42" s="4364"/>
      <c r="K42" s="4364"/>
      <c r="L42" s="4364"/>
      <c r="M42" s="4364"/>
      <c r="N42" s="4364"/>
      <c r="O42" s="4368" t="s">
        <v>1060</v>
      </c>
      <c r="P42" s="4369"/>
      <c r="Q42" s="4368" t="s">
        <v>1060</v>
      </c>
      <c r="R42" s="4369"/>
      <c r="S42" s="4368" t="s">
        <v>1060</v>
      </c>
      <c r="T42" s="4369"/>
    </row>
    <row r="43" spans="2:20" ht="25.5" customHeight="1">
      <c r="B43" s="1091"/>
      <c r="C43" s="1120" t="s">
        <v>972</v>
      </c>
      <c r="D43" s="4364" t="s">
        <v>973</v>
      </c>
      <c r="E43" s="4364"/>
      <c r="F43" s="4364"/>
      <c r="G43" s="4364"/>
      <c r="H43" s="4364"/>
      <c r="I43" s="4364"/>
      <c r="J43" s="4364"/>
      <c r="K43" s="4364"/>
      <c r="L43" s="4364"/>
      <c r="M43" s="4364"/>
      <c r="N43" s="4364"/>
      <c r="O43" s="4368" t="s">
        <v>1060</v>
      </c>
      <c r="P43" s="4369"/>
      <c r="Q43" s="4368" t="s">
        <v>1060</v>
      </c>
      <c r="R43" s="4369"/>
      <c r="S43" s="4368" t="s">
        <v>1060</v>
      </c>
      <c r="T43" s="4369"/>
    </row>
    <row r="44" spans="2:20" ht="25.5" customHeight="1">
      <c r="B44" s="1091"/>
      <c r="C44" s="1120" t="s">
        <v>974</v>
      </c>
      <c r="D44" s="4364" t="s">
        <v>975</v>
      </c>
      <c r="E44" s="4364"/>
      <c r="F44" s="4364"/>
      <c r="G44" s="4364"/>
      <c r="H44" s="4364"/>
      <c r="I44" s="4364"/>
      <c r="J44" s="4364"/>
      <c r="K44" s="4364"/>
      <c r="L44" s="4364"/>
      <c r="M44" s="4364"/>
      <c r="N44" s="4364"/>
      <c r="O44" s="4368" t="s">
        <v>1060</v>
      </c>
      <c r="P44" s="4369"/>
      <c r="Q44" s="4368" t="s">
        <v>1060</v>
      </c>
      <c r="R44" s="4369"/>
      <c r="S44" s="4368" t="s">
        <v>1060</v>
      </c>
      <c r="T44" s="4369"/>
    </row>
    <row r="45" spans="2:20" ht="6" customHeight="1">
      <c r="B45" s="147"/>
      <c r="C45" s="143"/>
      <c r="D45" s="144"/>
      <c r="E45" s="144"/>
      <c r="F45" s="144"/>
      <c r="G45" s="144"/>
      <c r="H45" s="144"/>
      <c r="I45" s="144"/>
      <c r="J45" s="144"/>
      <c r="K45" s="144"/>
      <c r="L45" s="144"/>
      <c r="M45" s="144"/>
      <c r="N45" s="144"/>
      <c r="O45" s="144"/>
      <c r="P45" s="144"/>
      <c r="Q45" s="144"/>
      <c r="R45" s="144"/>
      <c r="S45" s="144"/>
      <c r="T45" s="144"/>
    </row>
    <row r="46" spans="2:20" ht="17.25" customHeight="1">
      <c r="B46" s="1121" t="s">
        <v>127</v>
      </c>
      <c r="C46" s="1126" t="s">
        <v>976</v>
      </c>
      <c r="D46" s="149"/>
      <c r="E46" s="149"/>
      <c r="F46" s="149"/>
      <c r="G46" s="149"/>
      <c r="H46" s="149"/>
      <c r="I46" s="149"/>
      <c r="J46" s="149"/>
      <c r="K46" s="149"/>
      <c r="L46" s="149"/>
      <c r="M46" s="149"/>
      <c r="N46" s="149"/>
      <c r="O46" s="149"/>
      <c r="P46" s="157"/>
      <c r="Q46" s="229"/>
      <c r="R46" s="150"/>
      <c r="S46" s="150"/>
      <c r="T46" s="238"/>
    </row>
    <row r="47" spans="2:20" ht="17.25" customHeight="1">
      <c r="B47" s="147"/>
      <c r="C47" s="3759"/>
      <c r="D47" s="1092"/>
      <c r="E47" s="1092"/>
      <c r="F47" s="1092"/>
      <c r="G47" s="1092"/>
      <c r="H47" s="1092"/>
      <c r="I47" s="1092"/>
      <c r="J47" s="1092"/>
      <c r="K47" s="1092"/>
      <c r="L47" s="1092"/>
      <c r="M47" s="1092"/>
      <c r="N47" s="1092"/>
      <c r="O47" s="1092"/>
      <c r="P47" s="1092"/>
      <c r="Q47" s="1092"/>
      <c r="R47" s="1092"/>
      <c r="S47" s="1092"/>
      <c r="T47" s="1092"/>
    </row>
    <row r="48" spans="2:20" ht="17.25" customHeight="1">
      <c r="B48" s="147"/>
      <c r="C48" s="3759"/>
      <c r="D48" s="1092"/>
      <c r="E48" s="1092"/>
      <c r="F48" s="1092"/>
      <c r="G48" s="1092"/>
      <c r="H48" s="1092"/>
      <c r="I48" s="1092"/>
      <c r="J48" s="1092"/>
      <c r="K48" s="1092"/>
      <c r="L48" s="1092"/>
      <c r="M48" s="1092"/>
      <c r="N48" s="1092"/>
      <c r="O48" s="1092"/>
      <c r="P48" s="1092"/>
      <c r="Q48" s="1122"/>
      <c r="R48" s="1123"/>
      <c r="S48" s="1088"/>
      <c r="T48" s="1124"/>
    </row>
    <row r="49" spans="2:21" ht="17.25" customHeight="1">
      <c r="B49" s="147"/>
      <c r="C49" s="5595"/>
      <c r="D49" s="1175"/>
      <c r="E49" s="1175"/>
      <c r="F49" s="1175"/>
      <c r="G49" s="1175"/>
      <c r="H49" s="1175"/>
      <c r="I49" s="1175"/>
      <c r="J49" s="1175"/>
      <c r="K49" s="1175"/>
      <c r="L49" s="1175"/>
      <c r="M49" s="1175"/>
      <c r="N49" s="1175"/>
      <c r="O49" s="1175"/>
      <c r="P49" s="1175"/>
      <c r="Q49" s="1175"/>
      <c r="R49" s="1175"/>
      <c r="S49" s="1175"/>
      <c r="T49" s="1125"/>
    </row>
    <row r="50" spans="2:21" ht="6" customHeight="1">
      <c r="B50" s="147"/>
      <c r="C50" s="143"/>
      <c r="D50" s="144"/>
      <c r="E50" s="144"/>
      <c r="F50" s="144"/>
      <c r="G50" s="144"/>
      <c r="H50" s="144"/>
      <c r="I50" s="144"/>
      <c r="J50" s="144"/>
      <c r="K50" s="144"/>
      <c r="L50" s="144"/>
      <c r="M50" s="144"/>
      <c r="N50" s="144"/>
      <c r="O50" s="144"/>
      <c r="P50" s="144"/>
      <c r="Q50" s="144"/>
      <c r="R50" s="144"/>
      <c r="S50" s="144"/>
      <c r="T50" s="144"/>
    </row>
    <row r="51" spans="2:21" ht="17.25" customHeight="1">
      <c r="B51" s="1121" t="s">
        <v>129</v>
      </c>
      <c r="C51" s="1126" t="s">
        <v>977</v>
      </c>
      <c r="D51" s="149"/>
      <c r="E51" s="149"/>
      <c r="F51" s="149"/>
      <c r="G51" s="149"/>
      <c r="H51" s="149"/>
      <c r="I51" s="149"/>
      <c r="J51" s="149"/>
      <c r="K51" s="149"/>
      <c r="L51" s="149"/>
      <c r="M51" s="149"/>
      <c r="N51" s="149"/>
      <c r="O51" s="149"/>
      <c r="P51" s="144"/>
      <c r="Q51" s="220"/>
      <c r="R51" s="150"/>
      <c r="S51" s="156"/>
      <c r="T51" s="235"/>
    </row>
    <row r="52" spans="2:21" ht="17.25" customHeight="1">
      <c r="B52" s="152"/>
      <c r="C52" s="1126" t="s">
        <v>978</v>
      </c>
      <c r="D52" s="149"/>
      <c r="E52" s="149"/>
      <c r="F52" s="149"/>
      <c r="G52" s="149"/>
      <c r="H52" s="149"/>
      <c r="I52" s="149"/>
      <c r="J52" s="149"/>
      <c r="K52" s="149"/>
      <c r="L52" s="149"/>
      <c r="M52" s="149"/>
      <c r="N52" s="149"/>
      <c r="O52" s="149"/>
      <c r="P52" s="149"/>
      <c r="Q52" s="222"/>
      <c r="R52" s="150"/>
      <c r="S52" s="156"/>
      <c r="T52" s="233"/>
    </row>
    <row r="53" spans="2:21" ht="17.25" customHeight="1">
      <c r="B53" s="152"/>
      <c r="C53" s="3757"/>
      <c r="D53" s="1092"/>
      <c r="E53" s="1092"/>
      <c r="F53" s="1092"/>
      <c r="G53" s="1092"/>
      <c r="H53" s="1092"/>
      <c r="I53" s="1092"/>
      <c r="J53" s="1092"/>
      <c r="K53" s="1092"/>
      <c r="L53" s="1092"/>
      <c r="M53" s="1092"/>
      <c r="N53" s="1092"/>
      <c r="O53" s="1092"/>
      <c r="P53" s="1092"/>
      <c r="Q53" s="1122"/>
      <c r="R53" s="1123"/>
      <c r="S53" s="1088"/>
      <c r="T53" s="1124"/>
    </row>
    <row r="54" spans="2:21" ht="17.25" customHeight="1">
      <c r="B54" s="147"/>
      <c r="C54" s="3758"/>
      <c r="D54" s="1152"/>
      <c r="E54" s="1152"/>
      <c r="F54" s="1152"/>
      <c r="G54" s="1152"/>
      <c r="H54" s="1152"/>
      <c r="I54" s="1152"/>
      <c r="J54" s="1152"/>
      <c r="K54" s="1152"/>
      <c r="L54" s="1152"/>
      <c r="M54" s="1152"/>
      <c r="N54" s="1152"/>
      <c r="O54" s="1152"/>
      <c r="P54" s="1152"/>
      <c r="Q54" s="1152"/>
      <c r="R54" s="1152"/>
      <c r="S54" s="1152"/>
      <c r="T54" s="1104"/>
    </row>
    <row r="55" spans="2:21" ht="17.25" customHeight="1">
      <c r="B55" s="147"/>
      <c r="C55" s="3759"/>
      <c r="D55" s="1092"/>
      <c r="E55" s="1092"/>
      <c r="F55" s="1092"/>
      <c r="G55" s="1092"/>
      <c r="H55" s="1092"/>
      <c r="I55" s="1092"/>
      <c r="J55" s="1092"/>
      <c r="K55" s="1092"/>
      <c r="L55" s="1092"/>
      <c r="M55" s="1092"/>
      <c r="N55" s="1092"/>
      <c r="O55" s="1092"/>
      <c r="P55" s="1092"/>
      <c r="Q55" s="1092"/>
      <c r="R55" s="1092"/>
      <c r="S55" s="1092"/>
      <c r="T55" s="1092"/>
      <c r="U55" s="149"/>
    </row>
    <row r="56" spans="2:21" ht="6" customHeight="1">
      <c r="B56" s="147"/>
      <c r="C56" s="1176"/>
      <c r="D56" s="1147"/>
      <c r="E56" s="1147"/>
      <c r="F56" s="1147"/>
      <c r="G56" s="1147"/>
      <c r="H56" s="1147"/>
      <c r="I56" s="1147"/>
      <c r="J56" s="1147"/>
      <c r="K56" s="1147"/>
      <c r="L56" s="1147"/>
      <c r="M56" s="1147"/>
      <c r="N56" s="1147"/>
      <c r="O56" s="1147"/>
      <c r="P56" s="1147"/>
      <c r="Q56" s="1147"/>
      <c r="R56" s="1147"/>
      <c r="S56" s="1147"/>
      <c r="T56" s="1147"/>
      <c r="U56" s="149"/>
    </row>
    <row r="57" spans="2:21" ht="17.25" customHeight="1">
      <c r="B57" s="1121" t="s">
        <v>979</v>
      </c>
      <c r="C57" s="1159" t="s">
        <v>980</v>
      </c>
      <c r="D57" s="1177"/>
      <c r="E57" s="1177"/>
      <c r="F57" s="1177"/>
      <c r="G57" s="1177"/>
      <c r="H57" s="1177"/>
      <c r="I57" s="1177"/>
      <c r="J57" s="1177"/>
      <c r="K57" s="1177"/>
      <c r="L57" s="1177"/>
      <c r="M57" s="1177"/>
      <c r="N57" s="1178"/>
      <c r="O57" s="1178"/>
      <c r="P57" s="1178"/>
      <c r="Q57" s="1178"/>
      <c r="R57" s="1178"/>
      <c r="S57" s="1178"/>
      <c r="T57" s="1178"/>
      <c r="U57" s="149"/>
    </row>
    <row r="58" spans="2:21" ht="6" customHeight="1">
      <c r="B58" s="1128"/>
      <c r="C58" s="1159"/>
      <c r="D58" s="1099"/>
      <c r="E58" s="1099"/>
      <c r="F58" s="1099"/>
      <c r="G58" s="1099"/>
      <c r="H58" s="1099"/>
      <c r="I58" s="1099"/>
      <c r="J58" s="1099"/>
      <c r="K58" s="1099"/>
      <c r="L58" s="1099"/>
      <c r="M58" s="1099"/>
      <c r="N58" s="1099"/>
      <c r="O58" s="1099"/>
      <c r="P58" s="1099"/>
      <c r="Q58" s="1099"/>
      <c r="R58" s="1099"/>
      <c r="S58" s="1099"/>
      <c r="T58" s="1099"/>
      <c r="U58" s="147"/>
    </row>
    <row r="59" spans="2:21" ht="17.25" customHeight="1">
      <c r="B59" s="1091"/>
      <c r="C59" s="4365" t="s">
        <v>981</v>
      </c>
      <c r="D59" s="4365"/>
      <c r="E59" s="4365"/>
      <c r="F59" s="4365"/>
      <c r="G59" s="4365"/>
      <c r="H59" s="4365"/>
      <c r="I59" s="4365"/>
      <c r="J59" s="4365"/>
      <c r="K59" s="4365"/>
      <c r="L59" s="4365" t="s">
        <v>982</v>
      </c>
      <c r="M59" s="4365"/>
      <c r="N59" s="4365"/>
      <c r="O59" s="4365"/>
      <c r="P59" s="4365"/>
      <c r="Q59" s="4365"/>
      <c r="R59" s="4365"/>
      <c r="S59" s="4365"/>
      <c r="T59" s="4365"/>
      <c r="U59" s="147"/>
    </row>
    <row r="60" spans="2:21" ht="17.25" customHeight="1">
      <c r="B60" s="1091"/>
      <c r="C60" s="4364" t="s">
        <v>983</v>
      </c>
      <c r="D60" s="4364"/>
      <c r="E60" s="4364"/>
      <c r="F60" s="4364"/>
      <c r="G60" s="4364"/>
      <c r="H60" s="4364"/>
      <c r="I60" s="4364"/>
      <c r="J60" s="4364"/>
      <c r="K60" s="4364"/>
      <c r="L60" s="4366" t="s">
        <v>995</v>
      </c>
      <c r="M60" s="4366"/>
      <c r="N60" s="3760" t="s">
        <v>1060</v>
      </c>
      <c r="O60" s="4366" t="s">
        <v>996</v>
      </c>
      <c r="P60" s="4366"/>
      <c r="Q60" s="3760" t="s">
        <v>1060</v>
      </c>
      <c r="R60" s="4366" t="s">
        <v>997</v>
      </c>
      <c r="S60" s="4366"/>
      <c r="T60" s="3760" t="s">
        <v>1060</v>
      </c>
      <c r="U60" s="147"/>
    </row>
    <row r="61" spans="2:21" ht="17.25" customHeight="1">
      <c r="B61" s="1127"/>
      <c r="C61" s="4364" t="s">
        <v>984</v>
      </c>
      <c r="D61" s="4364"/>
      <c r="E61" s="4364"/>
      <c r="F61" s="4364"/>
      <c r="G61" s="4364"/>
      <c r="H61" s="4364"/>
      <c r="I61" s="4364"/>
      <c r="J61" s="4364"/>
      <c r="K61" s="4364"/>
      <c r="L61" s="4366" t="s">
        <v>998</v>
      </c>
      <c r="M61" s="4366"/>
      <c r="N61" s="3760" t="s">
        <v>1060</v>
      </c>
      <c r="O61" s="4366" t="s">
        <v>999</v>
      </c>
      <c r="P61" s="4366"/>
      <c r="Q61" s="3760" t="s">
        <v>1060</v>
      </c>
      <c r="R61" s="4366" t="s">
        <v>995</v>
      </c>
      <c r="S61" s="4366"/>
      <c r="T61" s="3760" t="s">
        <v>1060</v>
      </c>
      <c r="U61" s="147"/>
    </row>
    <row r="62" spans="2:21" ht="17.25" customHeight="1">
      <c r="B62" s="1127"/>
      <c r="C62" s="4364" t="s">
        <v>985</v>
      </c>
      <c r="D62" s="4364"/>
      <c r="E62" s="4364"/>
      <c r="F62" s="4364"/>
      <c r="G62" s="4364"/>
      <c r="H62" s="4364"/>
      <c r="I62" s="4364"/>
      <c r="J62" s="4364"/>
      <c r="K62" s="4364"/>
      <c r="L62" s="4366" t="s">
        <v>1000</v>
      </c>
      <c r="M62" s="4366"/>
      <c r="N62" s="3760" t="s">
        <v>1060</v>
      </c>
      <c r="O62" s="4366" t="s">
        <v>1001</v>
      </c>
      <c r="P62" s="4366"/>
      <c r="Q62" s="3760" t="s">
        <v>1060</v>
      </c>
      <c r="R62" s="4366" t="s">
        <v>1002</v>
      </c>
      <c r="S62" s="4366"/>
      <c r="T62" s="3760" t="s">
        <v>1060</v>
      </c>
      <c r="U62" s="147"/>
    </row>
    <row r="63" spans="2:21" ht="17.25" customHeight="1">
      <c r="B63" s="1091"/>
      <c r="C63" s="4364" t="s">
        <v>986</v>
      </c>
      <c r="D63" s="4364"/>
      <c r="E63" s="4364"/>
      <c r="F63" s="4364"/>
      <c r="G63" s="4364"/>
      <c r="H63" s="4364"/>
      <c r="I63" s="4364"/>
      <c r="J63" s="4364"/>
      <c r="K63" s="4364"/>
      <c r="L63" s="4366" t="s">
        <v>1003</v>
      </c>
      <c r="M63" s="4366"/>
      <c r="N63" s="3760" t="s">
        <v>1060</v>
      </c>
      <c r="O63" s="4366" t="s">
        <v>1001</v>
      </c>
      <c r="P63" s="4366"/>
      <c r="Q63" s="3760" t="s">
        <v>1060</v>
      </c>
      <c r="R63" s="4366" t="s">
        <v>1004</v>
      </c>
      <c r="S63" s="4366"/>
      <c r="T63" s="3760" t="s">
        <v>1060</v>
      </c>
      <c r="U63" s="147"/>
    </row>
    <row r="64" spans="2:21" ht="17.25" customHeight="1">
      <c r="B64" s="1091"/>
      <c r="C64" s="4364" t="s">
        <v>987</v>
      </c>
      <c r="D64" s="4364"/>
      <c r="E64" s="4364"/>
      <c r="F64" s="4364"/>
      <c r="G64" s="4364"/>
      <c r="H64" s="4364"/>
      <c r="I64" s="4364"/>
      <c r="J64" s="4364"/>
      <c r="K64" s="4364"/>
      <c r="L64" s="4366" t="s">
        <v>1005</v>
      </c>
      <c r="M64" s="4366"/>
      <c r="N64" s="3760" t="s">
        <v>1060</v>
      </c>
      <c r="O64" s="4366" t="s">
        <v>1006</v>
      </c>
      <c r="P64" s="4366"/>
      <c r="Q64" s="3760" t="s">
        <v>1060</v>
      </c>
      <c r="R64" s="4366" t="s">
        <v>1007</v>
      </c>
      <c r="S64" s="4366"/>
      <c r="T64" s="3760" t="s">
        <v>1060</v>
      </c>
      <c r="U64" s="147"/>
    </row>
    <row r="65" spans="2:21" ht="17.25" customHeight="1">
      <c r="B65" s="1091"/>
      <c r="C65" s="4364" t="s">
        <v>988</v>
      </c>
      <c r="D65" s="4364"/>
      <c r="E65" s="4364"/>
      <c r="F65" s="4364"/>
      <c r="G65" s="4364"/>
      <c r="H65" s="4364"/>
      <c r="I65" s="4364"/>
      <c r="J65" s="4364"/>
      <c r="K65" s="4364"/>
      <c r="L65" s="4366" t="s">
        <v>1008</v>
      </c>
      <c r="M65" s="4366"/>
      <c r="N65" s="3760" t="s">
        <v>1060</v>
      </c>
      <c r="O65" s="4366" t="s">
        <v>1009</v>
      </c>
      <c r="P65" s="4366"/>
      <c r="Q65" s="3760" t="s">
        <v>1060</v>
      </c>
      <c r="R65" s="4366" t="s">
        <v>1010</v>
      </c>
      <c r="S65" s="4366"/>
      <c r="T65" s="3760" t="s">
        <v>1060</v>
      </c>
      <c r="U65" s="147"/>
    </row>
    <row r="66" spans="2:21" ht="17.25" customHeight="1">
      <c r="B66" s="1091"/>
      <c r="C66" s="4364" t="s">
        <v>989</v>
      </c>
      <c r="D66" s="4364"/>
      <c r="E66" s="4364"/>
      <c r="F66" s="4364"/>
      <c r="G66" s="4364"/>
      <c r="H66" s="4364"/>
      <c r="I66" s="4364"/>
      <c r="J66" s="4364"/>
      <c r="K66" s="4364"/>
      <c r="L66" s="4366" t="s">
        <v>997</v>
      </c>
      <c r="M66" s="4366"/>
      <c r="N66" s="3760" t="s">
        <v>1060</v>
      </c>
      <c r="O66" s="4366" t="s">
        <v>1011</v>
      </c>
      <c r="P66" s="4366"/>
      <c r="Q66" s="3760" t="s">
        <v>1060</v>
      </c>
      <c r="R66" s="4366" t="s">
        <v>1012</v>
      </c>
      <c r="S66" s="4366"/>
      <c r="T66" s="3760" t="s">
        <v>1060</v>
      </c>
      <c r="U66" s="147"/>
    </row>
    <row r="67" spans="2:21" ht="17.25" customHeight="1">
      <c r="B67" s="1091"/>
      <c r="C67" s="4364" t="s">
        <v>990</v>
      </c>
      <c r="D67" s="4364"/>
      <c r="E67" s="4364"/>
      <c r="F67" s="4364"/>
      <c r="G67" s="4364"/>
      <c r="H67" s="4364"/>
      <c r="I67" s="4364"/>
      <c r="J67" s="4364"/>
      <c r="K67" s="4364"/>
      <c r="L67" s="4366" t="s">
        <v>997</v>
      </c>
      <c r="M67" s="4366"/>
      <c r="N67" s="3760" t="s">
        <v>1060</v>
      </c>
      <c r="O67" s="4366" t="s">
        <v>1011</v>
      </c>
      <c r="P67" s="4366"/>
      <c r="Q67" s="3760" t="s">
        <v>1060</v>
      </c>
      <c r="R67" s="4366" t="s">
        <v>1012</v>
      </c>
      <c r="S67" s="4366"/>
      <c r="T67" s="3760" t="s">
        <v>1060</v>
      </c>
      <c r="U67" s="147"/>
    </row>
    <row r="68" spans="2:21" ht="17.25" customHeight="1">
      <c r="B68" s="1091"/>
      <c r="C68" s="4364" t="s">
        <v>991</v>
      </c>
      <c r="D68" s="4364"/>
      <c r="E68" s="4364"/>
      <c r="F68" s="4364"/>
      <c r="G68" s="4364"/>
      <c r="H68" s="4364"/>
      <c r="I68" s="4364"/>
      <c r="J68" s="4364"/>
      <c r="K68" s="4364"/>
      <c r="L68" s="4366" t="s">
        <v>1012</v>
      </c>
      <c r="M68" s="4366"/>
      <c r="N68" s="3760" t="s">
        <v>1060</v>
      </c>
      <c r="O68" s="4366" t="s">
        <v>1011</v>
      </c>
      <c r="P68" s="4366"/>
      <c r="Q68" s="3760" t="s">
        <v>1060</v>
      </c>
      <c r="R68" s="4366" t="s">
        <v>1013</v>
      </c>
      <c r="S68" s="4366"/>
      <c r="T68" s="3760" t="s">
        <v>1060</v>
      </c>
      <c r="U68" s="147"/>
    </row>
    <row r="69" spans="2:21" ht="17.25" customHeight="1">
      <c r="B69" s="1127"/>
      <c r="C69" s="4364" t="s">
        <v>992</v>
      </c>
      <c r="D69" s="4364"/>
      <c r="E69" s="4364"/>
      <c r="F69" s="4364"/>
      <c r="G69" s="4364"/>
      <c r="H69" s="4364"/>
      <c r="I69" s="4364"/>
      <c r="J69" s="4364"/>
      <c r="K69" s="4364"/>
      <c r="L69" s="4366" t="s">
        <v>1012</v>
      </c>
      <c r="M69" s="4366"/>
      <c r="N69" s="3760" t="s">
        <v>1060</v>
      </c>
      <c r="O69" s="4366" t="s">
        <v>1011</v>
      </c>
      <c r="P69" s="4366"/>
      <c r="Q69" s="3760" t="s">
        <v>1060</v>
      </c>
      <c r="R69" s="4366" t="s">
        <v>1013</v>
      </c>
      <c r="S69" s="4366"/>
      <c r="T69" s="3760" t="s">
        <v>1060</v>
      </c>
      <c r="U69" s="147"/>
    </row>
    <row r="70" spans="2:21" ht="17.25" customHeight="1">
      <c r="B70" s="1127"/>
      <c r="C70" s="4364" t="s">
        <v>993</v>
      </c>
      <c r="D70" s="4364"/>
      <c r="E70" s="4364"/>
      <c r="F70" s="4364"/>
      <c r="G70" s="4364"/>
      <c r="H70" s="4364"/>
      <c r="I70" s="4364"/>
      <c r="J70" s="4364"/>
      <c r="K70" s="4364"/>
      <c r="L70" s="4366" t="s">
        <v>1012</v>
      </c>
      <c r="M70" s="4366"/>
      <c r="N70" s="3760" t="s">
        <v>1060</v>
      </c>
      <c r="O70" s="4366" t="s">
        <v>1011</v>
      </c>
      <c r="P70" s="4366"/>
      <c r="Q70" s="3760" t="s">
        <v>1060</v>
      </c>
      <c r="R70" s="4366" t="s">
        <v>1013</v>
      </c>
      <c r="S70" s="4366"/>
      <c r="T70" s="3760" t="s">
        <v>1060</v>
      </c>
      <c r="U70" s="147"/>
    </row>
    <row r="71" spans="2:21" ht="17.25" customHeight="1">
      <c r="B71" s="1091"/>
      <c r="C71" s="4364" t="s">
        <v>994</v>
      </c>
      <c r="D71" s="4364"/>
      <c r="E71" s="4364"/>
      <c r="F71" s="4364"/>
      <c r="G71" s="4364"/>
      <c r="H71" s="4364"/>
      <c r="I71" s="4364"/>
      <c r="J71" s="4364"/>
      <c r="K71" s="4364"/>
      <c r="L71" s="4366" t="s">
        <v>1012</v>
      </c>
      <c r="M71" s="4366"/>
      <c r="N71" s="3760" t="s">
        <v>1060</v>
      </c>
      <c r="O71" s="4366" t="s">
        <v>1011</v>
      </c>
      <c r="P71" s="4366"/>
      <c r="Q71" s="3760" t="s">
        <v>1060</v>
      </c>
      <c r="R71" s="4366" t="s">
        <v>1013</v>
      </c>
      <c r="S71" s="4366"/>
      <c r="T71" s="3760" t="s">
        <v>1060</v>
      </c>
      <c r="U71" s="147"/>
    </row>
    <row r="72" spans="2:21" ht="6" customHeight="1">
      <c r="B72" s="147"/>
      <c r="C72" s="143"/>
      <c r="D72" s="144"/>
      <c r="E72" s="144"/>
      <c r="F72" s="144"/>
      <c r="G72" s="144"/>
      <c r="H72" s="144"/>
      <c r="I72" s="144"/>
      <c r="J72" s="144"/>
      <c r="K72" s="144"/>
      <c r="L72" s="144"/>
      <c r="M72" s="144"/>
      <c r="N72" s="144"/>
      <c r="O72" s="144"/>
      <c r="P72" s="144"/>
      <c r="Q72" s="144"/>
      <c r="R72" s="144"/>
      <c r="S72" s="144"/>
      <c r="T72" s="144"/>
      <c r="U72" s="149"/>
    </row>
    <row r="73" spans="2:21" ht="17.25" customHeight="1">
      <c r="B73" s="147" t="s">
        <v>133</v>
      </c>
      <c r="C73" s="1130" t="s">
        <v>1015</v>
      </c>
      <c r="D73" s="1131"/>
      <c r="E73" s="1131"/>
      <c r="F73" s="149"/>
      <c r="G73" s="149"/>
      <c r="H73" s="149"/>
      <c r="I73" s="149"/>
      <c r="J73" s="149"/>
      <c r="K73" s="149"/>
      <c r="L73" s="149"/>
      <c r="M73" s="149"/>
      <c r="N73" s="149"/>
      <c r="O73" s="149"/>
      <c r="P73" s="149"/>
      <c r="Q73" s="149"/>
      <c r="R73" s="149"/>
      <c r="S73" s="149"/>
      <c r="T73" s="149"/>
      <c r="U73" s="149"/>
    </row>
    <row r="74" spans="2:21" ht="17.25" customHeight="1">
      <c r="B74" s="1135"/>
      <c r="C74" s="1130" t="s">
        <v>1014</v>
      </c>
      <c r="D74" s="1131"/>
      <c r="E74" s="1131"/>
      <c r="F74" s="149"/>
      <c r="G74" s="149"/>
      <c r="H74" s="149"/>
      <c r="I74" s="149"/>
      <c r="J74" s="149"/>
      <c r="K74" s="149"/>
      <c r="L74" s="149"/>
      <c r="M74" s="149"/>
      <c r="N74" s="149"/>
      <c r="O74" s="149"/>
      <c r="P74" s="149"/>
      <c r="Q74" s="149"/>
      <c r="R74" s="149"/>
      <c r="S74" s="149"/>
      <c r="T74" s="149"/>
      <c r="U74" s="149"/>
    </row>
    <row r="75" spans="2:21" ht="17.25" customHeight="1">
      <c r="B75" s="1090"/>
      <c r="C75" s="3761"/>
      <c r="D75" s="1112"/>
      <c r="E75" s="1133"/>
      <c r="F75" s="1092"/>
      <c r="G75" s="1092"/>
      <c r="H75" s="1092"/>
      <c r="I75" s="1092"/>
      <c r="J75" s="1092"/>
      <c r="K75" s="1092"/>
      <c r="L75" s="1092"/>
      <c r="M75" s="1092"/>
      <c r="N75" s="1092"/>
      <c r="O75" s="1092"/>
      <c r="P75" s="1092"/>
      <c r="Q75" s="1092"/>
      <c r="R75" s="1092"/>
      <c r="S75" s="1092"/>
      <c r="T75" s="1092"/>
      <c r="U75" s="149"/>
    </row>
    <row r="76" spans="2:21" ht="17.25" customHeight="1">
      <c r="B76" s="1090"/>
      <c r="C76" s="3761"/>
      <c r="D76" s="1112"/>
      <c r="E76" s="1134"/>
      <c r="F76" s="1093"/>
      <c r="G76" s="1093"/>
      <c r="H76" s="1093"/>
      <c r="I76" s="1093"/>
      <c r="J76" s="1093"/>
      <c r="K76" s="1093"/>
      <c r="L76" s="1093"/>
      <c r="M76" s="1093"/>
      <c r="N76" s="1093"/>
      <c r="O76" s="1093"/>
      <c r="P76" s="1093"/>
      <c r="Q76" s="1093"/>
      <c r="R76" s="1093"/>
      <c r="S76" s="1093"/>
      <c r="T76" s="1093"/>
      <c r="U76" s="149"/>
    </row>
    <row r="77" spans="2:21" ht="17.25" customHeight="1">
      <c r="B77" s="1090"/>
      <c r="C77" s="3761"/>
      <c r="D77" s="1112"/>
      <c r="E77" s="1134"/>
      <c r="F77" s="1093"/>
      <c r="G77" s="1093"/>
      <c r="H77" s="1093"/>
      <c r="I77" s="1093"/>
      <c r="J77" s="1093"/>
      <c r="K77" s="1093"/>
      <c r="L77" s="1093"/>
      <c r="M77" s="1093"/>
      <c r="N77" s="1093"/>
      <c r="O77" s="1093"/>
      <c r="P77" s="1093"/>
      <c r="Q77" s="1093"/>
      <c r="R77" s="1093"/>
      <c r="S77" s="1093"/>
      <c r="T77" s="1093"/>
      <c r="U77" s="149"/>
    </row>
    <row r="78" spans="2:21" ht="6" customHeight="1">
      <c r="B78" s="1090"/>
      <c r="C78" s="1094"/>
      <c r="D78" s="1090"/>
      <c r="E78" s="1099"/>
      <c r="F78" s="210"/>
      <c r="G78" s="210"/>
      <c r="H78" s="210"/>
      <c r="I78" s="210"/>
      <c r="J78" s="210"/>
      <c r="K78" s="210"/>
      <c r="L78" s="210"/>
      <c r="M78" s="210"/>
      <c r="N78" s="144"/>
      <c r="O78" s="144"/>
      <c r="P78" s="144"/>
      <c r="Q78" s="144"/>
      <c r="R78" s="144"/>
      <c r="S78" s="144"/>
      <c r="T78" s="144"/>
      <c r="U78" s="149"/>
    </row>
    <row r="79" spans="2:21" ht="17.25" customHeight="1">
      <c r="B79" s="147" t="s">
        <v>136</v>
      </c>
      <c r="C79" s="1130" t="s">
        <v>1016</v>
      </c>
      <c r="D79" s="1090"/>
      <c r="E79" s="1131"/>
      <c r="F79" s="149"/>
      <c r="G79" s="149"/>
      <c r="H79" s="149"/>
      <c r="I79" s="149"/>
      <c r="J79" s="149"/>
      <c r="K79" s="149"/>
      <c r="L79" s="149"/>
      <c r="M79" s="149"/>
      <c r="N79" s="149"/>
      <c r="O79" s="149"/>
      <c r="P79" s="149"/>
      <c r="Q79" s="149"/>
      <c r="R79" s="149"/>
      <c r="S79" s="149"/>
      <c r="T79" s="149"/>
      <c r="U79" s="149"/>
    </row>
    <row r="80" spans="2:21" ht="17.25" customHeight="1">
      <c r="B80" s="1090"/>
      <c r="C80" s="3761"/>
      <c r="D80" s="1112"/>
      <c r="E80" s="1133"/>
      <c r="F80" s="1133"/>
      <c r="G80" s="1133"/>
      <c r="H80" s="1133"/>
      <c r="I80" s="1133"/>
      <c r="J80" s="1133"/>
      <c r="K80" s="1133"/>
      <c r="L80" s="1133"/>
      <c r="M80" s="1133"/>
      <c r="N80" s="1133"/>
      <c r="O80" s="1133"/>
      <c r="P80" s="1133"/>
      <c r="Q80" s="1133"/>
      <c r="R80" s="1133"/>
      <c r="S80" s="1133"/>
      <c r="T80" s="1133"/>
      <c r="U80" s="149"/>
    </row>
    <row r="81" spans="2:21" ht="17.25" customHeight="1">
      <c r="B81" s="1090"/>
      <c r="C81" s="3761"/>
      <c r="D81" s="1134"/>
      <c r="E81" s="1134"/>
      <c r="F81" s="1134"/>
      <c r="G81" s="1134"/>
      <c r="H81" s="1134"/>
      <c r="I81" s="1134"/>
      <c r="J81" s="1134"/>
      <c r="K81" s="1134"/>
      <c r="L81" s="1134"/>
      <c r="M81" s="1134"/>
      <c r="N81" s="1134"/>
      <c r="O81" s="1134"/>
      <c r="P81" s="1134"/>
      <c r="Q81" s="1134"/>
      <c r="R81" s="1134"/>
      <c r="S81" s="1134"/>
      <c r="T81" s="1134"/>
      <c r="U81" s="149"/>
    </row>
    <row r="82" spans="2:21" ht="17.25" customHeight="1">
      <c r="B82" s="1135"/>
      <c r="C82" s="3762"/>
      <c r="D82" s="1134"/>
      <c r="E82" s="1134"/>
      <c r="F82" s="1134"/>
      <c r="G82" s="1134"/>
      <c r="H82" s="1134"/>
      <c r="I82" s="1134"/>
      <c r="J82" s="1134"/>
      <c r="K82" s="1134"/>
      <c r="L82" s="1134"/>
      <c r="M82" s="1134"/>
      <c r="N82" s="1134"/>
      <c r="O82" s="1134"/>
      <c r="P82" s="1134"/>
      <c r="Q82" s="1136"/>
      <c r="R82" s="1137"/>
      <c r="S82" s="1138"/>
      <c r="T82" s="1139"/>
    </row>
    <row r="83" spans="2:21" ht="6" customHeight="1">
      <c r="B83" s="1099"/>
      <c r="C83" s="1140"/>
      <c r="D83" s="1141"/>
      <c r="E83" s="1141"/>
      <c r="F83" s="1141"/>
      <c r="G83" s="1141"/>
      <c r="H83" s="1141"/>
      <c r="I83" s="1141"/>
      <c r="J83" s="1141"/>
      <c r="K83" s="1141"/>
      <c r="L83" s="1141"/>
      <c r="M83" s="1141"/>
      <c r="N83" s="1141"/>
      <c r="O83" s="1141"/>
      <c r="P83" s="1141"/>
      <c r="Q83" s="1142"/>
      <c r="R83" s="1143"/>
      <c r="S83" s="1144"/>
      <c r="T83" s="1145"/>
    </row>
    <row r="84" spans="2:21" ht="17.25" customHeight="1">
      <c r="B84" s="1146" t="s">
        <v>138</v>
      </c>
      <c r="C84" s="1146" t="s">
        <v>1017</v>
      </c>
      <c r="D84" s="1147"/>
      <c r="E84" s="1147"/>
      <c r="F84" s="1147"/>
      <c r="G84" s="1147"/>
      <c r="H84" s="1147"/>
      <c r="I84" s="1147"/>
      <c r="J84" s="1147"/>
      <c r="K84" s="1147"/>
      <c r="L84" s="1147"/>
      <c r="M84" s="1147"/>
      <c r="N84" s="1147"/>
      <c r="O84" s="1147"/>
      <c r="P84" s="1147"/>
      <c r="Q84" s="1148"/>
      <c r="R84" s="1149"/>
      <c r="S84" s="1150"/>
      <c r="T84" s="1151"/>
    </row>
    <row r="85" spans="2:21" ht="17.25" customHeight="1">
      <c r="B85" s="1135"/>
      <c r="C85" s="3763"/>
      <c r="D85" s="1152"/>
      <c r="E85" s="1133"/>
      <c r="F85" s="1133"/>
      <c r="G85" s="1133"/>
      <c r="H85" s="1133"/>
      <c r="I85" s="1133"/>
      <c r="J85" s="1133"/>
      <c r="K85" s="1133"/>
      <c r="L85" s="1133"/>
      <c r="M85" s="1133"/>
      <c r="N85" s="1133"/>
      <c r="O85" s="1133"/>
      <c r="P85" s="1133"/>
      <c r="Q85" s="1133"/>
      <c r="R85" s="1133"/>
      <c r="S85" s="1133"/>
      <c r="T85" s="1133"/>
    </row>
    <row r="86" spans="2:21" ht="17.25" customHeight="1">
      <c r="B86" s="1135"/>
      <c r="C86" s="3763"/>
      <c r="D86" s="1134"/>
      <c r="E86" s="1134"/>
      <c r="F86" s="1134"/>
      <c r="G86" s="1134"/>
      <c r="H86" s="1134"/>
      <c r="I86" s="1134"/>
      <c r="J86" s="1134"/>
      <c r="K86" s="1134"/>
      <c r="L86" s="1134"/>
      <c r="M86" s="1134"/>
      <c r="N86" s="1134"/>
      <c r="O86" s="1134"/>
      <c r="P86" s="1134"/>
      <c r="Q86" s="1134"/>
      <c r="R86" s="1134"/>
      <c r="S86" s="1134"/>
      <c r="T86" s="1134"/>
    </row>
    <row r="87" spans="2:21" ht="17.25" customHeight="1">
      <c r="B87" s="1099"/>
      <c r="C87" s="3763"/>
      <c r="D87" s="1134"/>
      <c r="E87" s="1134"/>
      <c r="F87" s="1134"/>
      <c r="G87" s="1134"/>
      <c r="H87" s="1134"/>
      <c r="I87" s="1134"/>
      <c r="J87" s="1134"/>
      <c r="K87" s="1134"/>
      <c r="L87" s="1134"/>
      <c r="M87" s="1134"/>
      <c r="N87" s="1134"/>
      <c r="O87" s="1134"/>
      <c r="P87" s="1153"/>
      <c r="Q87" s="1134"/>
      <c r="R87" s="1134"/>
      <c r="S87" s="1134"/>
      <c r="T87" s="1134"/>
    </row>
    <row r="88" spans="2:21" ht="6" customHeight="1">
      <c r="B88" s="1099"/>
      <c r="C88" s="1154"/>
      <c r="D88" s="1141"/>
      <c r="E88" s="1141"/>
      <c r="F88" s="1141"/>
      <c r="G88" s="1141"/>
      <c r="H88" s="1141"/>
      <c r="I88" s="1141"/>
      <c r="J88" s="1141"/>
      <c r="K88" s="1141"/>
      <c r="L88" s="1141"/>
      <c r="M88" s="1141"/>
      <c r="N88" s="1141"/>
      <c r="O88" s="1141"/>
      <c r="P88" s="1155"/>
      <c r="Q88" s="1141"/>
      <c r="R88" s="1141"/>
      <c r="S88" s="1141"/>
      <c r="T88" s="1141"/>
    </row>
    <row r="89" spans="2:21" ht="17.25" customHeight="1">
      <c r="B89" s="1146" t="s">
        <v>139</v>
      </c>
      <c r="C89" s="1146" t="s">
        <v>1018</v>
      </c>
      <c r="D89" s="1147"/>
      <c r="E89" s="1147"/>
      <c r="F89" s="1147"/>
      <c r="G89" s="1147"/>
      <c r="H89" s="1147"/>
      <c r="I89" s="1147"/>
      <c r="J89" s="1147"/>
      <c r="K89" s="1147"/>
      <c r="L89" s="1147"/>
      <c r="M89" s="1147"/>
      <c r="N89" s="1147"/>
      <c r="O89" s="1147"/>
      <c r="P89" s="1156"/>
      <c r="Q89" s="1147"/>
      <c r="R89" s="1147"/>
      <c r="S89" s="1147"/>
      <c r="T89" s="1147"/>
    </row>
    <row r="90" spans="2:21" ht="17.25" customHeight="1">
      <c r="B90" s="1089"/>
      <c r="C90" s="3763"/>
      <c r="D90" s="1133"/>
      <c r="E90" s="1133"/>
      <c r="F90" s="1133"/>
      <c r="G90" s="1133"/>
      <c r="H90" s="1133"/>
      <c r="I90" s="1133"/>
      <c r="J90" s="1133"/>
      <c r="K90" s="1133"/>
      <c r="L90" s="1133"/>
      <c r="M90" s="1133"/>
      <c r="N90" s="1133"/>
      <c r="O90" s="1133"/>
      <c r="P90" s="1134"/>
      <c r="Q90" s="1133"/>
      <c r="R90" s="1133"/>
      <c r="S90" s="1133"/>
      <c r="T90" s="1133"/>
    </row>
    <row r="91" spans="2:21" ht="17.25" customHeight="1">
      <c r="B91" s="1089"/>
      <c r="C91" s="3763"/>
      <c r="D91" s="1134"/>
      <c r="E91" s="1134"/>
      <c r="F91" s="1134"/>
      <c r="G91" s="1134"/>
      <c r="H91" s="1134"/>
      <c r="I91" s="1134"/>
      <c r="J91" s="1134"/>
      <c r="K91" s="1134"/>
      <c r="L91" s="1134"/>
      <c r="M91" s="1134"/>
      <c r="N91" s="1134"/>
      <c r="O91" s="1134"/>
      <c r="P91" s="1153"/>
      <c r="Q91" s="1134"/>
      <c r="R91" s="1134"/>
      <c r="S91" s="1134"/>
      <c r="T91" s="1134"/>
    </row>
    <row r="92" spans="2:21" ht="17.25" customHeight="1">
      <c r="B92" s="1157"/>
      <c r="C92" s="3763"/>
      <c r="D92" s="1134"/>
      <c r="E92" s="1134"/>
      <c r="F92" s="1134"/>
      <c r="G92" s="1134"/>
      <c r="H92" s="1134"/>
      <c r="I92" s="1134"/>
      <c r="J92" s="1134"/>
      <c r="K92" s="1134"/>
      <c r="L92" s="1134"/>
      <c r="M92" s="1134"/>
      <c r="N92" s="1134"/>
      <c r="O92" s="1134"/>
      <c r="P92" s="1153"/>
      <c r="Q92" s="1134"/>
      <c r="R92" s="1134"/>
      <c r="S92" s="1134"/>
      <c r="T92" s="1134"/>
    </row>
    <row r="93" spans="2:21" ht="6" customHeight="1">
      <c r="B93" s="1157"/>
      <c r="C93" s="1154"/>
      <c r="D93" s="1141"/>
      <c r="E93" s="1141"/>
      <c r="F93" s="1141"/>
      <c r="G93" s="1141"/>
      <c r="H93" s="1141"/>
      <c r="I93" s="1141"/>
      <c r="J93" s="1141"/>
      <c r="K93" s="1141"/>
      <c r="L93" s="1141"/>
      <c r="M93" s="1141"/>
      <c r="N93" s="1141"/>
      <c r="O93" s="1141"/>
      <c r="P93" s="1155"/>
      <c r="Q93" s="1141"/>
      <c r="R93" s="1141"/>
      <c r="S93" s="1141"/>
      <c r="T93" s="1141"/>
    </row>
    <row r="94" spans="2:21" ht="17.25" customHeight="1">
      <c r="B94" s="1146" t="s">
        <v>141</v>
      </c>
      <c r="C94" s="1146" t="s">
        <v>1019</v>
      </c>
      <c r="D94" s="1147"/>
      <c r="E94" s="1147"/>
      <c r="F94" s="1147"/>
      <c r="G94" s="1147"/>
      <c r="H94" s="1147"/>
      <c r="I94" s="1147"/>
      <c r="J94" s="1147"/>
      <c r="K94" s="1147"/>
      <c r="L94" s="1147"/>
      <c r="M94" s="1147"/>
      <c r="N94" s="1147"/>
      <c r="O94" s="1147"/>
      <c r="P94" s="1141"/>
      <c r="Q94" s="1147"/>
      <c r="R94" s="1147"/>
      <c r="S94" s="1147"/>
      <c r="T94" s="1147"/>
    </row>
    <row r="95" spans="2:21" ht="17.25" customHeight="1">
      <c r="B95" s="147"/>
      <c r="C95" s="3759"/>
      <c r="D95" s="1092"/>
      <c r="E95" s="1092"/>
      <c r="F95" s="1092"/>
      <c r="G95" s="1092"/>
      <c r="H95" s="1092"/>
      <c r="I95" s="1092"/>
      <c r="J95" s="1092"/>
      <c r="K95" s="1092"/>
      <c r="L95" s="1092"/>
      <c r="M95" s="1092"/>
      <c r="N95" s="1092"/>
      <c r="O95" s="1092"/>
      <c r="P95" s="1103"/>
      <c r="Q95" s="1092"/>
      <c r="R95" s="1092"/>
      <c r="S95" s="1092"/>
      <c r="T95" s="1092"/>
    </row>
    <row r="96" spans="2:21" ht="17.25" customHeight="1">
      <c r="B96" s="147"/>
      <c r="C96" s="3759"/>
      <c r="D96" s="1092"/>
      <c r="E96" s="1092"/>
      <c r="F96" s="1092"/>
      <c r="G96" s="1092"/>
      <c r="H96" s="1092"/>
      <c r="I96" s="1092"/>
      <c r="J96" s="1092"/>
      <c r="K96" s="1092"/>
      <c r="L96" s="1092"/>
      <c r="M96" s="1092"/>
      <c r="N96" s="1092"/>
      <c r="O96" s="1092"/>
      <c r="P96" s="1092"/>
      <c r="Q96" s="1092"/>
      <c r="R96" s="1092"/>
      <c r="S96" s="1092"/>
      <c r="T96" s="1092"/>
    </row>
    <row r="97" spans="2:20" ht="17.25" customHeight="1">
      <c r="B97" s="147"/>
      <c r="C97" s="3759"/>
      <c r="D97" s="1092"/>
      <c r="E97" s="1092"/>
      <c r="F97" s="1092"/>
      <c r="G97" s="1092"/>
      <c r="H97" s="1092"/>
      <c r="I97" s="1092"/>
      <c r="J97" s="1092"/>
      <c r="K97" s="1092"/>
      <c r="L97" s="1092"/>
      <c r="M97" s="1092"/>
      <c r="N97" s="1092"/>
      <c r="O97" s="1092"/>
      <c r="P97" s="1103"/>
      <c r="Q97" s="1092"/>
      <c r="R97" s="1092"/>
      <c r="S97" s="1092"/>
      <c r="T97" s="1092"/>
    </row>
    <row r="98" spans="2:20" ht="17.25" customHeight="1">
      <c r="B98" s="147"/>
      <c r="C98" s="143"/>
      <c r="D98" s="144"/>
      <c r="E98" s="144"/>
      <c r="F98" s="144"/>
      <c r="G98" s="144"/>
      <c r="H98" s="144"/>
      <c r="I98" s="144"/>
      <c r="J98" s="144"/>
      <c r="K98" s="144"/>
      <c r="L98" s="144"/>
      <c r="M98" s="144"/>
      <c r="N98" s="144"/>
      <c r="O98" s="144"/>
      <c r="P98" s="157"/>
      <c r="Q98" s="144"/>
      <c r="R98" s="144"/>
      <c r="S98" s="144"/>
      <c r="T98" s="144"/>
    </row>
    <row r="99" spans="2:20" ht="17.25" customHeight="1">
      <c r="B99" s="147"/>
      <c r="C99" s="148"/>
      <c r="D99" s="149"/>
      <c r="E99" s="149"/>
      <c r="F99" s="149"/>
      <c r="G99" s="149"/>
      <c r="H99" s="149"/>
      <c r="I99" s="149"/>
      <c r="J99" s="149"/>
      <c r="K99" s="1336" t="s">
        <v>1135</v>
      </c>
      <c r="L99" s="149"/>
      <c r="M99" s="149"/>
      <c r="N99" s="149"/>
      <c r="O99" s="149"/>
      <c r="P99" s="151"/>
      <c r="Q99" s="149"/>
      <c r="R99" s="149"/>
      <c r="S99" s="149"/>
      <c r="T99" s="149"/>
    </row>
    <row r="100" spans="2:20" ht="6" customHeight="1">
      <c r="B100" s="147"/>
      <c r="C100" s="148"/>
      <c r="D100" s="149"/>
      <c r="E100" s="149"/>
      <c r="F100" s="149"/>
      <c r="G100" s="149"/>
      <c r="H100" s="149"/>
      <c r="I100" s="149"/>
      <c r="J100" s="149"/>
      <c r="K100" s="149"/>
      <c r="L100" s="149"/>
      <c r="M100" s="149"/>
      <c r="N100" s="149"/>
      <c r="O100" s="149"/>
      <c r="P100" s="157"/>
      <c r="Q100" s="149"/>
      <c r="R100" s="149"/>
      <c r="S100" s="149"/>
      <c r="T100" s="149"/>
    </row>
    <row r="101" spans="2:20" ht="17.25" customHeight="1">
      <c r="B101" s="1121" t="s">
        <v>110</v>
      </c>
      <c r="C101" s="1126" t="s">
        <v>1020</v>
      </c>
      <c r="D101" s="164"/>
      <c r="E101" s="164"/>
      <c r="F101" s="164"/>
      <c r="G101" s="164"/>
      <c r="H101" s="164"/>
      <c r="I101" s="164"/>
      <c r="J101" s="164"/>
      <c r="K101" s="164"/>
      <c r="L101" s="164"/>
      <c r="M101" s="164"/>
      <c r="N101" s="164"/>
      <c r="O101" s="164"/>
      <c r="P101" s="1118"/>
      <c r="Q101" s="164"/>
      <c r="R101" s="164"/>
      <c r="S101" s="164"/>
      <c r="T101" s="164"/>
    </row>
    <row r="102" spans="2:20" ht="18" customHeight="1">
      <c r="B102" s="1128"/>
      <c r="C102" s="4365" t="s">
        <v>1021</v>
      </c>
      <c r="D102" s="4365"/>
      <c r="E102" s="4365"/>
      <c r="F102" s="4365"/>
      <c r="G102" s="4365"/>
      <c r="H102" s="4365"/>
      <c r="I102" s="4365" t="s">
        <v>1022</v>
      </c>
      <c r="J102" s="4365"/>
      <c r="K102" s="4365"/>
      <c r="L102" s="4365"/>
      <c r="M102" s="4365"/>
      <c r="N102" s="4365"/>
      <c r="O102" s="4365"/>
      <c r="P102" s="4365"/>
      <c r="Q102" s="4365"/>
      <c r="R102" s="4365"/>
      <c r="S102" s="4365"/>
      <c r="T102" s="4365"/>
    </row>
    <row r="103" spans="2:20" ht="18" customHeight="1">
      <c r="B103" s="1128"/>
      <c r="C103" s="4370" t="s">
        <v>1023</v>
      </c>
      <c r="D103" s="4371"/>
      <c r="E103" s="4371"/>
      <c r="F103" s="4371"/>
      <c r="G103" s="4371"/>
      <c r="H103" s="4372"/>
      <c r="I103" s="4359"/>
      <c r="J103" s="4359"/>
      <c r="K103" s="4359"/>
      <c r="L103" s="4359"/>
      <c r="M103" s="4359"/>
      <c r="N103" s="4359"/>
      <c r="O103" s="4359"/>
      <c r="P103" s="4359"/>
      <c r="Q103" s="4359"/>
      <c r="R103" s="4359"/>
      <c r="S103" s="4359"/>
      <c r="T103" s="4359"/>
    </row>
    <row r="104" spans="2:20" ht="18" customHeight="1">
      <c r="B104" s="1128"/>
      <c r="C104" s="4373"/>
      <c r="D104" s="4374"/>
      <c r="E104" s="4374"/>
      <c r="F104" s="4374"/>
      <c r="G104" s="4374"/>
      <c r="H104" s="4375"/>
      <c r="I104" s="4359"/>
      <c r="J104" s="4359"/>
      <c r="K104" s="4359"/>
      <c r="L104" s="4359"/>
      <c r="M104" s="4359"/>
      <c r="N104" s="4359"/>
      <c r="O104" s="4359"/>
      <c r="P104" s="4359"/>
      <c r="Q104" s="4359"/>
      <c r="R104" s="4359"/>
      <c r="S104" s="4359"/>
      <c r="T104" s="4359"/>
    </row>
    <row r="105" spans="2:20" ht="18" customHeight="1">
      <c r="B105" s="1128"/>
      <c r="C105" s="4376"/>
      <c r="D105" s="4377"/>
      <c r="E105" s="4377"/>
      <c r="F105" s="4377"/>
      <c r="G105" s="4377"/>
      <c r="H105" s="4378"/>
      <c r="I105" s="4359"/>
      <c r="J105" s="4359"/>
      <c r="K105" s="4359"/>
      <c r="L105" s="4359"/>
      <c r="M105" s="4359"/>
      <c r="N105" s="4359"/>
      <c r="O105" s="4359"/>
      <c r="P105" s="4359"/>
      <c r="Q105" s="4359"/>
      <c r="R105" s="4359"/>
      <c r="S105" s="4359"/>
      <c r="T105" s="4359"/>
    </row>
    <row r="106" spans="2:20" ht="18" customHeight="1">
      <c r="B106" s="1128"/>
      <c r="C106" s="4367" t="s">
        <v>1024</v>
      </c>
      <c r="D106" s="4367"/>
      <c r="E106" s="4367"/>
      <c r="F106" s="4367"/>
      <c r="G106" s="4367"/>
      <c r="H106" s="4367"/>
      <c r="I106" s="4379" t="s">
        <v>1092</v>
      </c>
      <c r="J106" s="4380"/>
      <c r="K106" s="4380"/>
      <c r="L106" s="4380"/>
      <c r="M106" s="4380"/>
      <c r="N106" s="4380"/>
      <c r="O106" s="4380"/>
      <c r="P106" s="4380"/>
      <c r="Q106" s="4380"/>
      <c r="R106" s="4380"/>
      <c r="S106" s="4380"/>
      <c r="T106" s="4381"/>
    </row>
    <row r="107" spans="2:20" ht="18" customHeight="1">
      <c r="B107" s="1128"/>
      <c r="C107" s="4367"/>
      <c r="D107" s="4367"/>
      <c r="E107" s="4367"/>
      <c r="F107" s="4367"/>
      <c r="G107" s="4367"/>
      <c r="H107" s="4367"/>
      <c r="I107" s="4359"/>
      <c r="J107" s="4359"/>
      <c r="K107" s="4359"/>
      <c r="L107" s="4359"/>
      <c r="M107" s="4359"/>
      <c r="N107" s="4359"/>
      <c r="O107" s="4359"/>
      <c r="P107" s="4359"/>
      <c r="Q107" s="4359"/>
      <c r="R107" s="4359"/>
      <c r="S107" s="4359"/>
      <c r="T107" s="4359"/>
    </row>
    <row r="108" spans="2:20" ht="18" customHeight="1">
      <c r="B108" s="1128"/>
      <c r="C108" s="4367"/>
      <c r="D108" s="4367"/>
      <c r="E108" s="4367"/>
      <c r="F108" s="4367"/>
      <c r="G108" s="4367"/>
      <c r="H108" s="4367"/>
      <c r="I108" s="4359"/>
      <c r="J108" s="4359"/>
      <c r="K108" s="4359"/>
      <c r="L108" s="4359"/>
      <c r="M108" s="4359"/>
      <c r="N108" s="4359"/>
      <c r="O108" s="4359"/>
      <c r="P108" s="4359"/>
      <c r="Q108" s="4359"/>
      <c r="R108" s="4359"/>
      <c r="S108" s="4359"/>
      <c r="T108" s="4359"/>
    </row>
    <row r="109" spans="2:20" ht="18" customHeight="1">
      <c r="B109" s="1128"/>
      <c r="C109" s="4370" t="s">
        <v>1025</v>
      </c>
      <c r="D109" s="4371"/>
      <c r="E109" s="4371"/>
      <c r="F109" s="4371"/>
      <c r="G109" s="4371"/>
      <c r="H109" s="4372"/>
      <c r="I109" s="4359"/>
      <c r="J109" s="4359"/>
      <c r="K109" s="4359"/>
      <c r="L109" s="4359"/>
      <c r="M109" s="4359"/>
      <c r="N109" s="4359"/>
      <c r="O109" s="4359"/>
      <c r="P109" s="4359"/>
      <c r="Q109" s="4359"/>
      <c r="R109" s="4359"/>
      <c r="S109" s="4359"/>
      <c r="T109" s="4359"/>
    </row>
    <row r="110" spans="2:20" ht="18" customHeight="1">
      <c r="B110" s="1128"/>
      <c r="C110" s="4373"/>
      <c r="D110" s="4374"/>
      <c r="E110" s="4374"/>
      <c r="F110" s="4374"/>
      <c r="G110" s="4374"/>
      <c r="H110" s="4375"/>
      <c r="I110" s="4359"/>
      <c r="J110" s="4359"/>
      <c r="K110" s="4359"/>
      <c r="L110" s="4359"/>
      <c r="M110" s="4359"/>
      <c r="N110" s="4359"/>
      <c r="O110" s="4359"/>
      <c r="P110" s="4359"/>
      <c r="Q110" s="4359"/>
      <c r="R110" s="4359"/>
      <c r="S110" s="4359"/>
      <c r="T110" s="4359"/>
    </row>
    <row r="111" spans="2:20" ht="18" customHeight="1">
      <c r="B111" s="1128"/>
      <c r="C111" s="4376"/>
      <c r="D111" s="4377"/>
      <c r="E111" s="4377"/>
      <c r="F111" s="4377"/>
      <c r="G111" s="4377"/>
      <c r="H111" s="4378"/>
      <c r="I111" s="4359"/>
      <c r="J111" s="4359"/>
      <c r="K111" s="4359"/>
      <c r="L111" s="4359"/>
      <c r="M111" s="4359"/>
      <c r="N111" s="4359"/>
      <c r="O111" s="4359"/>
      <c r="P111" s="4359"/>
      <c r="Q111" s="4359"/>
      <c r="R111" s="4359"/>
      <c r="S111" s="4359"/>
      <c r="T111" s="4359"/>
    </row>
    <row r="112" spans="2:20" ht="18" customHeight="1">
      <c r="B112" s="1128"/>
      <c r="C112" s="4367" t="s">
        <v>1026</v>
      </c>
      <c r="D112" s="4367"/>
      <c r="E112" s="4367"/>
      <c r="F112" s="4367"/>
      <c r="G112" s="4367"/>
      <c r="H112" s="4367"/>
      <c r="I112" s="4359"/>
      <c r="J112" s="4359"/>
      <c r="K112" s="4359"/>
      <c r="L112" s="4359"/>
      <c r="M112" s="4359"/>
      <c r="N112" s="4359"/>
      <c r="O112" s="4359"/>
      <c r="P112" s="4359"/>
      <c r="Q112" s="4359"/>
      <c r="R112" s="4359"/>
      <c r="S112" s="4359"/>
      <c r="T112" s="4359"/>
    </row>
    <row r="113" spans="2:20" ht="18" customHeight="1">
      <c r="B113" s="1128"/>
      <c r="C113" s="4367"/>
      <c r="D113" s="4367"/>
      <c r="E113" s="4367"/>
      <c r="F113" s="4367"/>
      <c r="G113" s="4367"/>
      <c r="H113" s="4367"/>
      <c r="I113" s="4359"/>
      <c r="J113" s="4359"/>
      <c r="K113" s="4359"/>
      <c r="L113" s="4359"/>
      <c r="M113" s="4359"/>
      <c r="N113" s="4359"/>
      <c r="O113" s="4359"/>
      <c r="P113" s="4359"/>
      <c r="Q113" s="4359"/>
      <c r="R113" s="4359"/>
      <c r="S113" s="4359"/>
      <c r="T113" s="4359"/>
    </row>
    <row r="114" spans="2:20" ht="18" customHeight="1">
      <c r="B114" s="1128"/>
      <c r="C114" s="4367"/>
      <c r="D114" s="4367"/>
      <c r="E114" s="4367"/>
      <c r="F114" s="4367"/>
      <c r="G114" s="4367"/>
      <c r="H114" s="4367"/>
      <c r="I114" s="4359"/>
      <c r="J114" s="4359"/>
      <c r="K114" s="4359"/>
      <c r="L114" s="4359"/>
      <c r="M114" s="4359"/>
      <c r="N114" s="4359"/>
      <c r="O114" s="4359"/>
      <c r="P114" s="4359"/>
      <c r="Q114" s="4359"/>
      <c r="R114" s="4359"/>
      <c r="S114" s="4359"/>
      <c r="T114" s="4359"/>
    </row>
    <row r="115" spans="2:20" ht="18" customHeight="1">
      <c r="B115" s="1128"/>
      <c r="C115" s="4367" t="s">
        <v>1027</v>
      </c>
      <c r="D115" s="4367"/>
      <c r="E115" s="4367"/>
      <c r="F115" s="4367"/>
      <c r="G115" s="4367"/>
      <c r="H115" s="4367"/>
      <c r="I115" s="4359"/>
      <c r="J115" s="4359"/>
      <c r="K115" s="4359"/>
      <c r="L115" s="4359"/>
      <c r="M115" s="4359"/>
      <c r="N115" s="4359"/>
      <c r="O115" s="4359"/>
      <c r="P115" s="4359"/>
      <c r="Q115" s="4359"/>
      <c r="R115" s="4359"/>
      <c r="S115" s="4359"/>
      <c r="T115" s="4359"/>
    </row>
    <row r="116" spans="2:20" ht="18" customHeight="1">
      <c r="B116" s="1128"/>
      <c r="C116" s="4367"/>
      <c r="D116" s="4367"/>
      <c r="E116" s="4367"/>
      <c r="F116" s="4367"/>
      <c r="G116" s="4367"/>
      <c r="H116" s="4367"/>
      <c r="I116" s="4359"/>
      <c r="J116" s="4359"/>
      <c r="K116" s="4359"/>
      <c r="L116" s="4359"/>
      <c r="M116" s="4359"/>
      <c r="N116" s="4359"/>
      <c r="O116" s="4359"/>
      <c r="P116" s="4359"/>
      <c r="Q116" s="4359"/>
      <c r="R116" s="4359"/>
      <c r="S116" s="4359"/>
      <c r="T116" s="4359"/>
    </row>
    <row r="117" spans="2:20" ht="18" customHeight="1">
      <c r="B117" s="1128"/>
      <c r="C117" s="4367"/>
      <c r="D117" s="4367"/>
      <c r="E117" s="4367"/>
      <c r="F117" s="4367"/>
      <c r="G117" s="4367"/>
      <c r="H117" s="4367"/>
      <c r="I117" s="4359"/>
      <c r="J117" s="4359"/>
      <c r="K117" s="4359"/>
      <c r="L117" s="4359"/>
      <c r="M117" s="4359"/>
      <c r="N117" s="4359"/>
      <c r="O117" s="4359"/>
      <c r="P117" s="4359"/>
      <c r="Q117" s="4359"/>
      <c r="R117" s="4359"/>
      <c r="S117" s="4359"/>
      <c r="T117" s="4359"/>
    </row>
    <row r="118" spans="2:20" ht="18" customHeight="1">
      <c r="B118" s="1128"/>
      <c r="C118" s="4367" t="s">
        <v>1028</v>
      </c>
      <c r="D118" s="4367"/>
      <c r="E118" s="4367"/>
      <c r="F118" s="4367"/>
      <c r="G118" s="4367"/>
      <c r="H118" s="4367"/>
      <c r="I118" s="4359"/>
      <c r="J118" s="4359"/>
      <c r="K118" s="4359"/>
      <c r="L118" s="4359"/>
      <c r="M118" s="4359"/>
      <c r="N118" s="4359"/>
      <c r="O118" s="4359"/>
      <c r="P118" s="4359"/>
      <c r="Q118" s="4359"/>
      <c r="R118" s="4359"/>
      <c r="S118" s="4359"/>
      <c r="T118" s="4359"/>
    </row>
    <row r="119" spans="2:20" ht="18" customHeight="1">
      <c r="B119" s="1128"/>
      <c r="C119" s="4367"/>
      <c r="D119" s="4367"/>
      <c r="E119" s="4367"/>
      <c r="F119" s="4367"/>
      <c r="G119" s="4367"/>
      <c r="H119" s="4367"/>
      <c r="I119" s="4359"/>
      <c r="J119" s="4359"/>
      <c r="K119" s="4359"/>
      <c r="L119" s="4359"/>
      <c r="M119" s="4359"/>
      <c r="N119" s="4359"/>
      <c r="O119" s="4359"/>
      <c r="P119" s="4359"/>
      <c r="Q119" s="4359"/>
      <c r="R119" s="4359"/>
      <c r="S119" s="4359"/>
      <c r="T119" s="4359"/>
    </row>
    <row r="120" spans="2:20" ht="18" customHeight="1">
      <c r="B120" s="1091"/>
      <c r="C120" s="4367"/>
      <c r="D120" s="4367"/>
      <c r="E120" s="4367"/>
      <c r="F120" s="4367"/>
      <c r="G120" s="4367"/>
      <c r="H120" s="4367"/>
      <c r="I120" s="4359"/>
      <c r="J120" s="4359"/>
      <c r="K120" s="4359"/>
      <c r="L120" s="4359"/>
      <c r="M120" s="4359"/>
      <c r="N120" s="4359"/>
      <c r="O120" s="4359"/>
      <c r="P120" s="4359"/>
      <c r="Q120" s="4359"/>
      <c r="R120" s="4359"/>
      <c r="S120" s="4359"/>
      <c r="T120" s="4359"/>
    </row>
    <row r="121" spans="2:20" ht="18" customHeight="1">
      <c r="B121" s="1091"/>
      <c r="C121" s="4367" t="s">
        <v>1029</v>
      </c>
      <c r="D121" s="4367"/>
      <c r="E121" s="4367"/>
      <c r="F121" s="4367"/>
      <c r="G121" s="4367"/>
      <c r="H121" s="4367"/>
      <c r="I121" s="4359"/>
      <c r="J121" s="4359"/>
      <c r="K121" s="4359"/>
      <c r="L121" s="4359"/>
      <c r="M121" s="4359"/>
      <c r="N121" s="4359"/>
      <c r="O121" s="4359"/>
      <c r="P121" s="4359"/>
      <c r="Q121" s="4359"/>
      <c r="R121" s="4359"/>
      <c r="S121" s="4359"/>
      <c r="T121" s="4359"/>
    </row>
    <row r="122" spans="2:20" ht="18" customHeight="1">
      <c r="B122" s="1091"/>
      <c r="C122" s="4367"/>
      <c r="D122" s="4367"/>
      <c r="E122" s="4367"/>
      <c r="F122" s="4367"/>
      <c r="G122" s="4367"/>
      <c r="H122" s="4367"/>
      <c r="I122" s="4359"/>
      <c r="J122" s="4359"/>
      <c r="K122" s="4359"/>
      <c r="L122" s="4359"/>
      <c r="M122" s="4359"/>
      <c r="N122" s="4359"/>
      <c r="O122" s="4359"/>
      <c r="P122" s="4359"/>
      <c r="Q122" s="4359"/>
      <c r="R122" s="4359"/>
      <c r="S122" s="4359"/>
      <c r="T122" s="4359"/>
    </row>
    <row r="123" spans="2:20" ht="18" customHeight="1">
      <c r="B123" s="1091"/>
      <c r="C123" s="4367"/>
      <c r="D123" s="4367"/>
      <c r="E123" s="4367"/>
      <c r="F123" s="4367"/>
      <c r="G123" s="4367"/>
      <c r="H123" s="4367"/>
      <c r="I123" s="4359"/>
      <c r="J123" s="4359"/>
      <c r="K123" s="4359"/>
      <c r="L123" s="4359"/>
      <c r="M123" s="4359"/>
      <c r="N123" s="4359"/>
      <c r="O123" s="4359"/>
      <c r="P123" s="4359"/>
      <c r="Q123" s="4359"/>
      <c r="R123" s="4359"/>
      <c r="S123" s="4359"/>
      <c r="T123" s="4359"/>
    </row>
    <row r="124" spans="2:20" ht="17.25" customHeight="1">
      <c r="B124" s="147"/>
      <c r="C124" s="144"/>
      <c r="D124" s="144"/>
      <c r="E124" s="144"/>
      <c r="F124" s="144"/>
      <c r="G124" s="144"/>
      <c r="H124" s="144"/>
      <c r="I124" s="144"/>
      <c r="J124" s="144"/>
      <c r="K124" s="144"/>
      <c r="L124" s="144"/>
      <c r="M124" s="144"/>
      <c r="N124" s="144"/>
      <c r="O124" s="144"/>
      <c r="P124" s="144"/>
      <c r="Q124" s="144"/>
      <c r="R124" s="144"/>
      <c r="S124" s="144"/>
      <c r="T124" s="144"/>
    </row>
    <row r="125" spans="2:20" ht="17.25" customHeight="1">
      <c r="B125" s="1146" t="s">
        <v>112</v>
      </c>
      <c r="C125" s="1158" t="s">
        <v>1030</v>
      </c>
      <c r="D125" s="1131"/>
      <c r="E125" s="1131"/>
      <c r="F125" s="1131"/>
      <c r="G125" s="1131"/>
      <c r="H125" s="1131"/>
      <c r="I125" s="1131"/>
      <c r="J125" s="1131"/>
      <c r="K125" s="1131"/>
      <c r="L125" s="149"/>
      <c r="M125" s="149"/>
      <c r="N125" s="149"/>
      <c r="O125" s="149"/>
      <c r="P125" s="149"/>
      <c r="Q125" s="149"/>
      <c r="R125" s="149"/>
      <c r="S125" s="149"/>
      <c r="T125" s="149"/>
    </row>
    <row r="126" spans="2:20" ht="7.5" customHeight="1">
      <c r="B126" s="1146"/>
      <c r="C126" s="1158"/>
      <c r="D126" s="1131"/>
      <c r="E126" s="1131"/>
      <c r="F126" s="1131"/>
      <c r="G126" s="1131"/>
      <c r="H126" s="1131"/>
      <c r="I126" s="1131"/>
      <c r="J126" s="1131"/>
      <c r="K126" s="1131"/>
      <c r="L126" s="164"/>
      <c r="M126" s="164"/>
      <c r="N126" s="164"/>
      <c r="O126" s="164"/>
      <c r="P126" s="164"/>
      <c r="Q126" s="164"/>
      <c r="R126" s="164"/>
      <c r="S126" s="164"/>
      <c r="T126" s="164"/>
    </row>
    <row r="127" spans="2:20" ht="17.25" customHeight="1">
      <c r="B127" s="1146"/>
      <c r="C127" s="4361"/>
      <c r="D127" s="4361"/>
      <c r="E127" s="4361"/>
      <c r="F127" s="4361"/>
      <c r="G127" s="4361"/>
      <c r="H127" s="4361"/>
      <c r="I127" s="4361"/>
      <c r="J127" s="4361"/>
      <c r="K127" s="4361"/>
      <c r="L127" s="4360" t="s">
        <v>1033</v>
      </c>
      <c r="M127" s="4360"/>
      <c r="N127" s="4360"/>
      <c r="O127" s="4360" t="s">
        <v>1034</v>
      </c>
      <c r="P127" s="4360"/>
      <c r="Q127" s="4360"/>
      <c r="R127" s="4360" t="s">
        <v>1004</v>
      </c>
      <c r="S127" s="4360"/>
      <c r="T127" s="4360"/>
    </row>
    <row r="128" spans="2:20" ht="17.25" customHeight="1">
      <c r="B128" s="1146"/>
      <c r="C128" s="4347" t="s">
        <v>1036</v>
      </c>
      <c r="D128" s="4362"/>
      <c r="E128" s="4362"/>
      <c r="F128" s="4362"/>
      <c r="G128" s="4362"/>
      <c r="H128" s="4362"/>
      <c r="I128" s="4362"/>
      <c r="J128" s="4362"/>
      <c r="K128" s="4363"/>
      <c r="L128" s="4349" t="s">
        <v>1060</v>
      </c>
      <c r="M128" s="4350"/>
      <c r="N128" s="4351"/>
      <c r="O128" s="4349" t="s">
        <v>1060</v>
      </c>
      <c r="P128" s="4350"/>
      <c r="Q128" s="4351"/>
      <c r="R128" s="4349" t="s">
        <v>1060</v>
      </c>
      <c r="S128" s="4350"/>
      <c r="T128" s="4351"/>
    </row>
    <row r="129" spans="2:20" ht="17.25" customHeight="1">
      <c r="B129" s="1146"/>
      <c r="C129" s="4362"/>
      <c r="D129" s="4362"/>
      <c r="E129" s="4362"/>
      <c r="F129" s="4362"/>
      <c r="G129" s="4362"/>
      <c r="H129" s="4362"/>
      <c r="I129" s="4362"/>
      <c r="J129" s="4362"/>
      <c r="K129" s="4363"/>
      <c r="L129" s="4352"/>
      <c r="M129" s="4353"/>
      <c r="N129" s="4354"/>
      <c r="O129" s="4352"/>
      <c r="P129" s="4353"/>
      <c r="Q129" s="4354"/>
      <c r="R129" s="4352"/>
      <c r="S129" s="4353"/>
      <c r="T129" s="4354"/>
    </row>
    <row r="130" spans="2:20" ht="17.25" customHeight="1">
      <c r="B130" s="1146"/>
      <c r="C130" s="4362"/>
      <c r="D130" s="4362"/>
      <c r="E130" s="4362"/>
      <c r="F130" s="4362"/>
      <c r="G130" s="4362"/>
      <c r="H130" s="4362"/>
      <c r="I130" s="4362"/>
      <c r="J130" s="4362"/>
      <c r="K130" s="4363"/>
      <c r="L130" s="4352"/>
      <c r="M130" s="4353"/>
      <c r="N130" s="4354"/>
      <c r="O130" s="4352"/>
      <c r="P130" s="4353"/>
      <c r="Q130" s="4354"/>
      <c r="R130" s="4352"/>
      <c r="S130" s="4353"/>
      <c r="T130" s="4354"/>
    </row>
    <row r="131" spans="2:20" ht="17.25" customHeight="1">
      <c r="B131" s="1146"/>
      <c r="C131" s="4362"/>
      <c r="D131" s="4362"/>
      <c r="E131" s="4362"/>
      <c r="F131" s="4362"/>
      <c r="G131" s="4362"/>
      <c r="H131" s="4362"/>
      <c r="I131" s="4362"/>
      <c r="J131" s="4362"/>
      <c r="K131" s="4363"/>
      <c r="L131" s="4355"/>
      <c r="M131" s="4356"/>
      <c r="N131" s="4357"/>
      <c r="O131" s="4355"/>
      <c r="P131" s="4356"/>
      <c r="Q131" s="4357"/>
      <c r="R131" s="4355"/>
      <c r="S131" s="4356"/>
      <c r="T131" s="4357"/>
    </row>
    <row r="132" spans="2:20" ht="17.25" customHeight="1">
      <c r="B132" s="1146"/>
      <c r="C132" s="4347" t="s">
        <v>1031</v>
      </c>
      <c r="D132" s="4347"/>
      <c r="E132" s="4347"/>
      <c r="F132" s="4347"/>
      <c r="G132" s="4347"/>
      <c r="H132" s="4347"/>
      <c r="I132" s="4347"/>
      <c r="J132" s="4347"/>
      <c r="K132" s="4348"/>
      <c r="L132" s="4349" t="s">
        <v>1060</v>
      </c>
      <c r="M132" s="4350"/>
      <c r="N132" s="4351"/>
      <c r="O132" s="4349" t="s">
        <v>1060</v>
      </c>
      <c r="P132" s="4350"/>
      <c r="Q132" s="4351"/>
      <c r="R132" s="4349" t="s">
        <v>1060</v>
      </c>
      <c r="S132" s="4350"/>
      <c r="T132" s="4351"/>
    </row>
    <row r="133" spans="2:20" ht="17.25" customHeight="1">
      <c r="B133" s="1146"/>
      <c r="C133" s="4347"/>
      <c r="D133" s="4347"/>
      <c r="E133" s="4347"/>
      <c r="F133" s="4347"/>
      <c r="G133" s="4347"/>
      <c r="H133" s="4347"/>
      <c r="I133" s="4347"/>
      <c r="J133" s="4347"/>
      <c r="K133" s="4348"/>
      <c r="L133" s="4352"/>
      <c r="M133" s="4353"/>
      <c r="N133" s="4354"/>
      <c r="O133" s="4352"/>
      <c r="P133" s="4353"/>
      <c r="Q133" s="4354"/>
      <c r="R133" s="4352"/>
      <c r="S133" s="4353"/>
      <c r="T133" s="4354"/>
    </row>
    <row r="134" spans="2:20" ht="17.25" customHeight="1">
      <c r="B134" s="1146"/>
      <c r="C134" s="4347"/>
      <c r="D134" s="4347"/>
      <c r="E134" s="4347"/>
      <c r="F134" s="4347"/>
      <c r="G134" s="4347"/>
      <c r="H134" s="4347"/>
      <c r="I134" s="4347"/>
      <c r="J134" s="4347"/>
      <c r="K134" s="4348"/>
      <c r="L134" s="4352"/>
      <c r="M134" s="4353"/>
      <c r="N134" s="4354"/>
      <c r="O134" s="4352"/>
      <c r="P134" s="4353"/>
      <c r="Q134" s="4354"/>
      <c r="R134" s="4352"/>
      <c r="S134" s="4353"/>
      <c r="T134" s="4354"/>
    </row>
    <row r="135" spans="2:20" ht="17.25" customHeight="1">
      <c r="B135" s="1146"/>
      <c r="C135" s="4347"/>
      <c r="D135" s="4347"/>
      <c r="E135" s="4347"/>
      <c r="F135" s="4347"/>
      <c r="G135" s="4347"/>
      <c r="H135" s="4347"/>
      <c r="I135" s="4347"/>
      <c r="J135" s="4347"/>
      <c r="K135" s="4348"/>
      <c r="L135" s="4355"/>
      <c r="M135" s="4356"/>
      <c r="N135" s="4357"/>
      <c r="O135" s="4355"/>
      <c r="P135" s="4356"/>
      <c r="Q135" s="4357"/>
      <c r="R135" s="4355"/>
      <c r="S135" s="4356"/>
      <c r="T135" s="4357"/>
    </row>
    <row r="136" spans="2:20" ht="17.25" customHeight="1">
      <c r="B136" s="1146"/>
      <c r="C136" s="4347" t="s">
        <v>1032</v>
      </c>
      <c r="D136" s="4347"/>
      <c r="E136" s="4347"/>
      <c r="F136" s="4347"/>
      <c r="G136" s="4347"/>
      <c r="H136" s="4347"/>
      <c r="I136" s="4347"/>
      <c r="J136" s="4347"/>
      <c r="K136" s="4348"/>
      <c r="L136" s="4349" t="s">
        <v>1060</v>
      </c>
      <c r="M136" s="4350"/>
      <c r="N136" s="4351"/>
      <c r="O136" s="4349" t="s">
        <v>1060</v>
      </c>
      <c r="P136" s="4350"/>
      <c r="Q136" s="4351"/>
      <c r="R136" s="4349" t="s">
        <v>1060</v>
      </c>
      <c r="S136" s="4350"/>
      <c r="T136" s="4351"/>
    </row>
    <row r="137" spans="2:20" ht="17.25" customHeight="1">
      <c r="B137" s="1146"/>
      <c r="C137" s="4347"/>
      <c r="D137" s="4347"/>
      <c r="E137" s="4347"/>
      <c r="F137" s="4347"/>
      <c r="G137" s="4347"/>
      <c r="H137" s="4347"/>
      <c r="I137" s="4347"/>
      <c r="J137" s="4347"/>
      <c r="K137" s="4348"/>
      <c r="L137" s="4352"/>
      <c r="M137" s="4353"/>
      <c r="N137" s="4354"/>
      <c r="O137" s="4352"/>
      <c r="P137" s="4353"/>
      <c r="Q137" s="4354"/>
      <c r="R137" s="4352"/>
      <c r="S137" s="4353"/>
      <c r="T137" s="4354"/>
    </row>
    <row r="138" spans="2:20" ht="17.25" customHeight="1">
      <c r="B138" s="1146"/>
      <c r="C138" s="4347"/>
      <c r="D138" s="4347"/>
      <c r="E138" s="4347"/>
      <c r="F138" s="4347"/>
      <c r="G138" s="4347"/>
      <c r="H138" s="4347"/>
      <c r="I138" s="4347"/>
      <c r="J138" s="4347"/>
      <c r="K138" s="4348"/>
      <c r="L138" s="4352"/>
      <c r="M138" s="4353"/>
      <c r="N138" s="4354"/>
      <c r="O138" s="4352"/>
      <c r="P138" s="4353"/>
      <c r="Q138" s="4354"/>
      <c r="R138" s="4352"/>
      <c r="S138" s="4353"/>
      <c r="T138" s="4354"/>
    </row>
    <row r="139" spans="2:20" ht="17.25" customHeight="1">
      <c r="B139" s="1146"/>
      <c r="C139" s="4347"/>
      <c r="D139" s="4347"/>
      <c r="E139" s="4347"/>
      <c r="F139" s="4347"/>
      <c r="G139" s="4347"/>
      <c r="H139" s="4347"/>
      <c r="I139" s="4347"/>
      <c r="J139" s="4347"/>
      <c r="K139" s="4348"/>
      <c r="L139" s="4355"/>
      <c r="M139" s="4356"/>
      <c r="N139" s="4357"/>
      <c r="O139" s="4355"/>
      <c r="P139" s="4356"/>
      <c r="Q139" s="4357"/>
      <c r="R139" s="4355"/>
      <c r="S139" s="4356"/>
      <c r="T139" s="4357"/>
    </row>
    <row r="140" spans="2:20" ht="17.25" customHeight="1">
      <c r="B140" s="1146"/>
      <c r="C140" s="4347" t="s">
        <v>1035</v>
      </c>
      <c r="D140" s="4347"/>
      <c r="E140" s="4347"/>
      <c r="F140" s="4347"/>
      <c r="G140" s="4347"/>
      <c r="H140" s="4347"/>
      <c r="I140" s="4347"/>
      <c r="J140" s="4347"/>
      <c r="K140" s="4348"/>
      <c r="L140" s="4349" t="s">
        <v>1060</v>
      </c>
      <c r="M140" s="4350"/>
      <c r="N140" s="4351"/>
      <c r="O140" s="4349" t="s">
        <v>1060</v>
      </c>
      <c r="P140" s="4350"/>
      <c r="Q140" s="4351"/>
      <c r="R140" s="4349" t="s">
        <v>1060</v>
      </c>
      <c r="S140" s="4350"/>
      <c r="T140" s="4351"/>
    </row>
    <row r="141" spans="2:20" ht="17.25" customHeight="1">
      <c r="B141" s="1146"/>
      <c r="C141" s="4347"/>
      <c r="D141" s="4347"/>
      <c r="E141" s="4347"/>
      <c r="F141" s="4347"/>
      <c r="G141" s="4347"/>
      <c r="H141" s="4347"/>
      <c r="I141" s="4347"/>
      <c r="J141" s="4347"/>
      <c r="K141" s="4348"/>
      <c r="L141" s="4352"/>
      <c r="M141" s="4353"/>
      <c r="N141" s="4354"/>
      <c r="O141" s="4352"/>
      <c r="P141" s="4353"/>
      <c r="Q141" s="4354"/>
      <c r="R141" s="4352"/>
      <c r="S141" s="4353"/>
      <c r="T141" s="4354"/>
    </row>
    <row r="142" spans="2:20" ht="17.25" customHeight="1">
      <c r="B142" s="1146"/>
      <c r="C142" s="4347"/>
      <c r="D142" s="4347"/>
      <c r="E142" s="4347"/>
      <c r="F142" s="4347"/>
      <c r="G142" s="4347"/>
      <c r="H142" s="4347"/>
      <c r="I142" s="4347"/>
      <c r="J142" s="4347"/>
      <c r="K142" s="4348"/>
      <c r="L142" s="4352"/>
      <c r="M142" s="4353"/>
      <c r="N142" s="4354"/>
      <c r="O142" s="4352"/>
      <c r="P142" s="4353"/>
      <c r="Q142" s="4354"/>
      <c r="R142" s="4352"/>
      <c r="S142" s="4353"/>
      <c r="T142" s="4354"/>
    </row>
    <row r="143" spans="2:20" ht="17.25" customHeight="1">
      <c r="B143" s="1146"/>
      <c r="C143" s="4347"/>
      <c r="D143" s="4347"/>
      <c r="E143" s="4347"/>
      <c r="F143" s="4347"/>
      <c r="G143" s="4347"/>
      <c r="H143" s="4347"/>
      <c r="I143" s="4347"/>
      <c r="J143" s="4347"/>
      <c r="K143" s="4348"/>
      <c r="L143" s="4355"/>
      <c r="M143" s="4356"/>
      <c r="N143" s="4357"/>
      <c r="O143" s="4355"/>
      <c r="P143" s="4356"/>
      <c r="Q143" s="4357"/>
      <c r="R143" s="4355"/>
      <c r="S143" s="4356"/>
      <c r="T143" s="4357"/>
    </row>
    <row r="144" spans="2:20" ht="17.25" customHeight="1">
      <c r="B144" s="1146"/>
      <c r="C144" s="1158"/>
      <c r="D144" s="1131"/>
      <c r="E144" s="1131"/>
      <c r="F144" s="1131"/>
      <c r="G144" s="1131"/>
      <c r="H144" s="1131"/>
      <c r="I144" s="1131"/>
      <c r="J144" s="1131"/>
      <c r="K144" s="1131"/>
      <c r="L144" s="149"/>
      <c r="M144" s="149"/>
      <c r="N144" s="149"/>
      <c r="O144" s="149"/>
      <c r="P144" s="149"/>
      <c r="Q144" s="149"/>
      <c r="R144" s="149"/>
      <c r="S144" s="149"/>
      <c r="T144" s="149"/>
    </row>
    <row r="145" spans="2:20" ht="17.25" customHeight="1">
      <c r="B145" s="1159" t="s">
        <v>114</v>
      </c>
      <c r="C145" s="1160" t="s">
        <v>1019</v>
      </c>
      <c r="D145" s="1131"/>
      <c r="E145" s="1131"/>
      <c r="F145" s="1131"/>
      <c r="G145" s="1131"/>
      <c r="H145" s="1131"/>
      <c r="I145" s="1131"/>
      <c r="J145" s="1131"/>
      <c r="K145" s="1131"/>
      <c r="L145" s="149"/>
      <c r="M145" s="149"/>
      <c r="N145" s="149"/>
      <c r="O145" s="149"/>
      <c r="P145" s="149"/>
      <c r="Q145" s="149"/>
      <c r="R145" s="149"/>
      <c r="S145" s="149"/>
      <c r="T145" s="149"/>
    </row>
    <row r="146" spans="2:20" ht="17.25" customHeight="1">
      <c r="B146" s="1146"/>
      <c r="C146" s="3764"/>
      <c r="D146" s="1133"/>
      <c r="E146" s="1133"/>
      <c r="F146" s="1133"/>
      <c r="G146" s="1133"/>
      <c r="H146" s="1133"/>
      <c r="I146" s="1133"/>
      <c r="J146" s="1133"/>
      <c r="K146" s="1133"/>
      <c r="L146" s="1092"/>
      <c r="M146" s="1092"/>
      <c r="N146" s="1092"/>
      <c r="O146" s="1092"/>
      <c r="P146" s="1092"/>
      <c r="Q146" s="1092"/>
      <c r="R146" s="1092"/>
      <c r="S146" s="1092"/>
      <c r="T146" s="1092"/>
    </row>
    <row r="147" spans="2:20" ht="17.25" customHeight="1">
      <c r="B147" s="1146"/>
      <c r="C147" s="3764"/>
      <c r="D147" s="1134"/>
      <c r="E147" s="1134"/>
      <c r="F147" s="1134"/>
      <c r="G147" s="1134"/>
      <c r="H147" s="1134"/>
      <c r="I147" s="1134"/>
      <c r="J147" s="1134"/>
      <c r="K147" s="1134"/>
      <c r="L147" s="1093"/>
      <c r="M147" s="1093"/>
      <c r="N147" s="1093"/>
      <c r="O147" s="1093"/>
      <c r="P147" s="1093"/>
      <c r="Q147" s="1093"/>
      <c r="R147" s="1093"/>
      <c r="S147" s="1093"/>
      <c r="T147" s="1093"/>
    </row>
    <row r="148" spans="2:20" ht="17.25" customHeight="1">
      <c r="B148" s="1146"/>
      <c r="C148" s="1158"/>
      <c r="D148" s="1147"/>
      <c r="E148" s="1147"/>
      <c r="F148" s="1147"/>
      <c r="G148" s="1147"/>
      <c r="H148" s="1147"/>
      <c r="I148" s="1147"/>
      <c r="J148" s="1147"/>
      <c r="K148" s="1147"/>
      <c r="L148" s="144"/>
      <c r="M148" s="144"/>
      <c r="N148" s="144"/>
      <c r="O148" s="144"/>
      <c r="P148" s="144"/>
      <c r="Q148" s="144"/>
      <c r="R148" s="144"/>
      <c r="S148" s="144"/>
      <c r="T148" s="144"/>
    </row>
    <row r="149" spans="2:20" ht="17.25" customHeight="1">
      <c r="B149" s="1146"/>
      <c r="C149" s="1158"/>
      <c r="D149" s="1131"/>
      <c r="E149" s="1131"/>
      <c r="F149" s="1131"/>
      <c r="G149" s="1131"/>
      <c r="H149" s="1131"/>
      <c r="I149" s="1131"/>
      <c r="J149" s="1131"/>
      <c r="K149" s="1131"/>
      <c r="L149" s="149"/>
      <c r="M149" s="149"/>
      <c r="N149" s="149"/>
      <c r="O149" s="149"/>
      <c r="P149" s="149"/>
      <c r="Q149" s="149"/>
      <c r="R149" s="149"/>
      <c r="S149" s="149"/>
      <c r="T149" s="149"/>
    </row>
    <row r="150" spans="2:20" ht="17.25" customHeight="1">
      <c r="B150" s="1146"/>
      <c r="C150" s="1158"/>
      <c r="D150" s="1131"/>
      <c r="E150" s="1131"/>
      <c r="F150" s="1131"/>
      <c r="G150" s="1131"/>
      <c r="H150" s="1131"/>
      <c r="I150" s="1131"/>
      <c r="J150" s="1131"/>
      <c r="K150" s="1131"/>
      <c r="L150" s="149"/>
      <c r="M150" s="149"/>
      <c r="N150" s="149"/>
      <c r="O150" s="149"/>
      <c r="P150" s="149"/>
      <c r="Q150" s="149"/>
      <c r="R150" s="149"/>
      <c r="S150" s="149"/>
      <c r="T150" s="149"/>
    </row>
    <row r="151" spans="2:20" ht="17.25" customHeight="1">
      <c r="B151" s="147"/>
      <c r="C151" s="149"/>
      <c r="D151" s="149"/>
      <c r="E151" s="149"/>
      <c r="F151" s="149"/>
      <c r="G151" s="149"/>
      <c r="H151" s="149"/>
      <c r="I151" s="149"/>
      <c r="J151" s="149"/>
      <c r="K151" s="149"/>
      <c r="L151" s="149"/>
      <c r="M151" s="149"/>
      <c r="N151" s="149"/>
      <c r="O151" s="149"/>
      <c r="P151" s="149"/>
      <c r="Q151" s="149"/>
      <c r="R151" s="149"/>
      <c r="S151" s="149"/>
      <c r="T151" s="149"/>
    </row>
    <row r="152" spans="2:20" ht="17.25" customHeight="1">
      <c r="B152" s="147"/>
      <c r="C152" s="149"/>
      <c r="D152" s="149"/>
      <c r="E152" s="149"/>
      <c r="F152" s="149"/>
      <c r="G152" s="149"/>
      <c r="H152" s="149"/>
      <c r="I152" s="149"/>
      <c r="J152" s="149"/>
      <c r="K152" s="149"/>
      <c r="L152" s="149"/>
      <c r="M152" s="149"/>
      <c r="N152" s="149"/>
      <c r="O152" s="149"/>
      <c r="P152" s="149"/>
      <c r="Q152" s="149"/>
      <c r="R152" s="149"/>
      <c r="S152" s="149"/>
      <c r="T152" s="149"/>
    </row>
    <row r="153" spans="2:20" ht="17.25" customHeight="1">
      <c r="B153" s="147"/>
      <c r="C153" s="168"/>
      <c r="D153" s="164"/>
      <c r="E153" s="164"/>
      <c r="F153" s="164"/>
      <c r="G153" s="164"/>
      <c r="H153" s="164"/>
      <c r="I153" s="164"/>
      <c r="J153" s="149"/>
      <c r="K153" s="149"/>
      <c r="L153" s="164"/>
      <c r="M153" s="164"/>
      <c r="N153" s="164"/>
      <c r="O153" s="164"/>
      <c r="P153" s="164"/>
      <c r="Q153" s="149"/>
      <c r="R153" s="149"/>
      <c r="S153" s="149"/>
      <c r="T153" s="149"/>
    </row>
    <row r="154" spans="2:20" ht="17.25" customHeight="1">
      <c r="B154" s="147"/>
      <c r="C154" s="4390" t="str">
        <f>VLOOKUP(M5,'VISITA DE INSP.'!A17:AI36,4,4)</f>
        <v>AKE QUEB * MARIANA DEL CONSUELO</v>
      </c>
      <c r="D154" s="4391"/>
      <c r="E154" s="4391"/>
      <c r="F154" s="4391"/>
      <c r="G154" s="4391"/>
      <c r="H154" s="4391"/>
      <c r="I154" s="4391"/>
      <c r="J154" s="4391"/>
      <c r="K154" s="4392"/>
      <c r="L154" s="164"/>
      <c r="M154" s="164"/>
      <c r="N154" s="4393" t="s">
        <v>90</v>
      </c>
      <c r="O154" s="4394"/>
      <c r="P154" s="4394"/>
      <c r="Q154" s="4394"/>
      <c r="R154" s="4394"/>
      <c r="S154" s="4394"/>
      <c r="T154" s="4394"/>
    </row>
    <row r="155" spans="2:20" ht="17.25" customHeight="1">
      <c r="B155" s="147"/>
      <c r="C155" s="4246" t="s">
        <v>169</v>
      </c>
      <c r="D155" s="4247"/>
      <c r="E155" s="4247"/>
      <c r="F155" s="4247"/>
      <c r="G155" s="4247"/>
      <c r="H155" s="4247"/>
      <c r="I155" s="4247"/>
      <c r="J155" s="4247"/>
      <c r="K155" s="4388"/>
      <c r="L155" s="164"/>
      <c r="M155" s="164"/>
      <c r="N155" s="4246" t="s">
        <v>170</v>
      </c>
      <c r="O155" s="4247"/>
      <c r="P155" s="4247"/>
      <c r="Q155" s="4247"/>
      <c r="R155" s="4247"/>
      <c r="S155" s="4247"/>
      <c r="T155" s="4247"/>
    </row>
    <row r="156" spans="2:20" ht="17.25" customHeight="1">
      <c r="B156" s="169"/>
      <c r="C156" s="170"/>
      <c r="D156" s="164"/>
      <c r="E156" s="164"/>
      <c r="F156" s="164"/>
      <c r="G156" s="164"/>
      <c r="H156" s="164"/>
      <c r="I156" s="164"/>
      <c r="J156" s="164"/>
      <c r="K156" s="164"/>
      <c r="L156" s="164"/>
      <c r="M156" s="164"/>
      <c r="N156" s="164"/>
      <c r="O156" s="164"/>
      <c r="P156" s="164"/>
      <c r="Q156" s="226"/>
      <c r="R156" s="160"/>
      <c r="S156" s="161"/>
      <c r="T156" s="236"/>
    </row>
  </sheetData>
  <sheetProtection password="CE88" sheet="1" objects="1" scenarios="1" formatCells="0" selectLockedCells="1"/>
  <mergeCells count="178">
    <mergeCell ref="P10:T10"/>
    <mergeCell ref="O7:P7"/>
    <mergeCell ref="S7:T7"/>
    <mergeCell ref="Q34:R34"/>
    <mergeCell ref="O34:P34"/>
    <mergeCell ref="O22:P22"/>
    <mergeCell ref="C18:T18"/>
    <mergeCell ref="C19:T19"/>
    <mergeCell ref="L136:N139"/>
    <mergeCell ref="L128:N131"/>
    <mergeCell ref="R128:T131"/>
    <mergeCell ref="O128:Q131"/>
    <mergeCell ref="R132:T135"/>
    <mergeCell ref="B14:T14"/>
    <mergeCell ref="I113:T113"/>
    <mergeCell ref="R23:S23"/>
    <mergeCell ref="B16:E16"/>
    <mergeCell ref="C21:D21"/>
    <mergeCell ref="C23:D23"/>
    <mergeCell ref="C22:D22"/>
    <mergeCell ref="R21:S21"/>
    <mergeCell ref="S34:T34"/>
    <mergeCell ref="F21:G21"/>
    <mergeCell ref="I21:J21"/>
    <mergeCell ref="C155:K155"/>
    <mergeCell ref="N155:T155"/>
    <mergeCell ref="R22:S22"/>
    <mergeCell ref="C30:T30"/>
    <mergeCell ref="C31:T31"/>
    <mergeCell ref="C32:O32"/>
    <mergeCell ref="I109:T109"/>
    <mergeCell ref="I110:T110"/>
    <mergeCell ref="O21:P21"/>
    <mergeCell ref="R140:T143"/>
    <mergeCell ref="O140:Q143"/>
    <mergeCell ref="L140:N143"/>
    <mergeCell ref="C154:K154"/>
    <mergeCell ref="N154:T154"/>
    <mergeCell ref="R70:S70"/>
    <mergeCell ref="I111:T111"/>
    <mergeCell ref="I112:T112"/>
    <mergeCell ref="C106:H108"/>
    <mergeCell ref="C103:H105"/>
    <mergeCell ref="I103:T103"/>
    <mergeCell ref="O132:Q135"/>
    <mergeCell ref="F22:G22"/>
    <mergeCell ref="I23:J23"/>
    <mergeCell ref="I22:J22"/>
    <mergeCell ref="I107:T107"/>
    <mergeCell ref="B15:T15"/>
    <mergeCell ref="L23:M23"/>
    <mergeCell ref="L22:M22"/>
    <mergeCell ref="D44:N44"/>
    <mergeCell ref="I105:T105"/>
    <mergeCell ref="R71:S71"/>
    <mergeCell ref="L21:M21"/>
    <mergeCell ref="O23:P23"/>
    <mergeCell ref="F23:G23"/>
    <mergeCell ref="D43:N43"/>
    <mergeCell ref="D42:N42"/>
    <mergeCell ref="D41:N41"/>
    <mergeCell ref="D40:N40"/>
    <mergeCell ref="D39:N39"/>
    <mergeCell ref="D38:N38"/>
    <mergeCell ref="D37:N37"/>
    <mergeCell ref="D36:N36"/>
    <mergeCell ref="D35:N35"/>
    <mergeCell ref="C34:N34"/>
    <mergeCell ref="S35:T35"/>
    <mergeCell ref="S36:T36"/>
    <mergeCell ref="S37:T37"/>
    <mergeCell ref="S38:T38"/>
    <mergeCell ref="S39:T39"/>
    <mergeCell ref="O41:P41"/>
    <mergeCell ref="O42:P42"/>
    <mergeCell ref="O43:P43"/>
    <mergeCell ref="S43:T43"/>
    <mergeCell ref="Q35:R35"/>
    <mergeCell ref="Q36:R36"/>
    <mergeCell ref="Q37:R37"/>
    <mergeCell ref="Q38:R38"/>
    <mergeCell ref="Q39:R39"/>
    <mergeCell ref="O35:P35"/>
    <mergeCell ref="O36:P36"/>
    <mergeCell ref="O37:P37"/>
    <mergeCell ref="Q43:R43"/>
    <mergeCell ref="O38:P38"/>
    <mergeCell ref="O39:P39"/>
    <mergeCell ref="O40:P40"/>
    <mergeCell ref="S40:T40"/>
    <mergeCell ref="S41:T41"/>
    <mergeCell ref="S42:T42"/>
    <mergeCell ref="C112:H114"/>
    <mergeCell ref="C121:H123"/>
    <mergeCell ref="S44:T44"/>
    <mergeCell ref="C118:H120"/>
    <mergeCell ref="C115:H117"/>
    <mergeCell ref="C109:H111"/>
    <mergeCell ref="Q40:R40"/>
    <mergeCell ref="Q41:R41"/>
    <mergeCell ref="Q42:R42"/>
    <mergeCell ref="I104:T104"/>
    <mergeCell ref="Q44:R44"/>
    <mergeCell ref="O44:P44"/>
    <mergeCell ref="I108:T108"/>
    <mergeCell ref="R60:S60"/>
    <mergeCell ref="O61:P61"/>
    <mergeCell ref="O60:P60"/>
    <mergeCell ref="L71:M71"/>
    <mergeCell ref="L70:M70"/>
    <mergeCell ref="L69:M69"/>
    <mergeCell ref="L68:M68"/>
    <mergeCell ref="L67:M67"/>
    <mergeCell ref="R63:S63"/>
    <mergeCell ref="R68:S68"/>
    <mergeCell ref="I106:T106"/>
    <mergeCell ref="R67:S67"/>
    <mergeCell ref="R66:S66"/>
    <mergeCell ref="R65:S65"/>
    <mergeCell ref="R62:S62"/>
    <mergeCell ref="R61:S61"/>
    <mergeCell ref="O71:P71"/>
    <mergeCell ref="O70:P70"/>
    <mergeCell ref="O69:P69"/>
    <mergeCell ref="O68:P68"/>
    <mergeCell ref="O67:P67"/>
    <mergeCell ref="O66:P66"/>
    <mergeCell ref="O65:P65"/>
    <mergeCell ref="R69:S69"/>
    <mergeCell ref="R64:S64"/>
    <mergeCell ref="C66:K66"/>
    <mergeCell ref="C65:K65"/>
    <mergeCell ref="C64:K64"/>
    <mergeCell ref="C60:K60"/>
    <mergeCell ref="L59:T59"/>
    <mergeCell ref="C59:K59"/>
    <mergeCell ref="C102:H102"/>
    <mergeCell ref="I102:T102"/>
    <mergeCell ref="L60:M60"/>
    <mergeCell ref="C71:K71"/>
    <mergeCell ref="C70:K70"/>
    <mergeCell ref="C69:K69"/>
    <mergeCell ref="C68:K68"/>
    <mergeCell ref="C63:K63"/>
    <mergeCell ref="L66:M66"/>
    <mergeCell ref="L65:M65"/>
    <mergeCell ref="L64:M64"/>
    <mergeCell ref="L63:M63"/>
    <mergeCell ref="L62:M62"/>
    <mergeCell ref="C62:K62"/>
    <mergeCell ref="L61:M61"/>
    <mergeCell ref="O64:P64"/>
    <mergeCell ref="O63:P63"/>
    <mergeCell ref="O62:P62"/>
    <mergeCell ref="C140:K143"/>
    <mergeCell ref="R136:T139"/>
    <mergeCell ref="O136:Q139"/>
    <mergeCell ref="D7:L7"/>
    <mergeCell ref="I123:T123"/>
    <mergeCell ref="O127:Q127"/>
    <mergeCell ref="R127:T127"/>
    <mergeCell ref="C136:K139"/>
    <mergeCell ref="L127:N127"/>
    <mergeCell ref="C127:K127"/>
    <mergeCell ref="C128:K131"/>
    <mergeCell ref="C132:K135"/>
    <mergeCell ref="I119:T119"/>
    <mergeCell ref="I120:T120"/>
    <mergeCell ref="I121:T121"/>
    <mergeCell ref="I122:T122"/>
    <mergeCell ref="L132:N135"/>
    <mergeCell ref="I114:T114"/>
    <mergeCell ref="I115:T115"/>
    <mergeCell ref="I116:T116"/>
    <mergeCell ref="I117:T117"/>
    <mergeCell ref="I118:T118"/>
    <mergeCell ref="C61:K61"/>
    <mergeCell ref="C67:K67"/>
  </mergeCells>
  <conditionalFormatting sqref="C154:K154 O7:P7 Q8:T8 B1:D1">
    <cfRule type="cellIs" dxfId="820" priority="7" stopIfTrue="1" operator="equal">
      <formula>0</formula>
    </cfRule>
  </conditionalFormatting>
  <conditionalFormatting sqref="E21:E23 H21:H23 K21:K23 N21:N23 Q21:Q23 T21:T23">
    <cfRule type="cellIs" dxfId="819" priority="1" operator="equal">
      <formula>"S"</formula>
    </cfRule>
    <cfRule type="cellIs" dxfId="818" priority="2" operator="equal">
      <formula>"D"</formula>
    </cfRule>
    <cfRule type="cellIs" dxfId="817" priority="3" operator="equal">
      <formula>"Q"</formula>
    </cfRule>
    <cfRule type="cellIs" dxfId="816" priority="4" operator="equal">
      <formula>"O"</formula>
    </cfRule>
    <cfRule type="cellIs" dxfId="815" priority="5" operator="equal">
      <formula>"B"</formula>
    </cfRule>
    <cfRule type="cellIs" dxfId="814" priority="6" operator="equal">
      <formula>"M"</formula>
    </cfRule>
  </conditionalFormatting>
  <printOptions horizontalCentered="1"/>
  <pageMargins left="0.39370078740157483" right="0.31496062992125984" top="0.55118110236220474" bottom="0.35433070866141736" header="0.31496062992125984" footer="0"/>
  <pageSetup paperSize="9" scale="87" orientation="portrait" horizontalDpi="300" verticalDpi="300" r:id="rId1"/>
  <rowBreaks count="3" manualBreakCount="3">
    <brk id="50" min="1" max="20" man="1"/>
    <brk id="98" min="1" max="20" man="1"/>
    <brk id="144" min="1" max="20" man="1"/>
  </rowBreaks>
  <drawing r:id="rId2"/>
  <legacyDrawing r:id="rId3"/>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3">
    <tabColor rgb="FFFF0000"/>
  </sheetPr>
  <dimension ref="B1:U156"/>
  <sheetViews>
    <sheetView view="pageBreakPreview" topLeftCell="A60" zoomScale="85" zoomScaleSheetLayoutView="85" workbookViewId="0">
      <selection activeCell="L60" sqref="L60:N60"/>
    </sheetView>
  </sheetViews>
  <sheetFormatPr baseColWidth="10" defaultRowHeight="15.75"/>
  <cols>
    <col min="1" max="1" width="0.42578125" style="146" customWidth="1"/>
    <col min="2" max="2" width="3.85546875" style="146" customWidth="1"/>
    <col min="3" max="3" width="6.42578125" style="171" customWidth="1"/>
    <col min="4" max="4" width="6.42578125" style="146" customWidth="1"/>
    <col min="5" max="5" width="5.85546875" style="146" customWidth="1"/>
    <col min="6" max="6" width="6.85546875" style="146" customWidth="1"/>
    <col min="7" max="7" width="4.140625" style="146" customWidth="1"/>
    <col min="8" max="8" width="6.5703125" style="146" customWidth="1"/>
    <col min="9" max="16" width="6.28515625" style="146" customWidth="1"/>
    <col min="17" max="17" width="6.28515625" style="231" customWidth="1"/>
    <col min="18" max="19" width="6.28515625" style="172" customWidth="1"/>
    <col min="20" max="20" width="6.28515625" style="231" customWidth="1"/>
    <col min="21" max="21" width="0.42578125" style="146" customWidth="1"/>
    <col min="22" max="16384" width="11.42578125" style="146"/>
  </cols>
  <sheetData>
    <row r="1" spans="2:20" ht="16.5" customHeight="1">
      <c r="B1" s="1198" t="str">
        <f>VLOOKUP(L5,'VISITA DE INSP.'!A17:AI36,2,2)</f>
        <v>1º</v>
      </c>
      <c r="C1" s="1199" t="str">
        <f>VLOOKUP(L5,'VISITA DE INSP.'!A17:AI36,3,3)</f>
        <v>B</v>
      </c>
      <c r="D1" s="1200" t="str">
        <f>VLOOKUP(L5,'VISITA DE INSP.'!A17:AI36,4,4)</f>
        <v>AKE QUEB * MARIANA DEL CONSUELO</v>
      </c>
      <c r="E1" s="1147"/>
      <c r="F1" s="1147"/>
      <c r="G1" s="1147"/>
      <c r="H1" s="1147"/>
      <c r="I1" s="1090"/>
      <c r="J1" s="1147"/>
      <c r="K1" s="1201" t="s">
        <v>925</v>
      </c>
      <c r="L1" s="1147"/>
      <c r="M1" s="1147"/>
      <c r="N1" s="1147"/>
      <c r="O1" s="1090"/>
      <c r="P1" s="1201"/>
      <c r="Q1" s="1148"/>
      <c r="R1" s="1149"/>
      <c r="S1" s="1149"/>
      <c r="T1" s="1096"/>
    </row>
    <row r="2" spans="2:20" ht="16.5" customHeight="1">
      <c r="B2" s="1135"/>
      <c r="C2" s="1202"/>
      <c r="D2" s="1131"/>
      <c r="E2" s="1131"/>
      <c r="F2" s="1131"/>
      <c r="G2" s="1131"/>
      <c r="H2" s="1131"/>
      <c r="I2" s="1131"/>
      <c r="J2" s="1131"/>
      <c r="K2" s="1201" t="s">
        <v>926</v>
      </c>
      <c r="L2" s="1131"/>
      <c r="M2" s="1131"/>
      <c r="N2" s="1178"/>
      <c r="O2" s="1090"/>
      <c r="P2" s="1203"/>
      <c r="Q2" s="1204"/>
      <c r="R2" s="1098"/>
      <c r="S2" s="1098"/>
      <c r="T2" s="1204"/>
    </row>
    <row r="3" spans="2:20" ht="16.5" customHeight="1">
      <c r="B3" s="1135"/>
      <c r="C3" s="1202"/>
      <c r="D3" s="1131"/>
      <c r="E3" s="1131"/>
      <c r="F3" s="1131"/>
      <c r="G3" s="1131"/>
      <c r="H3" s="1131"/>
      <c r="I3" s="1131"/>
      <c r="J3" s="1131"/>
      <c r="K3" s="1201" t="s">
        <v>927</v>
      </c>
      <c r="L3" s="1131"/>
      <c r="M3" s="1131"/>
      <c r="N3" s="1131"/>
      <c r="O3" s="1090"/>
      <c r="P3" s="1205"/>
      <c r="Q3" s="1206"/>
      <c r="R3" s="1131"/>
      <c r="S3" s="1131"/>
      <c r="T3" s="1204"/>
    </row>
    <row r="4" spans="2:20" ht="16.5" customHeight="1">
      <c r="B4" s="1135"/>
      <c r="C4" s="1202"/>
      <c r="D4" s="1131"/>
      <c r="E4" s="1131"/>
      <c r="F4" s="1131"/>
      <c r="G4" s="1131"/>
      <c r="H4" s="1131"/>
      <c r="I4" s="1131"/>
      <c r="J4" s="1131"/>
      <c r="K4" s="1201" t="s">
        <v>928</v>
      </c>
      <c r="L4" s="1090"/>
      <c r="M4" s="1090"/>
      <c r="N4" s="1131"/>
      <c r="O4" s="1090"/>
      <c r="P4" s="1131"/>
      <c r="Q4" s="1207"/>
      <c r="R4" s="1173"/>
      <c r="S4" s="1131"/>
      <c r="T4" s="1204"/>
    </row>
    <row r="5" spans="2:20" ht="10.5" customHeight="1">
      <c r="B5" s="1090"/>
      <c r="C5" s="1094"/>
      <c r="D5" s="1090"/>
      <c r="E5" s="1090"/>
      <c r="F5" s="1090"/>
      <c r="G5" s="1090"/>
      <c r="H5" s="1090"/>
      <c r="I5" s="1090"/>
      <c r="J5" s="1169">
        <f>'VISITA DE INSP.'!T6</f>
        <v>1</v>
      </c>
      <c r="K5" s="1090"/>
      <c r="L5" s="1170">
        <v>3</v>
      </c>
      <c r="M5" s="1090"/>
      <c r="N5" s="1090"/>
      <c r="O5" s="1090"/>
      <c r="P5" s="1090"/>
      <c r="Q5" s="1096"/>
      <c r="R5" s="1097"/>
      <c r="S5" s="1097"/>
      <c r="T5" s="1096"/>
    </row>
    <row r="6" spans="2:20" ht="28.5" customHeight="1">
      <c r="B6" s="1090"/>
      <c r="C6" s="1094"/>
      <c r="D6" s="1090"/>
      <c r="E6" s="1090"/>
      <c r="F6" s="1090"/>
      <c r="G6" s="1090"/>
      <c r="H6" s="1090"/>
      <c r="I6" s="1090"/>
      <c r="J6" s="1090"/>
      <c r="K6" s="1095" t="s">
        <v>1040</v>
      </c>
      <c r="L6" s="1090"/>
      <c r="M6" s="1090"/>
      <c r="N6" s="1090"/>
      <c r="O6" s="1090"/>
      <c r="P6" s="1090"/>
      <c r="Q6" s="1096"/>
      <c r="R6" s="1097"/>
      <c r="S6" s="1097"/>
      <c r="T6" s="1096"/>
    </row>
    <row r="7" spans="2:20" ht="28.5" customHeight="1">
      <c r="B7" s="1248" t="s">
        <v>107</v>
      </c>
      <c r="C7" s="1249"/>
      <c r="D7" s="1184" t="str">
        <f>'VISITA DE INSP.'!E7</f>
        <v>KABAH</v>
      </c>
      <c r="E7" s="1184"/>
      <c r="F7" s="1184"/>
      <c r="G7" s="1184"/>
      <c r="H7" s="1184"/>
      <c r="I7" s="1184"/>
      <c r="J7" s="1184"/>
      <c r="K7" s="1183"/>
      <c r="L7" s="1253" t="s">
        <v>19</v>
      </c>
      <c r="M7" s="1184" t="str">
        <f>'VISITA DE INSP.'!V7</f>
        <v>23DPR0055K</v>
      </c>
      <c r="N7" s="1254"/>
      <c r="O7" s="1254"/>
      <c r="P7" s="1183"/>
      <c r="Q7" s="1253" t="s">
        <v>13</v>
      </c>
      <c r="R7" s="1246" t="str">
        <f>'VISITA DE INSP.'!AE7</f>
        <v>MATUTINO</v>
      </c>
      <c r="S7" s="1263"/>
      <c r="T7" s="1264"/>
    </row>
    <row r="8" spans="2:20" ht="28.5" customHeight="1">
      <c r="B8" s="1248" t="s">
        <v>921</v>
      </c>
      <c r="C8" s="1249"/>
      <c r="D8" s="1250"/>
      <c r="E8" s="1251" t="s">
        <v>1038</v>
      </c>
      <c r="F8" s="1252"/>
      <c r="G8" s="1250"/>
      <c r="H8" s="1250"/>
      <c r="I8" s="1253" t="s">
        <v>40</v>
      </c>
      <c r="J8" s="1184" t="s">
        <v>1039</v>
      </c>
      <c r="K8" s="1254"/>
      <c r="L8" s="1254"/>
      <c r="M8" s="1254"/>
      <c r="N8" s="1254"/>
      <c r="O8" s="1255"/>
      <c r="P8" s="1255"/>
      <c r="Q8" s="1253" t="s">
        <v>922</v>
      </c>
      <c r="R8" s="1251" t="s">
        <v>554</v>
      </c>
      <c r="S8" s="1251"/>
      <c r="T8" s="1251"/>
    </row>
    <row r="9" spans="2:20" ht="28.5" customHeight="1">
      <c r="B9" s="1256" t="s">
        <v>1074</v>
      </c>
      <c r="C9" s="1257"/>
      <c r="D9" s="1250"/>
      <c r="E9" s="1250"/>
      <c r="F9" s="1250"/>
      <c r="G9" s="1184" t="str">
        <f>'VISITA DE INSP.'!P41</f>
        <v>CERVANTES BENITEZ * ANTONIA</v>
      </c>
      <c r="H9" s="1254"/>
      <c r="I9" s="1254"/>
      <c r="J9" s="1254"/>
      <c r="K9" s="1254"/>
      <c r="L9" s="1254"/>
      <c r="M9" s="1254"/>
      <c r="N9" s="1254"/>
      <c r="O9" s="1254"/>
      <c r="P9" s="1254"/>
      <c r="Q9" s="1258"/>
      <c r="R9" s="1253" t="s">
        <v>183</v>
      </c>
      <c r="S9" s="1259" t="s">
        <v>100</v>
      </c>
      <c r="T9" s="1260"/>
    </row>
    <row r="10" spans="2:20" ht="28.5" customHeight="1">
      <c r="B10" s="1256" t="s">
        <v>1075</v>
      </c>
      <c r="C10" s="1249"/>
      <c r="D10" s="1250"/>
      <c r="E10" s="1250"/>
      <c r="F10" s="1250"/>
      <c r="G10" s="1261" t="s">
        <v>26</v>
      </c>
      <c r="H10" s="1252"/>
      <c r="I10" s="1252"/>
      <c r="J10" s="1262"/>
      <c r="K10" s="1252"/>
      <c r="L10" s="1252"/>
      <c r="M10" s="1252"/>
      <c r="N10" s="1250"/>
      <c r="O10" s="1253" t="s">
        <v>109</v>
      </c>
      <c r="P10" s="4404">
        <f ca="1">TODAY()</f>
        <v>41787</v>
      </c>
      <c r="Q10" s="4404"/>
      <c r="R10" s="4404"/>
      <c r="S10" s="4404"/>
      <c r="T10" s="4404"/>
    </row>
    <row r="11" spans="2:20" ht="6" customHeight="1">
      <c r="B11" s="1089"/>
      <c r="C11" s="1098"/>
      <c r="D11" s="1101"/>
      <c r="E11" s="1101"/>
      <c r="F11" s="1101"/>
      <c r="G11" s="1101"/>
      <c r="H11" s="1101"/>
      <c r="I11" s="1101"/>
      <c r="J11" s="1101"/>
      <c r="K11" s="1101"/>
      <c r="L11" s="1101"/>
      <c r="M11" s="1101"/>
      <c r="N11" s="1101"/>
      <c r="O11" s="1101"/>
      <c r="P11" s="1101"/>
      <c r="Q11" s="1101"/>
      <c r="R11" s="1101"/>
      <c r="S11" s="1101"/>
      <c r="T11" s="1101"/>
    </row>
    <row r="12" spans="2:20" ht="17.25" customHeight="1">
      <c r="B12" s="1089"/>
      <c r="C12" s="1131"/>
      <c r="D12" s="1147"/>
      <c r="E12" s="1147"/>
      <c r="F12" s="1147"/>
      <c r="G12" s="1147"/>
      <c r="H12" s="1147"/>
      <c r="I12" s="1147"/>
      <c r="J12" s="1147"/>
      <c r="K12" s="1090"/>
      <c r="L12" s="1090"/>
      <c r="M12" s="1147"/>
      <c r="N12" s="1147"/>
      <c r="O12" s="1147"/>
      <c r="P12" s="1090"/>
      <c r="Q12" s="1096"/>
      <c r="R12" s="1149"/>
      <c r="S12" s="1150"/>
      <c r="T12" s="1151"/>
    </row>
    <row r="13" spans="2:20" ht="6" customHeight="1">
      <c r="B13" s="1089"/>
      <c r="C13" s="1131"/>
      <c r="D13" s="1131"/>
      <c r="E13" s="1131"/>
      <c r="F13" s="1131"/>
      <c r="G13" s="1131"/>
      <c r="H13" s="1131"/>
      <c r="I13" s="1131"/>
      <c r="J13" s="1131"/>
      <c r="K13" s="1131"/>
      <c r="L13" s="1131"/>
      <c r="M13" s="1131"/>
      <c r="N13" s="1131"/>
      <c r="O13" s="1131"/>
      <c r="P13" s="1131"/>
      <c r="Q13" s="1131"/>
      <c r="R13" s="1131"/>
      <c r="S13" s="1131"/>
      <c r="T13" s="1131"/>
    </row>
    <row r="14" spans="2:20" ht="17.25" customHeight="1">
      <c r="B14" s="4405" t="s">
        <v>1041</v>
      </c>
      <c r="C14" s="4405"/>
      <c r="D14" s="4405"/>
      <c r="E14" s="4405"/>
      <c r="F14" s="4405"/>
      <c r="G14" s="4405"/>
      <c r="H14" s="4405"/>
      <c r="I14" s="4405"/>
      <c r="J14" s="4405"/>
      <c r="K14" s="4405"/>
      <c r="L14" s="4405"/>
      <c r="M14" s="4405"/>
      <c r="N14" s="4405"/>
      <c r="O14" s="4405"/>
      <c r="P14" s="4405"/>
      <c r="Q14" s="4405"/>
      <c r="R14" s="4405"/>
      <c r="S14" s="4405"/>
      <c r="T14" s="4406"/>
    </row>
    <row r="15" spans="2:20" ht="17.25" customHeight="1">
      <c r="B15" s="4407" t="s">
        <v>2025</v>
      </c>
      <c r="C15" s="4407"/>
      <c r="D15" s="4407"/>
      <c r="E15" s="4407"/>
      <c r="F15" s="4407"/>
      <c r="G15" s="4407"/>
      <c r="H15" s="4407"/>
      <c r="I15" s="4407"/>
      <c r="J15" s="4407"/>
      <c r="K15" s="4407"/>
      <c r="L15" s="4407"/>
      <c r="M15" s="4407"/>
      <c r="N15" s="4407"/>
      <c r="O15" s="4407"/>
      <c r="P15" s="4407"/>
      <c r="Q15" s="4407"/>
      <c r="R15" s="4407"/>
      <c r="S15" s="4407"/>
      <c r="T15" s="4408"/>
    </row>
    <row r="16" spans="2:20" ht="17.25" customHeight="1">
      <c r="B16" s="2814" t="s">
        <v>2026</v>
      </c>
      <c r="C16" s="2814"/>
      <c r="D16" s="2814"/>
      <c r="E16" s="2814"/>
      <c r="F16" s="2814"/>
      <c r="G16" s="2814"/>
      <c r="H16" s="2814"/>
      <c r="I16" s="2814"/>
      <c r="J16" s="2814"/>
      <c r="K16" s="2814"/>
      <c r="L16" s="2814"/>
      <c r="M16" s="2814"/>
      <c r="N16" s="2814"/>
      <c r="O16" s="2814"/>
      <c r="P16" s="2814"/>
      <c r="Q16" s="2814"/>
      <c r="R16" s="2815"/>
      <c r="S16" s="1202"/>
      <c r="T16" s="1202"/>
    </row>
    <row r="17" spans="2:20" ht="6" customHeight="1">
      <c r="B17" s="1131"/>
      <c r="C17" s="1131"/>
      <c r="D17" s="1131"/>
      <c r="E17" s="1131"/>
      <c r="F17" s="1131"/>
      <c r="G17" s="1131"/>
      <c r="H17" s="1131"/>
      <c r="I17" s="1131"/>
      <c r="J17" s="1131"/>
      <c r="K17" s="1131"/>
      <c r="L17" s="1131"/>
      <c r="M17" s="1131"/>
      <c r="N17" s="1131"/>
      <c r="O17" s="1131"/>
      <c r="P17" s="1131"/>
      <c r="Q17" s="1131"/>
      <c r="R17" s="1131"/>
      <c r="S17" s="1131"/>
      <c r="T17" s="1131"/>
    </row>
    <row r="18" spans="2:20" ht="17.25" customHeight="1">
      <c r="B18" s="1172"/>
      <c r="C18" s="1172"/>
      <c r="D18" s="1131"/>
      <c r="E18" s="1131"/>
      <c r="F18" s="1131"/>
      <c r="G18" s="1131"/>
      <c r="H18" s="1131"/>
      <c r="I18" s="1131"/>
      <c r="J18" s="1131"/>
      <c r="K18" s="1131"/>
      <c r="L18" s="1131"/>
      <c r="M18" s="1131"/>
      <c r="N18" s="1131"/>
      <c r="O18" s="1131"/>
      <c r="P18" s="1131"/>
      <c r="Q18" s="1131"/>
      <c r="R18" s="1131"/>
      <c r="S18" s="1131"/>
      <c r="T18" s="1131"/>
    </row>
    <row r="19" spans="2:20" ht="17.25" customHeight="1">
      <c r="B19" s="1172"/>
      <c r="C19" s="1172"/>
      <c r="D19" s="1131"/>
      <c r="E19" s="1131"/>
      <c r="F19" s="1131"/>
      <c r="G19" s="1131"/>
      <c r="H19" s="1131"/>
      <c r="I19" s="1131"/>
      <c r="J19" s="1131"/>
      <c r="L19" s="1340" t="s">
        <v>929</v>
      </c>
      <c r="M19" s="1131"/>
      <c r="N19" s="1131"/>
      <c r="O19" s="1131"/>
      <c r="P19" s="1147"/>
      <c r="Q19" s="1148"/>
      <c r="R19" s="1173"/>
      <c r="S19" s="1174"/>
      <c r="T19" s="1151"/>
    </row>
    <row r="20" spans="2:20" ht="6" customHeight="1">
      <c r="B20" s="1208"/>
      <c r="C20" s="1178"/>
      <c r="D20" s="1178"/>
      <c r="E20" s="1178"/>
      <c r="F20" s="1178"/>
      <c r="G20" s="1178"/>
      <c r="H20" s="1178"/>
      <c r="I20" s="1178"/>
      <c r="J20" s="1178"/>
      <c r="K20" s="1178"/>
      <c r="L20" s="1178"/>
      <c r="M20" s="1178"/>
      <c r="N20" s="1178"/>
      <c r="O20" s="1178"/>
      <c r="P20" s="1178"/>
      <c r="Q20" s="1209"/>
      <c r="R20" s="1210"/>
      <c r="S20" s="1211"/>
      <c r="T20" s="1212"/>
    </row>
    <row r="21" spans="2:20" ht="18" customHeight="1">
      <c r="B21" s="4417" t="s">
        <v>981</v>
      </c>
      <c r="C21" s="4418"/>
      <c r="D21" s="4418"/>
      <c r="E21" s="4418"/>
      <c r="F21" s="4418"/>
      <c r="G21" s="4418"/>
      <c r="H21" s="4419"/>
      <c r="I21" s="4412" t="s">
        <v>982</v>
      </c>
      <c r="J21" s="4413"/>
      <c r="K21" s="4413"/>
      <c r="L21" s="4413"/>
      <c r="M21" s="4413"/>
      <c r="N21" s="4413"/>
      <c r="O21" s="4413"/>
      <c r="P21" s="4413"/>
      <c r="Q21" s="4413"/>
      <c r="R21" s="4413"/>
      <c r="S21" s="4413"/>
      <c r="T21" s="4414"/>
    </row>
    <row r="22" spans="2:20" ht="18" customHeight="1">
      <c r="B22" s="4420"/>
      <c r="C22" s="4421"/>
      <c r="D22" s="4421"/>
      <c r="E22" s="4421"/>
      <c r="F22" s="4421"/>
      <c r="G22" s="4421"/>
      <c r="H22" s="4422"/>
      <c r="I22" s="4409" t="s">
        <v>1042</v>
      </c>
      <c r="J22" s="4410"/>
      <c r="K22" s="4411"/>
      <c r="L22" s="4409" t="s">
        <v>1043</v>
      </c>
      <c r="M22" s="4410"/>
      <c r="N22" s="4411"/>
      <c r="O22" s="4409" t="s">
        <v>1044</v>
      </c>
      <c r="P22" s="4410"/>
      <c r="Q22" s="4411"/>
      <c r="R22" s="4409" t="s">
        <v>1045</v>
      </c>
      <c r="S22" s="4410"/>
      <c r="T22" s="4411"/>
    </row>
    <row r="23" spans="2:20" ht="66" customHeight="1">
      <c r="B23" s="4425" t="s">
        <v>1046</v>
      </c>
      <c r="C23" s="4425"/>
      <c r="D23" s="4425"/>
      <c r="E23" s="4425"/>
      <c r="F23" s="4425"/>
      <c r="G23" s="4425"/>
      <c r="H23" s="4425"/>
      <c r="I23" s="4415" t="s">
        <v>1060</v>
      </c>
      <c r="J23" s="4416"/>
      <c r="K23" s="4416"/>
      <c r="L23" s="4415" t="s">
        <v>1060</v>
      </c>
      <c r="M23" s="4416"/>
      <c r="N23" s="4416"/>
      <c r="O23" s="4415" t="s">
        <v>1060</v>
      </c>
      <c r="P23" s="4416"/>
      <c r="Q23" s="4416"/>
      <c r="R23" s="4415" t="s">
        <v>1060</v>
      </c>
      <c r="S23" s="4416"/>
      <c r="T23" s="4416"/>
    </row>
    <row r="24" spans="2:20" ht="81.75" customHeight="1">
      <c r="B24" s="4425" t="s">
        <v>1047</v>
      </c>
      <c r="C24" s="4425"/>
      <c r="D24" s="4425"/>
      <c r="E24" s="4425"/>
      <c r="F24" s="4425"/>
      <c r="G24" s="4425"/>
      <c r="H24" s="4425"/>
      <c r="I24" s="4415" t="s">
        <v>1060</v>
      </c>
      <c r="J24" s="4416"/>
      <c r="K24" s="4416"/>
      <c r="L24" s="4415" t="s">
        <v>1060</v>
      </c>
      <c r="M24" s="4416"/>
      <c r="N24" s="4416"/>
      <c r="O24" s="4415" t="s">
        <v>1060</v>
      </c>
      <c r="P24" s="4416"/>
      <c r="Q24" s="4416"/>
      <c r="R24" s="4415" t="s">
        <v>1060</v>
      </c>
      <c r="S24" s="4416"/>
      <c r="T24" s="4416"/>
    </row>
    <row r="25" spans="2:20" ht="68.25" customHeight="1">
      <c r="B25" s="4425" t="s">
        <v>1048</v>
      </c>
      <c r="C25" s="4425"/>
      <c r="D25" s="4425"/>
      <c r="E25" s="4425"/>
      <c r="F25" s="4425"/>
      <c r="G25" s="4425"/>
      <c r="H25" s="4425"/>
      <c r="I25" s="4415" t="s">
        <v>1060</v>
      </c>
      <c r="J25" s="4416"/>
      <c r="K25" s="4416"/>
      <c r="L25" s="4415" t="s">
        <v>1060</v>
      </c>
      <c r="M25" s="4416"/>
      <c r="N25" s="4416"/>
      <c r="O25" s="4415" t="s">
        <v>1060</v>
      </c>
      <c r="P25" s="4416"/>
      <c r="Q25" s="4416"/>
      <c r="R25" s="4415" t="s">
        <v>1060</v>
      </c>
      <c r="S25" s="4416"/>
      <c r="T25" s="4416"/>
    </row>
    <row r="26" spans="2:20" ht="114" customHeight="1">
      <c r="B26" s="4425" t="s">
        <v>1049</v>
      </c>
      <c r="C26" s="4425"/>
      <c r="D26" s="4425"/>
      <c r="E26" s="4425"/>
      <c r="F26" s="4425"/>
      <c r="G26" s="4425"/>
      <c r="H26" s="4425"/>
      <c r="I26" s="4415" t="s">
        <v>1060</v>
      </c>
      <c r="J26" s="4416"/>
      <c r="K26" s="4416"/>
      <c r="L26" s="4415" t="s">
        <v>1060</v>
      </c>
      <c r="M26" s="4416"/>
      <c r="N26" s="4416"/>
      <c r="O26" s="4415" t="s">
        <v>1060</v>
      </c>
      <c r="P26" s="4416"/>
      <c r="Q26" s="4416"/>
      <c r="R26" s="4415" t="s">
        <v>1060</v>
      </c>
      <c r="S26" s="4416"/>
      <c r="T26" s="4416"/>
    </row>
    <row r="27" spans="2:20" ht="81" customHeight="1">
      <c r="B27" s="4425" t="s">
        <v>1050</v>
      </c>
      <c r="C27" s="4425"/>
      <c r="D27" s="4425"/>
      <c r="E27" s="4425"/>
      <c r="F27" s="4425"/>
      <c r="G27" s="4425"/>
      <c r="H27" s="4425"/>
      <c r="I27" s="4415" t="s">
        <v>1060</v>
      </c>
      <c r="J27" s="4416"/>
      <c r="K27" s="4416"/>
      <c r="L27" s="4415" t="s">
        <v>1060</v>
      </c>
      <c r="M27" s="4416"/>
      <c r="N27" s="4416"/>
      <c r="O27" s="4415" t="s">
        <v>1060</v>
      </c>
      <c r="P27" s="4416"/>
      <c r="Q27" s="4416"/>
      <c r="R27" s="4415" t="s">
        <v>1060</v>
      </c>
      <c r="S27" s="4416"/>
      <c r="T27" s="4416"/>
    </row>
    <row r="28" spans="2:20" ht="66.75" customHeight="1">
      <c r="B28" s="4425" t="s">
        <v>1051</v>
      </c>
      <c r="C28" s="4425"/>
      <c r="D28" s="4425"/>
      <c r="E28" s="4425"/>
      <c r="F28" s="4425"/>
      <c r="G28" s="4425"/>
      <c r="H28" s="4425"/>
      <c r="I28" s="4415" t="s">
        <v>1060</v>
      </c>
      <c r="J28" s="4416"/>
      <c r="K28" s="4416"/>
      <c r="L28" s="4415" t="s">
        <v>1060</v>
      </c>
      <c r="M28" s="4416"/>
      <c r="N28" s="4416"/>
      <c r="O28" s="4415" t="s">
        <v>1060</v>
      </c>
      <c r="P28" s="4416"/>
      <c r="Q28" s="4416"/>
      <c r="R28" s="4415" t="s">
        <v>1060</v>
      </c>
      <c r="S28" s="4416"/>
      <c r="T28" s="4416"/>
    </row>
    <row r="29" spans="2:20" ht="98.25" customHeight="1">
      <c r="B29" s="4425" t="s">
        <v>1052</v>
      </c>
      <c r="C29" s="4425"/>
      <c r="D29" s="4425"/>
      <c r="E29" s="4425"/>
      <c r="F29" s="4425"/>
      <c r="G29" s="4425"/>
      <c r="H29" s="4425"/>
      <c r="I29" s="4415" t="s">
        <v>1060</v>
      </c>
      <c r="J29" s="4416"/>
      <c r="K29" s="4416"/>
      <c r="L29" s="4415" t="s">
        <v>1060</v>
      </c>
      <c r="M29" s="4416"/>
      <c r="N29" s="4416"/>
      <c r="O29" s="4415" t="s">
        <v>1060</v>
      </c>
      <c r="P29" s="4416"/>
      <c r="Q29" s="4416"/>
      <c r="R29" s="4415" t="s">
        <v>1060</v>
      </c>
      <c r="S29" s="4416"/>
      <c r="T29" s="4416"/>
    </row>
    <row r="30" spans="2:20" ht="74.25" customHeight="1">
      <c r="B30" s="4425" t="s">
        <v>1061</v>
      </c>
      <c r="C30" s="4425"/>
      <c r="D30" s="4425"/>
      <c r="E30" s="4425"/>
      <c r="F30" s="4425"/>
      <c r="G30" s="4425"/>
      <c r="H30" s="4425"/>
      <c r="I30" s="4415" t="s">
        <v>1060</v>
      </c>
      <c r="J30" s="4416"/>
      <c r="K30" s="4416"/>
      <c r="L30" s="4415" t="s">
        <v>1060</v>
      </c>
      <c r="M30" s="4416"/>
      <c r="N30" s="4416"/>
      <c r="O30" s="4415" t="s">
        <v>1060</v>
      </c>
      <c r="P30" s="4416"/>
      <c r="Q30" s="4416"/>
      <c r="R30" s="4415" t="s">
        <v>1060</v>
      </c>
      <c r="S30" s="4416"/>
      <c r="T30" s="4416"/>
    </row>
    <row r="31" spans="2:20" ht="53.25" customHeight="1">
      <c r="B31" s="4425" t="s">
        <v>1062</v>
      </c>
      <c r="C31" s="4425"/>
      <c r="D31" s="4425"/>
      <c r="E31" s="4425"/>
      <c r="F31" s="4425"/>
      <c r="G31" s="4425"/>
      <c r="H31" s="4425"/>
      <c r="I31" s="4415" t="s">
        <v>1060</v>
      </c>
      <c r="J31" s="4416"/>
      <c r="K31" s="4416"/>
      <c r="L31" s="4415" t="s">
        <v>1060</v>
      </c>
      <c r="M31" s="4416"/>
      <c r="N31" s="4416"/>
      <c r="O31" s="4415" t="s">
        <v>1060</v>
      </c>
      <c r="P31" s="4416"/>
      <c r="Q31" s="4416"/>
      <c r="R31" s="4415" t="s">
        <v>1060</v>
      </c>
      <c r="S31" s="4416"/>
      <c r="T31" s="4416"/>
    </row>
    <row r="32" spans="2:20" ht="73.5" customHeight="1">
      <c r="B32" s="4425" t="s">
        <v>1063</v>
      </c>
      <c r="C32" s="4425"/>
      <c r="D32" s="4425"/>
      <c r="E32" s="4425"/>
      <c r="F32" s="4425"/>
      <c r="G32" s="4425"/>
      <c r="H32" s="4425"/>
      <c r="I32" s="4415" t="s">
        <v>1060</v>
      </c>
      <c r="J32" s="4416"/>
      <c r="K32" s="4416"/>
      <c r="L32" s="4415" t="s">
        <v>1060</v>
      </c>
      <c r="M32" s="4416"/>
      <c r="N32" s="4416"/>
      <c r="O32" s="4415" t="s">
        <v>1060</v>
      </c>
      <c r="P32" s="4416"/>
      <c r="Q32" s="4416"/>
      <c r="R32" s="4415" t="s">
        <v>1060</v>
      </c>
      <c r="S32" s="4416"/>
      <c r="T32" s="4416"/>
    </row>
    <row r="33" spans="2:20" ht="73.5" customHeight="1">
      <c r="B33" s="4425" t="s">
        <v>1064</v>
      </c>
      <c r="C33" s="4425"/>
      <c r="D33" s="4425"/>
      <c r="E33" s="4425"/>
      <c r="F33" s="4425"/>
      <c r="G33" s="4425"/>
      <c r="H33" s="4425"/>
      <c r="I33" s="4415" t="s">
        <v>1060</v>
      </c>
      <c r="J33" s="4416"/>
      <c r="K33" s="4416"/>
      <c r="L33" s="4415" t="s">
        <v>1060</v>
      </c>
      <c r="M33" s="4416"/>
      <c r="N33" s="4416"/>
      <c r="O33" s="4415" t="s">
        <v>1060</v>
      </c>
      <c r="P33" s="4416"/>
      <c r="Q33" s="4416"/>
      <c r="R33" s="4415" t="s">
        <v>1060</v>
      </c>
      <c r="S33" s="4416"/>
      <c r="T33" s="4416"/>
    </row>
    <row r="34" spans="2:20" ht="17.25" customHeight="1">
      <c r="B34" s="1099"/>
      <c r="C34" s="1213"/>
      <c r="D34" s="1213"/>
      <c r="E34" s="1213"/>
      <c r="F34" s="1213"/>
      <c r="G34" s="1213"/>
      <c r="H34" s="1213"/>
      <c r="I34" s="1213"/>
      <c r="J34" s="1213"/>
      <c r="K34" s="1213"/>
      <c r="L34" s="1213"/>
      <c r="M34" s="1213"/>
      <c r="N34" s="1213"/>
      <c r="O34" s="1214"/>
      <c r="P34" s="1214"/>
      <c r="Q34" s="1214"/>
      <c r="R34" s="1214"/>
      <c r="S34" s="1214"/>
      <c r="T34" s="1214"/>
    </row>
    <row r="35" spans="2:20" ht="25.5" customHeight="1">
      <c r="B35" s="1099"/>
      <c r="C35" s="1215"/>
      <c r="D35" s="1216"/>
      <c r="E35" s="1216"/>
      <c r="F35" s="1216"/>
      <c r="G35" s="1216"/>
      <c r="H35" s="1216"/>
      <c r="I35" s="1216"/>
      <c r="J35" s="1216"/>
      <c r="K35" s="1216"/>
      <c r="L35" s="1216"/>
      <c r="M35" s="1216"/>
      <c r="N35" s="1216"/>
      <c r="O35" s="1192"/>
      <c r="P35" s="1192"/>
      <c r="Q35" s="1217"/>
      <c r="R35" s="1217"/>
      <c r="S35" s="1213"/>
      <c r="T35" s="1213"/>
    </row>
    <row r="36" spans="2:20" ht="25.5" customHeight="1">
      <c r="B36" s="1099"/>
      <c r="C36" s="1215"/>
      <c r="D36" s="1216"/>
      <c r="E36" s="1216"/>
      <c r="F36" s="1216"/>
      <c r="G36" s="1216"/>
      <c r="H36" s="1216"/>
      <c r="I36" s="1216"/>
      <c r="J36" s="1216"/>
      <c r="K36" s="1090"/>
      <c r="L36" s="1340" t="s">
        <v>1053</v>
      </c>
      <c r="M36" s="1216"/>
      <c r="N36" s="1216"/>
      <c r="O36" s="1192"/>
      <c r="P36" s="1192"/>
      <c r="Q36" s="1217"/>
      <c r="R36" s="1217"/>
      <c r="S36" s="1213"/>
      <c r="T36" s="1213"/>
    </row>
    <row r="37" spans="2:20" ht="25.5" customHeight="1">
      <c r="B37" s="1099"/>
      <c r="C37" s="1215"/>
      <c r="D37" s="1216"/>
      <c r="E37" s="1216"/>
      <c r="F37" s="1216"/>
      <c r="G37" s="1216"/>
      <c r="H37" s="1216"/>
      <c r="I37" s="1216"/>
      <c r="J37" s="1216"/>
      <c r="K37" s="1216"/>
      <c r="L37" s="1216"/>
      <c r="M37" s="1216"/>
      <c r="N37" s="1216"/>
      <c r="O37" s="1192"/>
      <c r="P37" s="1192"/>
      <c r="Q37" s="1217"/>
      <c r="R37" s="1217"/>
      <c r="S37" s="1213"/>
      <c r="T37" s="1213"/>
    </row>
    <row r="38" spans="2:20" ht="18" customHeight="1">
      <c r="B38" s="4427" t="s">
        <v>981</v>
      </c>
      <c r="C38" s="4427"/>
      <c r="D38" s="4427"/>
      <c r="E38" s="4427"/>
      <c r="F38" s="4427"/>
      <c r="G38" s="4427"/>
      <c r="H38" s="4427"/>
      <c r="I38" s="4412" t="s">
        <v>982</v>
      </c>
      <c r="J38" s="4413"/>
      <c r="K38" s="4413"/>
      <c r="L38" s="4413"/>
      <c r="M38" s="4413"/>
      <c r="N38" s="4413"/>
      <c r="O38" s="4413"/>
      <c r="P38" s="4413"/>
      <c r="Q38" s="4413"/>
      <c r="R38" s="4413"/>
      <c r="S38" s="4413"/>
      <c r="T38" s="4414"/>
    </row>
    <row r="39" spans="2:20" ht="18" customHeight="1">
      <c r="B39" s="4427"/>
      <c r="C39" s="4427"/>
      <c r="D39" s="4427"/>
      <c r="E39" s="4427"/>
      <c r="F39" s="4427"/>
      <c r="G39" s="4427"/>
      <c r="H39" s="4427"/>
      <c r="I39" s="4426" t="s">
        <v>1042</v>
      </c>
      <c r="J39" s="4426"/>
      <c r="K39" s="4426"/>
      <c r="L39" s="4426" t="s">
        <v>1043</v>
      </c>
      <c r="M39" s="4426"/>
      <c r="N39" s="4426"/>
      <c r="O39" s="4426" t="s">
        <v>1044</v>
      </c>
      <c r="P39" s="4426"/>
      <c r="Q39" s="4426"/>
      <c r="R39" s="4426" t="s">
        <v>1045</v>
      </c>
      <c r="S39" s="4426"/>
      <c r="T39" s="4426"/>
    </row>
    <row r="40" spans="2:20" ht="97.5" customHeight="1">
      <c r="B40" s="4425" t="s">
        <v>1090</v>
      </c>
      <c r="C40" s="4425"/>
      <c r="D40" s="4425"/>
      <c r="E40" s="4425"/>
      <c r="F40" s="4425"/>
      <c r="G40" s="4425"/>
      <c r="H40" s="4425"/>
      <c r="I40" s="4415" t="s">
        <v>1060</v>
      </c>
      <c r="J40" s="4416"/>
      <c r="K40" s="4416"/>
      <c r="L40" s="4415" t="s">
        <v>1060</v>
      </c>
      <c r="M40" s="4416"/>
      <c r="N40" s="4416"/>
      <c r="O40" s="4415" t="s">
        <v>1060</v>
      </c>
      <c r="P40" s="4416"/>
      <c r="Q40" s="4416"/>
      <c r="R40" s="4415" t="s">
        <v>1060</v>
      </c>
      <c r="S40" s="4416"/>
      <c r="T40" s="4416"/>
    </row>
    <row r="41" spans="2:20" ht="70.5" customHeight="1">
      <c r="B41" s="4425" t="s">
        <v>1070</v>
      </c>
      <c r="C41" s="4425"/>
      <c r="D41" s="4425"/>
      <c r="E41" s="4425"/>
      <c r="F41" s="4425"/>
      <c r="G41" s="4425"/>
      <c r="H41" s="4425"/>
      <c r="I41" s="4415" t="s">
        <v>1060</v>
      </c>
      <c r="J41" s="4416"/>
      <c r="K41" s="4416"/>
      <c r="L41" s="4415" t="s">
        <v>1060</v>
      </c>
      <c r="M41" s="4416"/>
      <c r="N41" s="4416"/>
      <c r="O41" s="4415" t="s">
        <v>1060</v>
      </c>
      <c r="P41" s="4416"/>
      <c r="Q41" s="4416"/>
      <c r="R41" s="4415" t="s">
        <v>1060</v>
      </c>
      <c r="S41" s="4416"/>
      <c r="T41" s="4416"/>
    </row>
    <row r="42" spans="2:20" ht="120" customHeight="1">
      <c r="B42" s="4425" t="s">
        <v>1071</v>
      </c>
      <c r="C42" s="4425"/>
      <c r="D42" s="4425"/>
      <c r="E42" s="4425"/>
      <c r="F42" s="4425"/>
      <c r="G42" s="4425"/>
      <c r="H42" s="4425"/>
      <c r="I42" s="4415" t="s">
        <v>1060</v>
      </c>
      <c r="J42" s="4416"/>
      <c r="K42" s="4416"/>
      <c r="L42" s="4415" t="s">
        <v>1060</v>
      </c>
      <c r="M42" s="4416"/>
      <c r="N42" s="4416"/>
      <c r="O42" s="4415" t="s">
        <v>1060</v>
      </c>
      <c r="P42" s="4416"/>
      <c r="Q42" s="4416"/>
      <c r="R42" s="4415" t="s">
        <v>1060</v>
      </c>
      <c r="S42" s="4416"/>
      <c r="T42" s="4416"/>
    </row>
    <row r="43" spans="2:20" ht="48.75" customHeight="1">
      <c r="B43" s="4425" t="s">
        <v>1072</v>
      </c>
      <c r="C43" s="4425"/>
      <c r="D43" s="4425"/>
      <c r="E43" s="4425"/>
      <c r="F43" s="4425"/>
      <c r="G43" s="4425"/>
      <c r="H43" s="4425"/>
      <c r="I43" s="4415" t="s">
        <v>1060</v>
      </c>
      <c r="J43" s="4416"/>
      <c r="K43" s="4416"/>
      <c r="L43" s="4415" t="s">
        <v>1060</v>
      </c>
      <c r="M43" s="4416"/>
      <c r="N43" s="4416"/>
      <c r="O43" s="4415" t="s">
        <v>1060</v>
      </c>
      <c r="P43" s="4416"/>
      <c r="Q43" s="4416"/>
      <c r="R43" s="4415" t="s">
        <v>1060</v>
      </c>
      <c r="S43" s="4416"/>
      <c r="T43" s="4416"/>
    </row>
    <row r="44" spans="2:20" ht="50.25" customHeight="1">
      <c r="B44" s="4425" t="s">
        <v>1073</v>
      </c>
      <c r="C44" s="4425"/>
      <c r="D44" s="4425"/>
      <c r="E44" s="4425"/>
      <c r="F44" s="4425"/>
      <c r="G44" s="4425"/>
      <c r="H44" s="4425"/>
      <c r="I44" s="4415" t="s">
        <v>1060</v>
      </c>
      <c r="J44" s="4416"/>
      <c r="K44" s="4416"/>
      <c r="L44" s="4428" t="s">
        <v>1060</v>
      </c>
      <c r="M44" s="4429"/>
      <c r="N44" s="4429"/>
      <c r="O44" s="4415" t="s">
        <v>1060</v>
      </c>
      <c r="P44" s="4416"/>
      <c r="Q44" s="4416"/>
      <c r="R44" s="4415" t="s">
        <v>1060</v>
      </c>
      <c r="S44" s="4416"/>
      <c r="T44" s="4416"/>
    </row>
    <row r="45" spans="2:20" ht="8.25" customHeight="1">
      <c r="B45" s="1189"/>
      <c r="C45" s="1105"/>
      <c r="D45" s="1099"/>
      <c r="E45" s="1099"/>
      <c r="F45" s="1099"/>
      <c r="G45" s="1099"/>
      <c r="H45" s="1099"/>
      <c r="I45" s="3765"/>
      <c r="J45" s="3765"/>
      <c r="K45" s="3765"/>
      <c r="L45" s="3765"/>
      <c r="M45" s="3765"/>
      <c r="N45" s="3765"/>
      <c r="O45" s="3765"/>
      <c r="P45" s="3765"/>
      <c r="Q45" s="3765"/>
      <c r="R45" s="3765"/>
      <c r="S45" s="3765"/>
      <c r="T45" s="3765"/>
    </row>
    <row r="46" spans="2:20" ht="8.25" customHeight="1">
      <c r="B46" s="1218"/>
      <c r="C46" s="1193"/>
      <c r="D46" s="1099"/>
      <c r="E46" s="1099"/>
      <c r="F46" s="1099"/>
      <c r="G46" s="1099"/>
      <c r="H46" s="1099"/>
      <c r="I46" s="3765"/>
      <c r="J46" s="3765"/>
      <c r="K46" s="3765"/>
      <c r="L46" s="3765"/>
      <c r="M46" s="3765"/>
      <c r="N46" s="3765"/>
      <c r="O46" s="3765"/>
      <c r="P46" s="3765"/>
      <c r="Q46" s="3766"/>
      <c r="R46" s="3767"/>
      <c r="S46" s="3767"/>
      <c r="T46" s="3766"/>
    </row>
    <row r="47" spans="2:20" ht="17.25" customHeight="1">
      <c r="B47" s="1189"/>
      <c r="C47" s="1105"/>
      <c r="D47" s="1099"/>
      <c r="E47" s="1099"/>
      <c r="F47" s="1099"/>
      <c r="G47" s="1099"/>
      <c r="H47" s="1099"/>
      <c r="I47" s="3765"/>
      <c r="J47" s="3765"/>
      <c r="K47" s="3765"/>
      <c r="L47" s="3768" t="s">
        <v>1054</v>
      </c>
      <c r="M47" s="3765"/>
      <c r="N47" s="3765"/>
      <c r="O47" s="3765"/>
      <c r="P47" s="3765"/>
      <c r="Q47" s="3765"/>
      <c r="R47" s="3765"/>
      <c r="S47" s="3765"/>
      <c r="T47" s="3765"/>
    </row>
    <row r="48" spans="2:20" ht="17.25" customHeight="1">
      <c r="B48" s="1189"/>
      <c r="C48" s="1105"/>
      <c r="D48" s="1099"/>
      <c r="E48" s="1099"/>
      <c r="F48" s="1099"/>
      <c r="G48" s="1099"/>
      <c r="H48" s="1099"/>
      <c r="I48" s="3765"/>
      <c r="J48" s="3765"/>
      <c r="K48" s="3765"/>
      <c r="L48" s="3765"/>
      <c r="M48" s="3765"/>
      <c r="N48" s="3765"/>
      <c r="O48" s="3765"/>
      <c r="P48" s="3765"/>
      <c r="Q48" s="3766"/>
      <c r="R48" s="3767"/>
      <c r="S48" s="3767"/>
      <c r="T48" s="3766"/>
    </row>
    <row r="49" spans="2:21" ht="18" customHeight="1">
      <c r="B49" s="4427" t="s">
        <v>981</v>
      </c>
      <c r="C49" s="4427"/>
      <c r="D49" s="4427"/>
      <c r="E49" s="4427"/>
      <c r="F49" s="4427"/>
      <c r="G49" s="4427"/>
      <c r="H49" s="4427"/>
      <c r="I49" s="4430" t="s">
        <v>982</v>
      </c>
      <c r="J49" s="4431"/>
      <c r="K49" s="4431"/>
      <c r="L49" s="4431"/>
      <c r="M49" s="4431"/>
      <c r="N49" s="4431"/>
      <c r="O49" s="4431"/>
      <c r="P49" s="4431"/>
      <c r="Q49" s="4431"/>
      <c r="R49" s="4431"/>
      <c r="S49" s="4431"/>
      <c r="T49" s="4432"/>
    </row>
    <row r="50" spans="2:21" ht="18" customHeight="1">
      <c r="B50" s="4427"/>
      <c r="C50" s="4427"/>
      <c r="D50" s="4427"/>
      <c r="E50" s="4427"/>
      <c r="F50" s="4427"/>
      <c r="G50" s="4427"/>
      <c r="H50" s="4427"/>
      <c r="I50" s="4433" t="s">
        <v>1042</v>
      </c>
      <c r="J50" s="4433"/>
      <c r="K50" s="4433"/>
      <c r="L50" s="4433" t="s">
        <v>1043</v>
      </c>
      <c r="M50" s="4433"/>
      <c r="N50" s="4433"/>
      <c r="O50" s="4433" t="s">
        <v>1044</v>
      </c>
      <c r="P50" s="4433"/>
      <c r="Q50" s="4433"/>
      <c r="R50" s="4433" t="s">
        <v>1045</v>
      </c>
      <c r="S50" s="4433"/>
      <c r="T50" s="4433"/>
    </row>
    <row r="51" spans="2:21" ht="37.5" customHeight="1">
      <c r="B51" s="4425" t="s">
        <v>1067</v>
      </c>
      <c r="C51" s="4425"/>
      <c r="D51" s="4425"/>
      <c r="E51" s="4425"/>
      <c r="F51" s="4425"/>
      <c r="G51" s="4425"/>
      <c r="H51" s="4425"/>
      <c r="I51" s="4415" t="s">
        <v>1060</v>
      </c>
      <c r="J51" s="4416"/>
      <c r="K51" s="4416"/>
      <c r="L51" s="4415" t="s">
        <v>1060</v>
      </c>
      <c r="M51" s="4416"/>
      <c r="N51" s="4416"/>
      <c r="O51" s="4415" t="s">
        <v>1060</v>
      </c>
      <c r="P51" s="4416"/>
      <c r="Q51" s="4416"/>
      <c r="R51" s="4415" t="s">
        <v>1060</v>
      </c>
      <c r="S51" s="4416"/>
      <c r="T51" s="4416"/>
    </row>
    <row r="52" spans="2:21" ht="50.25" customHeight="1">
      <c r="B52" s="4425" t="s">
        <v>1068</v>
      </c>
      <c r="C52" s="4425"/>
      <c r="D52" s="4425"/>
      <c r="E52" s="4425"/>
      <c r="F52" s="4425"/>
      <c r="G52" s="4425"/>
      <c r="H52" s="4425"/>
      <c r="I52" s="4415" t="s">
        <v>1060</v>
      </c>
      <c r="J52" s="4416"/>
      <c r="K52" s="4416"/>
      <c r="L52" s="4415" t="s">
        <v>1060</v>
      </c>
      <c r="M52" s="4416"/>
      <c r="N52" s="4416"/>
      <c r="O52" s="4415" t="s">
        <v>1060</v>
      </c>
      <c r="P52" s="4416"/>
      <c r="Q52" s="4416"/>
      <c r="R52" s="4415" t="s">
        <v>1060</v>
      </c>
      <c r="S52" s="4416"/>
      <c r="T52" s="4416"/>
    </row>
    <row r="53" spans="2:21" ht="116.25" customHeight="1">
      <c r="B53" s="4425" t="s">
        <v>1069</v>
      </c>
      <c r="C53" s="4425"/>
      <c r="D53" s="4425"/>
      <c r="E53" s="4425"/>
      <c r="F53" s="4425"/>
      <c r="G53" s="4425"/>
      <c r="H53" s="4425"/>
      <c r="I53" s="4415" t="s">
        <v>1060</v>
      </c>
      <c r="J53" s="4416"/>
      <c r="K53" s="4416"/>
      <c r="L53" s="4415" t="s">
        <v>1060</v>
      </c>
      <c r="M53" s="4416"/>
      <c r="N53" s="4416"/>
      <c r="O53" s="4415" t="s">
        <v>1060</v>
      </c>
      <c r="P53" s="4416"/>
      <c r="Q53" s="4416"/>
      <c r="R53" s="4415" t="s">
        <v>1060</v>
      </c>
      <c r="S53" s="4416"/>
      <c r="T53" s="4416"/>
    </row>
    <row r="54" spans="2:21" ht="17.25" customHeight="1">
      <c r="B54" s="1189"/>
      <c r="C54" s="1099"/>
      <c r="D54" s="1099"/>
      <c r="E54" s="1099"/>
      <c r="F54" s="1099"/>
      <c r="G54" s="1099"/>
      <c r="H54" s="1099"/>
      <c r="I54" s="1099"/>
      <c r="J54" s="1099"/>
      <c r="K54" s="1099"/>
      <c r="L54" s="1099"/>
      <c r="M54" s="1099"/>
      <c r="N54" s="1099"/>
      <c r="O54" s="1099"/>
      <c r="P54" s="1099"/>
      <c r="Q54" s="1099"/>
      <c r="R54" s="1099"/>
      <c r="S54" s="1099"/>
      <c r="T54" s="1099"/>
    </row>
    <row r="55" spans="2:21" ht="17.25" customHeight="1">
      <c r="B55" s="1189"/>
      <c r="C55" s="1105"/>
      <c r="D55" s="1099"/>
      <c r="E55" s="1099"/>
      <c r="F55" s="1099"/>
      <c r="G55" s="1099"/>
      <c r="H55" s="1099"/>
      <c r="I55" s="1099"/>
      <c r="J55" s="1099"/>
      <c r="K55" s="1099"/>
      <c r="L55" s="1340" t="s">
        <v>1055</v>
      </c>
      <c r="M55" s="1099"/>
      <c r="N55" s="1099"/>
      <c r="O55" s="1099"/>
      <c r="P55" s="1099"/>
      <c r="Q55" s="1099"/>
      <c r="R55" s="1099"/>
      <c r="S55" s="1099"/>
      <c r="T55" s="1099"/>
      <c r="U55" s="147"/>
    </row>
    <row r="56" spans="2:21" ht="17.25" customHeight="1">
      <c r="B56" s="1189"/>
      <c r="C56" s="1105"/>
      <c r="D56" s="1099"/>
      <c r="E56" s="1099"/>
      <c r="F56" s="1099"/>
      <c r="G56" s="1099"/>
      <c r="H56" s="1099"/>
      <c r="I56" s="1099"/>
      <c r="J56" s="1099"/>
      <c r="K56" s="1099"/>
      <c r="L56" s="1099"/>
      <c r="M56" s="1099"/>
      <c r="N56" s="1099"/>
      <c r="O56" s="1099"/>
      <c r="P56" s="1099"/>
      <c r="Q56" s="1099"/>
      <c r="R56" s="1099"/>
      <c r="S56" s="1099"/>
      <c r="T56" s="1099"/>
      <c r="U56" s="147"/>
    </row>
    <row r="57" spans="2:21" ht="18" customHeight="1">
      <c r="B57" s="4427" t="s">
        <v>981</v>
      </c>
      <c r="C57" s="4427"/>
      <c r="D57" s="4427"/>
      <c r="E57" s="4427"/>
      <c r="F57" s="4427"/>
      <c r="G57" s="4427"/>
      <c r="H57" s="4427"/>
      <c r="I57" s="4412" t="s">
        <v>982</v>
      </c>
      <c r="J57" s="4413"/>
      <c r="K57" s="4413"/>
      <c r="L57" s="4413"/>
      <c r="M57" s="4413"/>
      <c r="N57" s="4413"/>
      <c r="O57" s="4413"/>
      <c r="P57" s="4413"/>
      <c r="Q57" s="4413"/>
      <c r="R57" s="4413"/>
      <c r="S57" s="4413"/>
      <c r="T57" s="4414"/>
      <c r="U57" s="147"/>
    </row>
    <row r="58" spans="2:21" ht="18" customHeight="1">
      <c r="B58" s="4427"/>
      <c r="C58" s="4427"/>
      <c r="D58" s="4427"/>
      <c r="E58" s="4427"/>
      <c r="F58" s="4427"/>
      <c r="G58" s="4427"/>
      <c r="H58" s="4427"/>
      <c r="I58" s="4426" t="s">
        <v>1042</v>
      </c>
      <c r="J58" s="4426"/>
      <c r="K58" s="4426"/>
      <c r="L58" s="4426" t="s">
        <v>1043</v>
      </c>
      <c r="M58" s="4426"/>
      <c r="N58" s="4426"/>
      <c r="O58" s="4426" t="s">
        <v>1044</v>
      </c>
      <c r="P58" s="4426"/>
      <c r="Q58" s="4426"/>
      <c r="R58" s="4426" t="s">
        <v>1045</v>
      </c>
      <c r="S58" s="4426"/>
      <c r="T58" s="4426"/>
      <c r="U58" s="147"/>
    </row>
    <row r="59" spans="2:21" ht="30.75" customHeight="1">
      <c r="B59" s="4425" t="s">
        <v>1056</v>
      </c>
      <c r="C59" s="4425"/>
      <c r="D59" s="4425"/>
      <c r="E59" s="4425"/>
      <c r="F59" s="4425"/>
      <c r="G59" s="4425"/>
      <c r="H59" s="4425"/>
      <c r="I59" s="4415" t="s">
        <v>1060</v>
      </c>
      <c r="J59" s="4416"/>
      <c r="K59" s="4416"/>
      <c r="L59" s="4415" t="s">
        <v>1060</v>
      </c>
      <c r="M59" s="4416"/>
      <c r="N59" s="4416"/>
      <c r="O59" s="4415" t="s">
        <v>1060</v>
      </c>
      <c r="P59" s="4416"/>
      <c r="Q59" s="4416"/>
      <c r="R59" s="4415" t="s">
        <v>1060</v>
      </c>
      <c r="S59" s="4416"/>
      <c r="T59" s="4416"/>
      <c r="U59" s="147"/>
    </row>
    <row r="60" spans="2:21" ht="148.5" customHeight="1">
      <c r="B60" s="4425" t="s">
        <v>1057</v>
      </c>
      <c r="C60" s="4425"/>
      <c r="D60" s="4425"/>
      <c r="E60" s="4425"/>
      <c r="F60" s="4425"/>
      <c r="G60" s="4425"/>
      <c r="H60" s="4425"/>
      <c r="I60" s="4415" t="s">
        <v>1060</v>
      </c>
      <c r="J60" s="4416"/>
      <c r="K60" s="4416"/>
      <c r="L60" s="4415" t="s">
        <v>1060</v>
      </c>
      <c r="M60" s="4416"/>
      <c r="N60" s="4416"/>
      <c r="O60" s="4415" t="s">
        <v>1060</v>
      </c>
      <c r="P60" s="4416"/>
      <c r="Q60" s="4416"/>
      <c r="R60" s="4415" t="s">
        <v>1060</v>
      </c>
      <c r="S60" s="4416"/>
      <c r="T60" s="4416"/>
      <c r="U60" s="147"/>
    </row>
    <row r="61" spans="2:21" ht="81.75" customHeight="1">
      <c r="B61" s="4425" t="s">
        <v>1058</v>
      </c>
      <c r="C61" s="4425"/>
      <c r="D61" s="4425"/>
      <c r="E61" s="4425"/>
      <c r="F61" s="4425"/>
      <c r="G61" s="4425"/>
      <c r="H61" s="4425"/>
      <c r="I61" s="4415" t="s">
        <v>1060</v>
      </c>
      <c r="J61" s="4416"/>
      <c r="K61" s="4416"/>
      <c r="L61" s="4415" t="s">
        <v>1060</v>
      </c>
      <c r="M61" s="4416"/>
      <c r="N61" s="4416"/>
      <c r="O61" s="4415" t="s">
        <v>1060</v>
      </c>
      <c r="P61" s="4416"/>
      <c r="Q61" s="4416"/>
      <c r="R61" s="4415" t="s">
        <v>1060</v>
      </c>
      <c r="S61" s="4416"/>
      <c r="T61" s="4416"/>
      <c r="U61" s="147"/>
    </row>
    <row r="62" spans="2:21" ht="83.25" customHeight="1">
      <c r="B62" s="4425" t="s">
        <v>1059</v>
      </c>
      <c r="C62" s="4425"/>
      <c r="D62" s="4425"/>
      <c r="E62" s="4425"/>
      <c r="F62" s="4425"/>
      <c r="G62" s="4425"/>
      <c r="H62" s="4425"/>
      <c r="I62" s="4415" t="s">
        <v>1060</v>
      </c>
      <c r="J62" s="4416"/>
      <c r="K62" s="4416"/>
      <c r="L62" s="4415" t="s">
        <v>1060</v>
      </c>
      <c r="M62" s="4416"/>
      <c r="N62" s="4416"/>
      <c r="O62" s="4415" t="s">
        <v>1060</v>
      </c>
      <c r="P62" s="4416"/>
      <c r="Q62" s="4416"/>
      <c r="R62" s="4415" t="s">
        <v>1060</v>
      </c>
      <c r="S62" s="4416"/>
      <c r="T62" s="4416"/>
      <c r="U62" s="147"/>
    </row>
    <row r="63" spans="2:21" ht="9" customHeight="1">
      <c r="B63" s="1189"/>
      <c r="C63" s="1216"/>
      <c r="D63" s="1216"/>
      <c r="E63" s="1216"/>
      <c r="F63" s="1216"/>
      <c r="G63" s="1216"/>
      <c r="H63" s="1216"/>
      <c r="I63" s="1216"/>
      <c r="J63" s="1216"/>
      <c r="K63" s="1216"/>
      <c r="L63" s="1216"/>
      <c r="M63" s="1216"/>
      <c r="N63" s="1215"/>
      <c r="O63" s="1216"/>
      <c r="P63" s="1216"/>
      <c r="Q63" s="1215"/>
      <c r="R63" s="1216"/>
      <c r="S63" s="1216"/>
      <c r="T63" s="1219"/>
      <c r="U63" s="147"/>
    </row>
    <row r="64" spans="2:21" ht="17.25" hidden="1" customHeight="1">
      <c r="B64" s="1189"/>
      <c r="C64" s="1216"/>
      <c r="D64" s="1216"/>
      <c r="E64" s="1216"/>
      <c r="F64" s="1216"/>
      <c r="G64" s="1216"/>
      <c r="H64" s="1216"/>
      <c r="I64" s="1216"/>
      <c r="J64" s="1216"/>
      <c r="K64" s="1216"/>
      <c r="L64" s="1216"/>
      <c r="M64" s="1216"/>
      <c r="N64" s="1215"/>
      <c r="O64" s="1216"/>
      <c r="P64" s="1216"/>
      <c r="Q64" s="1215"/>
      <c r="R64" s="1216"/>
      <c r="S64" s="1216"/>
      <c r="T64" s="1219"/>
      <c r="U64" s="147"/>
    </row>
    <row r="65" spans="2:21" ht="17.25" hidden="1" customHeight="1">
      <c r="B65" s="1189"/>
      <c r="C65" s="1216"/>
      <c r="D65" s="1216"/>
      <c r="E65" s="1216"/>
      <c r="F65" s="1216"/>
      <c r="G65" s="1216"/>
      <c r="H65" s="1216"/>
      <c r="I65" s="1216"/>
      <c r="J65" s="1216"/>
      <c r="K65" s="1216"/>
      <c r="L65" s="1216"/>
      <c r="M65" s="1216"/>
      <c r="N65" s="1215"/>
      <c r="O65" s="1216"/>
      <c r="P65" s="1216"/>
      <c r="Q65" s="1215"/>
      <c r="R65" s="1216"/>
      <c r="S65" s="1216"/>
      <c r="T65" s="1219"/>
      <c r="U65" s="147"/>
    </row>
    <row r="66" spans="2:21" ht="17.25" hidden="1" customHeight="1">
      <c r="B66" s="1189"/>
      <c r="C66" s="1216"/>
      <c r="D66" s="1216"/>
      <c r="E66" s="1216"/>
      <c r="F66" s="1216"/>
      <c r="G66" s="1216"/>
      <c r="H66" s="1216"/>
      <c r="I66" s="1216"/>
      <c r="J66" s="1216"/>
      <c r="K66" s="1216"/>
      <c r="L66" s="1216"/>
      <c r="M66" s="1216"/>
      <c r="N66" s="1215"/>
      <c r="O66" s="1216"/>
      <c r="P66" s="1216"/>
      <c r="Q66" s="1215"/>
      <c r="R66" s="1216"/>
      <c r="S66" s="1216"/>
      <c r="T66" s="1219"/>
      <c r="U66" s="147"/>
    </row>
    <row r="67" spans="2:21" ht="17.25" hidden="1" customHeight="1">
      <c r="B67" s="1189"/>
      <c r="C67" s="1216"/>
      <c r="D67" s="1216"/>
      <c r="E67" s="1216"/>
      <c r="F67" s="1216"/>
      <c r="G67" s="1216"/>
      <c r="H67" s="1216"/>
      <c r="I67" s="1216"/>
      <c r="J67" s="1216"/>
      <c r="K67" s="1216"/>
      <c r="L67" s="1216"/>
      <c r="M67" s="1216"/>
      <c r="N67" s="1215"/>
      <c r="O67" s="1216"/>
      <c r="P67" s="1216"/>
      <c r="Q67" s="1215"/>
      <c r="R67" s="1216"/>
      <c r="S67" s="1216"/>
      <c r="T67" s="1219"/>
      <c r="U67" s="147"/>
    </row>
    <row r="68" spans="2:21" ht="17.25" hidden="1" customHeight="1">
      <c r="B68" s="1189"/>
      <c r="C68" s="1216"/>
      <c r="D68" s="1216"/>
      <c r="E68" s="1216"/>
      <c r="F68" s="1216"/>
      <c r="G68" s="1216"/>
      <c r="H68" s="1216"/>
      <c r="I68" s="1216"/>
      <c r="J68" s="1216"/>
      <c r="K68" s="1216"/>
      <c r="L68" s="1216"/>
      <c r="M68" s="1216"/>
      <c r="N68" s="1215"/>
      <c r="O68" s="1216"/>
      <c r="P68" s="1216"/>
      <c r="Q68" s="1215"/>
      <c r="R68" s="1216"/>
      <c r="S68" s="1216"/>
      <c r="T68" s="1219"/>
      <c r="U68" s="147"/>
    </row>
    <row r="69" spans="2:21" ht="17.25" hidden="1" customHeight="1">
      <c r="B69" s="1190"/>
      <c r="C69" s="1216"/>
      <c r="D69" s="1216"/>
      <c r="E69" s="1216"/>
      <c r="F69" s="1216"/>
      <c r="G69" s="1216"/>
      <c r="H69" s="1216"/>
      <c r="I69" s="1216"/>
      <c r="J69" s="1216"/>
      <c r="K69" s="1216"/>
      <c r="L69" s="1216"/>
      <c r="M69" s="1216"/>
      <c r="N69" s="1215"/>
      <c r="O69" s="1216"/>
      <c r="P69" s="1216"/>
      <c r="Q69" s="1215"/>
      <c r="R69" s="1216"/>
      <c r="S69" s="1216"/>
      <c r="T69" s="1219"/>
      <c r="U69" s="147"/>
    </row>
    <row r="70" spans="2:21" ht="17.25" hidden="1" customHeight="1">
      <c r="B70" s="1190"/>
      <c r="C70" s="1216"/>
      <c r="D70" s="1216"/>
      <c r="E70" s="1216"/>
      <c r="F70" s="1216"/>
      <c r="G70" s="1216"/>
      <c r="H70" s="1216"/>
      <c r="I70" s="1216"/>
      <c r="J70" s="1216"/>
      <c r="K70" s="1216"/>
      <c r="L70" s="1216"/>
      <c r="M70" s="1216"/>
      <c r="N70" s="1215"/>
      <c r="O70" s="1216"/>
      <c r="P70" s="1216"/>
      <c r="Q70" s="1215"/>
      <c r="R70" s="1216"/>
      <c r="S70" s="1216"/>
      <c r="T70" s="1219"/>
      <c r="U70" s="147"/>
    </row>
    <row r="71" spans="2:21" ht="17.25" hidden="1" customHeight="1">
      <c r="B71" s="1189"/>
      <c r="C71" s="1216"/>
      <c r="D71" s="1216"/>
      <c r="E71" s="1216"/>
      <c r="F71" s="1216"/>
      <c r="G71" s="1216"/>
      <c r="H71" s="1216"/>
      <c r="I71" s="1216"/>
      <c r="J71" s="1216"/>
      <c r="K71" s="1216"/>
      <c r="L71" s="1216"/>
      <c r="M71" s="1216"/>
      <c r="N71" s="1215"/>
      <c r="O71" s="1216"/>
      <c r="P71" s="1216"/>
      <c r="Q71" s="1215"/>
      <c r="R71" s="1216"/>
      <c r="S71" s="1216"/>
      <c r="T71" s="1219"/>
      <c r="U71" s="147"/>
    </row>
    <row r="72" spans="2:21" ht="6" hidden="1" customHeight="1">
      <c r="B72" s="1189"/>
      <c r="C72" s="1105"/>
      <c r="D72" s="1099"/>
      <c r="E72" s="1099"/>
      <c r="F72" s="1099"/>
      <c r="G72" s="1099"/>
      <c r="H72" s="1099"/>
      <c r="I72" s="1099"/>
      <c r="J72" s="1099"/>
      <c r="K72" s="1099"/>
      <c r="L72" s="1099"/>
      <c r="M72" s="1099"/>
      <c r="N72" s="1099"/>
      <c r="O72" s="1099"/>
      <c r="P72" s="1099"/>
      <c r="Q72" s="1099"/>
      <c r="R72" s="1099"/>
      <c r="S72" s="1099"/>
      <c r="T72" s="1099"/>
      <c r="U72" s="147"/>
    </row>
    <row r="73" spans="2:21" ht="17.25" hidden="1" customHeight="1">
      <c r="B73" s="1189"/>
      <c r="C73" s="1194"/>
      <c r="D73" s="1099"/>
      <c r="E73" s="1099"/>
      <c r="F73" s="1099"/>
      <c r="G73" s="1099"/>
      <c r="H73" s="1099"/>
      <c r="I73" s="1099"/>
      <c r="J73" s="1099"/>
      <c r="K73" s="1099"/>
      <c r="L73" s="1099"/>
      <c r="M73" s="1099"/>
      <c r="N73" s="1099"/>
      <c r="O73" s="1099"/>
      <c r="P73" s="1099"/>
      <c r="Q73" s="1099"/>
      <c r="R73" s="1099"/>
      <c r="S73" s="1099"/>
      <c r="T73" s="1099"/>
      <c r="U73" s="147"/>
    </row>
    <row r="74" spans="2:21" ht="17.25" hidden="1" customHeight="1">
      <c r="B74" s="1189"/>
      <c r="C74" s="1194"/>
      <c r="D74" s="1099"/>
      <c r="E74" s="1099"/>
      <c r="F74" s="1099"/>
      <c r="G74" s="1099"/>
      <c r="H74" s="1099"/>
      <c r="I74" s="1099"/>
      <c r="J74" s="1099"/>
      <c r="K74" s="1099"/>
      <c r="L74" s="1099"/>
      <c r="M74" s="1099"/>
      <c r="N74" s="1099"/>
      <c r="O74" s="1099"/>
      <c r="P74" s="1099"/>
      <c r="Q74" s="1099"/>
      <c r="R74" s="1099"/>
      <c r="S74" s="1099"/>
      <c r="T74" s="1099"/>
      <c r="U74" s="147"/>
    </row>
    <row r="75" spans="2:21" ht="17.25" hidden="1" customHeight="1">
      <c r="B75" s="1090"/>
      <c r="C75" s="1105"/>
      <c r="D75" s="1099"/>
      <c r="E75" s="1099"/>
      <c r="F75" s="1099"/>
      <c r="G75" s="1099"/>
      <c r="H75" s="1099"/>
      <c r="I75" s="1099"/>
      <c r="J75" s="1099"/>
      <c r="K75" s="1099"/>
      <c r="L75" s="1099"/>
      <c r="M75" s="1099"/>
      <c r="N75" s="1099"/>
      <c r="O75" s="1099"/>
      <c r="P75" s="1099"/>
      <c r="Q75" s="1099"/>
      <c r="R75" s="1099"/>
      <c r="S75" s="1099"/>
      <c r="T75" s="1099"/>
      <c r="U75" s="147"/>
    </row>
    <row r="76" spans="2:21" ht="17.25" hidden="1" customHeight="1">
      <c r="B76" s="1090"/>
      <c r="C76" s="1105"/>
      <c r="D76" s="1099"/>
      <c r="E76" s="1099"/>
      <c r="F76" s="1099"/>
      <c r="G76" s="1099"/>
      <c r="H76" s="1099"/>
      <c r="I76" s="1099"/>
      <c r="J76" s="1099"/>
      <c r="K76" s="1099"/>
      <c r="L76" s="1099"/>
      <c r="M76" s="1099"/>
      <c r="N76" s="1099"/>
      <c r="O76" s="1099"/>
      <c r="P76" s="1099"/>
      <c r="Q76" s="1099"/>
      <c r="R76" s="1099"/>
      <c r="S76" s="1099"/>
      <c r="T76" s="1099"/>
      <c r="U76" s="147"/>
    </row>
    <row r="77" spans="2:21" ht="17.25" hidden="1" customHeight="1">
      <c r="B77" s="1090"/>
      <c r="C77" s="1105"/>
      <c r="D77" s="1099"/>
      <c r="E77" s="1099"/>
      <c r="F77" s="1099"/>
      <c r="G77" s="1099"/>
      <c r="H77" s="1099"/>
      <c r="I77" s="1099"/>
      <c r="J77" s="1099"/>
      <c r="K77" s="1099"/>
      <c r="L77" s="1099"/>
      <c r="M77" s="1099"/>
      <c r="N77" s="1099"/>
      <c r="O77" s="1099"/>
      <c r="P77" s="1099"/>
      <c r="Q77" s="1099"/>
      <c r="R77" s="1099"/>
      <c r="S77" s="1099"/>
      <c r="T77" s="1099"/>
      <c r="U77" s="147"/>
    </row>
    <row r="78" spans="2:21" ht="6" hidden="1" customHeight="1">
      <c r="B78" s="1090"/>
      <c r="C78" s="1105"/>
      <c r="D78" s="1099"/>
      <c r="E78" s="1099"/>
      <c r="F78" s="1099"/>
      <c r="G78" s="1099"/>
      <c r="H78" s="1099"/>
      <c r="I78" s="1099"/>
      <c r="J78" s="1099"/>
      <c r="K78" s="1099"/>
      <c r="L78" s="1099"/>
      <c r="M78" s="1099"/>
      <c r="N78" s="1099"/>
      <c r="O78" s="1099"/>
      <c r="P78" s="1099"/>
      <c r="Q78" s="1099"/>
      <c r="R78" s="1099"/>
      <c r="S78" s="1099"/>
      <c r="T78" s="1099"/>
      <c r="U78" s="147"/>
    </row>
    <row r="79" spans="2:21" ht="17.25" hidden="1" customHeight="1">
      <c r="B79" s="1189"/>
      <c r="C79" s="1194"/>
      <c r="D79" s="1099"/>
      <c r="E79" s="1099"/>
      <c r="F79" s="1099"/>
      <c r="G79" s="1099"/>
      <c r="H79" s="1099"/>
      <c r="I79" s="1099"/>
      <c r="J79" s="1099"/>
      <c r="K79" s="1099"/>
      <c r="L79" s="1099"/>
      <c r="M79" s="1099"/>
      <c r="N79" s="1099"/>
      <c r="O79" s="1099"/>
      <c r="P79" s="1099"/>
      <c r="Q79" s="1099"/>
      <c r="R79" s="1099"/>
      <c r="S79" s="1099"/>
      <c r="T79" s="1099"/>
      <c r="U79" s="147"/>
    </row>
    <row r="80" spans="2:21" ht="17.25" hidden="1" customHeight="1">
      <c r="B80" s="1090"/>
      <c r="C80" s="1105"/>
      <c r="D80" s="1099"/>
      <c r="E80" s="1099"/>
      <c r="F80" s="1099"/>
      <c r="G80" s="1099"/>
      <c r="H80" s="1099"/>
      <c r="I80" s="1099"/>
      <c r="J80" s="1099"/>
      <c r="K80" s="1099"/>
      <c r="L80" s="1099"/>
      <c r="M80" s="1099"/>
      <c r="N80" s="1099"/>
      <c r="O80" s="1099"/>
      <c r="P80" s="1099"/>
      <c r="Q80" s="1099"/>
      <c r="R80" s="1099"/>
      <c r="S80" s="1099"/>
      <c r="T80" s="1099"/>
      <c r="U80" s="147"/>
    </row>
    <row r="81" spans="2:21" ht="17.25" hidden="1" customHeight="1">
      <c r="B81" s="1090"/>
      <c r="C81" s="1105"/>
      <c r="D81" s="1099"/>
      <c r="E81" s="1099"/>
      <c r="F81" s="1099"/>
      <c r="G81" s="1099"/>
      <c r="H81" s="1099"/>
      <c r="I81" s="1099"/>
      <c r="J81" s="1099"/>
      <c r="K81" s="1099"/>
      <c r="L81" s="1099"/>
      <c r="M81" s="1099"/>
      <c r="N81" s="1099"/>
      <c r="O81" s="1099"/>
      <c r="P81" s="1099"/>
      <c r="Q81" s="1099"/>
      <c r="R81" s="1099"/>
      <c r="S81" s="1099"/>
      <c r="T81" s="1099"/>
      <c r="U81" s="147"/>
    </row>
    <row r="82" spans="2:21" ht="17.25" hidden="1" customHeight="1">
      <c r="B82" s="1189"/>
      <c r="C82" s="1140"/>
      <c r="D82" s="1099"/>
      <c r="E82" s="1099"/>
      <c r="F82" s="1099"/>
      <c r="G82" s="1099"/>
      <c r="H82" s="1099"/>
      <c r="I82" s="1099"/>
      <c r="J82" s="1099"/>
      <c r="K82" s="1099"/>
      <c r="L82" s="1099"/>
      <c r="M82" s="1099"/>
      <c r="N82" s="1099"/>
      <c r="O82" s="1099"/>
      <c r="P82" s="1099"/>
      <c r="Q82" s="1100"/>
      <c r="R82" s="1101"/>
      <c r="S82" s="1101"/>
      <c r="T82" s="1100"/>
    </row>
    <row r="83" spans="2:21" ht="6" hidden="1" customHeight="1">
      <c r="B83" s="1099"/>
      <c r="C83" s="1140"/>
      <c r="D83" s="1099"/>
      <c r="E83" s="1099"/>
      <c r="F83" s="1099"/>
      <c r="G83" s="1099"/>
      <c r="H83" s="1099"/>
      <c r="I83" s="1099"/>
      <c r="J83" s="1099"/>
      <c r="K83" s="1099"/>
      <c r="L83" s="1099"/>
      <c r="M83" s="1099"/>
      <c r="N83" s="1099"/>
      <c r="O83" s="1099"/>
      <c r="P83" s="1099"/>
      <c r="Q83" s="1100"/>
      <c r="R83" s="1101"/>
      <c r="S83" s="1101"/>
      <c r="T83" s="1100"/>
    </row>
    <row r="84" spans="2:21" ht="17.25" hidden="1" customHeight="1">
      <c r="B84" s="1146"/>
      <c r="C84" s="1154"/>
      <c r="D84" s="1099"/>
      <c r="E84" s="1099"/>
      <c r="F84" s="1099"/>
      <c r="G84" s="1099"/>
      <c r="H84" s="1099"/>
      <c r="I84" s="1099"/>
      <c r="J84" s="1099"/>
      <c r="K84" s="1099"/>
      <c r="L84" s="1099"/>
      <c r="M84" s="1099"/>
      <c r="N84" s="1099"/>
      <c r="O84" s="1099"/>
      <c r="P84" s="1099"/>
      <c r="Q84" s="1100"/>
      <c r="R84" s="1101"/>
      <c r="S84" s="1101"/>
      <c r="T84" s="1100"/>
    </row>
    <row r="85" spans="2:21" ht="17.25" hidden="1" customHeight="1">
      <c r="B85" s="1189"/>
      <c r="C85" s="1154"/>
      <c r="D85" s="1099"/>
      <c r="E85" s="1099"/>
      <c r="F85" s="1099"/>
      <c r="G85" s="1099"/>
      <c r="H85" s="1099"/>
      <c r="I85" s="1099"/>
      <c r="J85" s="1099"/>
      <c r="K85" s="1099"/>
      <c r="L85" s="1099"/>
      <c r="M85" s="1099"/>
      <c r="N85" s="1099"/>
      <c r="O85" s="1099"/>
      <c r="P85" s="1099"/>
      <c r="Q85" s="1099"/>
      <c r="R85" s="1099"/>
      <c r="S85" s="1099"/>
      <c r="T85" s="1099"/>
    </row>
    <row r="86" spans="2:21" ht="17.25" hidden="1" customHeight="1">
      <c r="B86" s="1189"/>
      <c r="C86" s="1154"/>
      <c r="D86" s="1099"/>
      <c r="E86" s="1099"/>
      <c r="F86" s="1099"/>
      <c r="G86" s="1099"/>
      <c r="H86" s="1099"/>
      <c r="I86" s="1099"/>
      <c r="J86" s="1099"/>
      <c r="K86" s="1099"/>
      <c r="L86" s="1099"/>
      <c r="M86" s="1099"/>
      <c r="N86" s="1099"/>
      <c r="O86" s="1099"/>
      <c r="P86" s="1099"/>
      <c r="Q86" s="1099"/>
      <c r="R86" s="1099"/>
      <c r="S86" s="1099"/>
      <c r="T86" s="1099"/>
    </row>
    <row r="87" spans="2:21" ht="17.25" hidden="1" customHeight="1">
      <c r="B87" s="1099"/>
      <c r="C87" s="1154"/>
      <c r="D87" s="1099"/>
      <c r="E87" s="1099"/>
      <c r="F87" s="1099"/>
      <c r="G87" s="1099"/>
      <c r="H87" s="1099"/>
      <c r="I87" s="1099"/>
      <c r="J87" s="1099"/>
      <c r="K87" s="1099"/>
      <c r="L87" s="1099"/>
      <c r="M87" s="1099"/>
      <c r="N87" s="1099"/>
      <c r="O87" s="1099"/>
      <c r="P87" s="1099"/>
      <c r="Q87" s="1099"/>
      <c r="R87" s="1099"/>
      <c r="S87" s="1099"/>
      <c r="T87" s="1099"/>
    </row>
    <row r="88" spans="2:21" ht="6" hidden="1" customHeight="1">
      <c r="B88" s="1099"/>
      <c r="C88" s="1154"/>
      <c r="D88" s="1099"/>
      <c r="E88" s="1099"/>
      <c r="F88" s="1099"/>
      <c r="G88" s="1099"/>
      <c r="H88" s="1099"/>
      <c r="I88" s="1099"/>
      <c r="J88" s="1099"/>
      <c r="K88" s="1099"/>
      <c r="L88" s="1099"/>
      <c r="M88" s="1099"/>
      <c r="N88" s="1099"/>
      <c r="O88" s="1099"/>
      <c r="P88" s="1099"/>
      <c r="Q88" s="1099"/>
      <c r="R88" s="1099"/>
      <c r="S88" s="1099"/>
      <c r="T88" s="1099"/>
    </row>
    <row r="89" spans="2:21" ht="17.25" hidden="1" customHeight="1">
      <c r="B89" s="1146"/>
      <c r="C89" s="1154"/>
      <c r="D89" s="1099"/>
      <c r="E89" s="1099"/>
      <c r="F89" s="1099"/>
      <c r="G89" s="1099"/>
      <c r="H89" s="1099"/>
      <c r="I89" s="1099"/>
      <c r="J89" s="1099"/>
      <c r="K89" s="1099"/>
      <c r="L89" s="1099"/>
      <c r="M89" s="1099"/>
      <c r="N89" s="1099"/>
      <c r="O89" s="1099"/>
      <c r="P89" s="1099"/>
      <c r="Q89" s="1099"/>
      <c r="R89" s="1099"/>
      <c r="S89" s="1099"/>
      <c r="T89" s="1099"/>
    </row>
    <row r="90" spans="2:21" ht="17.25" hidden="1" customHeight="1">
      <c r="B90" s="1190"/>
      <c r="C90" s="1154"/>
      <c r="D90" s="1099"/>
      <c r="E90" s="1099"/>
      <c r="F90" s="1099"/>
      <c r="G90" s="1099"/>
      <c r="H90" s="1099"/>
      <c r="I90" s="1099"/>
      <c r="J90" s="1099"/>
      <c r="K90" s="1099"/>
      <c r="L90" s="1099"/>
      <c r="M90" s="1099"/>
      <c r="N90" s="1099"/>
      <c r="O90" s="1099"/>
      <c r="P90" s="1099"/>
      <c r="Q90" s="1099"/>
      <c r="R90" s="1099"/>
      <c r="S90" s="1099"/>
      <c r="T90" s="1099"/>
    </row>
    <row r="91" spans="2:21" ht="17.25" hidden="1" customHeight="1">
      <c r="B91" s="1190"/>
      <c r="C91" s="1154"/>
      <c r="D91" s="1099"/>
      <c r="E91" s="1099"/>
      <c r="F91" s="1099"/>
      <c r="G91" s="1099"/>
      <c r="H91" s="1099"/>
      <c r="I91" s="1099"/>
      <c r="J91" s="1099"/>
      <c r="K91" s="1099"/>
      <c r="L91" s="1099"/>
      <c r="M91" s="1099"/>
      <c r="N91" s="1099"/>
      <c r="O91" s="1099"/>
      <c r="P91" s="1099"/>
      <c r="Q91" s="1099"/>
      <c r="R91" s="1099"/>
      <c r="S91" s="1099"/>
      <c r="T91" s="1099"/>
    </row>
    <row r="92" spans="2:21" ht="17.25" hidden="1" customHeight="1">
      <c r="B92" s="1157"/>
      <c r="C92" s="1154"/>
      <c r="D92" s="1099"/>
      <c r="E92" s="1099"/>
      <c r="F92" s="1099"/>
      <c r="G92" s="1099"/>
      <c r="H92" s="1099"/>
      <c r="I92" s="1099"/>
      <c r="J92" s="1099"/>
      <c r="K92" s="1099"/>
      <c r="L92" s="1099"/>
      <c r="M92" s="1099"/>
      <c r="N92" s="1099"/>
      <c r="O92" s="1099"/>
      <c r="P92" s="1099"/>
      <c r="Q92" s="1099"/>
      <c r="R92" s="1099"/>
      <c r="S92" s="1099"/>
      <c r="T92" s="1099"/>
    </row>
    <row r="93" spans="2:21" ht="6" hidden="1" customHeight="1">
      <c r="B93" s="1157"/>
      <c r="C93" s="1154"/>
      <c r="D93" s="1099"/>
      <c r="E93" s="1099"/>
      <c r="F93" s="1099"/>
      <c r="G93" s="1099"/>
      <c r="H93" s="1099"/>
      <c r="I93" s="1099"/>
      <c r="J93" s="1099"/>
      <c r="K93" s="1099"/>
      <c r="L93" s="1099"/>
      <c r="M93" s="1099"/>
      <c r="N93" s="1099"/>
      <c r="O93" s="1099"/>
      <c r="P93" s="1099"/>
      <c r="Q93" s="1099"/>
      <c r="R93" s="1099"/>
      <c r="S93" s="1099"/>
      <c r="T93" s="1099"/>
    </row>
    <row r="94" spans="2:21" ht="17.25" hidden="1" customHeight="1">
      <c r="B94" s="1146"/>
      <c r="C94" s="1154"/>
      <c r="D94" s="1099"/>
      <c r="E94" s="1099"/>
      <c r="F94" s="1099"/>
      <c r="G94" s="1099"/>
      <c r="H94" s="1099"/>
      <c r="I94" s="1099"/>
      <c r="J94" s="1099"/>
      <c r="K94" s="1099"/>
      <c r="L94" s="1099"/>
      <c r="M94" s="1099"/>
      <c r="N94" s="1099"/>
      <c r="O94" s="1099"/>
      <c r="P94" s="1099"/>
      <c r="Q94" s="1099"/>
      <c r="R94" s="1099"/>
      <c r="S94" s="1099"/>
      <c r="T94" s="1099"/>
    </row>
    <row r="95" spans="2:21" ht="17.25" hidden="1" customHeight="1">
      <c r="B95" s="1189"/>
      <c r="C95" s="1105"/>
      <c r="D95" s="1099"/>
      <c r="E95" s="1099"/>
      <c r="F95" s="1099"/>
      <c r="G95" s="1099"/>
      <c r="H95" s="1099"/>
      <c r="I95" s="1099"/>
      <c r="J95" s="1099"/>
      <c r="K95" s="1099"/>
      <c r="L95" s="1099"/>
      <c r="M95" s="1099"/>
      <c r="N95" s="1099"/>
      <c r="O95" s="1099"/>
      <c r="P95" s="1099"/>
      <c r="Q95" s="1099"/>
      <c r="R95" s="1099"/>
      <c r="S95" s="1099"/>
      <c r="T95" s="1099"/>
    </row>
    <row r="96" spans="2:21" ht="17.25" hidden="1" customHeight="1">
      <c r="B96" s="1189"/>
      <c r="C96" s="1105"/>
      <c r="D96" s="1099"/>
      <c r="E96" s="1099"/>
      <c r="F96" s="1099"/>
      <c r="G96" s="1099"/>
      <c r="H96" s="1099"/>
      <c r="I96" s="1099"/>
      <c r="J96" s="1099"/>
      <c r="K96" s="1099"/>
      <c r="L96" s="1099"/>
      <c r="M96" s="1099"/>
      <c r="N96" s="1099"/>
      <c r="O96" s="1099"/>
      <c r="P96" s="1099"/>
      <c r="Q96" s="1099"/>
      <c r="R96" s="1099"/>
      <c r="S96" s="1099"/>
      <c r="T96" s="1099"/>
    </row>
    <row r="97" spans="2:20" ht="17.25" hidden="1" customHeight="1">
      <c r="B97" s="1189"/>
      <c r="C97" s="1105"/>
      <c r="D97" s="1099"/>
      <c r="E97" s="1099"/>
      <c r="F97" s="1099"/>
      <c r="G97" s="1099"/>
      <c r="H97" s="1099"/>
      <c r="I97" s="1099"/>
      <c r="J97" s="1099"/>
      <c r="K97" s="1099"/>
      <c r="L97" s="1099"/>
      <c r="M97" s="1099"/>
      <c r="N97" s="1099"/>
      <c r="O97" s="1099"/>
      <c r="P97" s="1099"/>
      <c r="Q97" s="1099"/>
      <c r="R97" s="1099"/>
      <c r="S97" s="1099"/>
      <c r="T97" s="1099"/>
    </row>
    <row r="98" spans="2:20" ht="17.25" hidden="1" customHeight="1">
      <c r="B98" s="1189"/>
      <c r="C98" s="1105"/>
      <c r="D98" s="1099"/>
      <c r="E98" s="1099"/>
      <c r="F98" s="1099"/>
      <c r="G98" s="1099"/>
      <c r="H98" s="1099"/>
      <c r="I98" s="1099"/>
      <c r="J98" s="1099"/>
      <c r="K98" s="1099"/>
      <c r="L98" s="1099"/>
      <c r="M98" s="1099"/>
      <c r="N98" s="1099"/>
      <c r="O98" s="1099"/>
      <c r="P98" s="1099"/>
      <c r="Q98" s="1099"/>
      <c r="R98" s="1099"/>
      <c r="S98" s="1099"/>
      <c r="T98" s="1099"/>
    </row>
    <row r="99" spans="2:20" ht="17.25" hidden="1" customHeight="1">
      <c r="B99" s="1189"/>
      <c r="C99" s="1105"/>
      <c r="D99" s="1099"/>
      <c r="E99" s="1099"/>
      <c r="F99" s="1099"/>
      <c r="G99" s="1099"/>
      <c r="H99" s="1099"/>
      <c r="I99" s="1099"/>
      <c r="J99" s="1099"/>
      <c r="K99" s="1220"/>
      <c r="L99" s="1099"/>
      <c r="M99" s="1099"/>
      <c r="N99" s="1099"/>
      <c r="O99" s="1099"/>
      <c r="P99" s="1099"/>
      <c r="Q99" s="1099"/>
      <c r="R99" s="1099"/>
      <c r="S99" s="1099"/>
      <c r="T99" s="1099"/>
    </row>
    <row r="100" spans="2:20" ht="6" hidden="1" customHeight="1">
      <c r="B100" s="1189"/>
      <c r="C100" s="1105"/>
      <c r="D100" s="1099"/>
      <c r="E100" s="1099"/>
      <c r="F100" s="1099"/>
      <c r="G100" s="1099"/>
      <c r="H100" s="1099"/>
      <c r="I100" s="1099"/>
      <c r="J100" s="1099"/>
      <c r="K100" s="1099"/>
      <c r="L100" s="1099"/>
      <c r="M100" s="1099"/>
      <c r="N100" s="1099"/>
      <c r="O100" s="1099"/>
      <c r="P100" s="1099"/>
      <c r="Q100" s="1099"/>
      <c r="R100" s="1099"/>
      <c r="S100" s="1099"/>
      <c r="T100" s="1099"/>
    </row>
    <row r="101" spans="2:20" ht="17.25" hidden="1" customHeight="1">
      <c r="B101" s="1218"/>
      <c r="C101" s="1193"/>
      <c r="D101" s="1099"/>
      <c r="E101" s="1099"/>
      <c r="F101" s="1099"/>
      <c r="G101" s="1099"/>
      <c r="H101" s="1099"/>
      <c r="I101" s="1099"/>
      <c r="J101" s="1099"/>
      <c r="K101" s="1099"/>
      <c r="L101" s="1099"/>
      <c r="M101" s="1099"/>
      <c r="N101" s="1099"/>
      <c r="O101" s="1099"/>
      <c r="P101" s="1099"/>
      <c r="Q101" s="1099"/>
      <c r="R101" s="1099"/>
      <c r="S101" s="1099"/>
      <c r="T101" s="1099"/>
    </row>
    <row r="102" spans="2:20" ht="18" hidden="1" customHeight="1">
      <c r="B102" s="1218"/>
      <c r="C102" s="1191"/>
      <c r="D102" s="1191"/>
      <c r="E102" s="1191"/>
      <c r="F102" s="1191"/>
      <c r="G102" s="1191"/>
      <c r="H102" s="1191"/>
      <c r="I102" s="1191"/>
      <c r="J102" s="1191"/>
      <c r="K102" s="1191"/>
      <c r="L102" s="1191"/>
      <c r="M102" s="1191"/>
      <c r="N102" s="1191"/>
      <c r="O102" s="1191"/>
      <c r="P102" s="1191"/>
      <c r="Q102" s="1191"/>
      <c r="R102" s="1191"/>
      <c r="S102" s="1191"/>
      <c r="T102" s="1191"/>
    </row>
    <row r="103" spans="2:20" ht="18" hidden="1" customHeight="1">
      <c r="B103" s="1218"/>
      <c r="C103" s="1187"/>
      <c r="D103" s="1187"/>
      <c r="E103" s="1187"/>
      <c r="F103" s="1187"/>
      <c r="G103" s="1187"/>
      <c r="H103" s="1187"/>
      <c r="I103" s="1221"/>
      <c r="J103" s="1221"/>
      <c r="K103" s="1221"/>
      <c r="L103" s="1221"/>
      <c r="M103" s="1221"/>
      <c r="N103" s="1221"/>
      <c r="O103" s="1221"/>
      <c r="P103" s="1221"/>
      <c r="Q103" s="1221"/>
      <c r="R103" s="1221"/>
      <c r="S103" s="1221"/>
      <c r="T103" s="1221"/>
    </row>
    <row r="104" spans="2:20" ht="18" hidden="1" customHeight="1">
      <c r="B104" s="1218"/>
      <c r="C104" s="1187"/>
      <c r="D104" s="1187"/>
      <c r="E104" s="1187"/>
      <c r="F104" s="1187"/>
      <c r="G104" s="1187"/>
      <c r="H104" s="1187"/>
      <c r="I104" s="1221"/>
      <c r="J104" s="1221"/>
      <c r="K104" s="1221"/>
      <c r="L104" s="1221"/>
      <c r="M104" s="1221"/>
      <c r="N104" s="1221"/>
      <c r="O104" s="1221"/>
      <c r="P104" s="1221"/>
      <c r="Q104" s="1221"/>
      <c r="R104" s="1221"/>
      <c r="S104" s="1221"/>
      <c r="T104" s="1221"/>
    </row>
    <row r="105" spans="2:20" ht="18" hidden="1" customHeight="1">
      <c r="B105" s="1218"/>
      <c r="C105" s="1187"/>
      <c r="D105" s="1187"/>
      <c r="E105" s="1187"/>
      <c r="F105" s="1187"/>
      <c r="G105" s="1187"/>
      <c r="H105" s="1187"/>
      <c r="I105" s="1221"/>
      <c r="J105" s="1221"/>
      <c r="K105" s="1221"/>
      <c r="L105" s="1221"/>
      <c r="M105" s="1221"/>
      <c r="N105" s="1221"/>
      <c r="O105" s="1221"/>
      <c r="P105" s="1221"/>
      <c r="Q105" s="1221"/>
      <c r="R105" s="1221"/>
      <c r="S105" s="1221"/>
      <c r="T105" s="1221"/>
    </row>
    <row r="106" spans="2:20" ht="18" hidden="1" customHeight="1">
      <c r="B106" s="1218"/>
      <c r="C106" s="1187"/>
      <c r="D106" s="1187"/>
      <c r="E106" s="1187"/>
      <c r="F106" s="1187"/>
      <c r="G106" s="1187"/>
      <c r="H106" s="1187"/>
      <c r="I106" s="1221"/>
      <c r="J106" s="1221"/>
      <c r="K106" s="1221"/>
      <c r="L106" s="1221"/>
      <c r="M106" s="1221"/>
      <c r="N106" s="1221"/>
      <c r="O106" s="1221"/>
      <c r="P106" s="1221"/>
      <c r="Q106" s="1221"/>
      <c r="R106" s="1221"/>
      <c r="S106" s="1221"/>
      <c r="T106" s="1221"/>
    </row>
    <row r="107" spans="2:20" ht="18" hidden="1" customHeight="1">
      <c r="B107" s="1218"/>
      <c r="C107" s="1187"/>
      <c r="D107" s="1187"/>
      <c r="E107" s="1187"/>
      <c r="F107" s="1187"/>
      <c r="G107" s="1187"/>
      <c r="H107" s="1187"/>
      <c r="I107" s="1221"/>
      <c r="J107" s="1221"/>
      <c r="K107" s="1221"/>
      <c r="L107" s="1221"/>
      <c r="M107" s="1221"/>
      <c r="N107" s="1221"/>
      <c r="O107" s="1221"/>
      <c r="P107" s="1221"/>
      <c r="Q107" s="1221"/>
      <c r="R107" s="1221"/>
      <c r="S107" s="1221"/>
      <c r="T107" s="1221"/>
    </row>
    <row r="108" spans="2:20" ht="18" hidden="1" customHeight="1">
      <c r="B108" s="1218"/>
      <c r="C108" s="1187"/>
      <c r="D108" s="1187"/>
      <c r="E108" s="1187"/>
      <c r="F108" s="1187"/>
      <c r="G108" s="1187"/>
      <c r="H108" s="1187"/>
      <c r="I108" s="1221"/>
      <c r="J108" s="1221"/>
      <c r="K108" s="1221"/>
      <c r="L108" s="1221"/>
      <c r="M108" s="1221"/>
      <c r="N108" s="1221"/>
      <c r="O108" s="1221"/>
      <c r="P108" s="1221"/>
      <c r="Q108" s="1221"/>
      <c r="R108" s="1221"/>
      <c r="S108" s="1221"/>
      <c r="T108" s="1221"/>
    </row>
    <row r="109" spans="2:20" ht="18" hidden="1" customHeight="1">
      <c r="B109" s="1218"/>
      <c r="C109" s="1187"/>
      <c r="D109" s="1187"/>
      <c r="E109" s="1187"/>
      <c r="F109" s="1187"/>
      <c r="G109" s="1187"/>
      <c r="H109" s="1187"/>
      <c r="I109" s="1221"/>
      <c r="J109" s="1221"/>
      <c r="K109" s="1221"/>
      <c r="L109" s="1221"/>
      <c r="M109" s="1221"/>
      <c r="N109" s="1221"/>
      <c r="O109" s="1221"/>
      <c r="P109" s="1221"/>
      <c r="Q109" s="1221"/>
      <c r="R109" s="1221"/>
      <c r="S109" s="1221"/>
      <c r="T109" s="1221"/>
    </row>
    <row r="110" spans="2:20" ht="18" hidden="1" customHeight="1">
      <c r="B110" s="1218"/>
      <c r="C110" s="1187"/>
      <c r="D110" s="1187"/>
      <c r="E110" s="1187"/>
      <c r="F110" s="1187"/>
      <c r="G110" s="1187"/>
      <c r="H110" s="1187"/>
      <c r="I110" s="1221"/>
      <c r="J110" s="1221"/>
      <c r="K110" s="1221"/>
      <c r="L110" s="1221"/>
      <c r="M110" s="1221"/>
      <c r="N110" s="1221"/>
      <c r="O110" s="1221"/>
      <c r="P110" s="1221"/>
      <c r="Q110" s="1221"/>
      <c r="R110" s="1221"/>
      <c r="S110" s="1221"/>
      <c r="T110" s="1221"/>
    </row>
    <row r="111" spans="2:20" ht="18" hidden="1" customHeight="1">
      <c r="B111" s="1218"/>
      <c r="C111" s="1187"/>
      <c r="D111" s="1187"/>
      <c r="E111" s="1187"/>
      <c r="F111" s="1187"/>
      <c r="G111" s="1187"/>
      <c r="H111" s="1187"/>
      <c r="I111" s="1221"/>
      <c r="J111" s="1221"/>
      <c r="K111" s="1221"/>
      <c r="L111" s="1221"/>
      <c r="M111" s="1221"/>
      <c r="N111" s="1221"/>
      <c r="O111" s="1221"/>
      <c r="P111" s="1221"/>
      <c r="Q111" s="1221"/>
      <c r="R111" s="1221"/>
      <c r="S111" s="1221"/>
      <c r="T111" s="1221"/>
    </row>
    <row r="112" spans="2:20" ht="18" hidden="1" customHeight="1">
      <c r="B112" s="1218"/>
      <c r="C112" s="1187"/>
      <c r="D112" s="1187"/>
      <c r="E112" s="1187"/>
      <c r="F112" s="1187"/>
      <c r="G112" s="1187"/>
      <c r="H112" s="1187"/>
      <c r="I112" s="1221"/>
      <c r="J112" s="1221"/>
      <c r="K112" s="1221"/>
      <c r="L112" s="1221"/>
      <c r="M112" s="1221"/>
      <c r="N112" s="1221"/>
      <c r="O112" s="1221"/>
      <c r="P112" s="1221"/>
      <c r="Q112" s="1221"/>
      <c r="R112" s="1221"/>
      <c r="S112" s="1221"/>
      <c r="T112" s="1221"/>
    </row>
    <row r="113" spans="2:20" ht="18" hidden="1" customHeight="1">
      <c r="B113" s="1218"/>
      <c r="C113" s="1187"/>
      <c r="D113" s="1187"/>
      <c r="E113" s="1187"/>
      <c r="F113" s="1187"/>
      <c r="G113" s="1187"/>
      <c r="H113" s="1187"/>
      <c r="I113" s="1221"/>
      <c r="J113" s="1221"/>
      <c r="K113" s="1221"/>
      <c r="L113" s="1221"/>
      <c r="M113" s="1221"/>
      <c r="N113" s="1221"/>
      <c r="O113" s="1221"/>
      <c r="P113" s="1221"/>
      <c r="Q113" s="1221"/>
      <c r="R113" s="1221"/>
      <c r="S113" s="1221"/>
      <c r="T113" s="1221"/>
    </row>
    <row r="114" spans="2:20" ht="18" hidden="1" customHeight="1">
      <c r="B114" s="1218"/>
      <c r="C114" s="1187"/>
      <c r="D114" s="1187"/>
      <c r="E114" s="1187"/>
      <c r="F114" s="1187"/>
      <c r="G114" s="1187"/>
      <c r="H114" s="1187"/>
      <c r="I114" s="1221"/>
      <c r="J114" s="1221"/>
      <c r="K114" s="1221"/>
      <c r="L114" s="1221"/>
      <c r="M114" s="1221"/>
      <c r="N114" s="1221"/>
      <c r="O114" s="1221"/>
      <c r="P114" s="1221"/>
      <c r="Q114" s="1221"/>
      <c r="R114" s="1221"/>
      <c r="S114" s="1221"/>
      <c r="T114" s="1221"/>
    </row>
    <row r="115" spans="2:20" ht="18" hidden="1" customHeight="1">
      <c r="B115" s="1218"/>
      <c r="C115" s="1187"/>
      <c r="D115" s="1187"/>
      <c r="E115" s="1187"/>
      <c r="F115" s="1187"/>
      <c r="G115" s="1187"/>
      <c r="H115" s="1187"/>
      <c r="I115" s="1221"/>
      <c r="J115" s="1221"/>
      <c r="K115" s="1221"/>
      <c r="L115" s="1221"/>
      <c r="M115" s="1221"/>
      <c r="N115" s="1221"/>
      <c r="O115" s="1221"/>
      <c r="P115" s="1221"/>
      <c r="Q115" s="1221"/>
      <c r="R115" s="1221"/>
      <c r="S115" s="1221"/>
      <c r="T115" s="1221"/>
    </row>
    <row r="116" spans="2:20" ht="18" hidden="1" customHeight="1">
      <c r="B116" s="1218"/>
      <c r="C116" s="1187"/>
      <c r="D116" s="1187"/>
      <c r="E116" s="1187"/>
      <c r="F116" s="1187"/>
      <c r="G116" s="1187"/>
      <c r="H116" s="1187"/>
      <c r="I116" s="1221"/>
      <c r="J116" s="1221"/>
      <c r="K116" s="1221"/>
      <c r="L116" s="1221"/>
      <c r="M116" s="1221"/>
      <c r="N116" s="1221"/>
      <c r="O116" s="1221"/>
      <c r="P116" s="1221"/>
      <c r="Q116" s="1221"/>
      <c r="R116" s="1221"/>
      <c r="S116" s="1221"/>
      <c r="T116" s="1221"/>
    </row>
    <row r="117" spans="2:20" ht="18" hidden="1" customHeight="1">
      <c r="B117" s="1218"/>
      <c r="C117" s="1187"/>
      <c r="D117" s="1187"/>
      <c r="E117" s="1187"/>
      <c r="F117" s="1187"/>
      <c r="G117" s="1187"/>
      <c r="H117" s="1187"/>
      <c r="I117" s="1221"/>
      <c r="J117" s="1221"/>
      <c r="K117" s="1221"/>
      <c r="L117" s="1221"/>
      <c r="M117" s="1221"/>
      <c r="N117" s="1221"/>
      <c r="O117" s="1221"/>
      <c r="P117" s="1221"/>
      <c r="Q117" s="1221"/>
      <c r="R117" s="1221"/>
      <c r="S117" s="1221"/>
      <c r="T117" s="1221"/>
    </row>
    <row r="118" spans="2:20" ht="18" hidden="1" customHeight="1">
      <c r="B118" s="1218"/>
      <c r="C118" s="1187"/>
      <c r="D118" s="1187"/>
      <c r="E118" s="1187"/>
      <c r="F118" s="1187"/>
      <c r="G118" s="1187"/>
      <c r="H118" s="1187"/>
      <c r="I118" s="1221"/>
      <c r="J118" s="1221"/>
      <c r="K118" s="1221"/>
      <c r="L118" s="1221"/>
      <c r="M118" s="1221"/>
      <c r="N118" s="1221"/>
      <c r="O118" s="1221"/>
      <c r="P118" s="1221"/>
      <c r="Q118" s="1221"/>
      <c r="R118" s="1221"/>
      <c r="S118" s="1221"/>
      <c r="T118" s="1221"/>
    </row>
    <row r="119" spans="2:20" ht="18" hidden="1" customHeight="1">
      <c r="B119" s="1218"/>
      <c r="C119" s="1187"/>
      <c r="D119" s="1187"/>
      <c r="E119" s="1187"/>
      <c r="F119" s="1187"/>
      <c r="G119" s="1187"/>
      <c r="H119" s="1187"/>
      <c r="I119" s="1221"/>
      <c r="J119" s="1221"/>
      <c r="K119" s="1221"/>
      <c r="L119" s="1221"/>
      <c r="M119" s="1221"/>
      <c r="N119" s="1221"/>
      <c r="O119" s="1221"/>
      <c r="P119" s="1221"/>
      <c r="Q119" s="1221"/>
      <c r="R119" s="1221"/>
      <c r="S119" s="1221"/>
      <c r="T119" s="1221"/>
    </row>
    <row r="120" spans="2:20" ht="18" hidden="1" customHeight="1">
      <c r="B120" s="1189"/>
      <c r="C120" s="1187"/>
      <c r="D120" s="1187"/>
      <c r="E120" s="1187"/>
      <c r="F120" s="1187"/>
      <c r="G120" s="1187"/>
      <c r="H120" s="1187"/>
      <c r="I120" s="1221"/>
      <c r="J120" s="1221"/>
      <c r="K120" s="1221"/>
      <c r="L120" s="1221"/>
      <c r="M120" s="1221"/>
      <c r="N120" s="1221"/>
      <c r="O120" s="1221"/>
      <c r="P120" s="1221"/>
      <c r="Q120" s="1221"/>
      <c r="R120" s="1221"/>
      <c r="S120" s="1221"/>
      <c r="T120" s="1221"/>
    </row>
    <row r="121" spans="2:20" ht="18" hidden="1" customHeight="1">
      <c r="B121" s="1189"/>
      <c r="C121" s="1187"/>
      <c r="D121" s="1187"/>
      <c r="E121" s="1187"/>
      <c r="F121" s="1187"/>
      <c r="G121" s="1187"/>
      <c r="H121" s="1187"/>
      <c r="I121" s="1221"/>
      <c r="J121" s="1221"/>
      <c r="K121" s="1221"/>
      <c r="L121" s="1221"/>
      <c r="M121" s="1221"/>
      <c r="N121" s="1221"/>
      <c r="O121" s="1221"/>
      <c r="P121" s="1221"/>
      <c r="Q121" s="1221"/>
      <c r="R121" s="1221"/>
      <c r="S121" s="1221"/>
      <c r="T121" s="1221"/>
    </row>
    <row r="122" spans="2:20" ht="18" hidden="1" customHeight="1">
      <c r="B122" s="1189"/>
      <c r="C122" s="1187"/>
      <c r="D122" s="1187"/>
      <c r="E122" s="1187"/>
      <c r="F122" s="1187"/>
      <c r="G122" s="1187"/>
      <c r="H122" s="1187"/>
      <c r="I122" s="1221"/>
      <c r="J122" s="1221"/>
      <c r="K122" s="1221"/>
      <c r="L122" s="1221"/>
      <c r="M122" s="1221"/>
      <c r="N122" s="1221"/>
      <c r="O122" s="1221"/>
      <c r="P122" s="1221"/>
      <c r="Q122" s="1221"/>
      <c r="R122" s="1221"/>
      <c r="S122" s="1221"/>
      <c r="T122" s="1221"/>
    </row>
    <row r="123" spans="2:20" ht="18" hidden="1" customHeight="1">
      <c r="B123" s="1189"/>
      <c r="C123" s="1187"/>
      <c r="D123" s="1187"/>
      <c r="E123" s="1187"/>
      <c r="F123" s="1187"/>
      <c r="G123" s="1187"/>
      <c r="H123" s="1187"/>
      <c r="I123" s="1221"/>
      <c r="J123" s="1221"/>
      <c r="K123" s="1221"/>
      <c r="L123" s="1221"/>
      <c r="M123" s="1221"/>
      <c r="N123" s="1221"/>
      <c r="O123" s="1221"/>
      <c r="P123" s="1221"/>
      <c r="Q123" s="1221"/>
      <c r="R123" s="1221"/>
      <c r="S123" s="1221"/>
      <c r="T123" s="1221"/>
    </row>
    <row r="124" spans="2:20" ht="17.25" hidden="1" customHeight="1">
      <c r="B124" s="1189"/>
      <c r="C124" s="1099"/>
      <c r="D124" s="1099"/>
      <c r="E124" s="1099"/>
      <c r="F124" s="1099"/>
      <c r="G124" s="1099"/>
      <c r="H124" s="1099"/>
      <c r="I124" s="1099"/>
      <c r="J124" s="1099"/>
      <c r="K124" s="1099"/>
      <c r="L124" s="1099"/>
      <c r="M124" s="1099"/>
      <c r="N124" s="1099"/>
      <c r="O124" s="1099"/>
      <c r="P124" s="1099"/>
      <c r="Q124" s="1099"/>
      <c r="R124" s="1099"/>
      <c r="S124" s="1099"/>
      <c r="T124" s="1099"/>
    </row>
    <row r="125" spans="2:20" ht="17.25" hidden="1" customHeight="1">
      <c r="B125" s="1146"/>
      <c r="C125" s="1195"/>
      <c r="D125" s="1099"/>
      <c r="E125" s="1099"/>
      <c r="F125" s="1099"/>
      <c r="G125" s="1099"/>
      <c r="H125" s="1099"/>
      <c r="I125" s="1099"/>
      <c r="J125" s="1099"/>
      <c r="K125" s="1099"/>
      <c r="L125" s="1099"/>
      <c r="M125" s="1099"/>
      <c r="N125" s="1099"/>
      <c r="O125" s="1099"/>
      <c r="P125" s="1099"/>
      <c r="Q125" s="1099"/>
      <c r="R125" s="1099"/>
      <c r="S125" s="1099"/>
      <c r="T125" s="1099"/>
    </row>
    <row r="126" spans="2:20" ht="7.5" hidden="1" customHeight="1">
      <c r="B126" s="1146"/>
      <c r="C126" s="1195"/>
      <c r="D126" s="1099"/>
      <c r="E126" s="1099"/>
      <c r="F126" s="1099"/>
      <c r="G126" s="1099"/>
      <c r="H126" s="1099"/>
      <c r="I126" s="1099"/>
      <c r="J126" s="1099"/>
      <c r="K126" s="1099"/>
      <c r="L126" s="1099"/>
      <c r="M126" s="1099"/>
      <c r="N126" s="1099"/>
      <c r="O126" s="1099"/>
      <c r="P126" s="1099"/>
      <c r="Q126" s="1099"/>
      <c r="R126" s="1099"/>
      <c r="S126" s="1099"/>
      <c r="T126" s="1099"/>
    </row>
    <row r="127" spans="2:20" ht="17.25" hidden="1" customHeight="1">
      <c r="B127" s="1146"/>
      <c r="C127" s="1188"/>
      <c r="D127" s="1188"/>
      <c r="E127" s="1188"/>
      <c r="F127" s="1188"/>
      <c r="G127" s="1188"/>
      <c r="H127" s="1188"/>
      <c r="I127" s="1188"/>
      <c r="J127" s="1188"/>
      <c r="K127" s="1188"/>
      <c r="L127" s="1222"/>
      <c r="M127" s="1222"/>
      <c r="N127" s="1222"/>
      <c r="O127" s="1222"/>
      <c r="P127" s="1222"/>
      <c r="Q127" s="1222"/>
      <c r="R127" s="1222"/>
      <c r="S127" s="1222"/>
      <c r="T127" s="1222"/>
    </row>
    <row r="128" spans="2:20" ht="17.25" hidden="1" customHeight="1">
      <c r="B128" s="1146"/>
      <c r="C128" s="1187"/>
      <c r="D128" s="1196"/>
      <c r="E128" s="1196"/>
      <c r="F128" s="1196"/>
      <c r="G128" s="1196"/>
      <c r="H128" s="1196"/>
      <c r="I128" s="1196"/>
      <c r="J128" s="1196"/>
      <c r="K128" s="1196"/>
      <c r="L128" s="1099"/>
      <c r="M128" s="1099"/>
      <c r="N128" s="1099"/>
      <c r="O128" s="1099"/>
      <c r="P128" s="1099"/>
      <c r="Q128" s="1099"/>
      <c r="R128" s="1099"/>
      <c r="S128" s="1099"/>
      <c r="T128" s="1099"/>
    </row>
    <row r="129" spans="2:20" ht="17.25" hidden="1" customHeight="1">
      <c r="B129" s="1146"/>
      <c r="C129" s="1196"/>
      <c r="D129" s="1196"/>
      <c r="E129" s="1196"/>
      <c r="F129" s="1196"/>
      <c r="G129" s="1196"/>
      <c r="H129" s="1196"/>
      <c r="I129" s="1196"/>
      <c r="J129" s="1196"/>
      <c r="K129" s="1196"/>
      <c r="L129" s="1099"/>
      <c r="M129" s="1099"/>
      <c r="N129" s="1099"/>
      <c r="O129" s="1099"/>
      <c r="P129" s="1099"/>
      <c r="Q129" s="1099"/>
      <c r="R129" s="1099"/>
      <c r="S129" s="1099"/>
      <c r="T129" s="1099"/>
    </row>
    <row r="130" spans="2:20" ht="17.25" hidden="1" customHeight="1">
      <c r="B130" s="1146"/>
      <c r="C130" s="1196"/>
      <c r="D130" s="1196"/>
      <c r="E130" s="1196"/>
      <c r="F130" s="1196"/>
      <c r="G130" s="1196"/>
      <c r="H130" s="1196"/>
      <c r="I130" s="1196"/>
      <c r="J130" s="1196"/>
      <c r="K130" s="1196"/>
      <c r="L130" s="1099"/>
      <c r="M130" s="1099"/>
      <c r="N130" s="1099"/>
      <c r="O130" s="1099"/>
      <c r="P130" s="1099"/>
      <c r="Q130" s="1099"/>
      <c r="R130" s="1099"/>
      <c r="S130" s="1099"/>
      <c r="T130" s="1099"/>
    </row>
    <row r="131" spans="2:20" ht="17.25" hidden="1" customHeight="1">
      <c r="B131" s="1146"/>
      <c r="C131" s="1196"/>
      <c r="D131" s="1196"/>
      <c r="E131" s="1196"/>
      <c r="F131" s="1196"/>
      <c r="G131" s="1196"/>
      <c r="H131" s="1196"/>
      <c r="I131" s="1196"/>
      <c r="J131" s="1196"/>
      <c r="K131" s="1196"/>
      <c r="L131" s="1099"/>
      <c r="M131" s="1099"/>
      <c r="N131" s="1099"/>
      <c r="O131" s="1099"/>
      <c r="P131" s="1099"/>
      <c r="Q131" s="1099"/>
      <c r="R131" s="1099"/>
      <c r="S131" s="1099"/>
      <c r="T131" s="1099"/>
    </row>
    <row r="132" spans="2:20" ht="17.25" hidden="1" customHeight="1">
      <c r="B132" s="1146"/>
      <c r="C132" s="1187"/>
      <c r="D132" s="1187"/>
      <c r="E132" s="1187"/>
      <c r="F132" s="1187"/>
      <c r="G132" s="1187"/>
      <c r="H132" s="1187"/>
      <c r="I132" s="1187"/>
      <c r="J132" s="1187"/>
      <c r="K132" s="1187"/>
      <c r="L132" s="1099"/>
      <c r="M132" s="1099"/>
      <c r="N132" s="1099"/>
      <c r="O132" s="1099"/>
      <c r="P132" s="1099"/>
      <c r="Q132" s="1099"/>
      <c r="R132" s="1099"/>
      <c r="S132" s="1099"/>
      <c r="T132" s="1099"/>
    </row>
    <row r="133" spans="2:20" ht="17.25" hidden="1" customHeight="1">
      <c r="B133" s="1146"/>
      <c r="C133" s="1187"/>
      <c r="D133" s="1187"/>
      <c r="E133" s="1187"/>
      <c r="F133" s="1187"/>
      <c r="G133" s="1187"/>
      <c r="H133" s="1187"/>
      <c r="I133" s="1187"/>
      <c r="J133" s="1187"/>
      <c r="K133" s="1187"/>
      <c r="L133" s="1099"/>
      <c r="M133" s="1099"/>
      <c r="N133" s="1099"/>
      <c r="O133" s="1099"/>
      <c r="P133" s="1099"/>
      <c r="Q133" s="1099"/>
      <c r="R133" s="1099"/>
      <c r="S133" s="1099"/>
      <c r="T133" s="1099"/>
    </row>
    <row r="134" spans="2:20" ht="17.25" hidden="1" customHeight="1">
      <c r="B134" s="1146"/>
      <c r="C134" s="1187"/>
      <c r="D134" s="1187"/>
      <c r="E134" s="1187"/>
      <c r="F134" s="1187"/>
      <c r="G134" s="1187"/>
      <c r="H134" s="1187"/>
      <c r="I134" s="1187"/>
      <c r="J134" s="1187"/>
      <c r="K134" s="1187"/>
      <c r="L134" s="1099"/>
      <c r="M134" s="1099"/>
      <c r="N134" s="1099"/>
      <c r="O134" s="1099"/>
      <c r="P134" s="1099"/>
      <c r="Q134" s="1099"/>
      <c r="R134" s="1099"/>
      <c r="S134" s="1099"/>
      <c r="T134" s="1099"/>
    </row>
    <row r="135" spans="2:20" ht="17.25" hidden="1" customHeight="1">
      <c r="B135" s="1146"/>
      <c r="C135" s="1187"/>
      <c r="D135" s="1187"/>
      <c r="E135" s="1187"/>
      <c r="F135" s="1187"/>
      <c r="G135" s="1187"/>
      <c r="H135" s="1187"/>
      <c r="I135" s="1187"/>
      <c r="J135" s="1187"/>
      <c r="K135" s="1187"/>
      <c r="L135" s="1099"/>
      <c r="M135" s="1099"/>
      <c r="N135" s="1099"/>
      <c r="O135" s="1099"/>
      <c r="P135" s="1099"/>
      <c r="Q135" s="1099"/>
      <c r="R135" s="1099"/>
      <c r="S135" s="1099"/>
      <c r="T135" s="1099"/>
    </row>
    <row r="136" spans="2:20" ht="17.25" hidden="1" customHeight="1">
      <c r="B136" s="1146"/>
      <c r="C136" s="1187"/>
      <c r="D136" s="1187"/>
      <c r="E136" s="1187"/>
      <c r="F136" s="1187"/>
      <c r="G136" s="1187"/>
      <c r="H136" s="1187"/>
      <c r="I136" s="1187"/>
      <c r="J136" s="1187"/>
      <c r="K136" s="1187"/>
      <c r="L136" s="1099"/>
      <c r="M136" s="1099"/>
      <c r="N136" s="1099"/>
      <c r="O136" s="1099"/>
      <c r="P136" s="1099"/>
      <c r="Q136" s="1099"/>
      <c r="R136" s="1099"/>
      <c r="S136" s="1099"/>
      <c r="T136" s="1099"/>
    </row>
    <row r="137" spans="2:20" ht="17.25" hidden="1" customHeight="1">
      <c r="B137" s="1146"/>
      <c r="C137" s="1187"/>
      <c r="D137" s="1187"/>
      <c r="E137" s="1187"/>
      <c r="F137" s="1187"/>
      <c r="G137" s="1187"/>
      <c r="H137" s="1187"/>
      <c r="I137" s="1187"/>
      <c r="J137" s="1187"/>
      <c r="K137" s="1187"/>
      <c r="L137" s="1099"/>
      <c r="M137" s="1099"/>
      <c r="N137" s="1099"/>
      <c r="O137" s="1099"/>
      <c r="P137" s="1099"/>
      <c r="Q137" s="1099"/>
      <c r="R137" s="1099"/>
      <c r="S137" s="1099"/>
      <c r="T137" s="1099"/>
    </row>
    <row r="138" spans="2:20" ht="17.25" hidden="1" customHeight="1">
      <c r="B138" s="1146"/>
      <c r="C138" s="1187"/>
      <c r="D138" s="1187"/>
      <c r="E138" s="1187"/>
      <c r="F138" s="1187"/>
      <c r="G138" s="1187"/>
      <c r="H138" s="1187"/>
      <c r="I138" s="1187"/>
      <c r="J138" s="1187"/>
      <c r="K138" s="1187"/>
      <c r="L138" s="1099"/>
      <c r="M138" s="1099"/>
      <c r="N138" s="1099"/>
      <c r="O138" s="1099"/>
      <c r="P138" s="1099"/>
      <c r="Q138" s="1099"/>
      <c r="R138" s="1099"/>
      <c r="S138" s="1099"/>
      <c r="T138" s="1099"/>
    </row>
    <row r="139" spans="2:20" ht="17.25" hidden="1" customHeight="1">
      <c r="B139" s="1146"/>
      <c r="C139" s="1187"/>
      <c r="D139" s="1187"/>
      <c r="E139" s="1187"/>
      <c r="F139" s="1187"/>
      <c r="G139" s="1187"/>
      <c r="H139" s="1187"/>
      <c r="I139" s="1187"/>
      <c r="J139" s="1187"/>
      <c r="K139" s="1187"/>
      <c r="L139" s="1099"/>
      <c r="M139" s="1099"/>
      <c r="N139" s="1099"/>
      <c r="O139" s="1099"/>
      <c r="P139" s="1099"/>
      <c r="Q139" s="1099"/>
      <c r="R139" s="1099"/>
      <c r="S139" s="1099"/>
      <c r="T139" s="1099"/>
    </row>
    <row r="140" spans="2:20" ht="17.25" hidden="1" customHeight="1">
      <c r="B140" s="1146"/>
      <c r="C140" s="1187"/>
      <c r="D140" s="1187"/>
      <c r="E140" s="1187"/>
      <c r="F140" s="1187"/>
      <c r="G140" s="1187"/>
      <c r="H140" s="1187"/>
      <c r="I140" s="1187"/>
      <c r="J140" s="1187"/>
      <c r="K140" s="1187"/>
      <c r="L140" s="1099"/>
      <c r="M140" s="1099"/>
      <c r="N140" s="1099"/>
      <c r="O140" s="1099"/>
      <c r="P140" s="1099"/>
      <c r="Q140" s="1099"/>
      <c r="R140" s="1099"/>
      <c r="S140" s="1099"/>
      <c r="T140" s="1099"/>
    </row>
    <row r="141" spans="2:20" ht="17.25" hidden="1" customHeight="1">
      <c r="B141" s="1146"/>
      <c r="C141" s="1187"/>
      <c r="D141" s="1187"/>
      <c r="E141" s="1187"/>
      <c r="F141" s="1187"/>
      <c r="G141" s="1187"/>
      <c r="H141" s="1187"/>
      <c r="I141" s="1187"/>
      <c r="J141" s="1187"/>
      <c r="K141" s="1187"/>
      <c r="L141" s="1099"/>
      <c r="M141" s="1099"/>
      <c r="N141" s="1099"/>
      <c r="O141" s="1099"/>
      <c r="P141" s="1099"/>
      <c r="Q141" s="1099"/>
      <c r="R141" s="1099"/>
      <c r="S141" s="1099"/>
      <c r="T141" s="1099"/>
    </row>
    <row r="142" spans="2:20" ht="17.25" hidden="1" customHeight="1">
      <c r="B142" s="1146"/>
      <c r="C142" s="1187"/>
      <c r="D142" s="1187"/>
      <c r="E142" s="1187"/>
      <c r="F142" s="1187"/>
      <c r="G142" s="1187"/>
      <c r="H142" s="1187"/>
      <c r="I142" s="1187"/>
      <c r="J142" s="1187"/>
      <c r="K142" s="1187"/>
      <c r="L142" s="1099"/>
      <c r="M142" s="1099"/>
      <c r="N142" s="1099"/>
      <c r="O142" s="1099"/>
      <c r="P142" s="1099"/>
      <c r="Q142" s="1099"/>
      <c r="R142" s="1099"/>
      <c r="S142" s="1099"/>
      <c r="T142" s="1099"/>
    </row>
    <row r="143" spans="2:20" ht="17.25" hidden="1" customHeight="1">
      <c r="B143" s="1146"/>
      <c r="C143" s="1187"/>
      <c r="D143" s="1187"/>
      <c r="E143" s="1187"/>
      <c r="F143" s="1187"/>
      <c r="G143" s="1187"/>
      <c r="H143" s="1187"/>
      <c r="I143" s="1187"/>
      <c r="J143" s="1187"/>
      <c r="K143" s="1187"/>
      <c r="L143" s="1099"/>
      <c r="M143" s="1099"/>
      <c r="N143" s="1099"/>
      <c r="O143" s="1099"/>
      <c r="P143" s="1099"/>
      <c r="Q143" s="1099"/>
      <c r="R143" s="1099"/>
      <c r="S143" s="1099"/>
      <c r="T143" s="1099"/>
    </row>
    <row r="144" spans="2:20" ht="17.25" hidden="1" customHeight="1">
      <c r="B144" s="1146"/>
      <c r="C144" s="1195"/>
      <c r="D144" s="1099"/>
      <c r="E144" s="1099"/>
      <c r="F144" s="1099"/>
      <c r="G144" s="1099"/>
      <c r="H144" s="1099"/>
      <c r="I144" s="1099"/>
      <c r="J144" s="1099"/>
      <c r="K144" s="1099"/>
      <c r="L144" s="1099"/>
      <c r="M144" s="1099"/>
      <c r="N144" s="1099"/>
      <c r="O144" s="1099"/>
      <c r="P144" s="1099"/>
      <c r="Q144" s="1099"/>
      <c r="R144" s="1099"/>
      <c r="S144" s="1099"/>
      <c r="T144" s="1099"/>
    </row>
    <row r="145" spans="2:20" ht="17.25" hidden="1" customHeight="1">
      <c r="B145" s="1159"/>
      <c r="C145" s="1197"/>
      <c r="D145" s="1099"/>
      <c r="E145" s="1099"/>
      <c r="F145" s="1099"/>
      <c r="G145" s="1099"/>
      <c r="H145" s="1099"/>
      <c r="I145" s="1099"/>
      <c r="J145" s="1099"/>
      <c r="K145" s="1099"/>
      <c r="L145" s="1099"/>
      <c r="M145" s="1099"/>
      <c r="N145" s="1099"/>
      <c r="O145" s="1099"/>
      <c r="P145" s="1099"/>
      <c r="Q145" s="1099"/>
      <c r="R145" s="1099"/>
      <c r="S145" s="1099"/>
      <c r="T145" s="1099"/>
    </row>
    <row r="146" spans="2:20" ht="17.25" hidden="1" customHeight="1">
      <c r="B146" s="1146"/>
      <c r="C146" s="1195"/>
      <c r="D146" s="1099"/>
      <c r="E146" s="1099"/>
      <c r="F146" s="1099"/>
      <c r="G146" s="1099"/>
      <c r="H146" s="1099"/>
      <c r="I146" s="1099"/>
      <c r="J146" s="1099"/>
      <c r="K146" s="1099"/>
      <c r="L146" s="1099"/>
      <c r="M146" s="1099"/>
      <c r="N146" s="1099"/>
      <c r="O146" s="1099"/>
      <c r="P146" s="1099"/>
      <c r="Q146" s="1099"/>
      <c r="R146" s="1099"/>
      <c r="S146" s="1099"/>
      <c r="T146" s="1099"/>
    </row>
    <row r="147" spans="2:20" ht="17.25" hidden="1" customHeight="1">
      <c r="B147" s="1146"/>
      <c r="C147" s="1195"/>
      <c r="D147" s="1099"/>
      <c r="E147" s="1099"/>
      <c r="F147" s="1099"/>
      <c r="G147" s="1099"/>
      <c r="H147" s="1099"/>
      <c r="I147" s="1099"/>
      <c r="J147" s="1099"/>
      <c r="K147" s="1099"/>
      <c r="L147" s="1099"/>
      <c r="M147" s="1099"/>
      <c r="N147" s="1099"/>
      <c r="O147" s="1099"/>
      <c r="P147" s="1099"/>
      <c r="Q147" s="1099"/>
      <c r="R147" s="1099"/>
      <c r="S147" s="1099"/>
      <c r="T147" s="1099"/>
    </row>
    <row r="148" spans="2:20" ht="17.25" hidden="1" customHeight="1">
      <c r="B148" s="1146"/>
      <c r="C148" s="1158"/>
      <c r="D148" s="1147"/>
      <c r="E148" s="1147"/>
      <c r="F148" s="1147"/>
      <c r="G148" s="1147"/>
      <c r="H148" s="1147"/>
      <c r="I148" s="1147"/>
      <c r="J148" s="1141"/>
      <c r="K148" s="1147"/>
      <c r="L148" s="1147"/>
      <c r="M148" s="1147"/>
      <c r="N148" s="1147"/>
      <c r="O148" s="1147"/>
      <c r="P148" s="1147"/>
      <c r="Q148" s="1147"/>
      <c r="R148" s="1147"/>
      <c r="S148" s="1147"/>
      <c r="T148" s="1147"/>
    </row>
    <row r="149" spans="2:20" ht="11.25" customHeight="1">
      <c r="B149" s="1146"/>
      <c r="C149" s="1158"/>
      <c r="D149" s="1131"/>
      <c r="E149" s="1131"/>
      <c r="F149" s="1131"/>
      <c r="G149" s="1131"/>
      <c r="H149" s="1131"/>
      <c r="I149" s="1098"/>
      <c r="J149" s="1241" t="str">
        <f>VLOOKUP(L5,'VISITA DE INSP.'!A17:AI36,4,4)</f>
        <v>AKE QUEB * MARIANA DEL CONSUELO</v>
      </c>
      <c r="K149" s="1135"/>
      <c r="L149" s="1131"/>
      <c r="M149" s="1131"/>
      <c r="N149" s="1131"/>
      <c r="O149" s="1131"/>
      <c r="P149" s="1131"/>
      <c r="Q149" s="1131"/>
      <c r="R149" s="1131"/>
      <c r="S149" s="1131"/>
      <c r="T149" s="1131"/>
    </row>
    <row r="150" spans="2:20" ht="11.25" customHeight="1">
      <c r="B150" s="1146"/>
      <c r="C150" s="1158"/>
      <c r="D150" s="1131"/>
      <c r="E150" s="1131"/>
      <c r="F150" s="1131"/>
      <c r="G150" s="1131"/>
      <c r="H150" s="1131"/>
      <c r="I150" s="1131"/>
      <c r="J150" s="1147"/>
      <c r="K150" s="1131"/>
      <c r="L150" s="1131"/>
      <c r="M150" s="1131"/>
      <c r="N150" s="1131"/>
      <c r="O150" s="1131"/>
      <c r="P150" s="1131"/>
      <c r="Q150" s="1131"/>
      <c r="R150" s="1131"/>
      <c r="S150" s="1131"/>
      <c r="T150" s="1131"/>
    </row>
    <row r="151" spans="2:20" ht="11.25" customHeight="1">
      <c r="B151" s="1135"/>
      <c r="C151" s="1131"/>
      <c r="D151" s="1131"/>
      <c r="E151" s="1131"/>
      <c r="F151" s="1131"/>
      <c r="G151" s="1131"/>
      <c r="H151" s="1131"/>
      <c r="I151" s="1131"/>
      <c r="J151" s="1131"/>
      <c r="K151" s="1131"/>
      <c r="L151" s="1131"/>
      <c r="M151" s="1131"/>
      <c r="N151" s="1131"/>
      <c r="O151" s="1131"/>
      <c r="P151" s="1131"/>
      <c r="Q151" s="1131"/>
      <c r="R151" s="1131"/>
      <c r="S151" s="1131"/>
      <c r="T151" s="1131"/>
    </row>
    <row r="152" spans="2:20" ht="11.25" customHeight="1">
      <c r="B152" s="1135"/>
      <c r="C152" s="1131"/>
      <c r="D152" s="1131"/>
      <c r="E152" s="1131"/>
      <c r="F152" s="1131"/>
      <c r="G152" s="1131"/>
      <c r="H152" s="1131"/>
      <c r="I152" s="1131"/>
      <c r="J152" s="1131"/>
      <c r="K152" s="1131"/>
      <c r="L152" s="1247"/>
      <c r="M152" s="1131"/>
      <c r="N152" s="1131"/>
      <c r="O152" s="1131"/>
      <c r="P152" s="1131"/>
      <c r="Q152" s="1131"/>
      <c r="R152" s="1131"/>
      <c r="S152" s="1131"/>
      <c r="T152" s="1131"/>
    </row>
    <row r="153" spans="2:20" ht="11.25" customHeight="1">
      <c r="B153" s="1135"/>
      <c r="C153" s="1223"/>
      <c r="D153" s="1178"/>
      <c r="E153" s="1178"/>
      <c r="F153" s="1178"/>
      <c r="G153" s="1178"/>
      <c r="H153" s="1178"/>
      <c r="I153" s="1178"/>
      <c r="J153" s="1131"/>
      <c r="K153" s="1131"/>
      <c r="L153" s="1178"/>
      <c r="M153" s="1178"/>
      <c r="N153" s="1178"/>
      <c r="O153" s="1178"/>
      <c r="P153" s="1178"/>
      <c r="Q153" s="1131"/>
      <c r="R153" s="1131"/>
      <c r="S153" s="1131"/>
      <c r="T153" s="1131"/>
    </row>
    <row r="154" spans="2:20" ht="17.25" customHeight="1">
      <c r="B154" s="1090"/>
      <c r="C154" s="1132"/>
      <c r="D154" s="1226"/>
      <c r="E154" s="1229" t="str">
        <f>G9</f>
        <v>CERVANTES BENITEZ * ANTONIA</v>
      </c>
      <c r="F154" s="1226"/>
      <c r="G154" s="1226"/>
      <c r="H154" s="1226"/>
      <c r="I154" s="1131"/>
      <c r="J154" s="1131"/>
      <c r="K154" s="1131"/>
      <c r="L154" s="1178"/>
      <c r="M154" s="1178"/>
      <c r="N154" s="1230"/>
      <c r="O154" s="1231"/>
      <c r="P154" s="1231"/>
      <c r="Q154" s="1229" t="str">
        <f>G10</f>
        <v>JESUS MARTIN RICALDE CASTRO</v>
      </c>
      <c r="R154" s="1231"/>
      <c r="S154" s="1231"/>
      <c r="T154" s="1231"/>
    </row>
    <row r="155" spans="2:20" ht="17.25" customHeight="1">
      <c r="B155" s="1227" t="s">
        <v>1065</v>
      </c>
      <c r="D155" s="1228"/>
      <c r="E155" s="1228"/>
      <c r="F155" s="1228"/>
      <c r="G155" s="1228"/>
      <c r="H155" s="1228"/>
      <c r="I155" s="1131"/>
      <c r="J155" s="1131"/>
      <c r="K155" s="1131"/>
      <c r="L155" s="1178"/>
      <c r="M155" s="1178"/>
      <c r="N155" s="4423" t="s">
        <v>1066</v>
      </c>
      <c r="O155" s="4424"/>
      <c r="P155" s="4424"/>
      <c r="Q155" s="4424"/>
      <c r="R155" s="4424"/>
      <c r="S155" s="4424"/>
      <c r="T155" s="4424"/>
    </row>
    <row r="156" spans="2:20" ht="7.5" customHeight="1">
      <c r="B156" s="1224"/>
      <c r="C156" s="1225"/>
      <c r="D156" s="1178"/>
      <c r="E156" s="1178"/>
      <c r="F156" s="1178"/>
      <c r="G156" s="1178"/>
      <c r="H156" s="1178"/>
      <c r="I156" s="1178"/>
      <c r="J156" s="1178"/>
      <c r="K156" s="1178"/>
      <c r="L156" s="1178"/>
      <c r="M156" s="1178"/>
      <c r="N156" s="1178"/>
      <c r="O156" s="1178"/>
      <c r="P156" s="1178"/>
      <c r="Q156" s="1209"/>
      <c r="R156" s="1210"/>
      <c r="S156" s="1211"/>
      <c r="T156" s="1212"/>
    </row>
  </sheetData>
  <sheetProtection password="CE48" sheet="1" objects="1" scenarios="1" formatCells="0" selectLockedCells="1"/>
  <mergeCells count="143">
    <mergeCell ref="B59:H59"/>
    <mergeCell ref="I59:K59"/>
    <mergeCell ref="L59:N59"/>
    <mergeCell ref="O59:Q59"/>
    <mergeCell ref="R59:T59"/>
    <mergeCell ref="R62:T62"/>
    <mergeCell ref="R60:T60"/>
    <mergeCell ref="B61:H61"/>
    <mergeCell ref="I61:K61"/>
    <mergeCell ref="L61:N61"/>
    <mergeCell ref="O61:Q61"/>
    <mergeCell ref="R61:T61"/>
    <mergeCell ref="B62:H62"/>
    <mergeCell ref="I62:K62"/>
    <mergeCell ref="B60:H60"/>
    <mergeCell ref="I60:K60"/>
    <mergeCell ref="L60:N60"/>
    <mergeCell ref="O60:Q60"/>
    <mergeCell ref="L62:N62"/>
    <mergeCell ref="O62:Q62"/>
    <mergeCell ref="B53:H53"/>
    <mergeCell ref="I53:K53"/>
    <mergeCell ref="L53:N53"/>
    <mergeCell ref="O53:Q53"/>
    <mergeCell ref="R53:T53"/>
    <mergeCell ref="B57:H58"/>
    <mergeCell ref="I57:T57"/>
    <mergeCell ref="I58:K58"/>
    <mergeCell ref="L58:N58"/>
    <mergeCell ref="O58:Q58"/>
    <mergeCell ref="R58:T58"/>
    <mergeCell ref="B51:H51"/>
    <mergeCell ref="I51:K51"/>
    <mergeCell ref="L51:N51"/>
    <mergeCell ref="O51:Q51"/>
    <mergeCell ref="R51:T51"/>
    <mergeCell ref="B52:H52"/>
    <mergeCell ref="I52:K52"/>
    <mergeCell ref="L52:N52"/>
    <mergeCell ref="O52:Q52"/>
    <mergeCell ref="R52:T52"/>
    <mergeCell ref="B44:H44"/>
    <mergeCell ref="I44:K44"/>
    <mergeCell ref="L44:N44"/>
    <mergeCell ref="O44:Q44"/>
    <mergeCell ref="R44:T44"/>
    <mergeCell ref="B43:H43"/>
    <mergeCell ref="I43:K43"/>
    <mergeCell ref="B49:H50"/>
    <mergeCell ref="I49:T49"/>
    <mergeCell ref="I50:K50"/>
    <mergeCell ref="L50:N50"/>
    <mergeCell ref="O50:Q50"/>
    <mergeCell ref="R50:T50"/>
    <mergeCell ref="B42:H42"/>
    <mergeCell ref="I42:K42"/>
    <mergeCell ref="L42:N42"/>
    <mergeCell ref="O42:Q42"/>
    <mergeCell ref="R42:T42"/>
    <mergeCell ref="B41:H41"/>
    <mergeCell ref="L43:N43"/>
    <mergeCell ref="O43:Q43"/>
    <mergeCell ref="R43:T43"/>
    <mergeCell ref="R39:T39"/>
    <mergeCell ref="B40:H40"/>
    <mergeCell ref="I40:K40"/>
    <mergeCell ref="L40:N40"/>
    <mergeCell ref="O40:Q40"/>
    <mergeCell ref="R40:T40"/>
    <mergeCell ref="B38:H39"/>
    <mergeCell ref="O41:Q41"/>
    <mergeCell ref="R41:T41"/>
    <mergeCell ref="I39:K39"/>
    <mergeCell ref="L39:N39"/>
    <mergeCell ref="O39:Q39"/>
    <mergeCell ref="L41:N41"/>
    <mergeCell ref="B32:H32"/>
    <mergeCell ref="I32:K32"/>
    <mergeCell ref="L32:N32"/>
    <mergeCell ref="O32:Q32"/>
    <mergeCell ref="R32:T32"/>
    <mergeCell ref="B33:H33"/>
    <mergeCell ref="I33:K33"/>
    <mergeCell ref="L33:N33"/>
    <mergeCell ref="O33:Q33"/>
    <mergeCell ref="R33:T33"/>
    <mergeCell ref="B29:H29"/>
    <mergeCell ref="I29:K29"/>
    <mergeCell ref="L29:N29"/>
    <mergeCell ref="O29:Q29"/>
    <mergeCell ref="R29:T29"/>
    <mergeCell ref="O30:Q30"/>
    <mergeCell ref="R30:T30"/>
    <mergeCell ref="B31:H31"/>
    <mergeCell ref="I31:K31"/>
    <mergeCell ref="L31:N31"/>
    <mergeCell ref="O31:Q31"/>
    <mergeCell ref="R31:T31"/>
    <mergeCell ref="B30:H30"/>
    <mergeCell ref="N155:T155"/>
    <mergeCell ref="I41:K41"/>
    <mergeCell ref="I38:T38"/>
    <mergeCell ref="I30:K30"/>
    <mergeCell ref="L30:N30"/>
    <mergeCell ref="B23:H23"/>
    <mergeCell ref="B24:H24"/>
    <mergeCell ref="B25:H25"/>
    <mergeCell ref="B26:H26"/>
    <mergeCell ref="I24:K24"/>
    <mergeCell ref="R24:T24"/>
    <mergeCell ref="I25:K25"/>
    <mergeCell ref="L25:N25"/>
    <mergeCell ref="O25:Q25"/>
    <mergeCell ref="R25:T25"/>
    <mergeCell ref="O26:Q26"/>
    <mergeCell ref="R26:T26"/>
    <mergeCell ref="B27:H27"/>
    <mergeCell ref="I27:K27"/>
    <mergeCell ref="L27:N27"/>
    <mergeCell ref="O27:Q27"/>
    <mergeCell ref="R27:T27"/>
    <mergeCell ref="B28:H28"/>
    <mergeCell ref="I28:K28"/>
    <mergeCell ref="L24:N24"/>
    <mergeCell ref="I26:K26"/>
    <mergeCell ref="L26:N26"/>
    <mergeCell ref="I23:K23"/>
    <mergeCell ref="O24:Q24"/>
    <mergeCell ref="L28:N28"/>
    <mergeCell ref="O28:Q28"/>
    <mergeCell ref="R23:T23"/>
    <mergeCell ref="B21:H22"/>
    <mergeCell ref="R28:T28"/>
    <mergeCell ref="P10:T10"/>
    <mergeCell ref="B14:T14"/>
    <mergeCell ref="B15:T15"/>
    <mergeCell ref="R22:T22"/>
    <mergeCell ref="I21:T21"/>
    <mergeCell ref="L23:N23"/>
    <mergeCell ref="I22:K22"/>
    <mergeCell ref="L22:N22"/>
    <mergeCell ref="O22:Q22"/>
    <mergeCell ref="O23:Q23"/>
  </mergeCells>
  <conditionalFormatting sqref="J149 M7 S8:T8 P7 B1:D1 D154:H154">
    <cfRule type="cellIs" dxfId="813" priority="1" stopIfTrue="1" operator="equal">
      <formula>0</formula>
    </cfRule>
  </conditionalFormatting>
  <printOptions horizontalCentered="1"/>
  <pageMargins left="0.39370078740157483" right="0.11811023622047245" top="0.55118110236220474" bottom="0.35433070866141736" header="0.31496062992125984" footer="0"/>
  <pageSetup paperSize="5" scale="83" orientation="portrait" horizontalDpi="300" verticalDpi="300" r:id="rId1"/>
  <rowBreaks count="2" manualBreakCount="2">
    <brk id="29" max="20" man="1"/>
    <brk id="52" max="20" man="1"/>
  </row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37</vt:i4>
      </vt:variant>
      <vt:variant>
        <vt:lpstr>Rangos con nombre</vt:lpstr>
      </vt:variant>
      <vt:variant>
        <vt:i4>28</vt:i4>
      </vt:variant>
    </vt:vector>
  </HeadingPairs>
  <TitlesOfParts>
    <vt:vector size="65" baseType="lpstr">
      <vt:lpstr>VISITA DE INSP.</vt:lpstr>
      <vt:lpstr>F-3</vt:lpstr>
      <vt:lpstr>F-4</vt:lpstr>
      <vt:lpstr>F-5</vt:lpstr>
      <vt:lpstr>F-6</vt:lpstr>
      <vt:lpstr>DIPLOMA</vt:lpstr>
      <vt:lpstr>Guía de diagnóstico</vt:lpstr>
      <vt:lpstr>GUIA DE VIS. DTOR</vt:lpstr>
      <vt:lpstr>GUIA DE VIS. DTOR final</vt:lpstr>
      <vt:lpstr>LIB. MTRO</vt:lpstr>
      <vt:lpstr>LIB. DTOR</vt:lpstr>
      <vt:lpstr>GUIA DE VIS. GPO.</vt:lpstr>
      <vt:lpstr>Guia de 1° a 6°</vt:lpstr>
      <vt:lpstr>ESCALAFON</vt:lpstr>
      <vt:lpstr>POSTAL</vt:lpstr>
      <vt:lpstr>ACUSE 2</vt:lpstr>
      <vt:lpstr>TARJETAS</vt:lpstr>
      <vt:lpstr>REL-APF-CONS.</vt:lpstr>
      <vt:lpstr>PERS</vt:lpstr>
      <vt:lpstr>E GENERAL</vt:lpstr>
      <vt:lpstr>OP</vt:lpstr>
      <vt:lpstr>E OFICIALES</vt:lpstr>
      <vt:lpstr>E PARTICULARES</vt:lpstr>
      <vt:lpstr>Estadisticas</vt:lpstr>
      <vt:lpstr>Z.E.042</vt:lpstr>
      <vt:lpstr>Tienda </vt:lpstr>
      <vt:lpstr>ACUSE 1</vt:lpstr>
      <vt:lpstr>A-B</vt:lpstr>
      <vt:lpstr>Plantillas</vt:lpstr>
      <vt:lpstr>LISTAS 1</vt:lpstr>
      <vt:lpstr>LISTAS 2</vt:lpstr>
      <vt:lpstr>C.E.P.S.</vt:lpstr>
      <vt:lpstr>ETIQUETA</vt:lpstr>
      <vt:lpstr>EXAM.</vt:lpstr>
      <vt:lpstr>R-R</vt:lpstr>
      <vt:lpstr>C-ESC.</vt:lpstr>
      <vt:lpstr>Graficas</vt:lpstr>
      <vt:lpstr>'A-B'!Área_de_impresión</vt:lpstr>
      <vt:lpstr>'ACUSE 1'!Área_de_impresión</vt:lpstr>
      <vt:lpstr>'ACUSE 2'!Área_de_impresión</vt:lpstr>
      <vt:lpstr>DIPLOMA!Área_de_impresión</vt:lpstr>
      <vt:lpstr>'E GENERAL'!Área_de_impresión</vt:lpstr>
      <vt:lpstr>ESCALAFON!Área_de_impresión</vt:lpstr>
      <vt:lpstr>Estadisticas!Área_de_impresión</vt:lpstr>
      <vt:lpstr>ETIQUETA!Área_de_impresión</vt:lpstr>
      <vt:lpstr>EXAM.!Área_de_impresión</vt:lpstr>
      <vt:lpstr>'F-3'!Área_de_impresión</vt:lpstr>
      <vt:lpstr>'F-4'!Área_de_impresión</vt:lpstr>
      <vt:lpstr>'F-6'!Área_de_impresión</vt:lpstr>
      <vt:lpstr>'Guia de 1° a 6°'!Área_de_impresión</vt:lpstr>
      <vt:lpstr>'Guía de diagnóstico'!Área_de_impresión</vt:lpstr>
      <vt:lpstr>'GUIA DE VIS. DTOR'!Área_de_impresión</vt:lpstr>
      <vt:lpstr>'GUIA DE VIS. DTOR final'!Área_de_impresión</vt:lpstr>
      <vt:lpstr>'GUIA DE VIS. GPO.'!Área_de_impresión</vt:lpstr>
      <vt:lpstr>'LIB. DTOR'!Área_de_impresión</vt:lpstr>
      <vt:lpstr>'LIB. MTRO'!Área_de_impresión</vt:lpstr>
      <vt:lpstr>'LISTAS 1'!Área_de_impresión</vt:lpstr>
      <vt:lpstr>'LISTAS 2'!Área_de_impresión</vt:lpstr>
      <vt:lpstr>Plantillas!Área_de_impresión</vt:lpstr>
      <vt:lpstr>POSTAL!Área_de_impresión</vt:lpstr>
      <vt:lpstr>'REL-APF-CONS.'!Área_de_impresión</vt:lpstr>
      <vt:lpstr>TARJETAS!Área_de_impresión</vt:lpstr>
      <vt:lpstr>'Tienda '!Área_de_impresión</vt:lpstr>
      <vt:lpstr>'VISITA DE INSP.'!Área_de_impresión</vt:lpstr>
      <vt:lpstr>Z.E.042!Área_de_impresión</vt:lpstr>
    </vt:vector>
  </TitlesOfParts>
  <Company>ZONA Z O42</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visita de seguimiento</dc:title>
  <dc:subject>FTO. DE VISITA.</dc:subject>
  <dc:creator>ANTONIO GARCIA</dc:creator>
  <dc:description>Esta pagina esta automatizada y protegida (vc4)</dc:description>
  <cp:lastModifiedBy>HP PRO</cp:lastModifiedBy>
  <cp:lastPrinted>2014-05-06T19:39:49Z</cp:lastPrinted>
  <dcterms:created xsi:type="dcterms:W3CDTF">2004-01-19T08:00:46Z</dcterms:created>
  <dcterms:modified xsi:type="dcterms:W3CDTF">2014-05-28T23:46:56Z</dcterms:modified>
</cp:coreProperties>
</file>